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C:\Users\Binder\Desktop\"/>
    </mc:Choice>
  </mc:AlternateContent>
  <xr:revisionPtr revIDLastSave="0" documentId="13_ncr:1_{FC861D8E-76AC-4C59-B2CF-A6461097F442}" xr6:coauthVersionLast="47" xr6:coauthVersionMax="47" xr10:uidLastSave="{00000000-0000-0000-0000-000000000000}"/>
  <bookViews>
    <workbookView xWindow="28680" yWindow="-120" windowWidth="51840" windowHeight="21120" tabRatio="906" xr2:uid="{922FDCF9-27AB-4265-8DEC-355916B68682}"/>
  </bookViews>
  <sheets>
    <sheet name="ReadMe" sheetId="106" r:id="rId1"/>
    <sheet name="MAIN DATA, Orders" sheetId="1" r:id="rId2"/>
    <sheet name="DE General Item Type by Month" sheetId="43" r:id="rId3"/>
    <sheet name="UK general item type by month" sheetId="118" r:id="rId4"/>
    <sheet name="PL general order type by month" sheetId="119" r:id="rId5"/>
    <sheet name="Unit Costs" sheetId="8" r:id="rId6"/>
    <sheet name="List of Classifications" sheetId="109" r:id="rId7"/>
    <sheet name="Item Classification" sheetId="2" r:id="rId8"/>
    <sheet name="NATO Classifications" sheetId="164" r:id="rId9"/>
    <sheet name="Exchange Rates" sheetId="116" r:id="rId10"/>
    <sheet name="Fig 1 All Country Summary" sheetId="121" r:id="rId11"/>
    <sheet name="Fig 2 DE Orders by Category" sheetId="170" r:id="rId12"/>
    <sheet name="Fig 3 DE Origin (%)" sheetId="198" r:id="rId13"/>
    <sheet name="Fig 4 DE Years to Delivery" sheetId="98" r:id="rId14"/>
    <sheet name="Fig 5 DE No Delivery Date" sheetId="112" r:id="rId15"/>
    <sheet name="Fig 6 UK Orders by Category" sheetId="125" r:id="rId16"/>
    <sheet name="Fig 7 UK Origin (%)" sheetId="199" r:id="rId17"/>
    <sheet name="Fig 8 UK Years to Delivery" sheetId="135" r:id="rId18"/>
    <sheet name="Fig 9 UK No Delivery Date" sheetId="136" r:id="rId19"/>
    <sheet name="Fig 10 PL Orders by Category" sheetId="156" r:id="rId20"/>
    <sheet name="Fig 11 PL Origin (%)" sheetId="200" r:id="rId21"/>
    <sheet name="Fig 12 PL Years to Delivery" sheetId="168" r:id="rId22"/>
    <sheet name="Fig 13 PL No Delivery Date" sheetId="169" r:id="rId23"/>
    <sheet name="A1 DE Total Orders" sheetId="171" r:id="rId24"/>
    <sheet name="A2 DE Total Yearly" sheetId="172" r:id="rId25"/>
    <sheet name="A3 DE Order Priorities" sheetId="173" r:id="rId26"/>
    <sheet name="A4 DE Orders by Fund" sheetId="174" r:id="rId27"/>
    <sheet name="A5 DE Fund Overview" sheetId="175" r:id="rId28"/>
    <sheet name="A6 DE Orders by Origin" sheetId="176" r:id="rId29"/>
    <sheet name="A7 DE Origin (%)" sheetId="177" r:id="rId30"/>
    <sheet name="A8 UK Total Orders" sheetId="178" r:id="rId31"/>
    <sheet name="A9 UK Total Yearly" sheetId="179" r:id="rId32"/>
    <sheet name="A10 UK Order Priorities" sheetId="180" r:id="rId33"/>
    <sheet name="A11 UK Drone Orders" sheetId="181" r:id="rId34"/>
    <sheet name="A12 UK IFU Fund Orders" sheetId="182" r:id="rId35"/>
    <sheet name="A13 UK Orders by Origin" sheetId="183" r:id="rId36"/>
    <sheet name="A14 UK Origin (%)" sheetId="184" r:id="rId37"/>
    <sheet name="A15 PL Total Orders" sheetId="185" r:id="rId38"/>
    <sheet name="A16 PL Total Yearly" sheetId="186" r:id="rId39"/>
    <sheet name="A17 PL Order Priorities" sheetId="187" r:id="rId40"/>
    <sheet name="A18 PL Orders by Origin" sheetId="188" r:id="rId41"/>
    <sheet name="A19 PL Origin (%)" sheetId="189" r:id="rId42"/>
    <sheet name="A20 FR Orders (units)" sheetId="190" r:id="rId43"/>
    <sheet name="A21 DE Land Forces Orders" sheetId="191" r:id="rId44"/>
    <sheet name="A22 UK Land Forces Orders" sheetId="192" r:id="rId45"/>
    <sheet name="A23 PL Land Forces Orders" sheetId="193" r:id="rId46"/>
    <sheet name="A24 UK Navy Forces Orders" sheetId="194" r:id="rId47"/>
    <sheet name="A25 Weap. Units" sheetId="195" r:id="rId48"/>
    <sheet name="A26 France Equipment Deliveries" sheetId="197" r:id="rId49"/>
  </sheets>
  <definedNames>
    <definedName name="_xlnm._FilterDatabase" localSheetId="7" hidden="1">'Item Classification'!$B$6:$E$687</definedName>
    <definedName name="_xlnm._FilterDatabase" localSheetId="1" hidden="1">'MAIN DATA, Orders'!$A$1:$BO$869</definedName>
    <definedName name="_xlnm._FilterDatabase" localSheetId="8" hidden="1">'NATO Classifications'!$B$6:$E$6</definedName>
    <definedName name="_xlnm._FilterDatabase" localSheetId="5" hidden="1">'Unit Costs'!$B$6:$J$107</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1" i="121" l="1"/>
  <c r="E11" i="121"/>
  <c r="F11" i="121"/>
  <c r="G11" i="121"/>
  <c r="H11" i="121"/>
  <c r="I11" i="121"/>
  <c r="J11" i="121"/>
  <c r="D7" i="121"/>
  <c r="E7" i="121"/>
  <c r="F7" i="121"/>
  <c r="G7" i="121"/>
  <c r="H7" i="121"/>
  <c r="I7" i="121"/>
  <c r="D8" i="121"/>
  <c r="E8" i="121"/>
  <c r="F8" i="121"/>
  <c r="G8" i="121"/>
  <c r="H8" i="121"/>
  <c r="I8" i="121"/>
  <c r="D9" i="121"/>
  <c r="E9" i="121"/>
  <c r="F9" i="121"/>
  <c r="G9" i="121"/>
  <c r="H9" i="121"/>
  <c r="I9" i="121"/>
  <c r="F7" i="175" l="1"/>
  <c r="E7" i="175"/>
  <c r="C8" i="168"/>
  <c r="E8" i="168"/>
  <c r="F8" i="168"/>
  <c r="C9" i="168"/>
  <c r="E9" i="168"/>
  <c r="F9" i="168"/>
  <c r="C10" i="168"/>
  <c r="E10" i="168"/>
  <c r="F10" i="168"/>
  <c r="C11" i="168"/>
  <c r="E11" i="168"/>
  <c r="F11" i="168"/>
  <c r="C12" i="168"/>
  <c r="E12" i="168"/>
  <c r="F12" i="168"/>
  <c r="C13" i="168"/>
  <c r="E13" i="168"/>
  <c r="F13" i="168"/>
  <c r="C14" i="168"/>
  <c r="E14" i="168"/>
  <c r="F14" i="168"/>
  <c r="C15" i="168"/>
  <c r="E15" i="168"/>
  <c r="F15" i="168"/>
  <c r="C16" i="168"/>
  <c r="E16" i="168"/>
  <c r="F16" i="168"/>
  <c r="C17" i="168"/>
  <c r="E17" i="168"/>
  <c r="F17" i="168"/>
  <c r="C18" i="168"/>
  <c r="E18" i="168"/>
  <c r="F18" i="168"/>
  <c r="C19" i="168"/>
  <c r="E19" i="168"/>
  <c r="F19" i="168"/>
  <c r="C20" i="168"/>
  <c r="E20" i="168"/>
  <c r="F20" i="168"/>
  <c r="C21" i="168"/>
  <c r="E21" i="168"/>
  <c r="F21" i="168"/>
  <c r="C22" i="168"/>
  <c r="E22" i="168"/>
  <c r="F22" i="168"/>
  <c r="C23" i="168"/>
  <c r="E23" i="168"/>
  <c r="F23" i="168"/>
  <c r="C24" i="168"/>
  <c r="E24" i="168"/>
  <c r="F24" i="168"/>
  <c r="C25" i="168"/>
  <c r="E25" i="168"/>
  <c r="F25" i="168"/>
  <c r="C26" i="168"/>
  <c r="E26" i="168"/>
  <c r="F26" i="168"/>
  <c r="C27" i="168"/>
  <c r="E27" i="168"/>
  <c r="F27" i="168"/>
  <c r="C28" i="168"/>
  <c r="E28" i="168"/>
  <c r="F28" i="168"/>
  <c r="C29" i="168"/>
  <c r="E29" i="168"/>
  <c r="F29" i="168"/>
  <c r="C30" i="168"/>
  <c r="E30" i="168"/>
  <c r="F30" i="168"/>
  <c r="C31" i="168"/>
  <c r="E31" i="168"/>
  <c r="F31" i="168"/>
  <c r="C32" i="168"/>
  <c r="E32" i="168"/>
  <c r="F32" i="168"/>
  <c r="C33" i="168"/>
  <c r="E33" i="168"/>
  <c r="F33" i="168"/>
  <c r="C34" i="168"/>
  <c r="E34" i="168"/>
  <c r="F34" i="168"/>
  <c r="C35" i="168"/>
  <c r="E35" i="168"/>
  <c r="F35" i="168"/>
  <c r="C36" i="168"/>
  <c r="E36" i="168"/>
  <c r="F36" i="168"/>
  <c r="C37" i="168"/>
  <c r="E37" i="168"/>
  <c r="F37" i="168"/>
  <c r="C38" i="168"/>
  <c r="E38" i="168"/>
  <c r="F38" i="168"/>
  <c r="C39" i="168"/>
  <c r="E39" i="168"/>
  <c r="F39" i="168"/>
  <c r="C40" i="168"/>
  <c r="E40" i="168"/>
  <c r="F40" i="168"/>
  <c r="C41" i="168"/>
  <c r="E41" i="168"/>
  <c r="F41" i="168"/>
  <c r="C42" i="168"/>
  <c r="E42" i="168"/>
  <c r="F42" i="168"/>
  <c r="C43" i="168"/>
  <c r="E43" i="168"/>
  <c r="F43" i="168"/>
  <c r="C44" i="168"/>
  <c r="E44" i="168"/>
  <c r="F44" i="168"/>
  <c r="C45" i="168"/>
  <c r="E45" i="168"/>
  <c r="F45" i="168"/>
  <c r="C46" i="168"/>
  <c r="E46" i="168"/>
  <c r="F46" i="168"/>
  <c r="C47" i="168"/>
  <c r="E47" i="168"/>
  <c r="F47" i="168"/>
  <c r="C48" i="168"/>
  <c r="E48" i="168"/>
  <c r="F48" i="168"/>
  <c r="C49" i="168"/>
  <c r="E49" i="168"/>
  <c r="F49" i="168"/>
  <c r="C50" i="168"/>
  <c r="E50" i="168"/>
  <c r="F50" i="168"/>
  <c r="C51" i="168"/>
  <c r="E51" i="168"/>
  <c r="F51" i="168"/>
  <c r="C52" i="168"/>
  <c r="E52" i="168"/>
  <c r="F52" i="168"/>
  <c r="C53" i="168"/>
  <c r="E53" i="168"/>
  <c r="F53" i="168"/>
  <c r="C54" i="168"/>
  <c r="E54" i="168"/>
  <c r="F54" i="168"/>
  <c r="C55" i="168"/>
  <c r="E55" i="168"/>
  <c r="F55" i="168"/>
  <c r="C56" i="168"/>
  <c r="E56" i="168"/>
  <c r="F56" i="168"/>
  <c r="C57" i="168"/>
  <c r="E57" i="168"/>
  <c r="F57" i="168"/>
  <c r="C58" i="168"/>
  <c r="E58" i="168"/>
  <c r="F58" i="168"/>
  <c r="C59" i="168"/>
  <c r="E59" i="168"/>
  <c r="F59" i="168"/>
  <c r="C60" i="168"/>
  <c r="E60" i="168"/>
  <c r="F60" i="168"/>
  <c r="C61" i="168"/>
  <c r="E61" i="168"/>
  <c r="F61" i="168"/>
  <c r="C62" i="168"/>
  <c r="E62" i="168"/>
  <c r="F62" i="168"/>
  <c r="C63" i="168"/>
  <c r="E63" i="168"/>
  <c r="F63" i="168"/>
  <c r="C64" i="168"/>
  <c r="E64" i="168"/>
  <c r="F64" i="168"/>
  <c r="C65" i="168"/>
  <c r="D65" i="168"/>
  <c r="E65" i="168"/>
  <c r="F65" i="168"/>
  <c r="C66" i="168"/>
  <c r="D66" i="168"/>
  <c r="E66" i="168"/>
  <c r="F66" i="168"/>
  <c r="C67" i="168"/>
  <c r="D67" i="168"/>
  <c r="E67" i="168"/>
  <c r="F67" i="168"/>
  <c r="C68" i="168"/>
  <c r="D68" i="168"/>
  <c r="E68" i="168"/>
  <c r="F68" i="168"/>
  <c r="C69" i="168"/>
  <c r="D69" i="168"/>
  <c r="E69" i="168"/>
  <c r="F69" i="168"/>
  <c r="C70" i="168"/>
  <c r="D70" i="168"/>
  <c r="E70" i="168"/>
  <c r="F70" i="168"/>
  <c r="C71" i="168"/>
  <c r="D71" i="168"/>
  <c r="E71" i="168"/>
  <c r="F71" i="168"/>
  <c r="C72" i="168"/>
  <c r="D72" i="168"/>
  <c r="E72" i="168"/>
  <c r="F72" i="168"/>
  <c r="C73" i="168"/>
  <c r="D73" i="168"/>
  <c r="E73" i="168"/>
  <c r="F73" i="168"/>
  <c r="C74" i="168"/>
  <c r="D74" i="168"/>
  <c r="E74" i="168"/>
  <c r="F74" i="168"/>
  <c r="F7" i="168"/>
  <c r="E7" i="168"/>
  <c r="C7" i="168"/>
  <c r="C118" i="98"/>
  <c r="E118" i="98"/>
  <c r="F118" i="98"/>
  <c r="C119" i="98"/>
  <c r="E119" i="98"/>
  <c r="F119" i="98"/>
  <c r="C120" i="98"/>
  <c r="E120" i="98"/>
  <c r="F120" i="98"/>
  <c r="C121" i="98"/>
  <c r="E121" i="98"/>
  <c r="F121" i="98"/>
  <c r="C122" i="98"/>
  <c r="E122" i="98"/>
  <c r="F122" i="98"/>
  <c r="C123" i="98"/>
  <c r="E123" i="98"/>
  <c r="F123" i="98"/>
  <c r="C124" i="98"/>
  <c r="E124" i="98"/>
  <c r="F124" i="98"/>
  <c r="C125" i="98"/>
  <c r="E125" i="98"/>
  <c r="F125" i="98"/>
  <c r="C126" i="98"/>
  <c r="E126" i="98"/>
  <c r="F126" i="98"/>
  <c r="C127" i="98"/>
  <c r="E127" i="98"/>
  <c r="F127" i="98"/>
  <c r="C128" i="98"/>
  <c r="E128" i="98"/>
  <c r="F128" i="98"/>
  <c r="C129" i="98"/>
  <c r="E129" i="98"/>
  <c r="F129" i="98"/>
  <c r="C130" i="98"/>
  <c r="D130" i="98"/>
  <c r="E130" i="98"/>
  <c r="F130" i="98"/>
  <c r="C131" i="98"/>
  <c r="D131" i="98"/>
  <c r="E131" i="98"/>
  <c r="F131" i="98"/>
  <c r="C132" i="98"/>
  <c r="D132" i="98"/>
  <c r="E132" i="98"/>
  <c r="F132" i="98"/>
  <c r="C133" i="98"/>
  <c r="D133" i="98"/>
  <c r="E133" i="98"/>
  <c r="F133" i="98"/>
  <c r="C134" i="98"/>
  <c r="D134" i="98"/>
  <c r="E134" i="98"/>
  <c r="F134" i="98"/>
  <c r="C135" i="98"/>
  <c r="D135" i="98"/>
  <c r="E135" i="98"/>
  <c r="F135" i="98"/>
  <c r="C136" i="98"/>
  <c r="D136" i="98"/>
  <c r="E136" i="98"/>
  <c r="F136" i="98"/>
  <c r="C137" i="98"/>
  <c r="D137" i="98"/>
  <c r="E137" i="98"/>
  <c r="F137" i="98"/>
  <c r="C138" i="98"/>
  <c r="D138" i="98"/>
  <c r="E138" i="98"/>
  <c r="F138" i="98"/>
  <c r="C139" i="98"/>
  <c r="D139" i="98"/>
  <c r="E139" i="98"/>
  <c r="F139" i="98"/>
  <c r="C140" i="98"/>
  <c r="D140" i="98"/>
  <c r="E140" i="98"/>
  <c r="F140" i="98"/>
  <c r="C141" i="98"/>
  <c r="D141" i="98"/>
  <c r="E141" i="98"/>
  <c r="F141" i="98"/>
  <c r="C142" i="98"/>
  <c r="D142" i="98"/>
  <c r="E142" i="98"/>
  <c r="F142" i="98"/>
  <c r="C143" i="98"/>
  <c r="D143" i="98"/>
  <c r="E143" i="98"/>
  <c r="F143" i="98"/>
  <c r="C144" i="98"/>
  <c r="D144" i="98"/>
  <c r="E144" i="98"/>
  <c r="F144" i="98"/>
  <c r="C145" i="98"/>
  <c r="D145" i="98"/>
  <c r="E145" i="98"/>
  <c r="F145" i="98"/>
  <c r="C146" i="98"/>
  <c r="D146" i="98"/>
  <c r="E146" i="98"/>
  <c r="F146" i="98"/>
  <c r="C147" i="98"/>
  <c r="D147" i="98"/>
  <c r="E147" i="98"/>
  <c r="F147" i="98"/>
  <c r="C148" i="98"/>
  <c r="D148" i="98"/>
  <c r="E148" i="98"/>
  <c r="F148" i="98"/>
  <c r="C149" i="98"/>
  <c r="D149" i="98"/>
  <c r="E149" i="98"/>
  <c r="F149" i="98"/>
  <c r="C150" i="98"/>
  <c r="D150" i="98"/>
  <c r="E150" i="98"/>
  <c r="F150" i="98"/>
  <c r="C151" i="98"/>
  <c r="D151" i="98"/>
  <c r="E151" i="98"/>
  <c r="F151" i="98"/>
  <c r="C152" i="98"/>
  <c r="D152" i="98"/>
  <c r="E152" i="98"/>
  <c r="F152" i="98"/>
  <c r="C153" i="98"/>
  <c r="D153" i="98"/>
  <c r="E153" i="98"/>
  <c r="F153" i="98"/>
  <c r="C154" i="98"/>
  <c r="D154" i="98"/>
  <c r="E154" i="98"/>
  <c r="F154" i="98"/>
  <c r="C155" i="98"/>
  <c r="D155" i="98"/>
  <c r="E155" i="98"/>
  <c r="F155" i="98"/>
  <c r="C156" i="98"/>
  <c r="D156" i="98"/>
  <c r="E156" i="98"/>
  <c r="F156" i="98"/>
  <c r="C157" i="98"/>
  <c r="D157" i="98"/>
  <c r="E157" i="98"/>
  <c r="F157" i="98"/>
  <c r="C264" i="8"/>
  <c r="D264" i="8"/>
  <c r="J264" i="8"/>
  <c r="C266" i="8"/>
  <c r="D266" i="8"/>
  <c r="J266" i="8"/>
  <c r="C279" i="8"/>
  <c r="D279" i="8"/>
  <c r="J279" i="8"/>
  <c r="C280" i="8"/>
  <c r="D280" i="8"/>
  <c r="J280" i="8"/>
  <c r="C281" i="8"/>
  <c r="D281" i="8"/>
  <c r="J281" i="8"/>
  <c r="C282" i="8"/>
  <c r="D282" i="8"/>
  <c r="J282" i="8"/>
  <c r="C283" i="8"/>
  <c r="D283" i="8"/>
  <c r="J283" i="8"/>
  <c r="C284" i="8"/>
  <c r="D284" i="8"/>
  <c r="J284" i="8"/>
  <c r="C285" i="8"/>
  <c r="D285" i="8"/>
  <c r="J285" i="8"/>
  <c r="C286" i="8"/>
  <c r="D286" i="8"/>
  <c r="J286" i="8"/>
  <c r="C287" i="8"/>
  <c r="D287" i="8"/>
  <c r="J287" i="8"/>
  <c r="C288" i="8"/>
  <c r="D288" i="8"/>
  <c r="J288" i="8"/>
  <c r="C289" i="8"/>
  <c r="D289" i="8"/>
  <c r="J289" i="8"/>
  <c r="C290" i="8"/>
  <c r="D290" i="8"/>
  <c r="J290" i="8"/>
  <c r="C291" i="8"/>
  <c r="D291" i="8"/>
  <c r="J291" i="8"/>
  <c r="C292" i="8"/>
  <c r="D292" i="8"/>
  <c r="J292" i="8"/>
  <c r="C293" i="8"/>
  <c r="D293" i="8"/>
  <c r="J293" i="8"/>
  <c r="C294" i="8"/>
  <c r="D294" i="8"/>
  <c r="J294" i="8"/>
  <c r="C295" i="8"/>
  <c r="D295" i="8"/>
  <c r="J295" i="8"/>
  <c r="C296" i="8"/>
  <c r="D296" i="8"/>
  <c r="J296" i="8"/>
  <c r="C297" i="8"/>
  <c r="D297" i="8"/>
  <c r="J297" i="8"/>
  <c r="C298" i="8"/>
  <c r="D298" i="8"/>
  <c r="J298" i="8"/>
  <c r="C299" i="8"/>
  <c r="D299" i="8"/>
  <c r="J299" i="8"/>
  <c r="C300" i="8"/>
  <c r="D300" i="8"/>
  <c r="J300" i="8"/>
  <c r="C301" i="8"/>
  <c r="D301" i="8"/>
  <c r="J301" i="8"/>
  <c r="C302" i="8"/>
  <c r="D302" i="8"/>
  <c r="J302" i="8"/>
  <c r="C303" i="8"/>
  <c r="D303" i="8"/>
  <c r="J303" i="8"/>
  <c r="C304" i="8"/>
  <c r="D304" i="8"/>
  <c r="J304" i="8"/>
  <c r="C305" i="8"/>
  <c r="D305" i="8"/>
  <c r="J305" i="8"/>
  <c r="C306" i="8"/>
  <c r="D306" i="8"/>
  <c r="J306" i="8"/>
  <c r="C307" i="8"/>
  <c r="D307" i="8"/>
  <c r="J307" i="8"/>
  <c r="C308" i="8"/>
  <c r="D308" i="8"/>
  <c r="J308" i="8"/>
  <c r="C309" i="8"/>
  <c r="D309" i="8"/>
  <c r="J309" i="8"/>
  <c r="C310" i="8"/>
  <c r="D310" i="8"/>
  <c r="J310" i="8"/>
  <c r="C311" i="8"/>
  <c r="D311" i="8"/>
  <c r="J311" i="8"/>
  <c r="C312" i="8"/>
  <c r="D312" i="8"/>
  <c r="J312" i="8"/>
  <c r="C313" i="8"/>
  <c r="D313" i="8"/>
  <c r="J313" i="8"/>
  <c r="C314" i="8"/>
  <c r="D314" i="8"/>
  <c r="J314" i="8"/>
  <c r="C315" i="8"/>
  <c r="D315" i="8"/>
  <c r="J315" i="8"/>
  <c r="C316" i="8"/>
  <c r="D316" i="8"/>
  <c r="J316" i="8"/>
  <c r="C317" i="8"/>
  <c r="D317" i="8"/>
  <c r="J317" i="8"/>
  <c r="C318" i="8"/>
  <c r="D318" i="8"/>
  <c r="J318" i="8"/>
  <c r="C319" i="8"/>
  <c r="D319" i="8"/>
  <c r="J319" i="8"/>
  <c r="C320" i="8"/>
  <c r="D320" i="8"/>
  <c r="J320" i="8"/>
  <c r="C321" i="8"/>
  <c r="D321" i="8"/>
  <c r="J321" i="8"/>
  <c r="C322" i="8"/>
  <c r="D322" i="8"/>
  <c r="J322" i="8"/>
  <c r="C323" i="8"/>
  <c r="D323" i="8"/>
  <c r="J323" i="8"/>
  <c r="C324" i="8"/>
  <c r="D324" i="8"/>
  <c r="J324" i="8"/>
  <c r="C325" i="8"/>
  <c r="D325" i="8"/>
  <c r="J325" i="8"/>
  <c r="C326" i="8"/>
  <c r="D326" i="8"/>
  <c r="J326" i="8"/>
  <c r="C327" i="8"/>
  <c r="D327" i="8"/>
  <c r="J327" i="8"/>
  <c r="C328" i="8"/>
  <c r="D328" i="8"/>
  <c r="J328" i="8"/>
  <c r="C329" i="8"/>
  <c r="D329" i="8"/>
  <c r="J329" i="8"/>
  <c r="C330" i="8"/>
  <c r="D330" i="8"/>
  <c r="J330" i="8"/>
  <c r="C331" i="8"/>
  <c r="D331" i="8"/>
  <c r="J331" i="8"/>
  <c r="C332" i="8"/>
  <c r="D332" i="8"/>
  <c r="J332" i="8"/>
  <c r="C333" i="8"/>
  <c r="D333" i="8"/>
  <c r="J333" i="8"/>
  <c r="C334" i="8"/>
  <c r="D334" i="8"/>
  <c r="J334" i="8"/>
  <c r="C335" i="8"/>
  <c r="D335" i="8"/>
  <c r="J335" i="8"/>
  <c r="C336" i="8"/>
  <c r="D336" i="8"/>
  <c r="J336" i="8"/>
  <c r="C337" i="8"/>
  <c r="D337" i="8"/>
  <c r="J337" i="8"/>
  <c r="C338" i="8"/>
  <c r="D338" i="8"/>
  <c r="J338" i="8"/>
  <c r="C339" i="8"/>
  <c r="D339" i="8"/>
  <c r="J339" i="8"/>
  <c r="C340" i="8"/>
  <c r="D340" i="8"/>
  <c r="J340" i="8"/>
  <c r="C278" i="8"/>
  <c r="J278" i="8"/>
  <c r="D278" i="8"/>
  <c r="O798" i="1"/>
  <c r="H267" i="8" s="1"/>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5" i="8"/>
  <c r="J267" i="8"/>
  <c r="J268" i="8"/>
  <c r="J269" i="8"/>
  <c r="J270" i="8"/>
  <c r="J271" i="8"/>
  <c r="J272" i="8"/>
  <c r="J273" i="8"/>
  <c r="J274" i="8"/>
  <c r="J7" i="8"/>
  <c r="C248" i="8"/>
  <c r="D248" i="8"/>
  <c r="C249" i="8"/>
  <c r="D249" i="8"/>
  <c r="C250" i="8"/>
  <c r="D250" i="8"/>
  <c r="C251" i="8"/>
  <c r="D251" i="8"/>
  <c r="C252" i="8"/>
  <c r="D252" i="8"/>
  <c r="C253" i="8"/>
  <c r="D253" i="8"/>
  <c r="C254" i="8"/>
  <c r="D254" i="8"/>
  <c r="C255" i="8"/>
  <c r="D255" i="8"/>
  <c r="C256" i="8"/>
  <c r="D256" i="8"/>
  <c r="C257" i="8"/>
  <c r="D257" i="8"/>
  <c r="C258" i="8"/>
  <c r="D258" i="8"/>
  <c r="C259" i="8"/>
  <c r="D259" i="8"/>
  <c r="C260" i="8"/>
  <c r="D260" i="8"/>
  <c r="C261" i="8"/>
  <c r="D261" i="8"/>
  <c r="C262" i="8"/>
  <c r="D262" i="8"/>
  <c r="C263" i="8"/>
  <c r="D263" i="8"/>
  <c r="C265" i="8"/>
  <c r="D265" i="8"/>
  <c r="C267" i="8"/>
  <c r="D267" i="8"/>
  <c r="C268" i="8"/>
  <c r="D268" i="8"/>
  <c r="C269" i="8"/>
  <c r="D269" i="8"/>
  <c r="C270" i="8"/>
  <c r="D270" i="8"/>
  <c r="C271" i="8"/>
  <c r="D271" i="8"/>
  <c r="C272" i="8"/>
  <c r="D272" i="8"/>
  <c r="C273" i="8"/>
  <c r="D273" i="8"/>
  <c r="C274" i="8"/>
  <c r="D274" i="8"/>
  <c r="C206" i="8"/>
  <c r="D206" i="8"/>
  <c r="C207" i="8"/>
  <c r="D207" i="8"/>
  <c r="C208" i="8"/>
  <c r="D208" i="8"/>
  <c r="C209" i="8"/>
  <c r="D209" i="8"/>
  <c r="C210" i="8"/>
  <c r="D210" i="8"/>
  <c r="C211" i="8"/>
  <c r="D211" i="8"/>
  <c r="C212" i="8"/>
  <c r="D212" i="8"/>
  <c r="C213" i="8"/>
  <c r="D213" i="8"/>
  <c r="C214" i="8"/>
  <c r="D214" i="8"/>
  <c r="C215" i="8"/>
  <c r="D215" i="8"/>
  <c r="C216" i="8"/>
  <c r="D216" i="8"/>
  <c r="C217" i="8"/>
  <c r="D217" i="8"/>
  <c r="C218" i="8"/>
  <c r="D218" i="8"/>
  <c r="C219" i="8"/>
  <c r="D219" i="8"/>
  <c r="C220" i="8"/>
  <c r="D220" i="8"/>
  <c r="C221" i="8"/>
  <c r="D221" i="8"/>
  <c r="C222" i="8"/>
  <c r="D222" i="8"/>
  <c r="C223" i="8"/>
  <c r="D223" i="8"/>
  <c r="C224" i="8"/>
  <c r="D224" i="8"/>
  <c r="C225" i="8"/>
  <c r="D225" i="8"/>
  <c r="C226" i="8"/>
  <c r="D226" i="8"/>
  <c r="C227" i="8"/>
  <c r="D227" i="8"/>
  <c r="C228" i="8"/>
  <c r="D228" i="8"/>
  <c r="C229" i="8"/>
  <c r="D229" i="8"/>
  <c r="C230" i="8"/>
  <c r="D230" i="8"/>
  <c r="C231" i="8"/>
  <c r="D231" i="8"/>
  <c r="C232" i="8"/>
  <c r="D232" i="8"/>
  <c r="C233" i="8"/>
  <c r="D233" i="8"/>
  <c r="C234" i="8"/>
  <c r="D234" i="8"/>
  <c r="C235" i="8"/>
  <c r="D235" i="8"/>
  <c r="C236" i="8"/>
  <c r="D236" i="8"/>
  <c r="C237" i="8"/>
  <c r="D237" i="8"/>
  <c r="C238" i="8"/>
  <c r="D238" i="8"/>
  <c r="C239" i="8"/>
  <c r="D239" i="8"/>
  <c r="C240" i="8"/>
  <c r="D240" i="8"/>
  <c r="C241" i="8"/>
  <c r="D241" i="8"/>
  <c r="C242" i="8"/>
  <c r="D242" i="8"/>
  <c r="C243" i="8"/>
  <c r="D243" i="8"/>
  <c r="C244" i="8"/>
  <c r="D244" i="8"/>
  <c r="C245" i="8"/>
  <c r="D245" i="8"/>
  <c r="C246" i="8"/>
  <c r="D246" i="8"/>
  <c r="C247" i="8"/>
  <c r="D247" i="8"/>
  <c r="C162" i="8"/>
  <c r="D162" i="8"/>
  <c r="C163" i="8"/>
  <c r="D163" i="8"/>
  <c r="C164" i="8"/>
  <c r="D164" i="8"/>
  <c r="C165" i="8"/>
  <c r="D165" i="8"/>
  <c r="C166" i="8"/>
  <c r="D166" i="8"/>
  <c r="C167" i="8"/>
  <c r="D167" i="8"/>
  <c r="C168" i="8"/>
  <c r="D168" i="8"/>
  <c r="C169" i="8"/>
  <c r="D169" i="8"/>
  <c r="C170" i="8"/>
  <c r="D170" i="8"/>
  <c r="C171" i="8"/>
  <c r="D171" i="8"/>
  <c r="C172" i="8"/>
  <c r="D172" i="8"/>
  <c r="C173" i="8"/>
  <c r="D173" i="8"/>
  <c r="C174" i="8"/>
  <c r="D174" i="8"/>
  <c r="C175" i="8"/>
  <c r="D175" i="8"/>
  <c r="C176" i="8"/>
  <c r="D176" i="8"/>
  <c r="C177" i="8"/>
  <c r="D177" i="8"/>
  <c r="C178" i="8"/>
  <c r="D178" i="8"/>
  <c r="C179" i="8"/>
  <c r="D179" i="8"/>
  <c r="C180" i="8"/>
  <c r="D180" i="8"/>
  <c r="C181" i="8"/>
  <c r="D181" i="8"/>
  <c r="C182" i="8"/>
  <c r="D182" i="8"/>
  <c r="C183" i="8"/>
  <c r="D183" i="8"/>
  <c r="C184" i="8"/>
  <c r="D184" i="8"/>
  <c r="C185" i="8"/>
  <c r="D185" i="8"/>
  <c r="C186" i="8"/>
  <c r="D186" i="8"/>
  <c r="C187" i="8"/>
  <c r="D187" i="8"/>
  <c r="C188" i="8"/>
  <c r="D188" i="8"/>
  <c r="C189" i="8"/>
  <c r="D189" i="8"/>
  <c r="C190" i="8"/>
  <c r="D190" i="8"/>
  <c r="C191" i="8"/>
  <c r="D191" i="8"/>
  <c r="C192" i="8"/>
  <c r="D192" i="8"/>
  <c r="C193" i="8"/>
  <c r="D193" i="8"/>
  <c r="C194" i="8"/>
  <c r="D194" i="8"/>
  <c r="C195" i="8"/>
  <c r="D195" i="8"/>
  <c r="C196" i="8"/>
  <c r="D196" i="8"/>
  <c r="C197" i="8"/>
  <c r="D197" i="8"/>
  <c r="C198" i="8"/>
  <c r="D198" i="8"/>
  <c r="C199" i="8"/>
  <c r="D199" i="8"/>
  <c r="C200" i="8"/>
  <c r="D200" i="8"/>
  <c r="C201" i="8"/>
  <c r="D201" i="8"/>
  <c r="C202" i="8"/>
  <c r="D202" i="8"/>
  <c r="C203" i="8"/>
  <c r="D203" i="8"/>
  <c r="C204" i="8"/>
  <c r="D204" i="8"/>
  <c r="C205" i="8"/>
  <c r="D205" i="8"/>
  <c r="C131" i="8"/>
  <c r="D131" i="8"/>
  <c r="C132" i="8"/>
  <c r="D132" i="8"/>
  <c r="C133" i="8"/>
  <c r="D133" i="8"/>
  <c r="C134" i="8"/>
  <c r="D134" i="8"/>
  <c r="C135" i="8"/>
  <c r="D135" i="8"/>
  <c r="C136" i="8"/>
  <c r="D136" i="8"/>
  <c r="C137" i="8"/>
  <c r="D137" i="8"/>
  <c r="C138" i="8"/>
  <c r="D138" i="8"/>
  <c r="C139" i="8"/>
  <c r="D139" i="8"/>
  <c r="C140" i="8"/>
  <c r="D140" i="8"/>
  <c r="C141" i="8"/>
  <c r="D141" i="8"/>
  <c r="C142" i="8"/>
  <c r="D142" i="8"/>
  <c r="C143" i="8"/>
  <c r="D143" i="8"/>
  <c r="C144" i="8"/>
  <c r="D144" i="8"/>
  <c r="C145" i="8"/>
  <c r="D145" i="8"/>
  <c r="C146" i="8"/>
  <c r="D146" i="8"/>
  <c r="C147" i="8"/>
  <c r="D147" i="8"/>
  <c r="C148" i="8"/>
  <c r="D148" i="8"/>
  <c r="C149" i="8"/>
  <c r="D149" i="8"/>
  <c r="C150" i="8"/>
  <c r="D150" i="8"/>
  <c r="C151" i="8"/>
  <c r="D151" i="8"/>
  <c r="C152" i="8"/>
  <c r="D152" i="8"/>
  <c r="C153" i="8"/>
  <c r="D153" i="8"/>
  <c r="C154" i="8"/>
  <c r="D154" i="8"/>
  <c r="C155" i="8"/>
  <c r="D155" i="8"/>
  <c r="C156" i="8"/>
  <c r="D156" i="8"/>
  <c r="C157" i="8"/>
  <c r="D157" i="8"/>
  <c r="C158" i="8"/>
  <c r="D158" i="8"/>
  <c r="C159" i="8"/>
  <c r="D159" i="8"/>
  <c r="C160" i="8"/>
  <c r="D160" i="8"/>
  <c r="C161" i="8"/>
  <c r="D161" i="8"/>
  <c r="C8" i="8"/>
  <c r="D8" i="8"/>
  <c r="C9" i="8"/>
  <c r="D9" i="8"/>
  <c r="C10" i="8"/>
  <c r="D10" i="8"/>
  <c r="C11" i="8"/>
  <c r="D11" i="8"/>
  <c r="C12" i="8"/>
  <c r="D12" i="8"/>
  <c r="C13" i="8"/>
  <c r="D13" i="8"/>
  <c r="C14" i="8"/>
  <c r="D14" i="8"/>
  <c r="C15" i="8"/>
  <c r="D15" i="8"/>
  <c r="C16" i="8"/>
  <c r="D16" i="8"/>
  <c r="C17" i="8"/>
  <c r="D17" i="8"/>
  <c r="C18" i="8"/>
  <c r="D18" i="8"/>
  <c r="C19" i="8"/>
  <c r="D19" i="8"/>
  <c r="C20" i="8"/>
  <c r="D20" i="8"/>
  <c r="C21" i="8"/>
  <c r="D21" i="8"/>
  <c r="C22" i="8"/>
  <c r="D22" i="8"/>
  <c r="C23" i="8"/>
  <c r="D23" i="8"/>
  <c r="C24" i="8"/>
  <c r="D24" i="8"/>
  <c r="C25" i="8"/>
  <c r="D25" i="8"/>
  <c r="C26" i="8"/>
  <c r="D26" i="8"/>
  <c r="C27" i="8"/>
  <c r="D27" i="8"/>
  <c r="C28" i="8"/>
  <c r="D28" i="8"/>
  <c r="C29" i="8"/>
  <c r="D29" i="8"/>
  <c r="C30" i="8"/>
  <c r="D30" i="8"/>
  <c r="C31" i="8"/>
  <c r="D31" i="8"/>
  <c r="C32" i="8"/>
  <c r="D32" i="8"/>
  <c r="C33" i="8"/>
  <c r="D33" i="8"/>
  <c r="C34" i="8"/>
  <c r="D34" i="8"/>
  <c r="C35" i="8"/>
  <c r="D35" i="8"/>
  <c r="C36" i="8"/>
  <c r="D36" i="8"/>
  <c r="C37" i="8"/>
  <c r="D37" i="8"/>
  <c r="C38" i="8"/>
  <c r="D38" i="8"/>
  <c r="C39" i="8"/>
  <c r="D39" i="8"/>
  <c r="C40" i="8"/>
  <c r="D40" i="8"/>
  <c r="C41" i="8"/>
  <c r="D41" i="8"/>
  <c r="C42" i="8"/>
  <c r="D42" i="8"/>
  <c r="C43" i="8"/>
  <c r="D43" i="8"/>
  <c r="C44" i="8"/>
  <c r="D44" i="8"/>
  <c r="C45" i="8"/>
  <c r="D45" i="8"/>
  <c r="C46" i="8"/>
  <c r="D46" i="8"/>
  <c r="C47" i="8"/>
  <c r="D47" i="8"/>
  <c r="C48" i="8"/>
  <c r="D48" i="8"/>
  <c r="C49" i="8"/>
  <c r="D49" i="8"/>
  <c r="C50" i="8"/>
  <c r="D50" i="8"/>
  <c r="C51" i="8"/>
  <c r="D51" i="8"/>
  <c r="C52" i="8"/>
  <c r="D52" i="8"/>
  <c r="C53" i="8"/>
  <c r="D53" i="8"/>
  <c r="C54" i="8"/>
  <c r="D54" i="8"/>
  <c r="C55" i="8"/>
  <c r="D55" i="8"/>
  <c r="C56" i="8"/>
  <c r="D56" i="8"/>
  <c r="C57" i="8"/>
  <c r="D57" i="8"/>
  <c r="C58" i="8"/>
  <c r="D58" i="8"/>
  <c r="C59" i="8"/>
  <c r="D59" i="8"/>
  <c r="C60" i="8"/>
  <c r="D60" i="8"/>
  <c r="C61" i="8"/>
  <c r="D61" i="8"/>
  <c r="C62" i="8"/>
  <c r="D62" i="8"/>
  <c r="C63" i="8"/>
  <c r="D63" i="8"/>
  <c r="C64" i="8"/>
  <c r="D64" i="8"/>
  <c r="C65" i="8"/>
  <c r="D65" i="8"/>
  <c r="C66" i="8"/>
  <c r="D66" i="8"/>
  <c r="C67" i="8"/>
  <c r="D67" i="8"/>
  <c r="C68" i="8"/>
  <c r="D68" i="8"/>
  <c r="C69" i="8"/>
  <c r="D69" i="8"/>
  <c r="C70" i="8"/>
  <c r="D70" i="8"/>
  <c r="C71" i="8"/>
  <c r="D71" i="8"/>
  <c r="C72" i="8"/>
  <c r="D72" i="8"/>
  <c r="C73" i="8"/>
  <c r="D73" i="8"/>
  <c r="C74" i="8"/>
  <c r="D74" i="8"/>
  <c r="C75" i="8"/>
  <c r="D75" i="8"/>
  <c r="C76" i="8"/>
  <c r="D76" i="8"/>
  <c r="C77" i="8"/>
  <c r="D77" i="8"/>
  <c r="C78" i="8"/>
  <c r="D78" i="8"/>
  <c r="C79" i="8"/>
  <c r="D79" i="8"/>
  <c r="C80" i="8"/>
  <c r="D80" i="8"/>
  <c r="C81" i="8"/>
  <c r="D81" i="8"/>
  <c r="C82" i="8"/>
  <c r="D82" i="8"/>
  <c r="C83" i="8"/>
  <c r="D83" i="8"/>
  <c r="C84" i="8"/>
  <c r="D84" i="8"/>
  <c r="C85" i="8"/>
  <c r="D85" i="8"/>
  <c r="C86" i="8"/>
  <c r="D86" i="8"/>
  <c r="C87" i="8"/>
  <c r="D87" i="8"/>
  <c r="C88" i="8"/>
  <c r="D88" i="8"/>
  <c r="C89" i="8"/>
  <c r="D89" i="8"/>
  <c r="C90" i="8"/>
  <c r="D90" i="8"/>
  <c r="C91" i="8"/>
  <c r="D91" i="8"/>
  <c r="C92" i="8"/>
  <c r="D92" i="8"/>
  <c r="C93" i="8"/>
  <c r="D93" i="8"/>
  <c r="C94" i="8"/>
  <c r="D94" i="8"/>
  <c r="C95" i="8"/>
  <c r="D95" i="8"/>
  <c r="C96" i="8"/>
  <c r="D96" i="8"/>
  <c r="C97" i="8"/>
  <c r="D97" i="8"/>
  <c r="C98" i="8"/>
  <c r="D98" i="8"/>
  <c r="C99" i="8"/>
  <c r="D99" i="8"/>
  <c r="C100" i="8"/>
  <c r="D100" i="8"/>
  <c r="C101" i="8"/>
  <c r="D101" i="8"/>
  <c r="C102" i="8"/>
  <c r="D102" i="8"/>
  <c r="C103" i="8"/>
  <c r="D103" i="8"/>
  <c r="C104" i="8"/>
  <c r="D104" i="8"/>
  <c r="C105" i="8"/>
  <c r="D105" i="8"/>
  <c r="C106" i="8"/>
  <c r="D106" i="8"/>
  <c r="C107" i="8"/>
  <c r="D107" i="8"/>
  <c r="C108" i="8"/>
  <c r="D108" i="8"/>
  <c r="C109" i="8"/>
  <c r="D109" i="8"/>
  <c r="C110" i="8"/>
  <c r="D110" i="8"/>
  <c r="C111" i="8"/>
  <c r="D111" i="8"/>
  <c r="C112" i="8"/>
  <c r="D112" i="8"/>
  <c r="C113" i="8"/>
  <c r="D113" i="8"/>
  <c r="C114" i="8"/>
  <c r="D114" i="8"/>
  <c r="C115" i="8"/>
  <c r="D115" i="8"/>
  <c r="C116" i="8"/>
  <c r="D116" i="8"/>
  <c r="C117" i="8"/>
  <c r="D117" i="8"/>
  <c r="C118" i="8"/>
  <c r="D118" i="8"/>
  <c r="C119" i="8"/>
  <c r="D119" i="8"/>
  <c r="C120" i="8"/>
  <c r="D120" i="8"/>
  <c r="C121" i="8"/>
  <c r="D121" i="8"/>
  <c r="C122" i="8"/>
  <c r="D122" i="8"/>
  <c r="C123" i="8"/>
  <c r="D123" i="8"/>
  <c r="C124" i="8"/>
  <c r="D124" i="8"/>
  <c r="C125" i="8"/>
  <c r="D125" i="8"/>
  <c r="C126" i="8"/>
  <c r="D126" i="8"/>
  <c r="C127" i="8"/>
  <c r="D127" i="8"/>
  <c r="C128" i="8"/>
  <c r="D128" i="8"/>
  <c r="C129" i="8"/>
  <c r="D129" i="8"/>
  <c r="C130" i="8"/>
  <c r="D130" i="8"/>
  <c r="O575" i="1"/>
  <c r="H194" i="8" s="1"/>
  <c r="O501" i="1"/>
  <c r="H173" i="8" s="1"/>
  <c r="AG92" i="119"/>
  <c r="AG80" i="118"/>
  <c r="AG80" i="43"/>
  <c r="C71" i="98"/>
  <c r="C7" i="98"/>
  <c r="C8" i="98"/>
  <c r="C9" i="98"/>
  <c r="C10" i="98"/>
  <c r="C11" i="98"/>
  <c r="C12" i="98"/>
  <c r="C13" i="98"/>
  <c r="C14" i="98"/>
  <c r="C15" i="98"/>
  <c r="C16" i="98"/>
  <c r="C17" i="98"/>
  <c r="C18" i="98"/>
  <c r="E8" i="135"/>
  <c r="F8" i="135"/>
  <c r="E9" i="135"/>
  <c r="F9" i="135"/>
  <c r="E10" i="135"/>
  <c r="F10" i="135"/>
  <c r="E11" i="135"/>
  <c r="F11" i="135"/>
  <c r="E12" i="135"/>
  <c r="F12" i="135"/>
  <c r="E13" i="135"/>
  <c r="F13" i="135"/>
  <c r="E14" i="135"/>
  <c r="F14" i="135"/>
  <c r="E15" i="135"/>
  <c r="F15" i="135"/>
  <c r="E16" i="135"/>
  <c r="F16" i="135"/>
  <c r="E17" i="135"/>
  <c r="F17" i="135"/>
  <c r="E18" i="135"/>
  <c r="F18" i="135"/>
  <c r="E19" i="135"/>
  <c r="F19" i="135"/>
  <c r="E20" i="135"/>
  <c r="F20" i="135"/>
  <c r="E21" i="135"/>
  <c r="F21" i="135"/>
  <c r="E22" i="135"/>
  <c r="F22" i="135"/>
  <c r="E23" i="135"/>
  <c r="F23" i="135"/>
  <c r="E24" i="135"/>
  <c r="F24" i="135"/>
  <c r="E25" i="135"/>
  <c r="F25" i="135"/>
  <c r="E26" i="135"/>
  <c r="F26" i="135"/>
  <c r="E27" i="135"/>
  <c r="F27" i="135"/>
  <c r="E28" i="135"/>
  <c r="F28" i="135"/>
  <c r="E29" i="135"/>
  <c r="F29" i="135"/>
  <c r="E30" i="135"/>
  <c r="F30" i="135"/>
  <c r="E31" i="135"/>
  <c r="F31" i="135"/>
  <c r="E32" i="135"/>
  <c r="F32" i="135"/>
  <c r="E33" i="135"/>
  <c r="F33" i="135"/>
  <c r="E34" i="135"/>
  <c r="F34" i="135"/>
  <c r="E35" i="135"/>
  <c r="F35" i="135"/>
  <c r="E36" i="135"/>
  <c r="F36" i="135"/>
  <c r="E37" i="135"/>
  <c r="F37" i="135"/>
  <c r="E38" i="135"/>
  <c r="F38" i="135"/>
  <c r="E39" i="135"/>
  <c r="F39" i="135"/>
  <c r="E40" i="135"/>
  <c r="F40" i="135"/>
  <c r="E41" i="135"/>
  <c r="F41" i="135"/>
  <c r="E42" i="135"/>
  <c r="F42" i="135"/>
  <c r="E43" i="135"/>
  <c r="F43" i="135"/>
  <c r="E44" i="135"/>
  <c r="F44" i="135"/>
  <c r="E45" i="135"/>
  <c r="F45" i="135"/>
  <c r="E46" i="135"/>
  <c r="F46" i="135"/>
  <c r="E47" i="135"/>
  <c r="F47" i="135"/>
  <c r="E48" i="135"/>
  <c r="F48" i="135"/>
  <c r="E49" i="135"/>
  <c r="F49" i="135"/>
  <c r="E50" i="135"/>
  <c r="F50" i="135"/>
  <c r="E51" i="135"/>
  <c r="F51" i="135"/>
  <c r="E52" i="135"/>
  <c r="F52" i="135"/>
  <c r="E53" i="135"/>
  <c r="F53" i="135"/>
  <c r="E54" i="135"/>
  <c r="F54" i="135"/>
  <c r="E55" i="135"/>
  <c r="F55" i="135"/>
  <c r="E56" i="135"/>
  <c r="F56" i="135"/>
  <c r="E57" i="135"/>
  <c r="F57" i="135"/>
  <c r="E58" i="135"/>
  <c r="F58" i="135"/>
  <c r="E59" i="135"/>
  <c r="F59" i="135"/>
  <c r="E60" i="135"/>
  <c r="F60" i="135"/>
  <c r="E61" i="135"/>
  <c r="F61" i="135"/>
  <c r="E62" i="135"/>
  <c r="F62" i="135"/>
  <c r="E63" i="135"/>
  <c r="F63" i="135"/>
  <c r="E64" i="135"/>
  <c r="F64" i="135"/>
  <c r="E65" i="135"/>
  <c r="F65" i="135"/>
  <c r="E66" i="135"/>
  <c r="F66" i="135"/>
  <c r="E67" i="135"/>
  <c r="F67" i="135"/>
  <c r="E68" i="135"/>
  <c r="F68" i="135"/>
  <c r="E69" i="135"/>
  <c r="F69" i="135"/>
  <c r="E70" i="135"/>
  <c r="F70" i="135"/>
  <c r="E71" i="135"/>
  <c r="F71" i="135"/>
  <c r="E72" i="135"/>
  <c r="F72" i="135"/>
  <c r="E73" i="135"/>
  <c r="F73" i="135"/>
  <c r="E74" i="135"/>
  <c r="F74" i="135"/>
  <c r="E75" i="135"/>
  <c r="F75" i="135"/>
  <c r="E76" i="135"/>
  <c r="F76" i="135"/>
  <c r="E77" i="135"/>
  <c r="F77" i="135"/>
  <c r="E78" i="135"/>
  <c r="F78" i="135"/>
  <c r="E79" i="135"/>
  <c r="F79" i="135"/>
  <c r="F7" i="135"/>
  <c r="E7" i="135"/>
  <c r="E8" i="98"/>
  <c r="F8" i="98"/>
  <c r="E9" i="98"/>
  <c r="F9" i="98"/>
  <c r="E10" i="98"/>
  <c r="F10" i="98"/>
  <c r="E11" i="98"/>
  <c r="F11" i="98"/>
  <c r="E12" i="98"/>
  <c r="F12" i="98"/>
  <c r="E13" i="98"/>
  <c r="F13" i="98"/>
  <c r="E14" i="98"/>
  <c r="F14" i="98"/>
  <c r="E15" i="98"/>
  <c r="F15" i="98"/>
  <c r="E16" i="98"/>
  <c r="F16" i="98"/>
  <c r="E17" i="98"/>
  <c r="F17" i="98"/>
  <c r="E18" i="98"/>
  <c r="F18" i="98"/>
  <c r="E19" i="98"/>
  <c r="F19" i="98"/>
  <c r="E20" i="98"/>
  <c r="F20" i="98"/>
  <c r="E21" i="98"/>
  <c r="F21" i="98"/>
  <c r="E22" i="98"/>
  <c r="F22" i="98"/>
  <c r="E23" i="98"/>
  <c r="F23" i="98"/>
  <c r="E24" i="98"/>
  <c r="F24" i="98"/>
  <c r="E25" i="98"/>
  <c r="F25" i="98"/>
  <c r="E26" i="98"/>
  <c r="F26" i="98"/>
  <c r="E27" i="98"/>
  <c r="F27" i="98"/>
  <c r="E28" i="98"/>
  <c r="F28" i="98"/>
  <c r="E29" i="98"/>
  <c r="F29" i="98"/>
  <c r="E30" i="98"/>
  <c r="F30" i="98"/>
  <c r="E31" i="98"/>
  <c r="F31" i="98"/>
  <c r="E32" i="98"/>
  <c r="F32" i="98"/>
  <c r="E33" i="98"/>
  <c r="F33" i="98"/>
  <c r="E34" i="98"/>
  <c r="F34" i="98"/>
  <c r="E35" i="98"/>
  <c r="F35" i="98"/>
  <c r="E36" i="98"/>
  <c r="F36" i="98"/>
  <c r="E37" i="98"/>
  <c r="F37" i="98"/>
  <c r="E38" i="98"/>
  <c r="F38" i="98"/>
  <c r="E39" i="98"/>
  <c r="F39" i="98"/>
  <c r="E40" i="98"/>
  <c r="F40" i="98"/>
  <c r="E41" i="98"/>
  <c r="F41" i="98"/>
  <c r="E42" i="98"/>
  <c r="F42" i="98"/>
  <c r="E43" i="98"/>
  <c r="F43" i="98"/>
  <c r="E44" i="98"/>
  <c r="F44" i="98"/>
  <c r="E45" i="98"/>
  <c r="F45" i="98"/>
  <c r="E46" i="98"/>
  <c r="F46" i="98"/>
  <c r="E47" i="98"/>
  <c r="F47" i="98"/>
  <c r="E48" i="98"/>
  <c r="F48" i="98"/>
  <c r="E49" i="98"/>
  <c r="F49" i="98"/>
  <c r="E50" i="98"/>
  <c r="F50" i="98"/>
  <c r="E51" i="98"/>
  <c r="F51" i="98"/>
  <c r="E52" i="98"/>
  <c r="F52" i="98"/>
  <c r="E53" i="98"/>
  <c r="F53" i="98"/>
  <c r="E54" i="98"/>
  <c r="F54" i="98"/>
  <c r="E55" i="98"/>
  <c r="F55" i="98"/>
  <c r="E56" i="98"/>
  <c r="F56" i="98"/>
  <c r="E57" i="98"/>
  <c r="F57" i="98"/>
  <c r="E58" i="98"/>
  <c r="F58" i="98"/>
  <c r="E59" i="98"/>
  <c r="F59" i="98"/>
  <c r="E60" i="98"/>
  <c r="F60" i="98"/>
  <c r="E61" i="98"/>
  <c r="F61" i="98"/>
  <c r="E62" i="98"/>
  <c r="F62" i="98"/>
  <c r="E63" i="98"/>
  <c r="F63" i="98"/>
  <c r="E64" i="98"/>
  <c r="F64" i="98"/>
  <c r="E65" i="98"/>
  <c r="F65" i="98"/>
  <c r="E66" i="98"/>
  <c r="F66" i="98"/>
  <c r="E67" i="98"/>
  <c r="F67" i="98"/>
  <c r="E68" i="98"/>
  <c r="F68" i="98"/>
  <c r="E69" i="98"/>
  <c r="F69" i="98"/>
  <c r="E70" i="98"/>
  <c r="F70" i="98"/>
  <c r="E71" i="98"/>
  <c r="F71" i="98"/>
  <c r="E72" i="98"/>
  <c r="F72" i="98"/>
  <c r="E73" i="98"/>
  <c r="F73" i="98"/>
  <c r="E74" i="98"/>
  <c r="F74" i="98"/>
  <c r="E75" i="98"/>
  <c r="F75" i="98"/>
  <c r="E76" i="98"/>
  <c r="F76" i="98"/>
  <c r="E77" i="98"/>
  <c r="F77" i="98"/>
  <c r="E78" i="98"/>
  <c r="F78" i="98"/>
  <c r="E79" i="98"/>
  <c r="F79" i="98"/>
  <c r="E80" i="98"/>
  <c r="F80" i="98"/>
  <c r="E81" i="98"/>
  <c r="F81" i="98"/>
  <c r="E82" i="98"/>
  <c r="F82" i="98"/>
  <c r="E83" i="98"/>
  <c r="F83" i="98"/>
  <c r="E84" i="98"/>
  <c r="F84" i="98"/>
  <c r="E85" i="98"/>
  <c r="F85" i="98"/>
  <c r="E86" i="98"/>
  <c r="F86" i="98"/>
  <c r="E87" i="98"/>
  <c r="F87" i="98"/>
  <c r="E88" i="98"/>
  <c r="F88" i="98"/>
  <c r="E89" i="98"/>
  <c r="F89" i="98"/>
  <c r="E90" i="98"/>
  <c r="F90" i="98"/>
  <c r="E91" i="98"/>
  <c r="F91" i="98"/>
  <c r="E92" i="98"/>
  <c r="F92" i="98"/>
  <c r="E93" i="98"/>
  <c r="F93" i="98"/>
  <c r="E94" i="98"/>
  <c r="F94" i="98"/>
  <c r="E95" i="98"/>
  <c r="F95" i="98"/>
  <c r="E96" i="98"/>
  <c r="F96" i="98"/>
  <c r="E97" i="98"/>
  <c r="F97" i="98"/>
  <c r="E98" i="98"/>
  <c r="F98" i="98"/>
  <c r="E99" i="98"/>
  <c r="F99" i="98"/>
  <c r="E100" i="98"/>
  <c r="F100" i="98"/>
  <c r="E101" i="98"/>
  <c r="F101" i="98"/>
  <c r="E102" i="98"/>
  <c r="F102" i="98"/>
  <c r="E103" i="98"/>
  <c r="F103" i="98"/>
  <c r="E104" i="98"/>
  <c r="F104" i="98"/>
  <c r="E105" i="98"/>
  <c r="F105" i="98"/>
  <c r="E106" i="98"/>
  <c r="F106" i="98"/>
  <c r="E107" i="98"/>
  <c r="F107" i="98"/>
  <c r="E108" i="98"/>
  <c r="F108" i="98"/>
  <c r="E109" i="98"/>
  <c r="F109" i="98"/>
  <c r="E110" i="98"/>
  <c r="F110" i="98"/>
  <c r="E111" i="98"/>
  <c r="F111" i="98"/>
  <c r="E112" i="98"/>
  <c r="F112" i="98"/>
  <c r="E113" i="98"/>
  <c r="F113" i="98"/>
  <c r="E114" i="98"/>
  <c r="F114" i="98"/>
  <c r="E115" i="98"/>
  <c r="F115" i="98"/>
  <c r="E116" i="98"/>
  <c r="F116" i="98"/>
  <c r="E117" i="98"/>
  <c r="F117" i="98"/>
  <c r="F7" i="98"/>
  <c r="E7" i="98"/>
  <c r="C40" i="98"/>
  <c r="O808" i="1"/>
  <c r="H270" i="8" s="1"/>
  <c r="O804" i="1"/>
  <c r="H269" i="8" s="1"/>
  <c r="O803" i="1"/>
  <c r="H268" i="8" s="1"/>
  <c r="O796" i="1"/>
  <c r="H266" i="8" s="1"/>
  <c r="O792" i="1"/>
  <c r="H265" i="8" s="1"/>
  <c r="O789" i="1"/>
  <c r="H340" i="8" s="1"/>
  <c r="O786" i="1"/>
  <c r="H264" i="8" s="1"/>
  <c r="O785" i="1"/>
  <c r="H339" i="8" s="1"/>
  <c r="O777" i="1"/>
  <c r="H263" i="8" s="1"/>
  <c r="O774" i="1"/>
  <c r="H262" i="8" s="1"/>
  <c r="O772" i="1"/>
  <c r="H261" i="8" s="1"/>
  <c r="O770" i="1"/>
  <c r="H260" i="8" s="1"/>
  <c r="O655" i="1"/>
  <c r="H205" i="8" s="1"/>
  <c r="O654" i="1"/>
  <c r="H338" i="8" s="1"/>
  <c r="O649" i="1"/>
  <c r="H203" i="8" s="1"/>
  <c r="O650" i="1"/>
  <c r="H204" i="8" s="1"/>
  <c r="O648" i="1"/>
  <c r="H337" i="8" s="1"/>
  <c r="O643" i="1"/>
  <c r="H202" i="8" s="1"/>
  <c r="O642" i="1"/>
  <c r="H336" i="8" s="1"/>
  <c r="O640" i="1"/>
  <c r="H335" i="8" s="1"/>
  <c r="O637" i="1"/>
  <c r="H334" i="8" s="1"/>
  <c r="O624" i="1"/>
  <c r="H201" i="8" s="1"/>
  <c r="O625" i="1"/>
  <c r="H329" i="8" s="1"/>
  <c r="O626" i="1"/>
  <c r="H330" i="8" s="1"/>
  <c r="O627" i="1"/>
  <c r="H331" i="8" s="1"/>
  <c r="O628" i="1"/>
  <c r="H332" i="8" s="1"/>
  <c r="O629" i="1"/>
  <c r="H333" i="8" s="1"/>
  <c r="O623" i="1"/>
  <c r="H200" i="8" s="1"/>
  <c r="O621" i="1"/>
  <c r="H199" i="8" s="1"/>
  <c r="O620" i="1"/>
  <c r="H198" i="8" s="1"/>
  <c r="O618" i="1"/>
  <c r="H328" i="8" s="1"/>
  <c r="O617" i="1"/>
  <c r="H327" i="8" s="1"/>
  <c r="O615" i="1"/>
  <c r="H326" i="8" s="1"/>
  <c r="O448" i="1"/>
  <c r="H303" i="8" s="1"/>
  <c r="O449" i="1"/>
  <c r="H304" i="8" s="1"/>
  <c r="O450" i="1"/>
  <c r="H166" i="8" s="1"/>
  <c r="O447" i="1"/>
  <c r="H165" i="8" s="1"/>
  <c r="O444" i="1"/>
  <c r="H302" i="8" s="1"/>
  <c r="O441" i="1"/>
  <c r="H163" i="8" s="1"/>
  <c r="O442" i="1"/>
  <c r="H164" i="8" s="1"/>
  <c r="O440" i="1"/>
  <c r="H301" i="8" s="1"/>
  <c r="O429" i="1"/>
  <c r="H160" i="8" s="1"/>
  <c r="O430" i="1"/>
  <c r="H161" i="8" s="1"/>
  <c r="O431" i="1"/>
  <c r="H298" i="8" s="1"/>
  <c r="O433" i="1"/>
  <c r="H299" i="8" s="1"/>
  <c r="O435" i="1"/>
  <c r="H300" i="8" s="1"/>
  <c r="O436" i="1"/>
  <c r="H162" i="8" s="1"/>
  <c r="O428" i="1"/>
  <c r="H297" i="8" s="1"/>
  <c r="O402" i="1"/>
  <c r="H155" i="8" s="1"/>
  <c r="O403" i="1"/>
  <c r="H156" i="8" s="1"/>
  <c r="O404" i="1"/>
  <c r="H157" i="8" s="1"/>
  <c r="O405" i="1"/>
  <c r="H158" i="8" s="1"/>
  <c r="O406" i="1"/>
  <c r="H296" i="8" s="1"/>
  <c r="O408" i="1"/>
  <c r="H159" i="8" s="1"/>
  <c r="O401" i="1"/>
  <c r="H154" i="8" s="1"/>
  <c r="O399" i="1"/>
  <c r="H153" i="8" s="1"/>
  <c r="O393" i="1"/>
  <c r="H152" i="8" s="1"/>
  <c r="O386" i="1"/>
  <c r="H146" i="8" s="1"/>
  <c r="O387" i="1"/>
  <c r="H147" i="8" s="1"/>
  <c r="O388" i="1"/>
  <c r="H148" i="8" s="1"/>
  <c r="O389" i="1"/>
  <c r="H149" i="8" s="1"/>
  <c r="O390" i="1"/>
  <c r="H150" i="8" s="1"/>
  <c r="O391" i="1"/>
  <c r="H151" i="8" s="1"/>
  <c r="O385" i="1"/>
  <c r="H145" i="8" s="1"/>
  <c r="O380" i="1"/>
  <c r="H144" i="8" s="1"/>
  <c r="O376" i="1"/>
  <c r="H143" i="8" s="1"/>
  <c r="O370" i="1"/>
  <c r="H142" i="8" s="1"/>
  <c r="O368" i="1"/>
  <c r="H141" i="8" s="1"/>
  <c r="O360" i="1"/>
  <c r="H140" i="8" s="1"/>
  <c r="O359" i="1"/>
  <c r="H139" i="8" s="1"/>
  <c r="O358" i="1"/>
  <c r="H138" i="8" s="1"/>
  <c r="O354" i="1"/>
  <c r="H137" i="8" s="1"/>
  <c r="O350" i="1"/>
  <c r="H136" i="8" s="1"/>
  <c r="O347" i="1"/>
  <c r="H135" i="8" s="1"/>
  <c r="O346" i="1"/>
  <c r="H134" i="8" s="1"/>
  <c r="O339" i="1"/>
  <c r="H128" i="8" s="1"/>
  <c r="O340" i="1"/>
  <c r="H129" i="8" s="1"/>
  <c r="O341" i="1"/>
  <c r="H130" i="8" s="1"/>
  <c r="O342" i="1"/>
  <c r="H131" i="8" s="1"/>
  <c r="O343" i="1"/>
  <c r="H132" i="8" s="1"/>
  <c r="O344" i="1"/>
  <c r="H133" i="8" s="1"/>
  <c r="O338" i="1"/>
  <c r="H127" i="8" s="1"/>
  <c r="O337" i="1"/>
  <c r="H126" i="8" s="1"/>
  <c r="O334" i="1"/>
  <c r="H125" i="8" s="1"/>
  <c r="O333" i="1"/>
  <c r="H124" i="8" s="1"/>
  <c r="O331" i="1"/>
  <c r="H123" i="8" s="1"/>
  <c r="O330" i="1"/>
  <c r="H122" i="8" s="1"/>
  <c r="O324" i="1"/>
  <c r="H119" i="8" s="1"/>
  <c r="O325" i="1"/>
  <c r="H120" i="8" s="1"/>
  <c r="O326" i="1"/>
  <c r="H121" i="8" s="1"/>
  <c r="O327" i="1"/>
  <c r="H295" i="8" s="1"/>
  <c r="O323" i="1"/>
  <c r="H118" i="8" s="1"/>
  <c r="O320" i="1"/>
  <c r="H117" i="8" s="1"/>
  <c r="O319" i="1"/>
  <c r="H294" i="8" s="1"/>
  <c r="H411" i="1"/>
  <c r="I411" i="1"/>
  <c r="J411" i="1"/>
  <c r="H412" i="1"/>
  <c r="I412" i="1"/>
  <c r="J412" i="1"/>
  <c r="H413" i="1"/>
  <c r="I413" i="1"/>
  <c r="J413" i="1"/>
  <c r="H414" i="1"/>
  <c r="I414" i="1"/>
  <c r="J414" i="1"/>
  <c r="H415" i="1"/>
  <c r="I415" i="1"/>
  <c r="J415" i="1"/>
  <c r="H416" i="1"/>
  <c r="I416" i="1"/>
  <c r="J416" i="1"/>
  <c r="H417" i="1"/>
  <c r="I417" i="1"/>
  <c r="J417" i="1"/>
  <c r="H418" i="1"/>
  <c r="I418" i="1"/>
  <c r="J418" i="1"/>
  <c r="H419" i="1"/>
  <c r="I419" i="1"/>
  <c r="J419" i="1"/>
  <c r="H420" i="1"/>
  <c r="I420" i="1"/>
  <c r="J420" i="1"/>
  <c r="H421" i="1"/>
  <c r="I421" i="1"/>
  <c r="J421" i="1"/>
  <c r="H422" i="1"/>
  <c r="I422" i="1"/>
  <c r="J422" i="1"/>
  <c r="H423" i="1"/>
  <c r="I423" i="1"/>
  <c r="J423" i="1"/>
  <c r="H424" i="1"/>
  <c r="I424" i="1"/>
  <c r="J424" i="1"/>
  <c r="H425" i="1"/>
  <c r="I425" i="1"/>
  <c r="J425" i="1"/>
  <c r="J410" i="1"/>
  <c r="I410" i="1"/>
  <c r="H410" i="1"/>
  <c r="J408" i="1"/>
  <c r="G159" i="8" s="1"/>
  <c r="I408" i="1"/>
  <c r="F159" i="8" s="1"/>
  <c r="H408" i="1"/>
  <c r="E159" i="8" s="1"/>
  <c r="J407" i="1"/>
  <c r="I407" i="1"/>
  <c r="H407" i="1"/>
  <c r="J406" i="1"/>
  <c r="G296" i="8" s="1"/>
  <c r="I406" i="1"/>
  <c r="F296" i="8" s="1"/>
  <c r="H406" i="1"/>
  <c r="E296" i="8" s="1"/>
  <c r="J405" i="1"/>
  <c r="G158" i="8" s="1"/>
  <c r="I405" i="1"/>
  <c r="F158" i="8" s="1"/>
  <c r="H405" i="1"/>
  <c r="E158" i="8" s="1"/>
  <c r="J404" i="1"/>
  <c r="G157" i="8" s="1"/>
  <c r="I404" i="1"/>
  <c r="F157" i="8" s="1"/>
  <c r="H404" i="1"/>
  <c r="E157" i="8" s="1"/>
  <c r="J403" i="1"/>
  <c r="G156" i="8" s="1"/>
  <c r="I403" i="1"/>
  <c r="F156" i="8" s="1"/>
  <c r="H403" i="1"/>
  <c r="E156" i="8" s="1"/>
  <c r="J402" i="1"/>
  <c r="G155" i="8" s="1"/>
  <c r="I402" i="1"/>
  <c r="F155" i="8" s="1"/>
  <c r="H402" i="1"/>
  <c r="E155" i="8" s="1"/>
  <c r="J401" i="1"/>
  <c r="G154" i="8" s="1"/>
  <c r="I401" i="1"/>
  <c r="F154" i="8" s="1"/>
  <c r="H401" i="1"/>
  <c r="E154" i="8" s="1"/>
  <c r="J400" i="1"/>
  <c r="I400" i="1"/>
  <c r="H400" i="1"/>
  <c r="J399" i="1"/>
  <c r="G153" i="8" s="1"/>
  <c r="I399" i="1"/>
  <c r="F153" i="8" s="1"/>
  <c r="H399" i="1"/>
  <c r="E153" i="8" s="1"/>
  <c r="J398" i="1"/>
  <c r="I398" i="1"/>
  <c r="H398" i="1"/>
  <c r="J397" i="1"/>
  <c r="I397" i="1"/>
  <c r="H397" i="1"/>
  <c r="J396" i="1"/>
  <c r="I396" i="1"/>
  <c r="H396" i="1"/>
  <c r="J395" i="1"/>
  <c r="I395" i="1"/>
  <c r="H395" i="1"/>
  <c r="J394" i="1"/>
  <c r="I394" i="1"/>
  <c r="H394" i="1"/>
  <c r="J393" i="1"/>
  <c r="G152" i="8" s="1"/>
  <c r="I393" i="1"/>
  <c r="F152" i="8" s="1"/>
  <c r="H393" i="1"/>
  <c r="E152" i="8" s="1"/>
  <c r="J392" i="1"/>
  <c r="I392" i="1"/>
  <c r="H392" i="1"/>
  <c r="J391" i="1"/>
  <c r="G151" i="8" s="1"/>
  <c r="I391" i="1"/>
  <c r="F151" i="8" s="1"/>
  <c r="H391" i="1"/>
  <c r="E151" i="8" s="1"/>
  <c r="J390" i="1"/>
  <c r="G150" i="8" s="1"/>
  <c r="I390" i="1"/>
  <c r="F150" i="8" s="1"/>
  <c r="H390" i="1"/>
  <c r="E150" i="8" s="1"/>
  <c r="J389" i="1"/>
  <c r="G149" i="8" s="1"/>
  <c r="I389" i="1"/>
  <c r="F149" i="8" s="1"/>
  <c r="H389" i="1"/>
  <c r="E149" i="8" s="1"/>
  <c r="J388" i="1"/>
  <c r="G148" i="8" s="1"/>
  <c r="I388" i="1"/>
  <c r="F148" i="8" s="1"/>
  <c r="H388" i="1"/>
  <c r="E148" i="8" s="1"/>
  <c r="J387" i="1"/>
  <c r="G147" i="8" s="1"/>
  <c r="I387" i="1"/>
  <c r="F147" i="8" s="1"/>
  <c r="H387" i="1"/>
  <c r="E147" i="8" s="1"/>
  <c r="J386" i="1"/>
  <c r="G146" i="8" s="1"/>
  <c r="I386" i="1"/>
  <c r="F146" i="8" s="1"/>
  <c r="H386" i="1"/>
  <c r="E146" i="8" s="1"/>
  <c r="J385" i="1"/>
  <c r="G145" i="8" s="1"/>
  <c r="I385" i="1"/>
  <c r="F145" i="8" s="1"/>
  <c r="H385" i="1"/>
  <c r="E145" i="8" s="1"/>
  <c r="J384" i="1"/>
  <c r="I384" i="1"/>
  <c r="H384" i="1"/>
  <c r="J383" i="1"/>
  <c r="I383" i="1"/>
  <c r="H383" i="1"/>
  <c r="J382" i="1"/>
  <c r="I382" i="1"/>
  <c r="H382" i="1"/>
  <c r="J381" i="1"/>
  <c r="I381" i="1"/>
  <c r="H381" i="1"/>
  <c r="J380" i="1"/>
  <c r="G144" i="8" s="1"/>
  <c r="I380" i="1"/>
  <c r="F144" i="8" s="1"/>
  <c r="H380" i="1"/>
  <c r="E144" i="8" s="1"/>
  <c r="J379" i="1"/>
  <c r="I379" i="1"/>
  <c r="H379" i="1"/>
  <c r="J378" i="1"/>
  <c r="I378" i="1"/>
  <c r="H378" i="1"/>
  <c r="J377" i="1"/>
  <c r="I377" i="1"/>
  <c r="H377" i="1"/>
  <c r="J376" i="1"/>
  <c r="G143" i="8" s="1"/>
  <c r="I376" i="1"/>
  <c r="F143" i="8" s="1"/>
  <c r="H376" i="1"/>
  <c r="E143" i="8" s="1"/>
  <c r="J375" i="1"/>
  <c r="I375" i="1"/>
  <c r="H375" i="1"/>
  <c r="J374" i="1"/>
  <c r="I374" i="1"/>
  <c r="H374" i="1"/>
  <c r="J373" i="1"/>
  <c r="I373" i="1"/>
  <c r="H373" i="1"/>
  <c r="J372" i="1"/>
  <c r="I372" i="1"/>
  <c r="H372" i="1"/>
  <c r="H366" i="1"/>
  <c r="I366" i="1"/>
  <c r="J366" i="1"/>
  <c r="H367" i="1"/>
  <c r="I367" i="1"/>
  <c r="J367" i="1"/>
  <c r="H368" i="1"/>
  <c r="E141" i="8" s="1"/>
  <c r="I368" i="1"/>
  <c r="F141" i="8" s="1"/>
  <c r="J368" i="1"/>
  <c r="G141" i="8" s="1"/>
  <c r="H369" i="1"/>
  <c r="I369" i="1"/>
  <c r="J369" i="1"/>
  <c r="H370" i="1"/>
  <c r="E142" i="8" s="1"/>
  <c r="I370" i="1"/>
  <c r="F142" i="8" s="1"/>
  <c r="J370" i="1"/>
  <c r="G142" i="8" s="1"/>
  <c r="J365" i="1"/>
  <c r="I365" i="1"/>
  <c r="H365" i="1"/>
  <c r="H317" i="1"/>
  <c r="I317" i="1"/>
  <c r="J317" i="1"/>
  <c r="H318" i="1"/>
  <c r="I318" i="1"/>
  <c r="J318" i="1"/>
  <c r="H319" i="1"/>
  <c r="E294" i="8" s="1"/>
  <c r="I319" i="1"/>
  <c r="F294" i="8" s="1"/>
  <c r="J319" i="1"/>
  <c r="G294" i="8" s="1"/>
  <c r="H320" i="1"/>
  <c r="E117" i="8" s="1"/>
  <c r="I320" i="1"/>
  <c r="F117" i="8" s="1"/>
  <c r="J320" i="1"/>
  <c r="G117" i="8" s="1"/>
  <c r="H321" i="1"/>
  <c r="I321" i="1"/>
  <c r="J321" i="1"/>
  <c r="H322" i="1"/>
  <c r="I322" i="1"/>
  <c r="J322" i="1"/>
  <c r="H323" i="1"/>
  <c r="E118" i="8" s="1"/>
  <c r="I323" i="1"/>
  <c r="F118" i="8" s="1"/>
  <c r="J323" i="1"/>
  <c r="G118" i="8" s="1"/>
  <c r="H324" i="1"/>
  <c r="E119" i="8" s="1"/>
  <c r="I324" i="1"/>
  <c r="F119" i="8" s="1"/>
  <c r="J324" i="1"/>
  <c r="G119" i="8" s="1"/>
  <c r="H325" i="1"/>
  <c r="E120" i="8" s="1"/>
  <c r="I325" i="1"/>
  <c r="F120" i="8" s="1"/>
  <c r="J325" i="1"/>
  <c r="G120" i="8" s="1"/>
  <c r="H326" i="1"/>
  <c r="E121" i="8" s="1"/>
  <c r="I326" i="1"/>
  <c r="F121" i="8" s="1"/>
  <c r="J326" i="1"/>
  <c r="G121" i="8" s="1"/>
  <c r="H327" i="1"/>
  <c r="E295" i="8" s="1"/>
  <c r="I327" i="1"/>
  <c r="F295" i="8" s="1"/>
  <c r="J327" i="1"/>
  <c r="G295" i="8" s="1"/>
  <c r="H328" i="1"/>
  <c r="I328" i="1"/>
  <c r="J328" i="1"/>
  <c r="H329" i="1"/>
  <c r="I329" i="1"/>
  <c r="J329" i="1"/>
  <c r="H330" i="1"/>
  <c r="E122" i="8" s="1"/>
  <c r="I330" i="1"/>
  <c r="F122" i="8" s="1"/>
  <c r="J330" i="1"/>
  <c r="G122" i="8" s="1"/>
  <c r="H331" i="1"/>
  <c r="E123" i="8" s="1"/>
  <c r="I331" i="1"/>
  <c r="F123" i="8" s="1"/>
  <c r="J331" i="1"/>
  <c r="G123" i="8" s="1"/>
  <c r="H332" i="1"/>
  <c r="I332" i="1"/>
  <c r="J332" i="1"/>
  <c r="H333" i="1"/>
  <c r="E124" i="8" s="1"/>
  <c r="I333" i="1"/>
  <c r="F124" i="8" s="1"/>
  <c r="J333" i="1"/>
  <c r="G124" i="8" s="1"/>
  <c r="H334" i="1"/>
  <c r="E125" i="8" s="1"/>
  <c r="I334" i="1"/>
  <c r="F125" i="8" s="1"/>
  <c r="J334" i="1"/>
  <c r="G125" i="8" s="1"/>
  <c r="H335" i="1"/>
  <c r="I335" i="1"/>
  <c r="J335" i="1"/>
  <c r="H336" i="1"/>
  <c r="I336" i="1"/>
  <c r="J336" i="1"/>
  <c r="H337" i="1"/>
  <c r="E126" i="8" s="1"/>
  <c r="I337" i="1"/>
  <c r="F126" i="8" s="1"/>
  <c r="J337" i="1"/>
  <c r="G126" i="8" s="1"/>
  <c r="H338" i="1"/>
  <c r="E127" i="8" s="1"/>
  <c r="I338" i="1"/>
  <c r="F127" i="8" s="1"/>
  <c r="J338" i="1"/>
  <c r="G127" i="8" s="1"/>
  <c r="H339" i="1"/>
  <c r="E128" i="8" s="1"/>
  <c r="I339" i="1"/>
  <c r="F128" i="8" s="1"/>
  <c r="J339" i="1"/>
  <c r="G128" i="8" s="1"/>
  <c r="H340" i="1"/>
  <c r="E129" i="8" s="1"/>
  <c r="I340" i="1"/>
  <c r="F129" i="8" s="1"/>
  <c r="J340" i="1"/>
  <c r="G129" i="8" s="1"/>
  <c r="H341" i="1"/>
  <c r="E130" i="8" s="1"/>
  <c r="I341" i="1"/>
  <c r="F130" i="8" s="1"/>
  <c r="J341" i="1"/>
  <c r="G130" i="8" s="1"/>
  <c r="H342" i="1"/>
  <c r="E131" i="8" s="1"/>
  <c r="I342" i="1"/>
  <c r="F131" i="8" s="1"/>
  <c r="J342" i="1"/>
  <c r="G131" i="8" s="1"/>
  <c r="H343" i="1"/>
  <c r="E132" i="8" s="1"/>
  <c r="I343" i="1"/>
  <c r="F132" i="8" s="1"/>
  <c r="J343" i="1"/>
  <c r="G132" i="8" s="1"/>
  <c r="H344" i="1"/>
  <c r="E133" i="8" s="1"/>
  <c r="I344" i="1"/>
  <c r="F133" i="8" s="1"/>
  <c r="J344" i="1"/>
  <c r="G133" i="8" s="1"/>
  <c r="H345" i="1"/>
  <c r="I345" i="1"/>
  <c r="J345" i="1"/>
  <c r="H346" i="1"/>
  <c r="E134" i="8" s="1"/>
  <c r="I346" i="1"/>
  <c r="F134" i="8" s="1"/>
  <c r="J346" i="1"/>
  <c r="G134" i="8" s="1"/>
  <c r="H347" i="1"/>
  <c r="E135" i="8" s="1"/>
  <c r="I347" i="1"/>
  <c r="F135" i="8" s="1"/>
  <c r="J347" i="1"/>
  <c r="G135" i="8" s="1"/>
  <c r="H348" i="1"/>
  <c r="I348" i="1"/>
  <c r="J348" i="1"/>
  <c r="H349" i="1"/>
  <c r="I349" i="1"/>
  <c r="J349" i="1"/>
  <c r="H350" i="1"/>
  <c r="E136" i="8" s="1"/>
  <c r="I350" i="1"/>
  <c r="F136" i="8" s="1"/>
  <c r="J350" i="1"/>
  <c r="G136" i="8" s="1"/>
  <c r="H351" i="1"/>
  <c r="I351" i="1"/>
  <c r="J351" i="1"/>
  <c r="H352" i="1"/>
  <c r="I352" i="1"/>
  <c r="J352" i="1"/>
  <c r="H353" i="1"/>
  <c r="I353" i="1"/>
  <c r="J353" i="1"/>
  <c r="H354" i="1"/>
  <c r="E137" i="8" s="1"/>
  <c r="I354" i="1"/>
  <c r="F137" i="8" s="1"/>
  <c r="J354" i="1"/>
  <c r="G137" i="8" s="1"/>
  <c r="H355" i="1"/>
  <c r="I355" i="1"/>
  <c r="J355" i="1"/>
  <c r="H356" i="1"/>
  <c r="I356" i="1"/>
  <c r="J356" i="1"/>
  <c r="H357" i="1"/>
  <c r="I357" i="1"/>
  <c r="J357" i="1"/>
  <c r="H358" i="1"/>
  <c r="E138" i="8" s="1"/>
  <c r="I358" i="1"/>
  <c r="F138" i="8" s="1"/>
  <c r="J358" i="1"/>
  <c r="G138" i="8" s="1"/>
  <c r="H359" i="1"/>
  <c r="E139" i="8" s="1"/>
  <c r="I359" i="1"/>
  <c r="F139" i="8" s="1"/>
  <c r="J359" i="1"/>
  <c r="G139" i="8" s="1"/>
  <c r="H360" i="1"/>
  <c r="E140" i="8" s="1"/>
  <c r="I360" i="1"/>
  <c r="F140" i="8" s="1"/>
  <c r="J360" i="1"/>
  <c r="G140" i="8" s="1"/>
  <c r="H361" i="1"/>
  <c r="I361" i="1"/>
  <c r="J361" i="1"/>
  <c r="H362" i="1"/>
  <c r="I362" i="1"/>
  <c r="J362" i="1"/>
  <c r="H363" i="1"/>
  <c r="I363" i="1"/>
  <c r="J363" i="1"/>
  <c r="H780" i="1"/>
  <c r="I780" i="1"/>
  <c r="J780" i="1"/>
  <c r="H781" i="1"/>
  <c r="I781" i="1"/>
  <c r="J781" i="1"/>
  <c r="H782" i="1"/>
  <c r="I782" i="1"/>
  <c r="J782" i="1"/>
  <c r="H783" i="1"/>
  <c r="I783" i="1"/>
  <c r="J783" i="1"/>
  <c r="H784" i="1"/>
  <c r="I784" i="1"/>
  <c r="J784" i="1"/>
  <c r="H785" i="1"/>
  <c r="E339" i="8" s="1"/>
  <c r="I785" i="1"/>
  <c r="F339" i="8" s="1"/>
  <c r="J785" i="1"/>
  <c r="G339" i="8" s="1"/>
  <c r="H786" i="1"/>
  <c r="E264" i="8" s="1"/>
  <c r="I786" i="1"/>
  <c r="F264" i="8" s="1"/>
  <c r="J786" i="1"/>
  <c r="G264" i="8" s="1"/>
  <c r="H787" i="1"/>
  <c r="I787" i="1"/>
  <c r="J787" i="1"/>
  <c r="H788" i="1"/>
  <c r="I788" i="1"/>
  <c r="J788" i="1"/>
  <c r="H789" i="1"/>
  <c r="E340" i="8" s="1"/>
  <c r="I789" i="1"/>
  <c r="F340" i="8" s="1"/>
  <c r="J789" i="1"/>
  <c r="G340" i="8" s="1"/>
  <c r="H790" i="1"/>
  <c r="I790" i="1"/>
  <c r="J790" i="1"/>
  <c r="H791" i="1"/>
  <c r="I791" i="1"/>
  <c r="J791" i="1"/>
  <c r="H792" i="1"/>
  <c r="E265" i="8" s="1"/>
  <c r="I792" i="1"/>
  <c r="F265" i="8" s="1"/>
  <c r="J792" i="1"/>
  <c r="G265" i="8" s="1"/>
  <c r="H793" i="1"/>
  <c r="I793" i="1"/>
  <c r="J793" i="1"/>
  <c r="H794" i="1"/>
  <c r="I794" i="1"/>
  <c r="J794" i="1"/>
  <c r="H795" i="1"/>
  <c r="I795" i="1"/>
  <c r="J795" i="1"/>
  <c r="H796" i="1"/>
  <c r="E266" i="8" s="1"/>
  <c r="I796" i="1"/>
  <c r="F266" i="8" s="1"/>
  <c r="J796" i="1"/>
  <c r="G266" i="8" s="1"/>
  <c r="H797" i="1"/>
  <c r="I797" i="1"/>
  <c r="J797" i="1"/>
  <c r="H798" i="1"/>
  <c r="E267" i="8" s="1"/>
  <c r="I798" i="1"/>
  <c r="F267" i="8" s="1"/>
  <c r="J798" i="1"/>
  <c r="H799" i="1"/>
  <c r="I799" i="1"/>
  <c r="J799" i="1"/>
  <c r="H800" i="1"/>
  <c r="I800" i="1"/>
  <c r="J800" i="1"/>
  <c r="J779" i="1"/>
  <c r="I779" i="1"/>
  <c r="H779" i="1"/>
  <c r="H773" i="1"/>
  <c r="I773" i="1"/>
  <c r="J773" i="1"/>
  <c r="H774" i="1"/>
  <c r="E262" i="8" s="1"/>
  <c r="I774" i="1"/>
  <c r="F262" i="8" s="1"/>
  <c r="J774" i="1"/>
  <c r="G262" i="8" s="1"/>
  <c r="H775" i="1"/>
  <c r="I775" i="1"/>
  <c r="J775" i="1"/>
  <c r="H776" i="1"/>
  <c r="I776" i="1"/>
  <c r="J776" i="1"/>
  <c r="H777" i="1"/>
  <c r="E263" i="8" s="1"/>
  <c r="I777" i="1"/>
  <c r="F263" i="8" s="1"/>
  <c r="J777" i="1"/>
  <c r="G263" i="8" s="1"/>
  <c r="H633" i="1"/>
  <c r="I633" i="1"/>
  <c r="J633" i="1"/>
  <c r="H634" i="1"/>
  <c r="I634" i="1"/>
  <c r="J634" i="1"/>
  <c r="H635" i="1"/>
  <c r="I635" i="1"/>
  <c r="J635" i="1"/>
  <c r="H636" i="1"/>
  <c r="I636" i="1"/>
  <c r="J636" i="1"/>
  <c r="H637" i="1"/>
  <c r="E334" i="8" s="1"/>
  <c r="I637" i="1"/>
  <c r="F334" i="8" s="1"/>
  <c r="J637" i="1"/>
  <c r="G334" i="8" s="1"/>
  <c r="H638" i="1"/>
  <c r="I638" i="1"/>
  <c r="J638" i="1"/>
  <c r="H639" i="1"/>
  <c r="I639" i="1"/>
  <c r="J639" i="1"/>
  <c r="H640" i="1"/>
  <c r="E335" i="8" s="1"/>
  <c r="I640" i="1"/>
  <c r="F335" i="8" s="1"/>
  <c r="J640" i="1"/>
  <c r="G335" i="8" s="1"/>
  <c r="H641" i="1"/>
  <c r="I641" i="1"/>
  <c r="J641" i="1"/>
  <c r="H642" i="1"/>
  <c r="E336" i="8" s="1"/>
  <c r="I642" i="1"/>
  <c r="F336" i="8" s="1"/>
  <c r="J642" i="1"/>
  <c r="G336" i="8" s="1"/>
  <c r="H643" i="1"/>
  <c r="E202" i="8" s="1"/>
  <c r="I643" i="1"/>
  <c r="F202" i="8" s="1"/>
  <c r="J643" i="1"/>
  <c r="G202" i="8" s="1"/>
  <c r="H644" i="1"/>
  <c r="I644" i="1"/>
  <c r="J644" i="1"/>
  <c r="H645" i="1"/>
  <c r="I645" i="1"/>
  <c r="J645" i="1"/>
  <c r="H646" i="1"/>
  <c r="I646" i="1"/>
  <c r="J646" i="1"/>
  <c r="H647" i="1"/>
  <c r="I647" i="1"/>
  <c r="J647" i="1"/>
  <c r="H648" i="1"/>
  <c r="E337" i="8" s="1"/>
  <c r="I648" i="1"/>
  <c r="F337" i="8" s="1"/>
  <c r="J648" i="1"/>
  <c r="G337" i="8" s="1"/>
  <c r="H649" i="1"/>
  <c r="E203" i="8" s="1"/>
  <c r="I649" i="1"/>
  <c r="F203" i="8" s="1"/>
  <c r="J649" i="1"/>
  <c r="G203" i="8" s="1"/>
  <c r="H650" i="1"/>
  <c r="E204" i="8" s="1"/>
  <c r="I650" i="1"/>
  <c r="F204" i="8" s="1"/>
  <c r="J650" i="1"/>
  <c r="G204" i="8" s="1"/>
  <c r="H651" i="1"/>
  <c r="I651" i="1"/>
  <c r="J651" i="1"/>
  <c r="H652" i="1"/>
  <c r="I652" i="1"/>
  <c r="J652" i="1"/>
  <c r="H653" i="1"/>
  <c r="I653" i="1"/>
  <c r="J653" i="1"/>
  <c r="H654" i="1"/>
  <c r="E338" i="8" s="1"/>
  <c r="I654" i="1"/>
  <c r="F338" i="8" s="1"/>
  <c r="J654" i="1"/>
  <c r="G338" i="8" s="1"/>
  <c r="H655" i="1"/>
  <c r="E205" i="8" s="1"/>
  <c r="I655" i="1"/>
  <c r="F205" i="8" s="1"/>
  <c r="J655" i="1"/>
  <c r="G205" i="8" s="1"/>
  <c r="H656" i="1"/>
  <c r="I656" i="1"/>
  <c r="J656" i="1"/>
  <c r="H657" i="1"/>
  <c r="I657" i="1"/>
  <c r="J657" i="1"/>
  <c r="G206" i="8" s="1"/>
  <c r="J632" i="1"/>
  <c r="I632" i="1"/>
  <c r="H632" i="1"/>
  <c r="H627" i="1"/>
  <c r="E331" i="8" s="1"/>
  <c r="I627" i="1"/>
  <c r="F331" i="8" s="1"/>
  <c r="J627" i="1"/>
  <c r="H628" i="1"/>
  <c r="E332" i="8" s="1"/>
  <c r="I628" i="1"/>
  <c r="F332" i="8" s="1"/>
  <c r="J628" i="1"/>
  <c r="G332" i="8" s="1"/>
  <c r="H629" i="1"/>
  <c r="E333" i="8" s="1"/>
  <c r="I629" i="1"/>
  <c r="F333" i="8" s="1"/>
  <c r="J629" i="1"/>
  <c r="G333" i="8" s="1"/>
  <c r="H630" i="1"/>
  <c r="I630" i="1"/>
  <c r="J630" i="1"/>
  <c r="H614" i="1"/>
  <c r="I614" i="1"/>
  <c r="J614" i="1"/>
  <c r="H615" i="1"/>
  <c r="E326" i="8" s="1"/>
  <c r="I615" i="1"/>
  <c r="F326" i="8" s="1"/>
  <c r="J615" i="1"/>
  <c r="G326" i="8" s="1"/>
  <c r="H616" i="1"/>
  <c r="I616" i="1"/>
  <c r="J616" i="1"/>
  <c r="H617" i="1"/>
  <c r="E327" i="8" s="1"/>
  <c r="I617" i="1"/>
  <c r="F327" i="8" s="1"/>
  <c r="J617" i="1"/>
  <c r="G327" i="8" s="1"/>
  <c r="H618" i="1"/>
  <c r="E328" i="8" s="1"/>
  <c r="I618" i="1"/>
  <c r="F328" i="8" s="1"/>
  <c r="J618" i="1"/>
  <c r="G328" i="8" s="1"/>
  <c r="H619" i="1"/>
  <c r="I619" i="1"/>
  <c r="J619" i="1"/>
  <c r="H620" i="1"/>
  <c r="E198" i="8" s="1"/>
  <c r="I620" i="1"/>
  <c r="F198" i="8" s="1"/>
  <c r="J620" i="1"/>
  <c r="G198" i="8" s="1"/>
  <c r="H621" i="1"/>
  <c r="E199" i="8" s="1"/>
  <c r="I621" i="1"/>
  <c r="F199" i="8" s="1"/>
  <c r="J621" i="1"/>
  <c r="G199" i="8" s="1"/>
  <c r="H622" i="1"/>
  <c r="I622" i="1"/>
  <c r="J622" i="1"/>
  <c r="H623" i="1"/>
  <c r="E200" i="8" s="1"/>
  <c r="I623" i="1"/>
  <c r="F200" i="8" s="1"/>
  <c r="J623" i="1"/>
  <c r="G200" i="8" s="1"/>
  <c r="H624" i="1"/>
  <c r="E201" i="8" s="1"/>
  <c r="I624" i="1"/>
  <c r="F201" i="8" s="1"/>
  <c r="J624" i="1"/>
  <c r="G201" i="8" s="1"/>
  <c r="H625" i="1"/>
  <c r="E329" i="8" s="1"/>
  <c r="I625" i="1"/>
  <c r="F329" i="8" s="1"/>
  <c r="J625" i="1"/>
  <c r="G329" i="8" s="1"/>
  <c r="H626" i="1"/>
  <c r="E330" i="8" s="1"/>
  <c r="I626" i="1"/>
  <c r="F330" i="8" s="1"/>
  <c r="J626" i="1"/>
  <c r="G330" i="8" s="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5" i="1"/>
  <c r="M486" i="1"/>
  <c r="M487" i="1"/>
  <c r="M488" i="1"/>
  <c r="M489" i="1"/>
  <c r="M490" i="1"/>
  <c r="M491" i="1"/>
  <c r="M492" i="1"/>
  <c r="M493" i="1"/>
  <c r="M494" i="1"/>
  <c r="M495" i="1"/>
  <c r="M496" i="1"/>
  <c r="M497" i="1"/>
  <c r="M498" i="1"/>
  <c r="M499" i="1"/>
  <c r="M500" i="1"/>
  <c r="M501" i="1"/>
  <c r="M502" i="1"/>
  <c r="M503" i="1"/>
  <c r="M504" i="1"/>
  <c r="M505" i="1"/>
  <c r="M507" i="1"/>
  <c r="M508" i="1"/>
  <c r="M509" i="1"/>
  <c r="M510" i="1"/>
  <c r="M511" i="1"/>
  <c r="M512" i="1"/>
  <c r="M513" i="1"/>
  <c r="M514" i="1"/>
  <c r="M515" i="1"/>
  <c r="M516" i="1"/>
  <c r="M517" i="1"/>
  <c r="M518" i="1"/>
  <c r="M519" i="1"/>
  <c r="M520" i="1"/>
  <c r="M522" i="1"/>
  <c r="M523" i="1"/>
  <c r="M524" i="1"/>
  <c r="M525" i="1"/>
  <c r="M526" i="1"/>
  <c r="M527" i="1"/>
  <c r="M528" i="1"/>
  <c r="M529" i="1"/>
  <c r="M530" i="1"/>
  <c r="M531" i="1"/>
  <c r="M532" i="1"/>
  <c r="M533" i="1"/>
  <c r="M534"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7" i="1"/>
  <c r="M578" i="1"/>
  <c r="M579" i="1"/>
  <c r="M580" i="1"/>
  <c r="M581" i="1"/>
  <c r="M582" i="1"/>
  <c r="M583" i="1"/>
  <c r="M584" i="1"/>
  <c r="M585" i="1"/>
  <c r="M586" i="1"/>
  <c r="M587" i="1"/>
  <c r="M588" i="1"/>
  <c r="M589" i="1"/>
  <c r="M590" i="1"/>
  <c r="M591" i="1"/>
  <c r="M592" i="1"/>
  <c r="M593" i="1"/>
  <c r="M594" i="1"/>
  <c r="M595" i="1"/>
  <c r="M596" i="1"/>
  <c r="M598" i="1"/>
  <c r="M599" i="1"/>
  <c r="M600" i="1"/>
  <c r="M601" i="1"/>
  <c r="M602" i="1"/>
  <c r="M603" i="1"/>
  <c r="M604" i="1"/>
  <c r="M605" i="1"/>
  <c r="M606" i="1"/>
  <c r="M607" i="1"/>
  <c r="M608" i="1"/>
  <c r="M609"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9" i="1"/>
  <c r="M780" i="1"/>
  <c r="M781" i="1"/>
  <c r="M782" i="1"/>
  <c r="M783" i="1"/>
  <c r="M784" i="1"/>
  <c r="M785" i="1"/>
  <c r="M786" i="1"/>
  <c r="M787" i="1"/>
  <c r="M788" i="1"/>
  <c r="M789" i="1"/>
  <c r="M790"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3" i="1"/>
  <c r="M4" i="1"/>
  <c r="M5" i="1"/>
  <c r="M6" i="1"/>
  <c r="M7" i="1"/>
  <c r="M8" i="1"/>
  <c r="M9" i="1"/>
  <c r="M10" i="1"/>
  <c r="M11" i="1"/>
  <c r="M12" i="1"/>
  <c r="M13" i="1"/>
  <c r="M14" i="1"/>
  <c r="M16" i="1"/>
  <c r="M17" i="1"/>
  <c r="M18" i="1"/>
  <c r="M19" i="1"/>
  <c r="M20" i="1"/>
  <c r="M21" i="1"/>
  <c r="M22" i="1"/>
  <c r="M23" i="1"/>
  <c r="M24" i="1"/>
  <c r="M25" i="1"/>
  <c r="M26" i="1"/>
  <c r="M27" i="1"/>
  <c r="M28" i="1"/>
  <c r="M29" i="1"/>
  <c r="M30" i="1"/>
  <c r="M31"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5" i="1"/>
  <c r="M86" i="1"/>
  <c r="M87" i="1"/>
  <c r="M88" i="1"/>
  <c r="M89" i="1"/>
  <c r="M90" i="1"/>
  <c r="M91" i="1"/>
  <c r="M92" i="1"/>
  <c r="M93" i="1"/>
  <c r="M94" i="1"/>
  <c r="M95" i="1"/>
  <c r="M96" i="1"/>
  <c r="M97" i="1"/>
  <c r="M98" i="1"/>
  <c r="M99" i="1"/>
  <c r="M100" i="1"/>
  <c r="M101" i="1"/>
  <c r="M102" i="1"/>
  <c r="M103" i="1"/>
  <c r="M104" i="1"/>
  <c r="M105" i="1"/>
  <c r="M106" i="1"/>
  <c r="M107" i="1"/>
  <c r="M108" i="1"/>
  <c r="M109"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U773" i="1"/>
  <c r="U774" i="1"/>
  <c r="P774" i="1" s="1"/>
  <c r="I262" i="8" s="1"/>
  <c r="U775" i="1"/>
  <c r="U776" i="1"/>
  <c r="U777" i="1"/>
  <c r="P777" i="1" s="1"/>
  <c r="I263" i="8" s="1"/>
  <c r="U778" i="1"/>
  <c r="U779" i="1"/>
  <c r="U780" i="1"/>
  <c r="U781" i="1"/>
  <c r="U782" i="1"/>
  <c r="U783" i="1"/>
  <c r="U784" i="1"/>
  <c r="U785" i="1"/>
  <c r="P785" i="1" s="1"/>
  <c r="I339" i="8" s="1"/>
  <c r="U786" i="1"/>
  <c r="P786" i="1" s="1"/>
  <c r="I264" i="8" s="1"/>
  <c r="U787" i="1"/>
  <c r="U788" i="1"/>
  <c r="U789" i="1"/>
  <c r="P789" i="1" s="1"/>
  <c r="I340" i="8" s="1"/>
  <c r="U790" i="1"/>
  <c r="U791" i="1"/>
  <c r="U792" i="1"/>
  <c r="P792" i="1" s="1"/>
  <c r="I265" i="8" s="1"/>
  <c r="U793" i="1"/>
  <c r="U794" i="1"/>
  <c r="U795" i="1"/>
  <c r="U796" i="1"/>
  <c r="P796" i="1" s="1"/>
  <c r="I266" i="8" s="1"/>
  <c r="U797" i="1"/>
  <c r="U798" i="1"/>
  <c r="P798" i="1" s="1"/>
  <c r="I267" i="8" s="1"/>
  <c r="U799" i="1"/>
  <c r="U800" i="1"/>
  <c r="U801" i="1"/>
  <c r="U802" i="1"/>
  <c r="U803" i="1"/>
  <c r="P803" i="1" s="1"/>
  <c r="I268" i="8" s="1"/>
  <c r="U804" i="1"/>
  <c r="P804" i="1" s="1"/>
  <c r="I269" i="8" s="1"/>
  <c r="U805" i="1"/>
  <c r="U806" i="1"/>
  <c r="U807" i="1"/>
  <c r="U808" i="1"/>
  <c r="P808" i="1" s="1"/>
  <c r="I270" i="8" s="1"/>
  <c r="U651" i="1"/>
  <c r="U652" i="1"/>
  <c r="U653" i="1"/>
  <c r="U654" i="1"/>
  <c r="P654" i="1" s="1"/>
  <c r="I338" i="8" s="1"/>
  <c r="U655" i="1"/>
  <c r="P655" i="1" s="1"/>
  <c r="I205" i="8" s="1"/>
  <c r="U656" i="1"/>
  <c r="U645" i="1"/>
  <c r="U646" i="1"/>
  <c r="U647" i="1"/>
  <c r="U648" i="1"/>
  <c r="P648" i="1" s="1"/>
  <c r="I337" i="8" s="1"/>
  <c r="U649" i="1"/>
  <c r="P649" i="1" s="1"/>
  <c r="I203" i="8" s="1"/>
  <c r="U650" i="1"/>
  <c r="P650" i="1" s="1"/>
  <c r="I204" i="8" s="1"/>
  <c r="U623" i="1"/>
  <c r="P623" i="1" s="1"/>
  <c r="I200" i="8" s="1"/>
  <c r="U624" i="1"/>
  <c r="P624" i="1" s="1"/>
  <c r="I201" i="8" s="1"/>
  <c r="U625" i="1"/>
  <c r="P625" i="1" s="1"/>
  <c r="I329" i="8" s="1"/>
  <c r="U626" i="1"/>
  <c r="P626" i="1" s="1"/>
  <c r="I330" i="8" s="1"/>
  <c r="U627" i="1"/>
  <c r="P627" i="1" s="1"/>
  <c r="I331" i="8" s="1"/>
  <c r="U628" i="1"/>
  <c r="P628" i="1" s="1"/>
  <c r="I332" i="8" s="1"/>
  <c r="U629" i="1"/>
  <c r="P629" i="1" s="1"/>
  <c r="I333" i="8" s="1"/>
  <c r="U630" i="1"/>
  <c r="U631" i="1"/>
  <c r="U632" i="1"/>
  <c r="U633" i="1"/>
  <c r="U634" i="1"/>
  <c r="U635" i="1"/>
  <c r="U636" i="1"/>
  <c r="U637" i="1"/>
  <c r="P637" i="1" s="1"/>
  <c r="I334" i="8" s="1"/>
  <c r="U638" i="1"/>
  <c r="U639" i="1"/>
  <c r="U640" i="1"/>
  <c r="P640" i="1" s="1"/>
  <c r="I335" i="8" s="1"/>
  <c r="U641" i="1"/>
  <c r="U642" i="1"/>
  <c r="P642" i="1" s="1"/>
  <c r="I336" i="8" s="1"/>
  <c r="U643" i="1"/>
  <c r="P643" i="1" s="1"/>
  <c r="I202" i="8" s="1"/>
  <c r="U644" i="1"/>
  <c r="U614" i="1"/>
  <c r="U615" i="1"/>
  <c r="P615" i="1" s="1"/>
  <c r="I326" i="8" s="1"/>
  <c r="U616" i="1"/>
  <c r="U617" i="1"/>
  <c r="P617" i="1" s="1"/>
  <c r="I327" i="8" s="1"/>
  <c r="U618" i="1"/>
  <c r="P618" i="1" s="1"/>
  <c r="I328" i="8" s="1"/>
  <c r="U619" i="1"/>
  <c r="U620" i="1"/>
  <c r="P620" i="1" s="1"/>
  <c r="I198" i="8" s="1"/>
  <c r="U621" i="1"/>
  <c r="P621" i="1" s="1"/>
  <c r="I199" i="8" s="1"/>
  <c r="U622" i="1"/>
  <c r="U410" i="1"/>
  <c r="U411" i="1"/>
  <c r="U412" i="1"/>
  <c r="U413" i="1"/>
  <c r="U414" i="1"/>
  <c r="U415" i="1"/>
  <c r="U416" i="1"/>
  <c r="U417" i="1"/>
  <c r="U418" i="1"/>
  <c r="U419" i="1"/>
  <c r="U420" i="1"/>
  <c r="U421" i="1"/>
  <c r="U422" i="1"/>
  <c r="U423" i="1"/>
  <c r="U424" i="1"/>
  <c r="U368" i="1"/>
  <c r="P368" i="1" s="1"/>
  <c r="I141" i="8" s="1"/>
  <c r="U369" i="1"/>
  <c r="U370" i="1"/>
  <c r="P370" i="1" s="1"/>
  <c r="I142" i="8" s="1"/>
  <c r="U371" i="1"/>
  <c r="U372" i="1"/>
  <c r="U373" i="1"/>
  <c r="U374" i="1"/>
  <c r="U375" i="1"/>
  <c r="U376" i="1"/>
  <c r="P376" i="1" s="1"/>
  <c r="I143" i="8" s="1"/>
  <c r="U377" i="1"/>
  <c r="U378" i="1"/>
  <c r="U379" i="1"/>
  <c r="U380" i="1"/>
  <c r="P380" i="1" s="1"/>
  <c r="I144" i="8" s="1"/>
  <c r="U381" i="1"/>
  <c r="U382" i="1"/>
  <c r="U383" i="1"/>
  <c r="U384" i="1"/>
  <c r="U385" i="1"/>
  <c r="P385" i="1" s="1"/>
  <c r="I145" i="8" s="1"/>
  <c r="U386" i="1"/>
  <c r="P386" i="1" s="1"/>
  <c r="I146" i="8" s="1"/>
  <c r="U387" i="1"/>
  <c r="P387" i="1" s="1"/>
  <c r="I147" i="8" s="1"/>
  <c r="U388" i="1"/>
  <c r="P388" i="1" s="1"/>
  <c r="I148" i="8" s="1"/>
  <c r="U389" i="1"/>
  <c r="P389" i="1" s="1"/>
  <c r="I149" i="8" s="1"/>
  <c r="U390" i="1"/>
  <c r="P390" i="1" s="1"/>
  <c r="I150" i="8" s="1"/>
  <c r="U391" i="1"/>
  <c r="P391" i="1" s="1"/>
  <c r="I151" i="8" s="1"/>
  <c r="U392" i="1"/>
  <c r="U393" i="1"/>
  <c r="P393" i="1" s="1"/>
  <c r="I152" i="8" s="1"/>
  <c r="U394" i="1"/>
  <c r="U395" i="1"/>
  <c r="U396" i="1"/>
  <c r="U397" i="1"/>
  <c r="U398" i="1"/>
  <c r="U399" i="1"/>
  <c r="P399" i="1" s="1"/>
  <c r="I153" i="8" s="1"/>
  <c r="U400" i="1"/>
  <c r="U401" i="1"/>
  <c r="P401" i="1" s="1"/>
  <c r="I154" i="8" s="1"/>
  <c r="U402" i="1"/>
  <c r="P402" i="1" s="1"/>
  <c r="I155" i="8" s="1"/>
  <c r="U403" i="1"/>
  <c r="P403" i="1" s="1"/>
  <c r="I156" i="8" s="1"/>
  <c r="U404" i="1"/>
  <c r="P404" i="1" s="1"/>
  <c r="I157" i="8" s="1"/>
  <c r="U405" i="1"/>
  <c r="P405" i="1" s="1"/>
  <c r="I158" i="8" s="1"/>
  <c r="U406" i="1"/>
  <c r="P406" i="1" s="1"/>
  <c r="I296" i="8" s="1"/>
  <c r="U407" i="1"/>
  <c r="U408" i="1"/>
  <c r="P408" i="1" s="1"/>
  <c r="I159" i="8" s="1"/>
  <c r="U409" i="1"/>
  <c r="U340" i="1"/>
  <c r="P340" i="1" s="1"/>
  <c r="I129" i="8" s="1"/>
  <c r="U341" i="1"/>
  <c r="P341" i="1" s="1"/>
  <c r="I130" i="8" s="1"/>
  <c r="U342" i="1"/>
  <c r="P342" i="1" s="1"/>
  <c r="I131" i="8" s="1"/>
  <c r="U343" i="1"/>
  <c r="P343" i="1" s="1"/>
  <c r="I132" i="8" s="1"/>
  <c r="U344" i="1"/>
  <c r="P344" i="1" s="1"/>
  <c r="I133" i="8" s="1"/>
  <c r="U345" i="1"/>
  <c r="U346" i="1"/>
  <c r="P346" i="1" s="1"/>
  <c r="I134" i="8" s="1"/>
  <c r="U347" i="1"/>
  <c r="P347" i="1" s="1"/>
  <c r="I135" i="8" s="1"/>
  <c r="U348" i="1"/>
  <c r="U349" i="1"/>
  <c r="U350" i="1"/>
  <c r="P350" i="1" s="1"/>
  <c r="I136" i="8" s="1"/>
  <c r="U351" i="1"/>
  <c r="U352" i="1"/>
  <c r="U353" i="1"/>
  <c r="U354" i="1"/>
  <c r="P354" i="1" s="1"/>
  <c r="I137" i="8" s="1"/>
  <c r="U355" i="1"/>
  <c r="U356" i="1"/>
  <c r="U357" i="1"/>
  <c r="U358" i="1"/>
  <c r="P358" i="1" s="1"/>
  <c r="I138" i="8" s="1"/>
  <c r="U359" i="1"/>
  <c r="P359" i="1" s="1"/>
  <c r="I139" i="8" s="1"/>
  <c r="U360" i="1"/>
  <c r="P360" i="1" s="1"/>
  <c r="I140" i="8" s="1"/>
  <c r="U361" i="1"/>
  <c r="U362" i="1"/>
  <c r="U363" i="1"/>
  <c r="U364" i="1"/>
  <c r="U365" i="1"/>
  <c r="U366" i="1"/>
  <c r="U367" i="1"/>
  <c r="U326" i="1"/>
  <c r="P326" i="1" s="1"/>
  <c r="I121" i="8" s="1"/>
  <c r="U327" i="1"/>
  <c r="P327" i="1" s="1"/>
  <c r="I295" i="8" s="1"/>
  <c r="U328" i="1"/>
  <c r="U329" i="1"/>
  <c r="U330" i="1"/>
  <c r="P330" i="1" s="1"/>
  <c r="I122" i="8" s="1"/>
  <c r="U331" i="1"/>
  <c r="P331" i="1" s="1"/>
  <c r="I123" i="8" s="1"/>
  <c r="U332" i="1"/>
  <c r="U333" i="1"/>
  <c r="P333" i="1" s="1"/>
  <c r="I124" i="8" s="1"/>
  <c r="U334" i="1"/>
  <c r="P334" i="1" s="1"/>
  <c r="I125" i="8" s="1"/>
  <c r="U335" i="1"/>
  <c r="U336" i="1"/>
  <c r="U337" i="1"/>
  <c r="P337" i="1" s="1"/>
  <c r="I126" i="8" s="1"/>
  <c r="U338" i="1"/>
  <c r="P338" i="1" s="1"/>
  <c r="I127" i="8" s="1"/>
  <c r="U339" i="1"/>
  <c r="P339" i="1" s="1"/>
  <c r="I128" i="8" s="1"/>
  <c r="U317" i="1"/>
  <c r="U318" i="1"/>
  <c r="U319" i="1"/>
  <c r="P319" i="1" s="1"/>
  <c r="I294" i="8" s="1"/>
  <c r="U320" i="1"/>
  <c r="P320" i="1" s="1"/>
  <c r="I117" i="8" s="1"/>
  <c r="U321" i="1"/>
  <c r="U322" i="1"/>
  <c r="U323" i="1"/>
  <c r="P323" i="1" s="1"/>
  <c r="I118" i="8" s="1"/>
  <c r="U324" i="1"/>
  <c r="P324" i="1" s="1"/>
  <c r="I119" i="8" s="1"/>
  <c r="U325" i="1"/>
  <c r="P325" i="1" s="1"/>
  <c r="I120" i="8" s="1"/>
  <c r="U852" i="1"/>
  <c r="U853" i="1"/>
  <c r="U854" i="1"/>
  <c r="U855" i="1"/>
  <c r="U856" i="1"/>
  <c r="U857" i="1"/>
  <c r="U858" i="1"/>
  <c r="U859" i="1"/>
  <c r="U860" i="1"/>
  <c r="U861" i="1"/>
  <c r="U862" i="1"/>
  <c r="U863" i="1"/>
  <c r="U864" i="1"/>
  <c r="U865" i="1"/>
  <c r="U866" i="1"/>
  <c r="U867" i="1"/>
  <c r="U868" i="1"/>
  <c r="U869"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12" i="1"/>
  <c r="U813" i="1"/>
  <c r="U814" i="1"/>
  <c r="U815" i="1"/>
  <c r="U816" i="1"/>
  <c r="U817" i="1"/>
  <c r="U818" i="1"/>
  <c r="U819" i="1"/>
  <c r="U820" i="1"/>
  <c r="U821" i="1"/>
  <c r="U822" i="1"/>
  <c r="U823" i="1"/>
  <c r="U809" i="1"/>
  <c r="U810" i="1"/>
  <c r="U811" i="1"/>
  <c r="O768" i="1"/>
  <c r="H259" i="8" s="1"/>
  <c r="O767" i="1"/>
  <c r="H258" i="8" s="1"/>
  <c r="O760" i="1"/>
  <c r="H255" i="8" s="1"/>
  <c r="O766" i="1"/>
  <c r="H257" i="8" s="1"/>
  <c r="O764" i="1"/>
  <c r="H256" i="8" s="1"/>
  <c r="Y792" i="1"/>
  <c r="Y854" i="1"/>
  <c r="Y847" i="1"/>
  <c r="Y845" i="1"/>
  <c r="Y839" i="1"/>
  <c r="Y834" i="1"/>
  <c r="Y824" i="1"/>
  <c r="Y825" i="1"/>
  <c r="Y823" i="1"/>
  <c r="Y819" i="1"/>
  <c r="Y815" i="1"/>
  <c r="Y811" i="1"/>
  <c r="Y810" i="1"/>
  <c r="Y808" i="1"/>
  <c r="Y807" i="1"/>
  <c r="Y799" i="1"/>
  <c r="Y800" i="1"/>
  <c r="Y801" i="1"/>
  <c r="Y802" i="1"/>
  <c r="Y803" i="1"/>
  <c r="Y804"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3" i="1"/>
  <c r="Y794" i="1"/>
  <c r="Y795" i="1"/>
  <c r="Y796" i="1"/>
  <c r="Y797" i="1"/>
  <c r="Y798"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150" i="1"/>
  <c r="Y145" i="1"/>
  <c r="Y146" i="1"/>
  <c r="Y147" i="1"/>
  <c r="Y148" i="1"/>
  <c r="Y149"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3" i="1"/>
  <c r="Y4" i="1"/>
  <c r="Y5" i="1"/>
  <c r="Y6" i="1"/>
  <c r="Y7" i="1"/>
  <c r="Y8" i="1"/>
  <c r="Y9" i="1"/>
  <c r="Y10" i="1"/>
  <c r="Y11" i="1"/>
  <c r="Y12" i="1"/>
  <c r="Y13" i="1"/>
  <c r="Y14" i="1"/>
  <c r="Y15" i="1"/>
  <c r="Y16" i="1"/>
  <c r="Y17" i="1"/>
  <c r="Y18" i="1"/>
  <c r="Y19" i="1"/>
  <c r="Y20" i="1"/>
  <c r="Y21" i="1"/>
  <c r="Y22" i="1"/>
  <c r="Y23" i="1"/>
  <c r="Y24" i="1"/>
  <c r="Y25" i="1"/>
  <c r="Y26" i="1"/>
  <c r="Y27" i="1"/>
  <c r="Y28" i="1"/>
  <c r="Y29" i="1"/>
  <c r="Y30" i="1"/>
  <c r="Y2" i="1"/>
  <c r="Y425" i="1"/>
  <c r="Y657" i="1"/>
  <c r="F425" i="1"/>
  <c r="F426" i="1"/>
  <c r="F427" i="1"/>
  <c r="F428" i="1"/>
  <c r="U428" i="1" s="1"/>
  <c r="P428" i="1" s="1"/>
  <c r="I297" i="8" s="1"/>
  <c r="F429" i="1"/>
  <c r="F430" i="1"/>
  <c r="U430" i="1" s="1"/>
  <c r="P430" i="1" s="1"/>
  <c r="I161" i="8" s="1"/>
  <c r="F431" i="1"/>
  <c r="U431" i="1" s="1"/>
  <c r="P431" i="1" s="1"/>
  <c r="I298" i="8" s="1"/>
  <c r="F432" i="1"/>
  <c r="U432" i="1" s="1"/>
  <c r="F433" i="1"/>
  <c r="U433" i="1" s="1"/>
  <c r="P433" i="1" s="1"/>
  <c r="I299" i="8" s="1"/>
  <c r="F434" i="1"/>
  <c r="U434" i="1" s="1"/>
  <c r="F435" i="1"/>
  <c r="U435" i="1" s="1"/>
  <c r="P435" i="1" s="1"/>
  <c r="I300" i="8" s="1"/>
  <c r="F436" i="1"/>
  <c r="U436" i="1" s="1"/>
  <c r="P436" i="1" s="1"/>
  <c r="I162" i="8" s="1"/>
  <c r="F437" i="1"/>
  <c r="U437" i="1" s="1"/>
  <c r="F438" i="1"/>
  <c r="U438" i="1" s="1"/>
  <c r="F439" i="1"/>
  <c r="U439" i="1" s="1"/>
  <c r="F440" i="1"/>
  <c r="U440" i="1" s="1"/>
  <c r="P440" i="1" s="1"/>
  <c r="I301" i="8" s="1"/>
  <c r="F441" i="1"/>
  <c r="U441" i="1" s="1"/>
  <c r="P441" i="1" s="1"/>
  <c r="I163" i="8" s="1"/>
  <c r="F442" i="1"/>
  <c r="U442" i="1" s="1"/>
  <c r="P442" i="1" s="1"/>
  <c r="I164" i="8" s="1"/>
  <c r="F443" i="1"/>
  <c r="U443" i="1" s="1"/>
  <c r="F444" i="1"/>
  <c r="U444" i="1" s="1"/>
  <c r="P444" i="1" s="1"/>
  <c r="I302" i="8" s="1"/>
  <c r="F445" i="1"/>
  <c r="U445" i="1" s="1"/>
  <c r="F446" i="1"/>
  <c r="U446" i="1" s="1"/>
  <c r="F447" i="1"/>
  <c r="U447" i="1" s="1"/>
  <c r="P447" i="1" s="1"/>
  <c r="I165" i="8" s="1"/>
  <c r="U425" i="1" l="1"/>
  <c r="U429" i="1"/>
  <c r="P429" i="1" s="1"/>
  <c r="I160" i="8" s="1"/>
  <c r="U426" i="1"/>
  <c r="U427" i="1"/>
  <c r="D12" i="188"/>
  <c r="C12" i="174"/>
  <c r="D61" i="174"/>
  <c r="D45" i="174"/>
  <c r="D77" i="174"/>
  <c r="D13" i="174"/>
  <c r="D29" i="174"/>
  <c r="D33" i="174"/>
  <c r="D65" i="174"/>
  <c r="D49" i="174"/>
  <c r="D17" i="174"/>
  <c r="C73" i="183"/>
  <c r="C77" i="176"/>
  <c r="F49" i="183"/>
  <c r="F50" i="183"/>
  <c r="F37" i="183"/>
  <c r="E66" i="174"/>
  <c r="E18" i="174"/>
  <c r="E34" i="174"/>
  <c r="E50" i="174"/>
  <c r="E45" i="174"/>
  <c r="E29" i="174"/>
  <c r="E13" i="174"/>
  <c r="E70" i="174"/>
  <c r="E54" i="174"/>
  <c r="E76" i="174"/>
  <c r="E60" i="174"/>
  <c r="E44" i="174"/>
  <c r="E28" i="174"/>
  <c r="E12" i="174"/>
  <c r="E38" i="174"/>
  <c r="E22" i="174"/>
  <c r="E75" i="174"/>
  <c r="E59" i="174"/>
  <c r="E43" i="174"/>
  <c r="E27" i="174"/>
  <c r="E11" i="174"/>
  <c r="F54" i="176"/>
  <c r="F69" i="176"/>
  <c r="F64" i="176"/>
  <c r="F79" i="176"/>
  <c r="F74" i="176"/>
  <c r="F63" i="176"/>
  <c r="F58" i="176"/>
  <c r="F49" i="176"/>
  <c r="F45" i="176"/>
  <c r="F41" i="176"/>
  <c r="F37" i="176"/>
  <c r="F33" i="176"/>
  <c r="F29" i="176"/>
  <c r="F25" i="176"/>
  <c r="F21" i="176"/>
  <c r="F17" i="176"/>
  <c r="F13" i="176"/>
  <c r="F9" i="176"/>
  <c r="F53" i="176"/>
  <c r="F73" i="176"/>
  <c r="F68" i="176"/>
  <c r="F56" i="176"/>
  <c r="F57" i="176"/>
  <c r="F78" i="176"/>
  <c r="F67" i="176"/>
  <c r="F62" i="176"/>
  <c r="F48" i="176"/>
  <c r="F44" i="176"/>
  <c r="F40" i="176"/>
  <c r="F36" i="176"/>
  <c r="F32" i="176"/>
  <c r="F28" i="176"/>
  <c r="F24" i="176"/>
  <c r="F20" i="176"/>
  <c r="F16" i="176"/>
  <c r="F12" i="176"/>
  <c r="F8" i="176"/>
  <c r="F52" i="176"/>
  <c r="G8" i="177"/>
  <c r="F77" i="176"/>
  <c r="F72" i="176"/>
  <c r="F61" i="176"/>
  <c r="F71" i="176"/>
  <c r="F66" i="176"/>
  <c r="F51" i="176"/>
  <c r="F47" i="176"/>
  <c r="F43" i="176"/>
  <c r="F39" i="176"/>
  <c r="F35" i="176"/>
  <c r="F31" i="176"/>
  <c r="F27" i="176"/>
  <c r="F23" i="176"/>
  <c r="F19" i="176"/>
  <c r="F15" i="176"/>
  <c r="F11" i="176"/>
  <c r="F7" i="176"/>
  <c r="G7" i="177"/>
  <c r="F55" i="176"/>
  <c r="F76" i="176"/>
  <c r="F65" i="176"/>
  <c r="F60" i="176"/>
  <c r="F75" i="176"/>
  <c r="F70" i="176"/>
  <c r="F59" i="176"/>
  <c r="F50" i="176"/>
  <c r="F46" i="176"/>
  <c r="F42" i="176"/>
  <c r="F38" i="176"/>
  <c r="F34" i="176"/>
  <c r="F30" i="176"/>
  <c r="F26" i="176"/>
  <c r="F22" i="176"/>
  <c r="F18" i="176"/>
  <c r="F14" i="176"/>
  <c r="F10" i="176"/>
  <c r="D37" i="183"/>
  <c r="D11" i="183"/>
  <c r="D7" i="183"/>
  <c r="C72" i="176"/>
  <c r="C52" i="176"/>
  <c r="C40" i="176"/>
  <c r="C24" i="176"/>
  <c r="C8" i="176"/>
  <c r="C44" i="176"/>
  <c r="C28" i="176"/>
  <c r="C12" i="176"/>
  <c r="C36" i="176"/>
  <c r="C20" i="176"/>
  <c r="C67" i="176"/>
  <c r="C48" i="176"/>
  <c r="C32" i="176"/>
  <c r="C16" i="176"/>
  <c r="C76" i="176"/>
  <c r="C47" i="176"/>
  <c r="C39" i="176"/>
  <c r="C31" i="176"/>
  <c r="C23" i="176"/>
  <c r="C15" i="176"/>
  <c r="C7" i="176"/>
  <c r="C71" i="176"/>
  <c r="C60" i="176"/>
  <c r="C51" i="176"/>
  <c r="C43" i="176"/>
  <c r="C35" i="176"/>
  <c r="C27" i="176"/>
  <c r="C19" i="176"/>
  <c r="C11" i="176"/>
  <c r="F7" i="184"/>
  <c r="E76" i="183"/>
  <c r="E71" i="183"/>
  <c r="E62" i="183"/>
  <c r="E49" i="183"/>
  <c r="E32" i="183"/>
  <c r="E19" i="183"/>
  <c r="E53" i="183"/>
  <c r="E36" i="183"/>
  <c r="E23" i="183"/>
  <c r="E66" i="183"/>
  <c r="E57" i="183"/>
  <c r="E40" i="183"/>
  <c r="E27" i="183"/>
  <c r="E10" i="183"/>
  <c r="E75" i="183"/>
  <c r="E44" i="183"/>
  <c r="E31" i="183"/>
  <c r="E14" i="183"/>
  <c r="E70" i="183"/>
  <c r="E61" i="183"/>
  <c r="E48" i="183"/>
  <c r="E35" i="183"/>
  <c r="E18" i="183"/>
  <c r="E52" i="183"/>
  <c r="E39" i="183"/>
  <c r="E22" i="183"/>
  <c r="E79" i="183"/>
  <c r="E65" i="183"/>
  <c r="E56" i="183"/>
  <c r="E43" i="183"/>
  <c r="E26" i="183"/>
  <c r="E9" i="183"/>
  <c r="E74" i="183"/>
  <c r="E60" i="183"/>
  <c r="E69" i="183"/>
  <c r="E51" i="183"/>
  <c r="E34" i="183"/>
  <c r="E17" i="183"/>
  <c r="E64" i="183"/>
  <c r="E55" i="183"/>
  <c r="E38" i="183"/>
  <c r="E21" i="183"/>
  <c r="E78" i="183"/>
  <c r="E59" i="183"/>
  <c r="E42" i="183"/>
  <c r="E25" i="183"/>
  <c r="E8" i="183"/>
  <c r="E72" i="183"/>
  <c r="E54" i="183"/>
  <c r="E37" i="183"/>
  <c r="E20" i="183"/>
  <c r="E7" i="183"/>
  <c r="E63" i="183"/>
  <c r="E24" i="183"/>
  <c r="C46" i="179"/>
  <c r="C49" i="178"/>
  <c r="E45" i="183"/>
  <c r="E30" i="183"/>
  <c r="E29" i="183"/>
  <c r="E16" i="183"/>
  <c r="C23" i="179"/>
  <c r="F8" i="184"/>
  <c r="E58" i="183"/>
  <c r="E15" i="183"/>
  <c r="C70" i="179"/>
  <c r="C72" i="178"/>
  <c r="E41" i="183"/>
  <c r="E28" i="183"/>
  <c r="E13" i="183"/>
  <c r="E12" i="183"/>
  <c r="C25" i="178"/>
  <c r="E77" i="183"/>
  <c r="E73" i="183"/>
  <c r="E11" i="183"/>
  <c r="E50" i="183"/>
  <c r="C63" i="179"/>
  <c r="C40" i="179"/>
  <c r="C68" i="178"/>
  <c r="C21" i="178"/>
  <c r="E68" i="183"/>
  <c r="C16" i="179"/>
  <c r="C44" i="178"/>
  <c r="E67" i="183"/>
  <c r="E47" i="183"/>
  <c r="E46" i="183"/>
  <c r="E33" i="183"/>
  <c r="E57" i="176"/>
  <c r="F8" i="177"/>
  <c r="E61" i="176"/>
  <c r="E77" i="176"/>
  <c r="E65" i="176"/>
  <c r="C55" i="183"/>
  <c r="F53" i="188"/>
  <c r="D75" i="176"/>
  <c r="C44" i="188"/>
  <c r="C40" i="174"/>
  <c r="C24" i="174"/>
  <c r="C56" i="174"/>
  <c r="C72" i="174"/>
  <c r="C8" i="174"/>
  <c r="D55" i="176"/>
  <c r="E7" i="177"/>
  <c r="C76" i="174"/>
  <c r="C28" i="174"/>
  <c r="C60" i="174"/>
  <c r="C44" i="174"/>
  <c r="D28" i="188"/>
  <c r="D56" i="174"/>
  <c r="C17" i="174"/>
  <c r="D22" i="174"/>
  <c r="C33" i="174"/>
  <c r="D38" i="174"/>
  <c r="C49" i="174"/>
  <c r="D54" i="174"/>
  <c r="C65" i="174"/>
  <c r="D70" i="174"/>
  <c r="C55" i="176"/>
  <c r="D65" i="176"/>
  <c r="D7" i="177"/>
  <c r="C20" i="178"/>
  <c r="C41" i="178"/>
  <c r="C65" i="178"/>
  <c r="C15" i="179"/>
  <c r="C39" i="179"/>
  <c r="C62" i="179"/>
  <c r="C7" i="183"/>
  <c r="C20" i="183"/>
  <c r="F63" i="183"/>
  <c r="C44" i="185"/>
  <c r="D36" i="188"/>
  <c r="F20" i="183"/>
  <c r="F33" i="183"/>
  <c r="E83" i="188"/>
  <c r="F61" i="188"/>
  <c r="F33" i="188"/>
  <c r="F25" i="188"/>
  <c r="F11" i="188"/>
  <c r="F41" i="188"/>
  <c r="F17" i="188"/>
  <c r="F81" i="188"/>
  <c r="F69" i="188"/>
  <c r="F9" i="188"/>
  <c r="F31" i="188"/>
  <c r="F23" i="188"/>
  <c r="F57" i="188"/>
  <c r="F39" i="188"/>
  <c r="F15" i="188"/>
  <c r="F77" i="188"/>
  <c r="F47" i="188"/>
  <c r="F29" i="188"/>
  <c r="F21" i="188"/>
  <c r="F7" i="188"/>
  <c r="F65" i="188"/>
  <c r="F45" i="188"/>
  <c r="F27" i="188"/>
  <c r="F85" i="188"/>
  <c r="F43" i="188"/>
  <c r="C7" i="174"/>
  <c r="D12" i="174"/>
  <c r="E17" i="174"/>
  <c r="C23" i="174"/>
  <c r="D28" i="174"/>
  <c r="E33" i="174"/>
  <c r="C39" i="174"/>
  <c r="D44" i="174"/>
  <c r="E49" i="174"/>
  <c r="C55" i="174"/>
  <c r="D60" i="174"/>
  <c r="E65" i="174"/>
  <c r="C71" i="174"/>
  <c r="D76" i="174"/>
  <c r="D7" i="176"/>
  <c r="D11" i="176"/>
  <c r="D15" i="176"/>
  <c r="D19" i="176"/>
  <c r="D23" i="176"/>
  <c r="D27" i="176"/>
  <c r="D31" i="176"/>
  <c r="D35" i="176"/>
  <c r="D39" i="176"/>
  <c r="D43" i="176"/>
  <c r="D47" i="176"/>
  <c r="D51" i="176"/>
  <c r="E55" i="176"/>
  <c r="D71" i="176"/>
  <c r="F7" i="177"/>
  <c r="F10" i="177" s="1"/>
  <c r="C22" i="178"/>
  <c r="C45" i="178"/>
  <c r="C69" i="178"/>
  <c r="C19" i="179"/>
  <c r="C43" i="179"/>
  <c r="C64" i="179"/>
  <c r="F7" i="183"/>
  <c r="C21" i="183"/>
  <c r="F34" i="183"/>
  <c r="C68" i="183"/>
  <c r="C45" i="188"/>
  <c r="F60" i="183"/>
  <c r="F53" i="183"/>
  <c r="F36" i="183"/>
  <c r="F23" i="183"/>
  <c r="F66" i="183"/>
  <c r="F57" i="183"/>
  <c r="F40" i="183"/>
  <c r="F27" i="183"/>
  <c r="F10" i="183"/>
  <c r="F75" i="183"/>
  <c r="F44" i="183"/>
  <c r="F31" i="183"/>
  <c r="F14" i="183"/>
  <c r="F70" i="183"/>
  <c r="F61" i="183"/>
  <c r="F48" i="183"/>
  <c r="F35" i="183"/>
  <c r="F18" i="183"/>
  <c r="F52" i="183"/>
  <c r="F39" i="183"/>
  <c r="F22" i="183"/>
  <c r="F79" i="183"/>
  <c r="F65" i="183"/>
  <c r="F56" i="183"/>
  <c r="F43" i="183"/>
  <c r="F26" i="183"/>
  <c r="F9" i="183"/>
  <c r="F74" i="183"/>
  <c r="F47" i="183"/>
  <c r="F30" i="183"/>
  <c r="F13" i="183"/>
  <c r="F69" i="183"/>
  <c r="F55" i="183"/>
  <c r="F38" i="183"/>
  <c r="F21" i="183"/>
  <c r="F78" i="183"/>
  <c r="F59" i="183"/>
  <c r="F42" i="183"/>
  <c r="F25" i="183"/>
  <c r="F8" i="183"/>
  <c r="F73" i="183"/>
  <c r="F46" i="183"/>
  <c r="F29" i="183"/>
  <c r="F12" i="183"/>
  <c r="F77" i="183"/>
  <c r="F67" i="183"/>
  <c r="F58" i="183"/>
  <c r="F41" i="183"/>
  <c r="F24" i="183"/>
  <c r="F11" i="183"/>
  <c r="G7" i="184"/>
  <c r="F71" i="183"/>
  <c r="F62" i="183"/>
  <c r="E85" i="188"/>
  <c r="E43" i="188"/>
  <c r="E33" i="188"/>
  <c r="E25" i="188"/>
  <c r="E11" i="188"/>
  <c r="E41" i="188"/>
  <c r="E71" i="188"/>
  <c r="E17" i="188"/>
  <c r="E81" i="188"/>
  <c r="E49" i="188"/>
  <c r="E69" i="188"/>
  <c r="E59" i="188"/>
  <c r="E9" i="188"/>
  <c r="E31" i="188"/>
  <c r="E23" i="188"/>
  <c r="E79" i="188"/>
  <c r="E57" i="188"/>
  <c r="E39" i="188"/>
  <c r="E15" i="188"/>
  <c r="E77" i="188"/>
  <c r="E67" i="188"/>
  <c r="E47" i="188"/>
  <c r="E37" i="188"/>
  <c r="E29" i="188"/>
  <c r="E21" i="188"/>
  <c r="E7" i="188"/>
  <c r="E75" i="188"/>
  <c r="E53" i="188"/>
  <c r="E73" i="188"/>
  <c r="E19" i="188"/>
  <c r="D7" i="174"/>
  <c r="C18" i="174"/>
  <c r="D23" i="174"/>
  <c r="C34" i="174"/>
  <c r="D39" i="174"/>
  <c r="C50" i="174"/>
  <c r="D55" i="174"/>
  <c r="C66" i="174"/>
  <c r="D71" i="174"/>
  <c r="E7" i="176"/>
  <c r="E11" i="176"/>
  <c r="E15" i="176"/>
  <c r="E19" i="176"/>
  <c r="E23" i="176"/>
  <c r="E27" i="176"/>
  <c r="E31" i="176"/>
  <c r="E35" i="176"/>
  <c r="E39" i="176"/>
  <c r="E43" i="176"/>
  <c r="E47" i="176"/>
  <c r="E51" i="176"/>
  <c r="C61" i="176"/>
  <c r="C66" i="176"/>
  <c r="E71" i="176"/>
  <c r="C23" i="178"/>
  <c r="C47" i="178"/>
  <c r="C70" i="178"/>
  <c r="C20" i="179"/>
  <c r="C44" i="179"/>
  <c r="C67" i="179"/>
  <c r="C76" i="181" a="1"/>
  <c r="C76" i="181" s="1"/>
  <c r="C8" i="183"/>
  <c r="C22" i="183"/>
  <c r="C37" i="183"/>
  <c r="C50" i="183"/>
  <c r="C65" i="185"/>
  <c r="E45" i="188"/>
  <c r="D8" i="177"/>
  <c r="E7" i="174"/>
  <c r="C13" i="174"/>
  <c r="D18" i="174"/>
  <c r="E23" i="174"/>
  <c r="C29" i="174"/>
  <c r="D34" i="174"/>
  <c r="E39" i="174"/>
  <c r="C45" i="174"/>
  <c r="D50" i="174"/>
  <c r="E55" i="174"/>
  <c r="C61" i="174"/>
  <c r="D66" i="174"/>
  <c r="E71" i="174"/>
  <c r="C77" i="174"/>
  <c r="C56" i="176"/>
  <c r="D61" i="176"/>
  <c r="D77" i="176"/>
  <c r="E8" i="177"/>
  <c r="C24" i="178"/>
  <c r="C48" i="178"/>
  <c r="C71" i="178"/>
  <c r="C22" i="179"/>
  <c r="C45" i="179"/>
  <c r="C68" i="179"/>
  <c r="D7" i="181" a="1"/>
  <c r="D7" i="181" s="1"/>
  <c r="D9" i="183"/>
  <c r="C24" i="183"/>
  <c r="C72" i="183"/>
  <c r="C7" i="188"/>
  <c r="C53" i="188"/>
  <c r="D45" i="183"/>
  <c r="D15" i="183"/>
  <c r="E7" i="184"/>
  <c r="D71" i="183"/>
  <c r="D62" i="183"/>
  <c r="D49" i="183"/>
  <c r="D19" i="183"/>
  <c r="D53" i="183"/>
  <c r="D23" i="183"/>
  <c r="D66" i="183"/>
  <c r="D57" i="183"/>
  <c r="D27" i="183"/>
  <c r="D10" i="183"/>
  <c r="D75" i="183"/>
  <c r="D31" i="183"/>
  <c r="D14" i="183"/>
  <c r="D70" i="183"/>
  <c r="D61" i="183"/>
  <c r="D35" i="183"/>
  <c r="D18" i="183"/>
  <c r="D39" i="183"/>
  <c r="D22" i="183"/>
  <c r="D79" i="183"/>
  <c r="D65" i="183"/>
  <c r="D74" i="183"/>
  <c r="D47" i="183"/>
  <c r="D30" i="183"/>
  <c r="D13" i="183"/>
  <c r="D69" i="183"/>
  <c r="D51" i="183"/>
  <c r="D34" i="183"/>
  <c r="D17" i="183"/>
  <c r="D55" i="183"/>
  <c r="D38" i="183"/>
  <c r="D21" i="183"/>
  <c r="D63" i="183"/>
  <c r="D50" i="183"/>
  <c r="D33" i="183"/>
  <c r="D67" i="183"/>
  <c r="D58" i="183"/>
  <c r="D8" i="174"/>
  <c r="C19" i="174"/>
  <c r="D24" i="174"/>
  <c r="C35" i="174"/>
  <c r="D40" i="174"/>
  <c r="C51" i="174"/>
  <c r="E61" i="174"/>
  <c r="C67" i="174"/>
  <c r="D72" i="174"/>
  <c r="E77" i="174"/>
  <c r="D8" i="176"/>
  <c r="D12" i="176"/>
  <c r="D16" i="176"/>
  <c r="D20" i="176"/>
  <c r="D24" i="176"/>
  <c r="D28" i="176"/>
  <c r="D32" i="176"/>
  <c r="D36" i="176"/>
  <c r="D40" i="176"/>
  <c r="D44" i="176"/>
  <c r="D48" i="176"/>
  <c r="E52" i="176"/>
  <c r="C57" i="176"/>
  <c r="D67" i="176"/>
  <c r="C28" i="178"/>
  <c r="C52" i="178"/>
  <c r="C73" i="178"/>
  <c r="C24" i="179"/>
  <c r="C47" i="179"/>
  <c r="C71" i="179"/>
  <c r="C25" i="183"/>
  <c r="C38" i="183"/>
  <c r="F51" i="183"/>
  <c r="C86" i="185"/>
  <c r="E13" i="188"/>
  <c r="E55" i="188"/>
  <c r="C11" i="194" a="1"/>
  <c r="C11" i="194" s="1"/>
  <c r="C60" i="192" a="1"/>
  <c r="C60" i="192" s="1"/>
  <c r="C75" i="192" a="1"/>
  <c r="C75" i="192" s="1"/>
  <c r="C11" i="192" a="1"/>
  <c r="C11" i="192" s="1"/>
  <c r="C80" i="194" a="1"/>
  <c r="C80" i="194" s="1"/>
  <c r="C9" i="194" a="1"/>
  <c r="C9" i="194" s="1"/>
  <c r="C74" i="192" a="1"/>
  <c r="C74" i="192" s="1"/>
  <c r="C26" i="192" a="1"/>
  <c r="C26" i="192" s="1"/>
  <c r="C79" i="194" a="1"/>
  <c r="C79" i="194" s="1"/>
  <c r="C22" i="194" a="1"/>
  <c r="C22" i="194" s="1"/>
  <c r="C73" i="192" a="1"/>
  <c r="C73" i="192" s="1"/>
  <c r="C9" i="192" a="1"/>
  <c r="C9" i="192" s="1"/>
  <c r="C78" i="194" a="1"/>
  <c r="C78" i="194" s="1"/>
  <c r="C7" i="194" a="1"/>
  <c r="C7" i="194" s="1"/>
  <c r="C72" i="192" a="1"/>
  <c r="C72" i="192" s="1"/>
  <c r="C77" i="194" a="1"/>
  <c r="C77" i="194" s="1"/>
  <c r="C71" i="192" a="1"/>
  <c r="C71" i="192" s="1"/>
  <c r="C7" i="192" a="1"/>
  <c r="C7" i="192" s="1"/>
  <c r="C76" i="194" a="1"/>
  <c r="C76" i="194" s="1"/>
  <c r="C38" i="192" a="1"/>
  <c r="C38" i="192" s="1"/>
  <c r="C22" i="192" a="1"/>
  <c r="C22" i="192" s="1"/>
  <c r="C75" i="194" a="1"/>
  <c r="C75" i="194" s="1"/>
  <c r="C18" i="194" a="1"/>
  <c r="C18" i="194" s="1"/>
  <c r="C74" i="194" a="1"/>
  <c r="C74" i="194" s="1"/>
  <c r="C60" i="194" a="1"/>
  <c r="C60" i="194" s="1"/>
  <c r="C73" i="194" a="1"/>
  <c r="C73" i="194" s="1"/>
  <c r="C18" i="192" a="1"/>
  <c r="C18" i="192" s="1"/>
  <c r="C72" i="194" a="1"/>
  <c r="C72" i="194" s="1"/>
  <c r="C71" i="194" a="1"/>
  <c r="C71" i="194" s="1"/>
  <c r="C26" i="194" a="1"/>
  <c r="C26" i="194" s="1"/>
  <c r="C78" i="192" a="1"/>
  <c r="C78" i="192" s="1"/>
  <c r="D77" i="181" a="1"/>
  <c r="D77" i="181" s="1"/>
  <c r="D38" i="181" a="1"/>
  <c r="D38" i="181" s="1"/>
  <c r="D22" i="181" a="1"/>
  <c r="D22" i="181" s="1"/>
  <c r="C70" i="194" a="1"/>
  <c r="C70" i="194" s="1"/>
  <c r="C77" i="181" a="1"/>
  <c r="C77" i="181" s="1"/>
  <c r="C38" i="181" a="1"/>
  <c r="C38" i="181" s="1"/>
  <c r="C22" i="181" a="1"/>
  <c r="C22" i="181" s="1"/>
  <c r="D75" i="181" a="1"/>
  <c r="D75" i="181" s="1"/>
  <c r="C60" i="181" a="1"/>
  <c r="C60" i="181" s="1"/>
  <c r="C74" i="181" a="1"/>
  <c r="C74" i="181" s="1"/>
  <c r="D26" i="181" a="1"/>
  <c r="D26" i="181" s="1"/>
  <c r="D18" i="181" a="1"/>
  <c r="D18" i="181" s="1"/>
  <c r="D73" i="181" a="1"/>
  <c r="D73" i="181" s="1"/>
  <c r="C26" i="181" a="1"/>
  <c r="C26" i="181" s="1"/>
  <c r="C18" i="181" a="1"/>
  <c r="C18" i="181" s="1"/>
  <c r="E8" i="174"/>
  <c r="C14" i="174"/>
  <c r="D19" i="174"/>
  <c r="E24" i="174"/>
  <c r="C30" i="174"/>
  <c r="D35" i="174"/>
  <c r="E40" i="174"/>
  <c r="C46" i="174"/>
  <c r="D51" i="174"/>
  <c r="E56" i="174"/>
  <c r="C62" i="174"/>
  <c r="D67" i="174"/>
  <c r="E72" i="174"/>
  <c r="C78" i="174"/>
  <c r="E8" i="176"/>
  <c r="E12" i="176"/>
  <c r="E16" i="176"/>
  <c r="E20" i="176"/>
  <c r="E24" i="176"/>
  <c r="E28" i="176"/>
  <c r="E32" i="176"/>
  <c r="E36" i="176"/>
  <c r="E40" i="176"/>
  <c r="E44" i="176"/>
  <c r="E48" i="176"/>
  <c r="D57" i="176"/>
  <c r="C62" i="176"/>
  <c r="E67" i="176"/>
  <c r="C73" i="176"/>
  <c r="C78" i="176"/>
  <c r="C7" i="178"/>
  <c r="C29" i="178"/>
  <c r="C53" i="178"/>
  <c r="C76" i="178"/>
  <c r="C27" i="179"/>
  <c r="C48" i="179"/>
  <c r="C72" i="179"/>
  <c r="C9" i="181" a="1"/>
  <c r="C9" i="181" s="1"/>
  <c r="D78" i="181" a="1"/>
  <c r="D78" i="181" s="1"/>
  <c r="C12" i="183"/>
  <c r="D25" i="183"/>
  <c r="C39" i="183"/>
  <c r="D54" i="183"/>
  <c r="C88" i="185"/>
  <c r="F13" i="188"/>
  <c r="C64" i="188"/>
  <c r="C9" i="174"/>
  <c r="D14" i="174"/>
  <c r="E19" i="174"/>
  <c r="C25" i="174"/>
  <c r="D30" i="174"/>
  <c r="E35" i="174"/>
  <c r="C41" i="174"/>
  <c r="D46" i="174"/>
  <c r="E51" i="174"/>
  <c r="C57" i="174"/>
  <c r="D62" i="174"/>
  <c r="E67" i="174"/>
  <c r="C73" i="174"/>
  <c r="D78" i="174"/>
  <c r="C53" i="176"/>
  <c r="D73" i="176"/>
  <c r="C8" i="178"/>
  <c r="C31" i="178"/>
  <c r="C54" i="178"/>
  <c r="C77" i="178"/>
  <c r="C28" i="179"/>
  <c r="C51" i="179"/>
  <c r="C75" i="179"/>
  <c r="D9" i="181" a="1"/>
  <c r="D9" i="181" s="1"/>
  <c r="C79" i="181" a="1"/>
  <c r="C79" i="181" s="1"/>
  <c r="D26" i="183"/>
  <c r="D41" i="183"/>
  <c r="F54" i="183"/>
  <c r="C78" i="183"/>
  <c r="C90" i="185"/>
  <c r="C65" i="188"/>
  <c r="E78" i="176"/>
  <c r="E74" i="176"/>
  <c r="E70" i="176"/>
  <c r="E66" i="176"/>
  <c r="E62" i="176"/>
  <c r="E76" i="176"/>
  <c r="E72" i="176"/>
  <c r="E68" i="176"/>
  <c r="E64" i="176"/>
  <c r="E60" i="176"/>
  <c r="E56" i="176"/>
  <c r="D9" i="174"/>
  <c r="E14" i="174"/>
  <c r="C20" i="174"/>
  <c r="D25" i="174"/>
  <c r="E30" i="174"/>
  <c r="C36" i="174"/>
  <c r="D41" i="174"/>
  <c r="E46" i="174"/>
  <c r="C52" i="174"/>
  <c r="D57" i="174"/>
  <c r="E62" i="174"/>
  <c r="C68" i="174"/>
  <c r="D73" i="174"/>
  <c r="E78" i="174"/>
  <c r="C9" i="176"/>
  <c r="C13" i="176"/>
  <c r="C17" i="176"/>
  <c r="C21" i="176"/>
  <c r="C25" i="176"/>
  <c r="C29" i="176"/>
  <c r="C33" i="176"/>
  <c r="C37" i="176"/>
  <c r="C41" i="176"/>
  <c r="C45" i="176"/>
  <c r="C49" i="176"/>
  <c r="D53" i="176"/>
  <c r="C63" i="176"/>
  <c r="C68" i="176"/>
  <c r="E73" i="176"/>
  <c r="C79" i="176"/>
  <c r="C9" i="178"/>
  <c r="C32" i="178"/>
  <c r="C55" i="178"/>
  <c r="C79" i="178"/>
  <c r="C29" i="179"/>
  <c r="C52" i="179"/>
  <c r="C76" i="179"/>
  <c r="C11" i="181" a="1"/>
  <c r="C11" i="181" s="1"/>
  <c r="D79" i="181" a="1"/>
  <c r="D79" i="181" s="1"/>
  <c r="D78" i="183"/>
  <c r="D20" i="188"/>
  <c r="E65" i="188"/>
  <c r="D7" i="184"/>
  <c r="D77" i="183"/>
  <c r="D73" i="183"/>
  <c r="F76" i="183"/>
  <c r="F72" i="183"/>
  <c r="F68" i="183"/>
  <c r="F64" i="183"/>
  <c r="D76" i="183"/>
  <c r="D72" i="183"/>
  <c r="D68" i="183"/>
  <c r="D64" i="183"/>
  <c r="D60" i="183"/>
  <c r="D56" i="183"/>
  <c r="D52" i="183"/>
  <c r="D48" i="183"/>
  <c r="D44" i="183"/>
  <c r="D40" i="183"/>
  <c r="D36" i="183"/>
  <c r="D32" i="183"/>
  <c r="D28" i="183"/>
  <c r="D24" i="183"/>
  <c r="D20" i="183"/>
  <c r="D16" i="183"/>
  <c r="D12" i="183"/>
  <c r="D8" i="183"/>
  <c r="E8" i="184"/>
  <c r="C67" i="183"/>
  <c r="C58" i="183"/>
  <c r="C41" i="183"/>
  <c r="C28" i="183"/>
  <c r="C11" i="183"/>
  <c r="C76" i="183"/>
  <c r="C45" i="183"/>
  <c r="C32" i="183"/>
  <c r="C15" i="183"/>
  <c r="C74" i="179"/>
  <c r="C58" i="179"/>
  <c r="C42" i="179"/>
  <c r="C26" i="179"/>
  <c r="C10" i="179"/>
  <c r="C67" i="178"/>
  <c r="C51" i="178"/>
  <c r="C35" i="178"/>
  <c r="C19" i="178"/>
  <c r="C7" i="184"/>
  <c r="C71" i="183"/>
  <c r="C62" i="183"/>
  <c r="C49" i="183"/>
  <c r="C36" i="183"/>
  <c r="C19" i="183"/>
  <c r="C73" i="179"/>
  <c r="C57" i="179"/>
  <c r="C41" i="179"/>
  <c r="C25" i="179"/>
  <c r="C9" i="179"/>
  <c r="C66" i="178"/>
  <c r="C50" i="178"/>
  <c r="C34" i="178"/>
  <c r="C18" i="178"/>
  <c r="C53" i="183"/>
  <c r="C40" i="183"/>
  <c r="C23" i="183"/>
  <c r="C66" i="183"/>
  <c r="C57" i="183"/>
  <c r="C44" i="183"/>
  <c r="C27" i="183"/>
  <c r="C10" i="183"/>
  <c r="C75" i="183"/>
  <c r="C48" i="183"/>
  <c r="C31" i="183"/>
  <c r="C14" i="183"/>
  <c r="C70" i="183"/>
  <c r="C61" i="183"/>
  <c r="C52" i="183"/>
  <c r="C35" i="183"/>
  <c r="C18" i="183"/>
  <c r="C69" i="179"/>
  <c r="C53" i="179"/>
  <c r="C37" i="179"/>
  <c r="C21" i="179"/>
  <c r="C78" i="178"/>
  <c r="C62" i="178"/>
  <c r="C46" i="178"/>
  <c r="C30" i="178"/>
  <c r="C79" i="183"/>
  <c r="C65" i="183"/>
  <c r="C60" i="183"/>
  <c r="C43" i="183"/>
  <c r="C26" i="183"/>
  <c r="C9" i="183"/>
  <c r="C74" i="183"/>
  <c r="C47" i="183"/>
  <c r="C30" i="183"/>
  <c r="C13" i="183"/>
  <c r="D8" i="180"/>
  <c r="C66" i="179"/>
  <c r="C50" i="179"/>
  <c r="C34" i="179"/>
  <c r="C18" i="179"/>
  <c r="C75" i="178"/>
  <c r="C59" i="178"/>
  <c r="C43" i="178"/>
  <c r="C27" i="178"/>
  <c r="C11" i="178"/>
  <c r="C69" i="183"/>
  <c r="C64" i="183"/>
  <c r="C51" i="183"/>
  <c r="C34" i="183"/>
  <c r="C17" i="183"/>
  <c r="C8" i="180"/>
  <c r="C65" i="179"/>
  <c r="C49" i="179"/>
  <c r="C33" i="179"/>
  <c r="C17" i="179"/>
  <c r="C74" i="178"/>
  <c r="C58" i="178"/>
  <c r="C42" i="178"/>
  <c r="C26" i="178"/>
  <c r="C10" i="178"/>
  <c r="D8" i="184"/>
  <c r="C46" i="183"/>
  <c r="C29" i="183"/>
  <c r="C16" i="183"/>
  <c r="C77" i="183"/>
  <c r="C54" i="183"/>
  <c r="F206" i="8"/>
  <c r="C65" i="193" a="1"/>
  <c r="C65" i="193" s="1"/>
  <c r="C33" i="193" a="1"/>
  <c r="C33" i="193" s="1"/>
  <c r="C32" i="193" a="1"/>
  <c r="C32" i="193" s="1"/>
  <c r="C31" i="193" a="1"/>
  <c r="C31" i="193" s="1"/>
  <c r="C46" i="193" a="1"/>
  <c r="C46" i="193" s="1"/>
  <c r="C45" i="193" a="1"/>
  <c r="C45" i="193" s="1"/>
  <c r="C29" i="193" a="1"/>
  <c r="C29" i="193" s="1"/>
  <c r="C76" i="193" a="1"/>
  <c r="C76" i="193" s="1"/>
  <c r="C44" i="193" a="1"/>
  <c r="C44" i="193" s="1"/>
  <c r="C12" i="193" a="1"/>
  <c r="C12" i="193" s="1"/>
  <c r="C91" i="193" a="1"/>
  <c r="C91" i="193" s="1"/>
  <c r="C59" i="193" a="1"/>
  <c r="C59" i="193" s="1"/>
  <c r="C43" i="193" a="1"/>
  <c r="C43" i="193" s="1"/>
  <c r="C90" i="193" a="1"/>
  <c r="C90" i="193" s="1"/>
  <c r="C58" i="193" a="1"/>
  <c r="C58" i="193" s="1"/>
  <c r="C26" i="193" a="1"/>
  <c r="C26" i="193" s="1"/>
  <c r="C89" i="193" a="1"/>
  <c r="C89" i="193" s="1"/>
  <c r="C41" i="193" a="1"/>
  <c r="C41" i="193" s="1"/>
  <c r="C88" i="193" a="1"/>
  <c r="C88" i="193" s="1"/>
  <c r="C72" i="193" a="1"/>
  <c r="C72" i="193" s="1"/>
  <c r="C40" i="193" a="1"/>
  <c r="C40" i="193" s="1"/>
  <c r="C24" i="193" a="1"/>
  <c r="C24" i="193" s="1"/>
  <c r="C87" i="193" a="1"/>
  <c r="C87" i="193" s="1"/>
  <c r="C86" i="193" a="1"/>
  <c r="C86" i="193" s="1"/>
  <c r="C38" i="193" a="1"/>
  <c r="C38" i="193" s="1"/>
  <c r="C22" i="193" a="1"/>
  <c r="C22" i="193" s="1"/>
  <c r="C85" i="193" a="1"/>
  <c r="C85" i="193" s="1"/>
  <c r="C53" i="193" a="1"/>
  <c r="C53" i="193" s="1"/>
  <c r="C21" i="193" a="1"/>
  <c r="C21" i="193" s="1"/>
  <c r="C84" i="193" a="1"/>
  <c r="C84" i="193" s="1"/>
  <c r="C36" i="193" a="1"/>
  <c r="C36" i="193" s="1"/>
  <c r="C20" i="193" a="1"/>
  <c r="C20" i="193" s="1"/>
  <c r="C82" i="193" a="1"/>
  <c r="C82" i="193" s="1"/>
  <c r="C50" i="193" a="1"/>
  <c r="C50" i="193" s="1"/>
  <c r="C18" i="193" a="1"/>
  <c r="C18" i="193" s="1"/>
  <c r="C67" i="193" a="1"/>
  <c r="C67" i="193" s="1"/>
  <c r="E9" i="174"/>
  <c r="C15" i="174"/>
  <c r="D20" i="174"/>
  <c r="E25" i="174"/>
  <c r="C31" i="174"/>
  <c r="D36" i="174"/>
  <c r="E41" i="174"/>
  <c r="C47" i="174"/>
  <c r="D52" i="174"/>
  <c r="E57" i="174"/>
  <c r="C63" i="174"/>
  <c r="D68" i="174"/>
  <c r="E73" i="174"/>
  <c r="C79" i="174"/>
  <c r="D9" i="176"/>
  <c r="D13" i="176"/>
  <c r="D17" i="176"/>
  <c r="D21" i="176"/>
  <c r="D25" i="176"/>
  <c r="D29" i="176"/>
  <c r="D33" i="176"/>
  <c r="D37" i="176"/>
  <c r="D41" i="176"/>
  <c r="D45" i="176"/>
  <c r="D49" i="176"/>
  <c r="E53" i="176"/>
  <c r="C58" i="176"/>
  <c r="D63" i="176"/>
  <c r="D79" i="176"/>
  <c r="C12" i="178"/>
  <c r="C33" i="178"/>
  <c r="C56" i="178"/>
  <c r="C7" i="179"/>
  <c r="C30" i="179"/>
  <c r="C54" i="179"/>
  <c r="C77" i="179"/>
  <c r="D11" i="181" a="1"/>
  <c r="D11" i="181" s="1"/>
  <c r="F28" i="183"/>
  <c r="C42" i="183"/>
  <c r="C56" i="183"/>
  <c r="C8" i="184"/>
  <c r="C26" i="186"/>
  <c r="C21" i="188"/>
  <c r="F73" i="188"/>
  <c r="E206" i="8"/>
  <c r="C10" i="174"/>
  <c r="D15" i="174"/>
  <c r="E20" i="174"/>
  <c r="C26" i="174"/>
  <c r="D31" i="174"/>
  <c r="E36" i="174"/>
  <c r="C42" i="174"/>
  <c r="D47" i="174"/>
  <c r="E52" i="174"/>
  <c r="C58" i="174"/>
  <c r="D63" i="174"/>
  <c r="E68" i="174"/>
  <c r="C74" i="174"/>
  <c r="D79" i="174"/>
  <c r="E9" i="176"/>
  <c r="E13" i="176"/>
  <c r="E17" i="176"/>
  <c r="E21" i="176"/>
  <c r="E25" i="176"/>
  <c r="E29" i="176"/>
  <c r="E33" i="176"/>
  <c r="E37" i="176"/>
  <c r="E41" i="176"/>
  <c r="E45" i="176"/>
  <c r="E49" i="176"/>
  <c r="E58" i="176"/>
  <c r="E63" i="176"/>
  <c r="C69" i="176"/>
  <c r="C74" i="176"/>
  <c r="E79" i="176"/>
  <c r="C13" i="178"/>
  <c r="C36" i="178"/>
  <c r="C57" i="178"/>
  <c r="C8" i="179"/>
  <c r="C31" i="179"/>
  <c r="C55" i="179"/>
  <c r="C78" i="179"/>
  <c r="C71" i="181" a="1"/>
  <c r="C71" i="181" s="1"/>
  <c r="F15" i="183"/>
  <c r="D29" i="183"/>
  <c r="D42" i="183"/>
  <c r="E27" i="188"/>
  <c r="C76" i="188"/>
  <c r="D10" i="174"/>
  <c r="E15" i="174"/>
  <c r="C21" i="174"/>
  <c r="D26" i="174"/>
  <c r="E31" i="174"/>
  <c r="C37" i="174"/>
  <c r="D42" i="174"/>
  <c r="E47" i="174"/>
  <c r="C53" i="174"/>
  <c r="D58" i="174"/>
  <c r="E63" i="174"/>
  <c r="C69" i="174"/>
  <c r="D74" i="174"/>
  <c r="E79" i="174"/>
  <c r="C54" i="176"/>
  <c r="D69" i="176"/>
  <c r="C14" i="178"/>
  <c r="C37" i="178"/>
  <c r="C60" i="178"/>
  <c r="C11" i="179"/>
  <c r="C32" i="179"/>
  <c r="C56" i="179"/>
  <c r="C79" i="179"/>
  <c r="D71" i="181" a="1"/>
  <c r="D71" i="181" s="1"/>
  <c r="D43" i="183"/>
  <c r="C59" i="183"/>
  <c r="G8" i="184"/>
  <c r="C45" i="186"/>
  <c r="D76" i="188"/>
  <c r="C52" i="188"/>
  <c r="C19" i="188"/>
  <c r="C85" i="188"/>
  <c r="C18" i="188"/>
  <c r="C84" i="188"/>
  <c r="C72" i="188"/>
  <c r="C61" i="188"/>
  <c r="C33" i="188"/>
  <c r="C41" i="188"/>
  <c r="C10" i="188"/>
  <c r="C32" i="188"/>
  <c r="C24" i="188"/>
  <c r="C40" i="188"/>
  <c r="C80" i="188"/>
  <c r="C69" i="188"/>
  <c r="C9" i="188"/>
  <c r="C31" i="188"/>
  <c r="C68" i="188"/>
  <c r="C22" i="188"/>
  <c r="C8" i="188"/>
  <c r="C29" i="188"/>
  <c r="C89" i="188"/>
  <c r="C20" i="188"/>
  <c r="C12" i="188"/>
  <c r="E10" i="174"/>
  <c r="C16" i="174"/>
  <c r="D21" i="174"/>
  <c r="E26" i="174"/>
  <c r="C32" i="174"/>
  <c r="D37" i="174"/>
  <c r="E42" i="174"/>
  <c r="C48" i="174"/>
  <c r="D53" i="174"/>
  <c r="E58" i="174"/>
  <c r="C64" i="174"/>
  <c r="D69" i="174"/>
  <c r="E74" i="174"/>
  <c r="C7" i="175"/>
  <c r="C10" i="176"/>
  <c r="C14" i="176"/>
  <c r="C18" i="176"/>
  <c r="C22" i="176"/>
  <c r="C26" i="176"/>
  <c r="C30" i="176"/>
  <c r="C34" i="176"/>
  <c r="C38" i="176"/>
  <c r="C42" i="176"/>
  <c r="C46" i="176"/>
  <c r="C50" i="176"/>
  <c r="D54" i="176"/>
  <c r="C59" i="176"/>
  <c r="C64" i="176"/>
  <c r="E69" i="176"/>
  <c r="C75" i="176"/>
  <c r="C15" i="178"/>
  <c r="C38" i="178"/>
  <c r="C61" i="178"/>
  <c r="C12" i="179"/>
  <c r="C35" i="179"/>
  <c r="C59" i="179"/>
  <c r="C80" i="179"/>
  <c r="D60" i="181" a="1"/>
  <c r="D60" i="181" s="1"/>
  <c r="C72" i="181" a="1"/>
  <c r="C72" i="181" s="1"/>
  <c r="F16" i="183"/>
  <c r="D59" i="183"/>
  <c r="C22" i="185"/>
  <c r="C88" i="188"/>
  <c r="E91" i="188"/>
  <c r="E87" i="188"/>
  <c r="D91" i="188"/>
  <c r="D87" i="188"/>
  <c r="D75" i="188"/>
  <c r="D67" i="188"/>
  <c r="D59" i="188"/>
  <c r="D55" i="188"/>
  <c r="D51" i="188"/>
  <c r="D47" i="188"/>
  <c r="D43" i="188"/>
  <c r="D39" i="188"/>
  <c r="D35" i="188"/>
  <c r="D31" i="188"/>
  <c r="D27" i="188"/>
  <c r="D23" i="188"/>
  <c r="D19" i="188"/>
  <c r="D15" i="188"/>
  <c r="D11" i="188"/>
  <c r="C88" i="186"/>
  <c r="C72" i="186"/>
  <c r="C40" i="186"/>
  <c r="C24" i="186"/>
  <c r="C45" i="185"/>
  <c r="C29" i="185"/>
  <c r="C91" i="188"/>
  <c r="C87" i="188"/>
  <c r="C83" i="188"/>
  <c r="C79" i="188"/>
  <c r="C71" i="188"/>
  <c r="C67" i="188"/>
  <c r="C63" i="188"/>
  <c r="C59" i="188"/>
  <c r="C43" i="188"/>
  <c r="F90" i="188"/>
  <c r="F86" i="188"/>
  <c r="F82" i="188"/>
  <c r="F78" i="188"/>
  <c r="F74" i="188"/>
  <c r="F70" i="188"/>
  <c r="F66" i="188"/>
  <c r="F58" i="188"/>
  <c r="F54" i="188"/>
  <c r="F50" i="188"/>
  <c r="F46" i="188"/>
  <c r="F42" i="188"/>
  <c r="F38" i="188"/>
  <c r="F34" i="188"/>
  <c r="F30" i="188"/>
  <c r="F26" i="188"/>
  <c r="F22" i="188"/>
  <c r="F18" i="188"/>
  <c r="F14" i="188"/>
  <c r="F10" i="188"/>
  <c r="C86" i="186"/>
  <c r="C38" i="186"/>
  <c r="C22" i="186"/>
  <c r="C91" i="185"/>
  <c r="C59" i="185"/>
  <c r="C43" i="185"/>
  <c r="E90" i="188"/>
  <c r="E86" i="188"/>
  <c r="E82" i="188"/>
  <c r="E78" i="188"/>
  <c r="E74" i="188"/>
  <c r="E70" i="188"/>
  <c r="E66" i="188"/>
  <c r="E62" i="188"/>
  <c r="E58" i="188"/>
  <c r="E50" i="188"/>
  <c r="E46" i="188"/>
  <c r="E42" i="188"/>
  <c r="E38" i="188"/>
  <c r="E34" i="188"/>
  <c r="E30" i="188"/>
  <c r="E26" i="188"/>
  <c r="E22" i="188"/>
  <c r="E18" i="188"/>
  <c r="E14" i="188"/>
  <c r="E10" i="188"/>
  <c r="C85" i="186"/>
  <c r="D90" i="188"/>
  <c r="D86" i="188"/>
  <c r="D82" i="188"/>
  <c r="D62" i="188"/>
  <c r="D58" i="188"/>
  <c r="D54" i="188"/>
  <c r="D50" i="188"/>
  <c r="D46" i="188"/>
  <c r="D42" i="188"/>
  <c r="D38" i="188"/>
  <c r="D34" i="188"/>
  <c r="D26" i="188"/>
  <c r="D22" i="188"/>
  <c r="D18" i="188"/>
  <c r="D14" i="188"/>
  <c r="C84" i="186"/>
  <c r="C36" i="186"/>
  <c r="C20" i="186"/>
  <c r="C89" i="185"/>
  <c r="C41" i="185"/>
  <c r="C90" i="188"/>
  <c r="C86" i="188"/>
  <c r="C82" i="188"/>
  <c r="C66" i="188"/>
  <c r="C58" i="188"/>
  <c r="C54" i="188"/>
  <c r="C50" i="188"/>
  <c r="C46" i="188"/>
  <c r="C38" i="188"/>
  <c r="C30" i="188"/>
  <c r="C26" i="188"/>
  <c r="D89" i="188"/>
  <c r="D85" i="188"/>
  <c r="D73" i="188"/>
  <c r="D65" i="188"/>
  <c r="D61" i="188"/>
  <c r="D57" i="188"/>
  <c r="D53" i="188"/>
  <c r="D45" i="188"/>
  <c r="D41" i="188"/>
  <c r="D37" i="188"/>
  <c r="D33" i="188"/>
  <c r="D29" i="188"/>
  <c r="D25" i="188"/>
  <c r="D21" i="188"/>
  <c r="D17" i="188"/>
  <c r="C32" i="186"/>
  <c r="F7" i="189"/>
  <c r="F88" i="188"/>
  <c r="F84" i="188"/>
  <c r="F80" i="188"/>
  <c r="F76" i="188"/>
  <c r="F72" i="188"/>
  <c r="F64" i="188"/>
  <c r="F60" i="188"/>
  <c r="F56" i="188"/>
  <c r="F48" i="188"/>
  <c r="F44" i="188"/>
  <c r="F40" i="188"/>
  <c r="F36" i="188"/>
  <c r="F32" i="188"/>
  <c r="F28" i="188"/>
  <c r="F24" i="188"/>
  <c r="F20" i="188"/>
  <c r="F16" i="188"/>
  <c r="F12" i="188"/>
  <c r="C46" i="186"/>
  <c r="C67" i="185"/>
  <c r="E88" i="188"/>
  <c r="E84" i="188"/>
  <c r="E80" i="188"/>
  <c r="E76" i="188"/>
  <c r="E72" i="188"/>
  <c r="E68" i="188"/>
  <c r="E64" i="188"/>
  <c r="E60" i="188"/>
  <c r="E56" i="188"/>
  <c r="E52" i="188"/>
  <c r="E48" i="188"/>
  <c r="E44" i="188"/>
  <c r="E40" i="188"/>
  <c r="E36" i="188"/>
  <c r="E32" i="188"/>
  <c r="E28" i="188"/>
  <c r="E24" i="188"/>
  <c r="E20" i="188"/>
  <c r="E16" i="188"/>
  <c r="E12" i="188"/>
  <c r="E8" i="188"/>
  <c r="C92" i="186"/>
  <c r="D88" i="188"/>
  <c r="D84" i="188"/>
  <c r="F91" i="188"/>
  <c r="F87" i="188"/>
  <c r="F83" i="188"/>
  <c r="F79" i="188"/>
  <c r="F75" i="188"/>
  <c r="F71" i="188"/>
  <c r="F67" i="188"/>
  <c r="F59" i="188"/>
  <c r="C43" i="186"/>
  <c r="C84" i="185"/>
  <c r="C40" i="185"/>
  <c r="C20" i="185"/>
  <c r="D72" i="188"/>
  <c r="C91" i="186"/>
  <c r="C65" i="186"/>
  <c r="C18" i="186"/>
  <c r="C82" i="185"/>
  <c r="C18" i="185"/>
  <c r="C90" i="186"/>
  <c r="C41" i="186"/>
  <c r="C38" i="185"/>
  <c r="D60" i="188"/>
  <c r="D32" i="188"/>
  <c r="D24" i="188"/>
  <c r="C89" i="186"/>
  <c r="C58" i="185"/>
  <c r="D40" i="188"/>
  <c r="C87" i="186"/>
  <c r="C36" i="185"/>
  <c r="D16" i="188"/>
  <c r="C59" i="186"/>
  <c r="D48" i="188"/>
  <c r="C82" i="186"/>
  <c r="C58" i="186"/>
  <c r="C12" i="186"/>
  <c r="C76" i="185"/>
  <c r="C33" i="185"/>
  <c r="C12" i="185"/>
  <c r="D8" i="188"/>
  <c r="C33" i="186"/>
  <c r="C53" i="185"/>
  <c r="C32" i="185"/>
  <c r="C31" i="186"/>
  <c r="C72" i="185"/>
  <c r="C31" i="185"/>
  <c r="D56" i="188"/>
  <c r="C76" i="186"/>
  <c r="C53" i="186"/>
  <c r="C29" i="186"/>
  <c r="C50" i="185"/>
  <c r="D64" i="188"/>
  <c r="D44" i="188"/>
  <c r="C87" i="185"/>
  <c r="C46" i="185"/>
  <c r="D52" i="188"/>
  <c r="C67" i="186"/>
  <c r="C44" i="186"/>
  <c r="C21" i="186"/>
  <c r="C85" i="185"/>
  <c r="C21" i="185"/>
  <c r="C11" i="174"/>
  <c r="D16" i="174"/>
  <c r="E21" i="174"/>
  <c r="C27" i="174"/>
  <c r="D32" i="174"/>
  <c r="E37" i="174"/>
  <c r="C43" i="174"/>
  <c r="D48" i="174"/>
  <c r="E53" i="174"/>
  <c r="C59" i="174"/>
  <c r="D64" i="174"/>
  <c r="E69" i="174"/>
  <c r="C75" i="174"/>
  <c r="D7" i="175"/>
  <c r="D10" i="176"/>
  <c r="D14" i="176"/>
  <c r="D18" i="176"/>
  <c r="D22" i="176"/>
  <c r="D26" i="176"/>
  <c r="D30" i="176"/>
  <c r="D34" i="176"/>
  <c r="D38" i="176"/>
  <c r="D42" i="176"/>
  <c r="D46" i="176"/>
  <c r="D50" i="176"/>
  <c r="E54" i="176"/>
  <c r="D59" i="176"/>
  <c r="C16" i="178"/>
  <c r="C39" i="178"/>
  <c r="C63" i="178"/>
  <c r="C13" i="179"/>
  <c r="C36" i="179"/>
  <c r="C60" i="179"/>
  <c r="F17" i="183"/>
  <c r="F32" i="183"/>
  <c r="F45" i="183"/>
  <c r="C63" i="183"/>
  <c r="C24" i="185"/>
  <c r="C50" i="186"/>
  <c r="E35" i="188"/>
  <c r="E89" i="188"/>
  <c r="C8" i="177"/>
  <c r="D78" i="176"/>
  <c r="D74" i="176"/>
  <c r="D70" i="176"/>
  <c r="D66" i="176"/>
  <c r="D62" i="176"/>
  <c r="D58" i="176"/>
  <c r="D76" i="176"/>
  <c r="D72" i="176"/>
  <c r="D68" i="176"/>
  <c r="D64" i="176"/>
  <c r="D60" i="176"/>
  <c r="D56" i="176"/>
  <c r="D52" i="176"/>
  <c r="D11" i="174"/>
  <c r="E16" i="174"/>
  <c r="C22" i="174"/>
  <c r="D27" i="174"/>
  <c r="E32" i="174"/>
  <c r="C38" i="174"/>
  <c r="D43" i="174"/>
  <c r="E48" i="174"/>
  <c r="C54" i="174"/>
  <c r="D59" i="174"/>
  <c r="E64" i="174"/>
  <c r="C70" i="174"/>
  <c r="D75" i="174"/>
  <c r="E10" i="176"/>
  <c r="E14" i="176"/>
  <c r="E18" i="176"/>
  <c r="E22" i="176"/>
  <c r="E26" i="176"/>
  <c r="E30" i="176"/>
  <c r="E34" i="176"/>
  <c r="E38" i="176"/>
  <c r="E42" i="176"/>
  <c r="E46" i="176"/>
  <c r="E50" i="176"/>
  <c r="E59" i="176"/>
  <c r="C65" i="176"/>
  <c r="C70" i="176"/>
  <c r="E75" i="176"/>
  <c r="C7" i="177"/>
  <c r="C17" i="178"/>
  <c r="C40" i="178"/>
  <c r="C64" i="178"/>
  <c r="C14" i="179"/>
  <c r="C38" i="179"/>
  <c r="C61" i="179"/>
  <c r="D72" i="181" a="1"/>
  <c r="D72" i="181" s="1"/>
  <c r="F19" i="183"/>
  <c r="C33" i="183"/>
  <c r="D46" i="183"/>
  <c r="C26" i="185"/>
  <c r="C36" i="188"/>
  <c r="F89" i="188"/>
  <c r="C73" i="172"/>
  <c r="C12" i="171"/>
  <c r="C34" i="171"/>
  <c r="C58" i="171"/>
  <c r="C76" i="171"/>
  <c r="C10" i="172"/>
  <c r="C26" i="172"/>
  <c r="C42" i="172"/>
  <c r="C58" i="172"/>
  <c r="C74" i="172"/>
  <c r="C11" i="171"/>
  <c r="C33" i="171"/>
  <c r="C57" i="171"/>
  <c r="C75" i="171"/>
  <c r="C11" i="172"/>
  <c r="C27" i="172"/>
  <c r="C43" i="172"/>
  <c r="C59" i="172"/>
  <c r="C75" i="172"/>
  <c r="C10" i="171"/>
  <c r="C32" i="171"/>
  <c r="C56" i="171"/>
  <c r="C74" i="171"/>
  <c r="C12" i="172"/>
  <c r="C28" i="172"/>
  <c r="C44" i="172"/>
  <c r="C60" i="172"/>
  <c r="C76" i="172"/>
  <c r="C7" i="171"/>
  <c r="C9" i="171"/>
  <c r="C31" i="171"/>
  <c r="C55" i="171"/>
  <c r="C73" i="171"/>
  <c r="C13" i="172"/>
  <c r="C29" i="172"/>
  <c r="C45" i="172"/>
  <c r="C61" i="172"/>
  <c r="C77" i="172"/>
  <c r="C24" i="171"/>
  <c r="C8" i="171"/>
  <c r="C30" i="171"/>
  <c r="C54" i="171"/>
  <c r="C72" i="171"/>
  <c r="C14" i="172"/>
  <c r="C30" i="172"/>
  <c r="C46" i="172"/>
  <c r="C62" i="172"/>
  <c r="C78" i="172"/>
  <c r="C23" i="171"/>
  <c r="C45" i="171"/>
  <c r="C29" i="171"/>
  <c r="C53" i="171"/>
  <c r="C71" i="171"/>
  <c r="C15" i="172"/>
  <c r="C31" i="172"/>
  <c r="C47" i="172"/>
  <c r="C63" i="172"/>
  <c r="C79" i="172"/>
  <c r="C22" i="171"/>
  <c r="C44" i="171"/>
  <c r="C28" i="171"/>
  <c r="C52" i="171"/>
  <c r="C70" i="171"/>
  <c r="C16" i="172"/>
  <c r="C32" i="172"/>
  <c r="C48" i="172"/>
  <c r="C64" i="172"/>
  <c r="C8" i="173"/>
  <c r="C21" i="171"/>
  <c r="C43" i="171"/>
  <c r="C27" i="171"/>
  <c r="C51" i="171"/>
  <c r="C69" i="171"/>
  <c r="C17" i="172"/>
  <c r="C33" i="172"/>
  <c r="C49" i="172"/>
  <c r="C65" i="172"/>
  <c r="D8" i="173"/>
  <c r="C20" i="171"/>
  <c r="C42" i="171"/>
  <c r="C26" i="171"/>
  <c r="C50" i="171"/>
  <c r="C68" i="171"/>
  <c r="C18" i="172"/>
  <c r="C34" i="172"/>
  <c r="C50" i="172"/>
  <c r="C66" i="172"/>
  <c r="C19" i="171"/>
  <c r="C41" i="171"/>
  <c r="C25" i="171"/>
  <c r="C49" i="171"/>
  <c r="C67" i="171"/>
  <c r="C19" i="172"/>
  <c r="C35" i="172"/>
  <c r="C51" i="172"/>
  <c r="C67" i="172"/>
  <c r="C18" i="171"/>
  <c r="C40" i="171"/>
  <c r="C64" i="171"/>
  <c r="C48" i="171"/>
  <c r="C66" i="171"/>
  <c r="C20" i="172"/>
  <c r="C36" i="172"/>
  <c r="C52" i="172"/>
  <c r="C68" i="172"/>
  <c r="C17" i="171"/>
  <c r="C39" i="171"/>
  <c r="C63" i="171"/>
  <c r="C47" i="171"/>
  <c r="C65" i="171"/>
  <c r="C21" i="172"/>
  <c r="C37" i="172"/>
  <c r="C53" i="172"/>
  <c r="C69" i="172"/>
  <c r="C16" i="171"/>
  <c r="C38" i="171"/>
  <c r="C62" i="171"/>
  <c r="C46" i="171"/>
  <c r="C22" i="172"/>
  <c r="C38" i="172"/>
  <c r="C54" i="172"/>
  <c r="C70" i="172"/>
  <c r="C15" i="171"/>
  <c r="C37" i="171"/>
  <c r="C61" i="171"/>
  <c r="C79" i="171"/>
  <c r="C7" i="172"/>
  <c r="C23" i="172"/>
  <c r="C39" i="172"/>
  <c r="C55" i="172"/>
  <c r="C71" i="172"/>
  <c r="C14" i="171"/>
  <c r="C36" i="171"/>
  <c r="C60" i="171"/>
  <c r="C78" i="171"/>
  <c r="C8" i="172"/>
  <c r="C24" i="172"/>
  <c r="C40" i="172"/>
  <c r="C56" i="172"/>
  <c r="C72" i="172"/>
  <c r="C13" i="171"/>
  <c r="C35" i="171"/>
  <c r="C59" i="171"/>
  <c r="C77" i="171"/>
  <c r="C9" i="172"/>
  <c r="C25" i="172"/>
  <c r="C41" i="172"/>
  <c r="C57" i="172"/>
  <c r="H145" i="98"/>
  <c r="H141" i="98"/>
  <c r="G143" i="98"/>
  <c r="AD74" i="43"/>
  <c r="H151" i="98"/>
  <c r="H134" i="98"/>
  <c r="G72" i="168"/>
  <c r="G130" i="98"/>
  <c r="G148" i="98"/>
  <c r="G136" i="98"/>
  <c r="H74" i="168"/>
  <c r="G74" i="168"/>
  <c r="H69" i="168"/>
  <c r="H65" i="168"/>
  <c r="H150" i="98"/>
  <c r="G135" i="98"/>
  <c r="G131" i="98"/>
  <c r="H131" i="98"/>
  <c r="G154" i="98"/>
  <c r="G150" i="98"/>
  <c r="H130" i="98"/>
  <c r="G69" i="168"/>
  <c r="G138" i="98"/>
  <c r="G153" i="98"/>
  <c r="H136" i="98"/>
  <c r="G144" i="98"/>
  <c r="H66" i="168"/>
  <c r="G157" i="98"/>
  <c r="H152" i="98"/>
  <c r="G141" i="98"/>
  <c r="H137" i="98"/>
  <c r="H133" i="98"/>
  <c r="G152" i="98"/>
  <c r="G137" i="98"/>
  <c r="G133" i="98"/>
  <c r="H68" i="168"/>
  <c r="G68" i="168"/>
  <c r="H72" i="168"/>
  <c r="H143" i="98"/>
  <c r="H71" i="168"/>
  <c r="H67" i="168"/>
  <c r="H154" i="98"/>
  <c r="H135" i="98"/>
  <c r="H70" i="168"/>
  <c r="H146" i="98"/>
  <c r="H138" i="98"/>
  <c r="H156" i="98"/>
  <c r="G146" i="98"/>
  <c r="H155" i="98"/>
  <c r="H132" i="98"/>
  <c r="G65" i="168"/>
  <c r="G142" i="98"/>
  <c r="G132" i="98"/>
  <c r="G145" i="98"/>
  <c r="H148" i="98"/>
  <c r="H157" i="98"/>
  <c r="H144" i="98"/>
  <c r="G71" i="168"/>
  <c r="G151" i="98"/>
  <c r="G134" i="98"/>
  <c r="H153" i="98"/>
  <c r="H73" i="168"/>
  <c r="G70" i="168"/>
  <c r="H140" i="98"/>
  <c r="G73" i="168"/>
  <c r="G66" i="168"/>
  <c r="C34" i="112"/>
  <c r="C74" i="112"/>
  <c r="D13" i="169"/>
  <c r="D21" i="169"/>
  <c r="D29" i="169"/>
  <c r="D37" i="169"/>
  <c r="D45" i="169"/>
  <c r="D53" i="169"/>
  <c r="D61" i="169"/>
  <c r="D69" i="169"/>
  <c r="D77" i="169"/>
  <c r="C14" i="169"/>
  <c r="C22" i="169"/>
  <c r="C30" i="169"/>
  <c r="C38" i="169"/>
  <c r="C46" i="169"/>
  <c r="C54" i="169"/>
  <c r="C62" i="169"/>
  <c r="C70" i="169"/>
  <c r="C78" i="169"/>
  <c r="D14" i="169"/>
  <c r="D22" i="169"/>
  <c r="D30" i="169"/>
  <c r="D38" i="169"/>
  <c r="D46" i="169"/>
  <c r="D54" i="169"/>
  <c r="D62" i="169"/>
  <c r="D70" i="169"/>
  <c r="D78" i="169"/>
  <c r="C15" i="169"/>
  <c r="D7" i="169"/>
  <c r="C8" i="169"/>
  <c r="C16" i="169"/>
  <c r="C24" i="169"/>
  <c r="C32" i="169"/>
  <c r="C40" i="169"/>
  <c r="C48" i="169"/>
  <c r="C56" i="169"/>
  <c r="C64" i="169"/>
  <c r="C72" i="169"/>
  <c r="C7" i="169"/>
  <c r="D8" i="169"/>
  <c r="D16" i="169"/>
  <c r="D24" i="169"/>
  <c r="D32" i="169"/>
  <c r="D40" i="169"/>
  <c r="D48" i="169"/>
  <c r="D56" i="169"/>
  <c r="D64" i="169"/>
  <c r="D72" i="169"/>
  <c r="C9" i="169"/>
  <c r="C17" i="169"/>
  <c r="C25" i="169"/>
  <c r="C33" i="169"/>
  <c r="C41" i="169"/>
  <c r="C49" i="169"/>
  <c r="C57" i="169"/>
  <c r="C65" i="169"/>
  <c r="C73" i="169"/>
  <c r="D9" i="169"/>
  <c r="D17" i="169"/>
  <c r="D25" i="169"/>
  <c r="D33" i="169"/>
  <c r="D41" i="169"/>
  <c r="D49" i="169"/>
  <c r="D57" i="169"/>
  <c r="D65" i="169"/>
  <c r="D73" i="169"/>
  <c r="C10" i="169"/>
  <c r="C18" i="169"/>
  <c r="C26" i="169"/>
  <c r="C34" i="169"/>
  <c r="C42" i="169"/>
  <c r="C50" i="169"/>
  <c r="C58" i="169"/>
  <c r="C66" i="169"/>
  <c r="C74" i="169"/>
  <c r="D10" i="169"/>
  <c r="D18" i="169"/>
  <c r="D26" i="169"/>
  <c r="D34" i="169"/>
  <c r="D42" i="169"/>
  <c r="D50" i="169"/>
  <c r="D58" i="169"/>
  <c r="D66" i="169"/>
  <c r="D74" i="169"/>
  <c r="C11" i="169"/>
  <c r="C19" i="169"/>
  <c r="C27" i="169"/>
  <c r="C35" i="169"/>
  <c r="C43" i="169"/>
  <c r="C51" i="169"/>
  <c r="C59" i="169"/>
  <c r="C67" i="169"/>
  <c r="C75" i="169"/>
  <c r="D11" i="169"/>
  <c r="D19" i="169"/>
  <c r="D27" i="169"/>
  <c r="D35" i="169"/>
  <c r="D43" i="169"/>
  <c r="D51" i="169"/>
  <c r="D59" i="169"/>
  <c r="D67" i="169"/>
  <c r="D75" i="169"/>
  <c r="C12" i="169"/>
  <c r="C20" i="169"/>
  <c r="C28" i="169"/>
  <c r="C36" i="169"/>
  <c r="C44" i="169"/>
  <c r="C52" i="169"/>
  <c r="C60" i="169"/>
  <c r="C68" i="169"/>
  <c r="C76" i="169"/>
  <c r="D12" i="169"/>
  <c r="D20" i="169"/>
  <c r="D28" i="169"/>
  <c r="D36" i="169"/>
  <c r="D44" i="169"/>
  <c r="D52" i="169"/>
  <c r="D60" i="169"/>
  <c r="D68" i="169"/>
  <c r="D76" i="169"/>
  <c r="C13" i="169"/>
  <c r="C21" i="169"/>
  <c r="C29" i="169"/>
  <c r="C37" i="169"/>
  <c r="C45" i="169"/>
  <c r="C53" i="169"/>
  <c r="C61" i="169"/>
  <c r="C69" i="169"/>
  <c r="C77" i="169"/>
  <c r="E71" i="43"/>
  <c r="U71" i="43"/>
  <c r="P74" i="43"/>
  <c r="AE74" i="43"/>
  <c r="D42" i="112"/>
  <c r="D50" i="112"/>
  <c r="D58" i="112"/>
  <c r="D66" i="112"/>
  <c r="D74" i="112"/>
  <c r="D10" i="112"/>
  <c r="D18" i="112"/>
  <c r="D26" i="112"/>
  <c r="D34" i="112"/>
  <c r="F71" i="43"/>
  <c r="V71" i="43"/>
  <c r="AJ71" i="43" a="1"/>
  <c r="AJ71" i="43" s="1"/>
  <c r="Q74" i="43"/>
  <c r="AF74" i="43"/>
  <c r="C43" i="112"/>
  <c r="C51" i="112"/>
  <c r="C59" i="112"/>
  <c r="C67" i="112"/>
  <c r="C75" i="112"/>
  <c r="C11" i="112"/>
  <c r="C19" i="112"/>
  <c r="C27" i="112"/>
  <c r="C35" i="112"/>
  <c r="G71" i="43"/>
  <c r="W71" i="43"/>
  <c r="R74" i="43"/>
  <c r="AH74" i="43" a="1"/>
  <c r="AH74" i="43" s="1"/>
  <c r="D43" i="112"/>
  <c r="D51" i="112"/>
  <c r="D59" i="112"/>
  <c r="D67" i="112"/>
  <c r="D75" i="112"/>
  <c r="D11" i="112"/>
  <c r="D19" i="112"/>
  <c r="D27" i="112"/>
  <c r="D35" i="112"/>
  <c r="H71" i="43"/>
  <c r="X71" i="43"/>
  <c r="C74" i="43"/>
  <c r="S74" i="43"/>
  <c r="C44" i="112"/>
  <c r="C52" i="112"/>
  <c r="C60" i="112"/>
  <c r="C68" i="112"/>
  <c r="C76" i="112"/>
  <c r="C12" i="112"/>
  <c r="C20" i="112"/>
  <c r="C28" i="112"/>
  <c r="C36" i="112"/>
  <c r="I71" i="43"/>
  <c r="Y71" i="43"/>
  <c r="D74" i="43"/>
  <c r="T74" i="43"/>
  <c r="D44" i="112"/>
  <c r="D52" i="112"/>
  <c r="D60" i="112"/>
  <c r="D68" i="112"/>
  <c r="J71" i="43"/>
  <c r="Z71" i="43" a="1"/>
  <c r="Z71" i="43" s="1"/>
  <c r="E74" i="43"/>
  <c r="U74" i="43"/>
  <c r="C45" i="112"/>
  <c r="C53" i="112"/>
  <c r="C61" i="112"/>
  <c r="C69" i="112"/>
  <c r="C77" i="112"/>
  <c r="C13" i="112"/>
  <c r="C21" i="112"/>
  <c r="C29" i="112"/>
  <c r="C37" i="112"/>
  <c r="K71" i="43"/>
  <c r="F74" i="43"/>
  <c r="V74" i="43"/>
  <c r="AJ74" i="43" a="1"/>
  <c r="AJ74" i="43" s="1"/>
  <c r="D45" i="112"/>
  <c r="D53" i="112"/>
  <c r="D61" i="112"/>
  <c r="D69" i="112"/>
  <c r="D77" i="112"/>
  <c r="D13" i="112"/>
  <c r="D21" i="112"/>
  <c r="D29" i="112"/>
  <c r="D37" i="112"/>
  <c r="M71" i="43"/>
  <c r="AB71" i="43"/>
  <c r="H74" i="43"/>
  <c r="X74" i="43"/>
  <c r="D46" i="112"/>
  <c r="D54" i="112"/>
  <c r="D62" i="112"/>
  <c r="D70" i="112"/>
  <c r="D78" i="112"/>
  <c r="D14" i="112"/>
  <c r="D22" i="112"/>
  <c r="D30" i="112"/>
  <c r="D38" i="112"/>
  <c r="N71" i="43"/>
  <c r="AC71" i="43"/>
  <c r="I74" i="43"/>
  <c r="Y74" i="43"/>
  <c r="C39" i="112"/>
  <c r="C47" i="112"/>
  <c r="C55" i="112"/>
  <c r="C63" i="112"/>
  <c r="C71" i="112"/>
  <c r="C79" i="112"/>
  <c r="C15" i="112"/>
  <c r="C23" i="112"/>
  <c r="C31" i="112"/>
  <c r="O71" i="43"/>
  <c r="AD71" i="43"/>
  <c r="J74" i="43"/>
  <c r="Z74" i="43" a="1"/>
  <c r="Z74" i="43" s="1"/>
  <c r="D39" i="112"/>
  <c r="D47" i="112"/>
  <c r="D55" i="112"/>
  <c r="D63" i="112"/>
  <c r="D71" i="112"/>
  <c r="D79" i="112"/>
  <c r="D15" i="112"/>
  <c r="D23" i="112"/>
  <c r="D31" i="112"/>
  <c r="P71" i="43"/>
  <c r="AE71" i="43"/>
  <c r="K74" i="43"/>
  <c r="C40" i="112"/>
  <c r="C48" i="112"/>
  <c r="C56" i="112"/>
  <c r="C64" i="112"/>
  <c r="C72" i="112"/>
  <c r="C8" i="112"/>
  <c r="C16" i="112"/>
  <c r="C24" i="112"/>
  <c r="C32" i="112"/>
  <c r="R71" i="43"/>
  <c r="AH71" i="43" a="1"/>
  <c r="AH71" i="43" s="1"/>
  <c r="M74" i="43"/>
  <c r="AB74" i="43"/>
  <c r="C41" i="112"/>
  <c r="C49" i="112"/>
  <c r="C57" i="112"/>
  <c r="C65" i="112"/>
  <c r="C73" i="112"/>
  <c r="C9" i="112"/>
  <c r="C17" i="112"/>
  <c r="C25" i="112"/>
  <c r="C33" i="112"/>
  <c r="C71" i="43"/>
  <c r="S71" i="43"/>
  <c r="N74" i="43"/>
  <c r="AC74" i="43"/>
  <c r="D41" i="112"/>
  <c r="D49" i="112"/>
  <c r="D57" i="112"/>
  <c r="D65" i="112"/>
  <c r="D73" i="112"/>
  <c r="D9" i="112"/>
  <c r="D17" i="112"/>
  <c r="D25" i="112"/>
  <c r="D33" i="112"/>
  <c r="C78" i="112"/>
  <c r="C38" i="112"/>
  <c r="D40" i="112"/>
  <c r="D8" i="112"/>
  <c r="D71" i="43"/>
  <c r="C42" i="112"/>
  <c r="C10" i="112"/>
  <c r="L71" i="43"/>
  <c r="C46" i="112"/>
  <c r="D12" i="112"/>
  <c r="Q71" i="43"/>
  <c r="D48" i="112"/>
  <c r="C14" i="112"/>
  <c r="T71" i="43"/>
  <c r="C50" i="112"/>
  <c r="D16" i="112"/>
  <c r="AA71" i="43"/>
  <c r="C54" i="112"/>
  <c r="C18" i="112"/>
  <c r="AF71" i="43"/>
  <c r="D56" i="112"/>
  <c r="D20" i="112"/>
  <c r="C58" i="112"/>
  <c r="C22" i="112"/>
  <c r="G74" i="43"/>
  <c r="C62" i="112"/>
  <c r="D24" i="112"/>
  <c r="L74" i="43"/>
  <c r="D64" i="112"/>
  <c r="C26" i="112"/>
  <c r="O74" i="43"/>
  <c r="C66" i="112"/>
  <c r="D28" i="112"/>
  <c r="W74" i="43"/>
  <c r="C70" i="112"/>
  <c r="C30" i="112"/>
  <c r="AA74" i="43"/>
  <c r="D72" i="112"/>
  <c r="D32" i="112"/>
  <c r="D76" i="112"/>
  <c r="D36" i="112"/>
  <c r="C23" i="169"/>
  <c r="C31" i="169"/>
  <c r="C39" i="169"/>
  <c r="C47" i="169"/>
  <c r="C55" i="169"/>
  <c r="C63" i="169"/>
  <c r="C71" i="169"/>
  <c r="C79" i="169"/>
  <c r="D15" i="169"/>
  <c r="D23" i="169"/>
  <c r="D31" i="169"/>
  <c r="D39" i="169"/>
  <c r="D47" i="169"/>
  <c r="D55" i="169"/>
  <c r="D63" i="169"/>
  <c r="D71" i="169"/>
  <c r="D79" i="169"/>
  <c r="Y91" i="119"/>
  <c r="G267" i="8"/>
  <c r="D60" i="136"/>
  <c r="C66" i="136"/>
  <c r="D71" i="136"/>
  <c r="C61" i="136"/>
  <c r="D66" i="136"/>
  <c r="C77" i="136"/>
  <c r="D61" i="136"/>
  <c r="C72" i="136"/>
  <c r="D62" i="136"/>
  <c r="C73" i="136"/>
  <c r="D78" i="136"/>
  <c r="C68" i="136"/>
  <c r="D73" i="136"/>
  <c r="C63" i="136"/>
  <c r="D68" i="136"/>
  <c r="C79" i="136"/>
  <c r="D63" i="136"/>
  <c r="C74" i="136"/>
  <c r="D79" i="136"/>
  <c r="D58" i="136"/>
  <c r="C64" i="136"/>
  <c r="D69" i="136"/>
  <c r="D64" i="136"/>
  <c r="C75" i="136"/>
  <c r="D59" i="136"/>
  <c r="C65" i="136"/>
  <c r="D70" i="136"/>
  <c r="C70" i="136"/>
  <c r="C71" i="136"/>
  <c r="C58" i="136"/>
  <c r="D72" i="136"/>
  <c r="C59" i="136"/>
  <c r="D74" i="136"/>
  <c r="C60" i="136"/>
  <c r="D75" i="136"/>
  <c r="C76" i="136"/>
  <c r="C62" i="136"/>
  <c r="D76" i="136"/>
  <c r="D77" i="136"/>
  <c r="D65" i="136"/>
  <c r="C78" i="136"/>
  <c r="C69" i="136"/>
  <c r="C67" i="136"/>
  <c r="D67" i="136"/>
  <c r="Y73" i="118"/>
  <c r="G331" i="8"/>
  <c r="Y77" i="118"/>
  <c r="Y88" i="119"/>
  <c r="Y78" i="43"/>
  <c r="Y86" i="119"/>
  <c r="H139" i="98"/>
  <c r="H147" i="98"/>
  <c r="G147" i="98"/>
  <c r="G155" i="98"/>
  <c r="G139" i="98"/>
  <c r="G67" i="168"/>
  <c r="H149" i="98"/>
  <c r="G149" i="98"/>
  <c r="G156" i="98"/>
  <c r="G140" i="98"/>
  <c r="H142" i="98"/>
  <c r="M31" i="168"/>
  <c r="N31" i="168"/>
  <c r="O31" i="168"/>
  <c r="Y72" i="118"/>
  <c r="C72" i="118"/>
  <c r="D72" i="118"/>
  <c r="E72" i="118"/>
  <c r="F72" i="118"/>
  <c r="G72" i="118"/>
  <c r="H72" i="118"/>
  <c r="I72" i="118"/>
  <c r="J72" i="118"/>
  <c r="K72" i="118"/>
  <c r="L72" i="118"/>
  <c r="M72" i="118"/>
  <c r="N72" i="118"/>
  <c r="O72" i="118"/>
  <c r="P72" i="118"/>
  <c r="Q72" i="118"/>
  <c r="R72" i="118"/>
  <c r="S72" i="118"/>
  <c r="T72" i="118"/>
  <c r="U72" i="118"/>
  <c r="V72" i="118"/>
  <c r="W72" i="118"/>
  <c r="X72" i="118"/>
  <c r="Z72" i="118" a="1"/>
  <c r="Z72" i="118" s="1"/>
  <c r="AA72" i="118"/>
  <c r="AB72" i="118"/>
  <c r="AC72" i="118"/>
  <c r="AD72" i="118"/>
  <c r="AE72" i="118"/>
  <c r="AF72" i="118"/>
  <c r="AH72" i="118" a="1"/>
  <c r="AH72" i="118" s="1"/>
  <c r="AJ72" i="118" a="1"/>
  <c r="AJ72" i="118" s="1"/>
  <c r="Y71" i="118"/>
  <c r="C71" i="118"/>
  <c r="D71" i="118"/>
  <c r="E71" i="118"/>
  <c r="F71" i="118"/>
  <c r="G71" i="118"/>
  <c r="H71" i="118"/>
  <c r="I71" i="118"/>
  <c r="J71" i="118"/>
  <c r="K71" i="118"/>
  <c r="L71" i="118"/>
  <c r="M71" i="118"/>
  <c r="N71" i="118"/>
  <c r="O71" i="118"/>
  <c r="P71" i="118"/>
  <c r="Q71" i="118"/>
  <c r="R71" i="118"/>
  <c r="S71" i="118"/>
  <c r="T71" i="118"/>
  <c r="U71" i="118"/>
  <c r="V71" i="118"/>
  <c r="W71" i="118"/>
  <c r="X71" i="118"/>
  <c r="Z71" i="118" a="1"/>
  <c r="Z71" i="118" s="1"/>
  <c r="AA71" i="118"/>
  <c r="AB71" i="118"/>
  <c r="AC71" i="118"/>
  <c r="AD71" i="118"/>
  <c r="AE71" i="118"/>
  <c r="AF71" i="118"/>
  <c r="AH71" i="118" a="1"/>
  <c r="AH71" i="118" s="1"/>
  <c r="AJ71" i="118" a="1"/>
  <c r="AJ71" i="118" s="1"/>
  <c r="Y74" i="118"/>
  <c r="C74" i="118"/>
  <c r="D74" i="118"/>
  <c r="E74" i="118"/>
  <c r="F74" i="118"/>
  <c r="G74" i="118"/>
  <c r="H74" i="118"/>
  <c r="I74" i="118"/>
  <c r="J74" i="118"/>
  <c r="K74" i="118"/>
  <c r="L74" i="118"/>
  <c r="M74" i="118"/>
  <c r="N74" i="118"/>
  <c r="O74" i="118"/>
  <c r="P74" i="118"/>
  <c r="Q74" i="118"/>
  <c r="R74" i="118"/>
  <c r="S74" i="118"/>
  <c r="T74" i="118"/>
  <c r="U74" i="118"/>
  <c r="V74" i="118"/>
  <c r="W74" i="118"/>
  <c r="X74" i="118"/>
  <c r="Z74" i="118" a="1"/>
  <c r="Z74" i="118" s="1"/>
  <c r="AA74" i="118"/>
  <c r="AB74" i="118"/>
  <c r="AC74" i="118"/>
  <c r="AD74" i="118"/>
  <c r="AE74" i="118"/>
  <c r="AF74" i="118"/>
  <c r="AH74" i="118" a="1"/>
  <c r="AH74" i="118" s="1"/>
  <c r="AJ74" i="118" a="1"/>
  <c r="AJ74" i="118" s="1"/>
  <c r="C73" i="118"/>
  <c r="D73" i="118"/>
  <c r="E73" i="118"/>
  <c r="F73" i="118"/>
  <c r="G73" i="118"/>
  <c r="H73" i="118"/>
  <c r="I73" i="118"/>
  <c r="J73" i="118"/>
  <c r="K73" i="118"/>
  <c r="L73" i="118"/>
  <c r="M73" i="118"/>
  <c r="N73" i="118"/>
  <c r="O73" i="118"/>
  <c r="P73" i="118"/>
  <c r="Q73" i="118"/>
  <c r="R73" i="118"/>
  <c r="S73" i="118"/>
  <c r="T73" i="118"/>
  <c r="U73" i="118"/>
  <c r="V73" i="118"/>
  <c r="W73" i="118"/>
  <c r="X73" i="118"/>
  <c r="Z73" i="118" a="1"/>
  <c r="Z73" i="118" s="1"/>
  <c r="AA73" i="118"/>
  <c r="AB73" i="118"/>
  <c r="AC73" i="118"/>
  <c r="AD73" i="118"/>
  <c r="AE73" i="118"/>
  <c r="AF73" i="118"/>
  <c r="AH73" i="118" a="1"/>
  <c r="AH73" i="118" s="1"/>
  <c r="AJ73" i="118" a="1"/>
  <c r="AJ73" i="118" s="1"/>
  <c r="Y79" i="118"/>
  <c r="C79" i="118"/>
  <c r="D79" i="118"/>
  <c r="E79" i="118"/>
  <c r="F79" i="118"/>
  <c r="G79" i="118"/>
  <c r="H79" i="118"/>
  <c r="I79" i="118"/>
  <c r="J79" i="118"/>
  <c r="K79" i="118"/>
  <c r="L79" i="118"/>
  <c r="M79" i="118"/>
  <c r="N79" i="118"/>
  <c r="O79" i="118"/>
  <c r="P79" i="118"/>
  <c r="Q79" i="118"/>
  <c r="R79" i="118"/>
  <c r="S79" i="118"/>
  <c r="T79" i="118"/>
  <c r="U79" i="118"/>
  <c r="V79" i="118"/>
  <c r="W79" i="118"/>
  <c r="X79" i="118"/>
  <c r="Z79" i="118" a="1"/>
  <c r="Z79" i="118" s="1"/>
  <c r="AA79" i="118"/>
  <c r="AB79" i="118"/>
  <c r="AC79" i="118"/>
  <c r="AD79" i="118"/>
  <c r="AE79" i="118"/>
  <c r="AF79" i="118"/>
  <c r="AH79" i="118" a="1"/>
  <c r="AH79" i="118" s="1"/>
  <c r="AJ79" i="118" a="1"/>
  <c r="AJ79" i="118" s="1"/>
  <c r="Y78" i="118"/>
  <c r="C78" i="118"/>
  <c r="D78" i="118"/>
  <c r="E78" i="118"/>
  <c r="F78" i="118"/>
  <c r="G78" i="118"/>
  <c r="H78" i="118"/>
  <c r="I78" i="118"/>
  <c r="J78" i="118"/>
  <c r="K78" i="118"/>
  <c r="L78" i="118"/>
  <c r="M78" i="118"/>
  <c r="N78" i="118"/>
  <c r="O78" i="118"/>
  <c r="P78" i="118"/>
  <c r="Q78" i="118"/>
  <c r="R78" i="118"/>
  <c r="S78" i="118"/>
  <c r="T78" i="118"/>
  <c r="U78" i="118"/>
  <c r="V78" i="118"/>
  <c r="W78" i="118"/>
  <c r="X78" i="118"/>
  <c r="Z78" i="118" a="1"/>
  <c r="Z78" i="118" s="1"/>
  <c r="AA78" i="118"/>
  <c r="AB78" i="118"/>
  <c r="AC78" i="118"/>
  <c r="AD78" i="118"/>
  <c r="AE78" i="118"/>
  <c r="AF78" i="118"/>
  <c r="AH78" i="118" a="1"/>
  <c r="AH78" i="118" s="1"/>
  <c r="AJ78" i="118" a="1"/>
  <c r="AJ78" i="118" s="1"/>
  <c r="C77" i="118"/>
  <c r="D77" i="118"/>
  <c r="E77" i="118"/>
  <c r="F77" i="118"/>
  <c r="G77" i="118"/>
  <c r="H77" i="118"/>
  <c r="I77" i="118"/>
  <c r="J77" i="118"/>
  <c r="K77" i="118"/>
  <c r="L77" i="118"/>
  <c r="M77" i="118"/>
  <c r="N77" i="118"/>
  <c r="O77" i="118"/>
  <c r="P77" i="118"/>
  <c r="Q77" i="118"/>
  <c r="R77" i="118"/>
  <c r="S77" i="118"/>
  <c r="T77" i="118"/>
  <c r="U77" i="118"/>
  <c r="V77" i="118"/>
  <c r="W77" i="118"/>
  <c r="X77" i="118"/>
  <c r="Z77" i="118" a="1"/>
  <c r="Z77" i="118" s="1"/>
  <c r="AA77" i="118"/>
  <c r="AB77" i="118"/>
  <c r="AC77" i="118"/>
  <c r="AD77" i="118"/>
  <c r="AE77" i="118"/>
  <c r="AF77" i="118"/>
  <c r="AH77" i="118" a="1"/>
  <c r="AH77" i="118" s="1"/>
  <c r="AJ77" i="118" a="1"/>
  <c r="AJ77" i="118" s="1"/>
  <c r="Y76" i="118"/>
  <c r="C76" i="118"/>
  <c r="D76" i="118"/>
  <c r="E76" i="118"/>
  <c r="F76" i="118"/>
  <c r="G76" i="118"/>
  <c r="H76" i="118"/>
  <c r="I76" i="118"/>
  <c r="J76" i="118"/>
  <c r="K76" i="118"/>
  <c r="L76" i="118"/>
  <c r="M76" i="118"/>
  <c r="N76" i="118"/>
  <c r="O76" i="118"/>
  <c r="P76" i="118"/>
  <c r="Q76" i="118"/>
  <c r="R76" i="118"/>
  <c r="S76" i="118"/>
  <c r="T76" i="118"/>
  <c r="U76" i="118"/>
  <c r="V76" i="118"/>
  <c r="W76" i="118"/>
  <c r="X76" i="118"/>
  <c r="Z76" i="118" a="1"/>
  <c r="Z76" i="118" s="1"/>
  <c r="AA76" i="118"/>
  <c r="AB76" i="118"/>
  <c r="AC76" i="118"/>
  <c r="AD76" i="118"/>
  <c r="AE76" i="118"/>
  <c r="AF76" i="118"/>
  <c r="AH76" i="118" a="1"/>
  <c r="AH76" i="118" s="1"/>
  <c r="AJ76" i="118" a="1"/>
  <c r="AJ76" i="118" s="1"/>
  <c r="Y75" i="118"/>
  <c r="C75" i="118"/>
  <c r="D75" i="118"/>
  <c r="E75" i="118"/>
  <c r="F75" i="118"/>
  <c r="G75" i="118"/>
  <c r="H75" i="118"/>
  <c r="I75" i="118"/>
  <c r="J75" i="118"/>
  <c r="K75" i="118"/>
  <c r="L75" i="118"/>
  <c r="M75" i="118"/>
  <c r="N75" i="118"/>
  <c r="O75" i="118"/>
  <c r="P75" i="118"/>
  <c r="Q75" i="118"/>
  <c r="R75" i="118"/>
  <c r="S75" i="118"/>
  <c r="T75" i="118"/>
  <c r="U75" i="118"/>
  <c r="V75" i="118"/>
  <c r="W75" i="118"/>
  <c r="X75" i="118"/>
  <c r="Z75" i="118" a="1"/>
  <c r="Z75" i="118" s="1"/>
  <c r="AA75" i="118"/>
  <c r="AB75" i="118"/>
  <c r="AC75" i="118"/>
  <c r="AD75" i="118"/>
  <c r="AE75" i="118"/>
  <c r="AF75" i="118"/>
  <c r="AH75" i="118" a="1"/>
  <c r="AH75" i="118" s="1"/>
  <c r="AI75" i="118" a="1"/>
  <c r="AI75" i="118" s="1"/>
  <c r="AJ75" i="118" a="1"/>
  <c r="AJ75" i="118" s="1"/>
  <c r="Y85" i="119"/>
  <c r="C85" i="119"/>
  <c r="D85" i="119"/>
  <c r="E85" i="119"/>
  <c r="F85" i="119"/>
  <c r="G85" i="119"/>
  <c r="H85" i="119"/>
  <c r="I85" i="119"/>
  <c r="J85" i="119"/>
  <c r="K85" i="119"/>
  <c r="L85" i="119"/>
  <c r="M85" i="119"/>
  <c r="N85" i="119"/>
  <c r="O85" i="119"/>
  <c r="P85" i="119"/>
  <c r="Q85" i="119"/>
  <c r="R85" i="119"/>
  <c r="S85" i="119"/>
  <c r="T85" i="119"/>
  <c r="U85" i="119"/>
  <c r="V85" i="119"/>
  <c r="W85" i="119"/>
  <c r="X85" i="119"/>
  <c r="Z85" i="119" a="1"/>
  <c r="Z85" i="119" s="1"/>
  <c r="AA85" i="119"/>
  <c r="AB85" i="119"/>
  <c r="AC85" i="119"/>
  <c r="AD85" i="119"/>
  <c r="AE85" i="119"/>
  <c r="AF85" i="119"/>
  <c r="AH85" i="119" a="1"/>
  <c r="AH85" i="119" s="1"/>
  <c r="AI85" i="119" a="1"/>
  <c r="AI85" i="119" s="1"/>
  <c r="AJ85" i="119" a="1"/>
  <c r="AJ85" i="119" s="1"/>
  <c r="Y84" i="119"/>
  <c r="C84" i="119"/>
  <c r="D84" i="119"/>
  <c r="E84" i="119"/>
  <c r="F84" i="119"/>
  <c r="G84" i="119"/>
  <c r="H84" i="119"/>
  <c r="I84" i="119"/>
  <c r="J84" i="119"/>
  <c r="K84" i="119"/>
  <c r="L84" i="119"/>
  <c r="M84" i="119"/>
  <c r="N84" i="119"/>
  <c r="O84" i="119"/>
  <c r="P84" i="119"/>
  <c r="Q84" i="119"/>
  <c r="R84" i="119"/>
  <c r="S84" i="119"/>
  <c r="T84" i="119"/>
  <c r="U84" i="119"/>
  <c r="V84" i="119"/>
  <c r="W84" i="119"/>
  <c r="X84" i="119"/>
  <c r="Z84" i="119" a="1"/>
  <c r="Z84" i="119" s="1"/>
  <c r="AA84" i="119"/>
  <c r="AB84" i="119"/>
  <c r="AC84" i="119"/>
  <c r="AD84" i="119"/>
  <c r="AE84" i="119"/>
  <c r="AF84" i="119"/>
  <c r="AH84" i="119" a="1"/>
  <c r="AH84" i="119" s="1"/>
  <c r="AI84" i="119" a="1"/>
  <c r="AI84" i="119" s="1"/>
  <c r="AJ84" i="119" a="1"/>
  <c r="AJ84" i="119" s="1"/>
  <c r="C86" i="119"/>
  <c r="D86" i="119"/>
  <c r="E86" i="119"/>
  <c r="F86" i="119"/>
  <c r="G86" i="119"/>
  <c r="H86" i="119"/>
  <c r="I86" i="119"/>
  <c r="J86" i="119"/>
  <c r="K86" i="119"/>
  <c r="L86" i="119"/>
  <c r="M86" i="119"/>
  <c r="N86" i="119"/>
  <c r="O86" i="119"/>
  <c r="P86" i="119"/>
  <c r="Q86" i="119"/>
  <c r="R86" i="119"/>
  <c r="S86" i="119"/>
  <c r="T86" i="119"/>
  <c r="U86" i="119"/>
  <c r="V86" i="119"/>
  <c r="W86" i="119"/>
  <c r="X86" i="119"/>
  <c r="Z86" i="119" a="1"/>
  <c r="Z86" i="119" s="1"/>
  <c r="AA86" i="119"/>
  <c r="AB86" i="119"/>
  <c r="AC86" i="119"/>
  <c r="AD86" i="119"/>
  <c r="AE86" i="119"/>
  <c r="AF86" i="119"/>
  <c r="AH86" i="119" a="1"/>
  <c r="AH86" i="119" s="1"/>
  <c r="AI86" i="119" a="1"/>
  <c r="AI86" i="119" s="1"/>
  <c r="AJ86" i="119" a="1"/>
  <c r="AJ86" i="119" s="1"/>
  <c r="C91" i="119"/>
  <c r="D91" i="119"/>
  <c r="E91" i="119"/>
  <c r="F91" i="119"/>
  <c r="G91" i="119"/>
  <c r="H91" i="119"/>
  <c r="I91" i="119"/>
  <c r="J91" i="119"/>
  <c r="K91" i="119"/>
  <c r="L91" i="119"/>
  <c r="M91" i="119"/>
  <c r="N91" i="119"/>
  <c r="O91" i="119"/>
  <c r="P91" i="119"/>
  <c r="Q91" i="119"/>
  <c r="R91" i="119"/>
  <c r="S91" i="119"/>
  <c r="T91" i="119"/>
  <c r="U91" i="119"/>
  <c r="V91" i="119"/>
  <c r="W91" i="119"/>
  <c r="X91" i="119"/>
  <c r="Z91" i="119" a="1"/>
  <c r="Z91" i="119" s="1"/>
  <c r="AA91" i="119"/>
  <c r="AB91" i="119"/>
  <c r="AC91" i="119"/>
  <c r="AD91" i="119"/>
  <c r="AE91" i="119"/>
  <c r="AF91" i="119"/>
  <c r="AH91" i="119" a="1"/>
  <c r="AH91" i="119" s="1"/>
  <c r="AI91" i="119" a="1"/>
  <c r="AI91" i="119" s="1"/>
  <c r="AJ91" i="119" a="1"/>
  <c r="AJ91" i="119" s="1"/>
  <c r="Y90" i="119"/>
  <c r="C90" i="119"/>
  <c r="D90" i="119"/>
  <c r="E90" i="119"/>
  <c r="F90" i="119"/>
  <c r="G90" i="119"/>
  <c r="H90" i="119"/>
  <c r="I90" i="119"/>
  <c r="J90" i="119"/>
  <c r="K90" i="119"/>
  <c r="L90" i="119"/>
  <c r="M90" i="119"/>
  <c r="N90" i="119"/>
  <c r="O90" i="119"/>
  <c r="P90" i="119"/>
  <c r="Q90" i="119"/>
  <c r="R90" i="119"/>
  <c r="S90" i="119"/>
  <c r="T90" i="119"/>
  <c r="U90" i="119"/>
  <c r="V90" i="119"/>
  <c r="W90" i="119"/>
  <c r="X90" i="119"/>
  <c r="Z90" i="119" a="1"/>
  <c r="Z90" i="119" s="1"/>
  <c r="AA90" i="119"/>
  <c r="AB90" i="119"/>
  <c r="AC90" i="119"/>
  <c r="AD90" i="119"/>
  <c r="AE90" i="119"/>
  <c r="AF90" i="119"/>
  <c r="AH90" i="119" a="1"/>
  <c r="AH90" i="119" s="1"/>
  <c r="AI90" i="119" a="1"/>
  <c r="AI90" i="119" s="1"/>
  <c r="AJ90" i="119" a="1"/>
  <c r="AJ90" i="119" s="1"/>
  <c r="Y89" i="119"/>
  <c r="C89" i="119"/>
  <c r="D89" i="119"/>
  <c r="E89" i="119"/>
  <c r="F89" i="119"/>
  <c r="G89" i="119"/>
  <c r="H89" i="119"/>
  <c r="I89" i="119"/>
  <c r="J89" i="119"/>
  <c r="K89" i="119"/>
  <c r="L89" i="119"/>
  <c r="M89" i="119"/>
  <c r="N89" i="119"/>
  <c r="O89" i="119"/>
  <c r="P89" i="119"/>
  <c r="Q89" i="119"/>
  <c r="R89" i="119"/>
  <c r="S89" i="119"/>
  <c r="T89" i="119"/>
  <c r="U89" i="119"/>
  <c r="V89" i="119"/>
  <c r="W89" i="119"/>
  <c r="X89" i="119"/>
  <c r="Z89" i="119" a="1"/>
  <c r="Z89" i="119" s="1"/>
  <c r="AA89" i="119"/>
  <c r="AB89" i="119"/>
  <c r="AC89" i="119"/>
  <c r="AD89" i="119"/>
  <c r="AE89" i="119"/>
  <c r="AF89" i="119"/>
  <c r="AH89" i="119" a="1"/>
  <c r="AH89" i="119" s="1"/>
  <c r="AI89" i="119" a="1"/>
  <c r="AI89" i="119" s="1"/>
  <c r="AJ89" i="119" a="1"/>
  <c r="AJ89" i="119" s="1"/>
  <c r="C88" i="119"/>
  <c r="D88" i="119"/>
  <c r="E88" i="119"/>
  <c r="F88" i="119"/>
  <c r="G88" i="119"/>
  <c r="H88" i="119"/>
  <c r="I88" i="119"/>
  <c r="J88" i="119"/>
  <c r="K88" i="119"/>
  <c r="L88" i="119"/>
  <c r="M88" i="119"/>
  <c r="N88" i="119"/>
  <c r="O88" i="119"/>
  <c r="P88" i="119"/>
  <c r="Q88" i="119"/>
  <c r="R88" i="119"/>
  <c r="S88" i="119"/>
  <c r="T88" i="119"/>
  <c r="U88" i="119"/>
  <c r="V88" i="119"/>
  <c r="W88" i="119"/>
  <c r="X88" i="119"/>
  <c r="Z88" i="119" a="1"/>
  <c r="Z88" i="119" s="1"/>
  <c r="AA88" i="119"/>
  <c r="AB88" i="119"/>
  <c r="AC88" i="119"/>
  <c r="AD88" i="119"/>
  <c r="AE88" i="119"/>
  <c r="AF88" i="119"/>
  <c r="AH88" i="119" a="1"/>
  <c r="AH88" i="119" s="1"/>
  <c r="AI88" i="119" a="1"/>
  <c r="AI88" i="119" s="1"/>
  <c r="AJ88" i="119" a="1"/>
  <c r="AJ88" i="119" s="1"/>
  <c r="Y87" i="119"/>
  <c r="C87" i="119"/>
  <c r="D87" i="119"/>
  <c r="E87" i="119"/>
  <c r="F87" i="119"/>
  <c r="G87" i="119"/>
  <c r="H87" i="119"/>
  <c r="I87" i="119"/>
  <c r="J87" i="119"/>
  <c r="K87" i="119"/>
  <c r="L87" i="119"/>
  <c r="M87" i="119"/>
  <c r="N87" i="119"/>
  <c r="O87" i="119"/>
  <c r="P87" i="119"/>
  <c r="Q87" i="119"/>
  <c r="R87" i="119"/>
  <c r="S87" i="119"/>
  <c r="T87" i="119"/>
  <c r="U87" i="119"/>
  <c r="V87" i="119"/>
  <c r="W87" i="119"/>
  <c r="X87" i="119"/>
  <c r="Z87" i="119" a="1"/>
  <c r="Z87" i="119" s="1"/>
  <c r="AA87" i="119"/>
  <c r="AB87" i="119"/>
  <c r="AC87" i="119"/>
  <c r="AD87" i="119"/>
  <c r="AE87" i="119"/>
  <c r="AF87" i="119"/>
  <c r="AH87" i="119" a="1"/>
  <c r="AH87" i="119" s="1"/>
  <c r="AI87" i="119" a="1"/>
  <c r="AI87" i="119" s="1"/>
  <c r="AJ87" i="119" a="1"/>
  <c r="AJ87" i="119" s="1"/>
  <c r="Y77" i="43"/>
  <c r="C77" i="43"/>
  <c r="D77" i="43"/>
  <c r="E77" i="43"/>
  <c r="F77" i="43"/>
  <c r="G77" i="43"/>
  <c r="H77" i="43"/>
  <c r="I77" i="43"/>
  <c r="J77" i="43"/>
  <c r="K77" i="43"/>
  <c r="L77" i="43"/>
  <c r="M77" i="43"/>
  <c r="N77" i="43"/>
  <c r="O77" i="43"/>
  <c r="P77" i="43"/>
  <c r="Q77" i="43"/>
  <c r="R77" i="43"/>
  <c r="S77" i="43"/>
  <c r="T77" i="43"/>
  <c r="U77" i="43"/>
  <c r="V77" i="43"/>
  <c r="W77" i="43"/>
  <c r="X77" i="43"/>
  <c r="Z77" i="43" a="1"/>
  <c r="Z77" i="43" s="1"/>
  <c r="AA77" i="43"/>
  <c r="AB77" i="43"/>
  <c r="AC77" i="43"/>
  <c r="AD77" i="43"/>
  <c r="AE77" i="43"/>
  <c r="AF77" i="43"/>
  <c r="AH77" i="43" a="1"/>
  <c r="AH77" i="43" s="1"/>
  <c r="AI77" i="43" a="1"/>
  <c r="AI77" i="43" s="1"/>
  <c r="AJ77" i="43" a="1"/>
  <c r="AJ77" i="43" s="1"/>
  <c r="Y76" i="43"/>
  <c r="C76" i="43"/>
  <c r="D76" i="43"/>
  <c r="E76" i="43"/>
  <c r="F76" i="43"/>
  <c r="G76" i="43"/>
  <c r="H76" i="43"/>
  <c r="I76" i="43"/>
  <c r="J76" i="43"/>
  <c r="K76" i="43"/>
  <c r="L76" i="43"/>
  <c r="M76" i="43"/>
  <c r="N76" i="43"/>
  <c r="O76" i="43"/>
  <c r="P76" i="43"/>
  <c r="Q76" i="43"/>
  <c r="R76" i="43"/>
  <c r="S76" i="43"/>
  <c r="T76" i="43"/>
  <c r="U76" i="43"/>
  <c r="V76" i="43"/>
  <c r="W76" i="43"/>
  <c r="X76" i="43"/>
  <c r="Z76" i="43" a="1"/>
  <c r="Z76" i="43" s="1"/>
  <c r="AA76" i="43"/>
  <c r="AB76" i="43"/>
  <c r="AC76" i="43"/>
  <c r="AD76" i="43"/>
  <c r="AE76" i="43"/>
  <c r="AF76" i="43"/>
  <c r="AH76" i="43" a="1"/>
  <c r="AH76" i="43" s="1"/>
  <c r="AI76" i="43" a="1"/>
  <c r="AI76" i="43" s="1"/>
  <c r="AJ76" i="43" a="1"/>
  <c r="AJ76" i="43" s="1"/>
  <c r="Y75" i="43"/>
  <c r="C75" i="43"/>
  <c r="D75" i="43"/>
  <c r="E75" i="43"/>
  <c r="F75" i="43"/>
  <c r="G75" i="43"/>
  <c r="H75" i="43"/>
  <c r="I75" i="43"/>
  <c r="J75" i="43"/>
  <c r="K75" i="43"/>
  <c r="L75" i="43"/>
  <c r="M75" i="43"/>
  <c r="N75" i="43"/>
  <c r="O75" i="43"/>
  <c r="P75" i="43"/>
  <c r="Q75" i="43"/>
  <c r="R75" i="43"/>
  <c r="S75" i="43"/>
  <c r="T75" i="43"/>
  <c r="U75" i="43"/>
  <c r="V75" i="43"/>
  <c r="W75" i="43"/>
  <c r="X75" i="43"/>
  <c r="Z75" i="43" a="1"/>
  <c r="Z75" i="43" s="1"/>
  <c r="AA75" i="43"/>
  <c r="AB75" i="43"/>
  <c r="AC75" i="43"/>
  <c r="AD75" i="43"/>
  <c r="AE75" i="43"/>
  <c r="AF75" i="43"/>
  <c r="AH75" i="43" a="1"/>
  <c r="AH75" i="43" s="1"/>
  <c r="AI75" i="43" a="1"/>
  <c r="AI75" i="43" s="1"/>
  <c r="AJ75" i="43" a="1"/>
  <c r="AJ75" i="43" s="1"/>
  <c r="Y73" i="43"/>
  <c r="C73" i="43"/>
  <c r="D73" i="43"/>
  <c r="E73" i="43"/>
  <c r="F73" i="43"/>
  <c r="G73" i="43"/>
  <c r="H73" i="43"/>
  <c r="I73" i="43"/>
  <c r="J73" i="43"/>
  <c r="K73" i="43"/>
  <c r="L73" i="43"/>
  <c r="M73" i="43"/>
  <c r="N73" i="43"/>
  <c r="O73" i="43"/>
  <c r="P73" i="43"/>
  <c r="Q73" i="43"/>
  <c r="R73" i="43"/>
  <c r="S73" i="43"/>
  <c r="T73" i="43"/>
  <c r="U73" i="43"/>
  <c r="V73" i="43"/>
  <c r="W73" i="43"/>
  <c r="X73" i="43"/>
  <c r="Z73" i="43" a="1"/>
  <c r="Z73" i="43" s="1"/>
  <c r="AA73" i="43"/>
  <c r="AB73" i="43"/>
  <c r="AC73" i="43"/>
  <c r="AD73" i="43"/>
  <c r="AE73" i="43"/>
  <c r="AF73" i="43"/>
  <c r="AH73" i="43" a="1"/>
  <c r="AH73" i="43" s="1"/>
  <c r="AI73" i="43" a="1"/>
  <c r="AI73" i="43" s="1"/>
  <c r="AJ73" i="43" a="1"/>
  <c r="AJ73" i="43" s="1"/>
  <c r="Y72" i="43"/>
  <c r="C72" i="43"/>
  <c r="D72" i="43"/>
  <c r="E72" i="43"/>
  <c r="F72" i="43"/>
  <c r="G72" i="43"/>
  <c r="H72" i="43"/>
  <c r="I72" i="43"/>
  <c r="J72" i="43"/>
  <c r="K72" i="43"/>
  <c r="L72" i="43"/>
  <c r="M72" i="43"/>
  <c r="N72" i="43"/>
  <c r="O72" i="43"/>
  <c r="P72" i="43"/>
  <c r="Q72" i="43"/>
  <c r="R72" i="43"/>
  <c r="S72" i="43"/>
  <c r="T72" i="43"/>
  <c r="U72" i="43"/>
  <c r="V72" i="43"/>
  <c r="W72" i="43"/>
  <c r="X72" i="43"/>
  <c r="Z72" i="43" a="1"/>
  <c r="Z72" i="43" s="1"/>
  <c r="AA72" i="43"/>
  <c r="AB72" i="43"/>
  <c r="AC72" i="43"/>
  <c r="AD72" i="43"/>
  <c r="AE72" i="43"/>
  <c r="AF72" i="43"/>
  <c r="AH72" i="43" a="1"/>
  <c r="AH72" i="43" s="1"/>
  <c r="AI72" i="43" a="1"/>
  <c r="AI72" i="43" s="1"/>
  <c r="AJ72" i="43" a="1"/>
  <c r="AJ72" i="43" s="1"/>
  <c r="C78" i="43"/>
  <c r="D78" i="43"/>
  <c r="E78" i="43"/>
  <c r="F78" i="43"/>
  <c r="G78" i="43"/>
  <c r="H78" i="43"/>
  <c r="I78" i="43"/>
  <c r="J78" i="43"/>
  <c r="K78" i="43"/>
  <c r="L78" i="43"/>
  <c r="M78" i="43"/>
  <c r="N78" i="43"/>
  <c r="O78" i="43"/>
  <c r="P78" i="43"/>
  <c r="Q78" i="43"/>
  <c r="R78" i="43"/>
  <c r="S78" i="43"/>
  <c r="T78" i="43"/>
  <c r="U78" i="43"/>
  <c r="V78" i="43"/>
  <c r="W78" i="43"/>
  <c r="X78" i="43"/>
  <c r="Z78" i="43" a="1"/>
  <c r="Z78" i="43" s="1"/>
  <c r="AA78" i="43"/>
  <c r="AB78" i="43"/>
  <c r="AC78" i="43"/>
  <c r="AD78" i="43"/>
  <c r="AE78" i="43"/>
  <c r="AF78" i="43"/>
  <c r="AH78" i="43" a="1"/>
  <c r="AH78" i="43" s="1"/>
  <c r="AI78" i="43" a="1"/>
  <c r="AI78" i="43" s="1"/>
  <c r="AJ78" i="43" a="1"/>
  <c r="AJ78" i="43" s="1"/>
  <c r="Y79" i="43"/>
  <c r="C79" i="43"/>
  <c r="D79" i="43"/>
  <c r="E79" i="43"/>
  <c r="F79" i="43"/>
  <c r="G79" i="43"/>
  <c r="H79" i="43"/>
  <c r="I79" i="43"/>
  <c r="J79" i="43"/>
  <c r="K79" i="43"/>
  <c r="L79" i="43"/>
  <c r="M79" i="43"/>
  <c r="N79" i="43"/>
  <c r="O79" i="43"/>
  <c r="P79" i="43"/>
  <c r="Q79" i="43"/>
  <c r="R79" i="43"/>
  <c r="S79" i="43"/>
  <c r="T79" i="43"/>
  <c r="U79" i="43"/>
  <c r="V79" i="43"/>
  <c r="W79" i="43"/>
  <c r="X79" i="43"/>
  <c r="Z79" i="43" a="1"/>
  <c r="Z79" i="43" s="1"/>
  <c r="AA79" i="43"/>
  <c r="AB79" i="43"/>
  <c r="AC79" i="43"/>
  <c r="AD79" i="43"/>
  <c r="AE79" i="43"/>
  <c r="AF79" i="43"/>
  <c r="AH79" i="43" a="1"/>
  <c r="AH79" i="43" s="1"/>
  <c r="AI79" i="43" a="1"/>
  <c r="AI79" i="43" s="1"/>
  <c r="AJ79" i="43" a="1"/>
  <c r="AJ79" i="43" s="1"/>
  <c r="M2" i="1"/>
  <c r="E75" i="164"/>
  <c r="E76" i="164"/>
  <c r="E77" i="164"/>
  <c r="E78" i="164"/>
  <c r="E79" i="164"/>
  <c r="E80" i="164"/>
  <c r="E81" i="164"/>
  <c r="E82" i="164"/>
  <c r="E83" i="164"/>
  <c r="E84" i="164"/>
  <c r="E85" i="164"/>
  <c r="E86" i="164"/>
  <c r="E87" i="164"/>
  <c r="E88" i="164"/>
  <c r="E89" i="164"/>
  <c r="E90" i="164"/>
  <c r="E91" i="164"/>
  <c r="E92" i="164"/>
  <c r="E93" i="164"/>
  <c r="E94" i="164"/>
  <c r="E95" i="164"/>
  <c r="E96" i="164"/>
  <c r="E97" i="164"/>
  <c r="E98" i="164"/>
  <c r="E99" i="164"/>
  <c r="E100" i="164"/>
  <c r="E101" i="164"/>
  <c r="E102" i="164"/>
  <c r="E103" i="164"/>
  <c r="E104" i="164"/>
  <c r="E105" i="164"/>
  <c r="E106" i="164"/>
  <c r="E107" i="164"/>
  <c r="E108" i="164"/>
  <c r="E109" i="164"/>
  <c r="E110" i="164"/>
  <c r="E111" i="164"/>
  <c r="E112" i="164"/>
  <c r="E113" i="164"/>
  <c r="E114" i="164"/>
  <c r="E115" i="164"/>
  <c r="E116" i="164"/>
  <c r="E117" i="164"/>
  <c r="E118" i="164"/>
  <c r="E119" i="164"/>
  <c r="E120" i="164"/>
  <c r="E121" i="164"/>
  <c r="E122" i="164"/>
  <c r="E123" i="164"/>
  <c r="E124" i="164"/>
  <c r="E125" i="164"/>
  <c r="E126" i="164"/>
  <c r="E127" i="164"/>
  <c r="E128" i="164"/>
  <c r="E129" i="164"/>
  <c r="E130" i="164"/>
  <c r="E131" i="164"/>
  <c r="E132" i="164"/>
  <c r="E133" i="164"/>
  <c r="E134" i="164"/>
  <c r="E135" i="164"/>
  <c r="E136" i="164"/>
  <c r="E137" i="164"/>
  <c r="E138" i="164"/>
  <c r="E139" i="164"/>
  <c r="E140" i="164"/>
  <c r="E141" i="164"/>
  <c r="E142" i="164"/>
  <c r="E143" i="164"/>
  <c r="E144" i="164"/>
  <c r="E145" i="164"/>
  <c r="E146" i="164"/>
  <c r="E147" i="164"/>
  <c r="E148" i="164"/>
  <c r="E149" i="164"/>
  <c r="E150" i="164"/>
  <c r="E151" i="164"/>
  <c r="E152" i="164"/>
  <c r="E153" i="164"/>
  <c r="E154" i="164"/>
  <c r="E155" i="164"/>
  <c r="E156" i="164"/>
  <c r="E157" i="164"/>
  <c r="E158" i="164"/>
  <c r="E159" i="164"/>
  <c r="E160" i="164"/>
  <c r="E161" i="164"/>
  <c r="E162" i="164"/>
  <c r="E163" i="164"/>
  <c r="E164" i="164"/>
  <c r="E165" i="164"/>
  <c r="E166" i="164"/>
  <c r="E167" i="164"/>
  <c r="E168" i="164"/>
  <c r="E169" i="164"/>
  <c r="E170" i="164"/>
  <c r="E171" i="164"/>
  <c r="E172" i="164"/>
  <c r="E173" i="164"/>
  <c r="E174" i="164"/>
  <c r="E175" i="164"/>
  <c r="E176" i="164"/>
  <c r="E177" i="164"/>
  <c r="E178" i="164"/>
  <c r="E179" i="164"/>
  <c r="E180" i="164"/>
  <c r="E181" i="164"/>
  <c r="E182" i="164"/>
  <c r="E183" i="164"/>
  <c r="E184" i="164"/>
  <c r="E185" i="164"/>
  <c r="E186" i="164"/>
  <c r="E187" i="164"/>
  <c r="E188" i="164"/>
  <c r="E189" i="164"/>
  <c r="E190" i="164"/>
  <c r="E191" i="164"/>
  <c r="E192" i="164"/>
  <c r="E193" i="164"/>
  <c r="E194" i="164"/>
  <c r="E195" i="164"/>
  <c r="E196" i="164"/>
  <c r="E197" i="164"/>
  <c r="E198" i="164"/>
  <c r="E199" i="164"/>
  <c r="E200" i="164"/>
  <c r="E201" i="164"/>
  <c r="E202" i="164"/>
  <c r="E203" i="164"/>
  <c r="E204" i="164"/>
  <c r="E205" i="164"/>
  <c r="E206" i="164"/>
  <c r="E207" i="164"/>
  <c r="E208" i="164"/>
  <c r="E209" i="164"/>
  <c r="E210" i="164"/>
  <c r="E211" i="164"/>
  <c r="E212" i="164"/>
  <c r="E213" i="164"/>
  <c r="E214" i="164"/>
  <c r="E215" i="164"/>
  <c r="E216" i="164"/>
  <c r="E217" i="164"/>
  <c r="E218" i="164"/>
  <c r="E219" i="164"/>
  <c r="E220" i="164"/>
  <c r="E221" i="164"/>
  <c r="E222" i="164"/>
  <c r="E223" i="164"/>
  <c r="E224" i="164"/>
  <c r="E225" i="164"/>
  <c r="E226" i="164"/>
  <c r="E227" i="164"/>
  <c r="E228" i="164"/>
  <c r="E229" i="164"/>
  <c r="E230" i="164"/>
  <c r="E231" i="164"/>
  <c r="E232" i="164"/>
  <c r="E233" i="164"/>
  <c r="E234" i="164"/>
  <c r="E235" i="164"/>
  <c r="E236" i="164"/>
  <c r="E237" i="164"/>
  <c r="E238" i="164"/>
  <c r="E239" i="164"/>
  <c r="E240" i="164"/>
  <c r="E241" i="164"/>
  <c r="E242" i="164"/>
  <c r="E243" i="164"/>
  <c r="E244" i="164"/>
  <c r="E245" i="164"/>
  <c r="E246" i="164"/>
  <c r="E247" i="164"/>
  <c r="E248" i="164"/>
  <c r="E249" i="164"/>
  <c r="E250" i="164"/>
  <c r="E251" i="164"/>
  <c r="E252" i="164"/>
  <c r="E253" i="164"/>
  <c r="E254" i="164"/>
  <c r="E255" i="164"/>
  <c r="E256" i="164"/>
  <c r="E257" i="164"/>
  <c r="E258" i="164"/>
  <c r="E259" i="164"/>
  <c r="E260" i="164"/>
  <c r="E261" i="164"/>
  <c r="E262" i="164"/>
  <c r="E263" i="164"/>
  <c r="E264" i="164"/>
  <c r="E265" i="164"/>
  <c r="E266" i="164"/>
  <c r="E267" i="164"/>
  <c r="E268" i="164"/>
  <c r="E269" i="164"/>
  <c r="E270" i="164"/>
  <c r="E271" i="164"/>
  <c r="E272" i="164"/>
  <c r="E273" i="164"/>
  <c r="E274" i="164"/>
  <c r="E275" i="164"/>
  <c r="E276" i="164"/>
  <c r="E277" i="164"/>
  <c r="E278" i="164"/>
  <c r="E279" i="164"/>
  <c r="E280" i="164"/>
  <c r="E281" i="164"/>
  <c r="E282" i="164"/>
  <c r="E283" i="164"/>
  <c r="E284" i="164"/>
  <c r="E285" i="164"/>
  <c r="E286" i="164"/>
  <c r="E287" i="164"/>
  <c r="E288" i="164"/>
  <c r="E289" i="164"/>
  <c r="E290" i="164"/>
  <c r="E291" i="164"/>
  <c r="E292" i="164"/>
  <c r="E293" i="164"/>
  <c r="E294" i="164"/>
  <c r="E295" i="164"/>
  <c r="E296" i="164"/>
  <c r="E297" i="164"/>
  <c r="E298" i="164"/>
  <c r="E299" i="164"/>
  <c r="E300" i="164"/>
  <c r="E301" i="164"/>
  <c r="E302" i="164"/>
  <c r="E303" i="164"/>
  <c r="E304" i="164"/>
  <c r="E305" i="164"/>
  <c r="E306" i="164"/>
  <c r="E307" i="164"/>
  <c r="E308" i="164"/>
  <c r="E309" i="164"/>
  <c r="E310" i="164"/>
  <c r="E311" i="164"/>
  <c r="E312" i="164"/>
  <c r="E313" i="164"/>
  <c r="E314" i="164"/>
  <c r="E315" i="164"/>
  <c r="E316" i="164"/>
  <c r="E317" i="164"/>
  <c r="E318" i="164"/>
  <c r="E319" i="164"/>
  <c r="E320" i="164"/>
  <c r="E321" i="164"/>
  <c r="E322" i="164"/>
  <c r="E323" i="164"/>
  <c r="E324" i="164"/>
  <c r="E325" i="164"/>
  <c r="E326" i="164"/>
  <c r="E327" i="164"/>
  <c r="E328" i="164"/>
  <c r="E329" i="164"/>
  <c r="E330" i="164"/>
  <c r="E331" i="164"/>
  <c r="E332" i="164"/>
  <c r="E333" i="164"/>
  <c r="E334" i="164"/>
  <c r="E335" i="164"/>
  <c r="E336" i="164"/>
  <c r="E337" i="164"/>
  <c r="E338" i="164"/>
  <c r="E339" i="164"/>
  <c r="E340" i="164"/>
  <c r="E341" i="164"/>
  <c r="E342" i="164"/>
  <c r="E343" i="164"/>
  <c r="E344" i="164"/>
  <c r="E345" i="164"/>
  <c r="E346" i="164"/>
  <c r="E347" i="164"/>
  <c r="E348" i="164"/>
  <c r="E349" i="164"/>
  <c r="E350" i="164"/>
  <c r="E351" i="164"/>
  <c r="E352" i="164"/>
  <c r="E353" i="164"/>
  <c r="E354" i="164"/>
  <c r="E355" i="164"/>
  <c r="E356" i="164"/>
  <c r="E357" i="164"/>
  <c r="E378" i="164"/>
  <c r="E379" i="164"/>
  <c r="E380" i="164"/>
  <c r="E381" i="164"/>
  <c r="E382" i="164"/>
  <c r="E383" i="164"/>
  <c r="E384" i="164"/>
  <c r="E385" i="164"/>
  <c r="E386" i="164"/>
  <c r="E387" i="164"/>
  <c r="E388" i="164"/>
  <c r="E389" i="164"/>
  <c r="E390" i="164"/>
  <c r="E391" i="164"/>
  <c r="E392" i="164"/>
  <c r="E393" i="164"/>
  <c r="E394" i="164"/>
  <c r="E395" i="164"/>
  <c r="E396" i="164"/>
  <c r="E397" i="164"/>
  <c r="E398" i="164"/>
  <c r="E399" i="164"/>
  <c r="E400" i="164"/>
  <c r="E401" i="164"/>
  <c r="E402" i="164"/>
  <c r="E403" i="164"/>
  <c r="E404" i="164"/>
  <c r="E405" i="164"/>
  <c r="E406" i="164"/>
  <c r="E407" i="164"/>
  <c r="E408" i="164"/>
  <c r="E409" i="164"/>
  <c r="E410" i="164"/>
  <c r="E411" i="164"/>
  <c r="E412" i="164"/>
  <c r="E413" i="164"/>
  <c r="E414" i="164"/>
  <c r="E415" i="164"/>
  <c r="E416" i="164"/>
  <c r="E417" i="164"/>
  <c r="E418" i="164"/>
  <c r="E419" i="164"/>
  <c r="E420" i="164"/>
  <c r="E421" i="164"/>
  <c r="E422" i="164"/>
  <c r="E423" i="164"/>
  <c r="E424" i="164"/>
  <c r="E425" i="164"/>
  <c r="E426" i="164"/>
  <c r="E427" i="164"/>
  <c r="E428" i="164"/>
  <c r="E429" i="164"/>
  <c r="E430" i="164"/>
  <c r="E431" i="164"/>
  <c r="E432" i="164"/>
  <c r="E433" i="164"/>
  <c r="E434" i="164"/>
  <c r="E435" i="164"/>
  <c r="E436" i="164"/>
  <c r="E437" i="164"/>
  <c r="E438" i="164"/>
  <c r="E439" i="164"/>
  <c r="E440" i="164"/>
  <c r="E441" i="164"/>
  <c r="E442" i="164"/>
  <c r="E443" i="164"/>
  <c r="E444" i="164"/>
  <c r="E445" i="164"/>
  <c r="E446" i="164"/>
  <c r="E447" i="164"/>
  <c r="E448" i="164"/>
  <c r="E449" i="164"/>
  <c r="E450" i="164"/>
  <c r="E451" i="164"/>
  <c r="E452" i="164"/>
  <c r="E453" i="164"/>
  <c r="E454" i="164"/>
  <c r="E455" i="164"/>
  <c r="E456" i="164"/>
  <c r="E457" i="164"/>
  <c r="E458" i="164"/>
  <c r="E459" i="164"/>
  <c r="E460" i="164"/>
  <c r="E461" i="164"/>
  <c r="E462" i="164"/>
  <c r="E463" i="164"/>
  <c r="E464" i="164"/>
  <c r="E465" i="164"/>
  <c r="E466" i="164"/>
  <c r="E467" i="164"/>
  <c r="E468" i="164"/>
  <c r="E469" i="164"/>
  <c r="E470" i="164"/>
  <c r="E471" i="164"/>
  <c r="E472" i="164"/>
  <c r="E473" i="164"/>
  <c r="E474" i="164"/>
  <c r="E475" i="164"/>
  <c r="E476" i="164"/>
  <c r="E477" i="164"/>
  <c r="E478" i="164"/>
  <c r="E479" i="164"/>
  <c r="E480" i="164"/>
  <c r="E481" i="164"/>
  <c r="E482" i="164"/>
  <c r="E483" i="164"/>
  <c r="E484" i="164"/>
  <c r="E485" i="164"/>
  <c r="E486" i="164"/>
  <c r="E487" i="164"/>
  <c r="E488" i="164"/>
  <c r="E489" i="164"/>
  <c r="E490" i="164"/>
  <c r="E491" i="164"/>
  <c r="E492" i="164"/>
  <c r="E493" i="164"/>
  <c r="E494" i="164"/>
  <c r="E495" i="164"/>
  <c r="E496" i="164"/>
  <c r="E497" i="164"/>
  <c r="E498" i="164"/>
  <c r="E499" i="164"/>
  <c r="E500" i="164"/>
  <c r="E501" i="164"/>
  <c r="E502" i="164"/>
  <c r="E503" i="164"/>
  <c r="E504" i="164"/>
  <c r="E505" i="164"/>
  <c r="E506" i="164"/>
  <c r="E507" i="164"/>
  <c r="E508" i="164"/>
  <c r="E509" i="164"/>
  <c r="E510" i="164"/>
  <c r="E511" i="164"/>
  <c r="E512" i="164"/>
  <c r="E513" i="164"/>
  <c r="E514" i="164"/>
  <c r="E515" i="164"/>
  <c r="E516" i="164"/>
  <c r="E517" i="164"/>
  <c r="E518" i="164"/>
  <c r="E519" i="164"/>
  <c r="E520" i="164"/>
  <c r="E521" i="164"/>
  <c r="E522" i="164"/>
  <c r="E523" i="164"/>
  <c r="E524" i="164"/>
  <c r="E525" i="164"/>
  <c r="E526" i="164"/>
  <c r="E527" i="164"/>
  <c r="E528" i="164"/>
  <c r="E529" i="164"/>
  <c r="E530" i="164"/>
  <c r="E531" i="164"/>
  <c r="E532" i="164"/>
  <c r="E533" i="164"/>
  <c r="E534" i="164"/>
  <c r="E535" i="164"/>
  <c r="E536" i="164"/>
  <c r="E537" i="164"/>
  <c r="E538" i="164"/>
  <c r="E539" i="164"/>
  <c r="E540" i="164"/>
  <c r="E541" i="164"/>
  <c r="E542" i="164"/>
  <c r="E543" i="164"/>
  <c r="E544" i="164"/>
  <c r="E545" i="164"/>
  <c r="E546" i="164"/>
  <c r="E547" i="164"/>
  <c r="E548" i="164"/>
  <c r="E549" i="164"/>
  <c r="E550" i="164"/>
  <c r="E551" i="164"/>
  <c r="E552" i="164"/>
  <c r="E553" i="164"/>
  <c r="E554" i="164"/>
  <c r="E555" i="164"/>
  <c r="E556" i="164"/>
  <c r="E557" i="164"/>
  <c r="E558" i="164"/>
  <c r="E559" i="164"/>
  <c r="E560" i="164"/>
  <c r="E561" i="164"/>
  <c r="E562" i="164"/>
  <c r="E563" i="164"/>
  <c r="E564" i="164"/>
  <c r="E565" i="164"/>
  <c r="E566" i="164"/>
  <c r="E567" i="164"/>
  <c r="E568" i="164"/>
  <c r="E569" i="164"/>
  <c r="E570" i="164"/>
  <c r="E571" i="164"/>
  <c r="E572" i="164"/>
  <c r="E573" i="164"/>
  <c r="E574" i="164"/>
  <c r="E575" i="164"/>
  <c r="E576" i="164"/>
  <c r="E577" i="164"/>
  <c r="E578" i="164"/>
  <c r="E579" i="164"/>
  <c r="E580" i="164"/>
  <c r="E581" i="164"/>
  <c r="E582" i="164"/>
  <c r="E583" i="164"/>
  <c r="E584" i="164"/>
  <c r="E585" i="164"/>
  <c r="E586" i="164"/>
  <c r="E587" i="164"/>
  <c r="E588" i="164"/>
  <c r="E589" i="164"/>
  <c r="E590" i="164"/>
  <c r="E591" i="164"/>
  <c r="E592" i="164"/>
  <c r="E593" i="164"/>
  <c r="E594" i="164"/>
  <c r="E595" i="164"/>
  <c r="E596" i="164"/>
  <c r="E597" i="164"/>
  <c r="E598" i="164"/>
  <c r="E599" i="164"/>
  <c r="E600" i="164"/>
  <c r="E601" i="164"/>
  <c r="E602" i="164"/>
  <c r="E603" i="164"/>
  <c r="E604" i="164"/>
  <c r="E605" i="164"/>
  <c r="E606" i="164"/>
  <c r="E607" i="164"/>
  <c r="E608" i="164"/>
  <c r="E609" i="164"/>
  <c r="E610" i="164"/>
  <c r="E611" i="164"/>
  <c r="E612" i="164"/>
  <c r="E613" i="164"/>
  <c r="E614" i="164"/>
  <c r="E615" i="164"/>
  <c r="E616" i="164"/>
  <c r="E617" i="164"/>
  <c r="E618" i="164"/>
  <c r="E619" i="164"/>
  <c r="E620" i="164"/>
  <c r="E621" i="164"/>
  <c r="E622" i="164"/>
  <c r="E623" i="164"/>
  <c r="E624" i="164"/>
  <c r="E625" i="164"/>
  <c r="E626" i="164"/>
  <c r="E627" i="164"/>
  <c r="E628" i="164"/>
  <c r="E629" i="164"/>
  <c r="E630" i="164"/>
  <c r="E631" i="164"/>
  <c r="E632" i="164"/>
  <c r="E633" i="164"/>
  <c r="E634" i="164"/>
  <c r="E635" i="164"/>
  <c r="E636" i="164"/>
  <c r="E637" i="164"/>
  <c r="E638" i="164"/>
  <c r="E639" i="164"/>
  <c r="E640" i="164"/>
  <c r="E641" i="164"/>
  <c r="E642" i="164"/>
  <c r="E643" i="164"/>
  <c r="E644" i="164"/>
  <c r="E645" i="164"/>
  <c r="E646" i="164"/>
  <c r="E647" i="164"/>
  <c r="E74" i="164"/>
  <c r="O733" i="1"/>
  <c r="H239" i="8" s="1"/>
  <c r="C60" i="135"/>
  <c r="D60" i="135"/>
  <c r="C61" i="135"/>
  <c r="D61" i="135"/>
  <c r="C62" i="135"/>
  <c r="D62" i="135"/>
  <c r="C63" i="135"/>
  <c r="D63" i="135"/>
  <c r="C64" i="135"/>
  <c r="D64" i="135"/>
  <c r="C65" i="135"/>
  <c r="D65" i="135"/>
  <c r="C66" i="135"/>
  <c r="D66" i="135"/>
  <c r="C67" i="135"/>
  <c r="D67" i="135"/>
  <c r="C68" i="135"/>
  <c r="D68" i="135"/>
  <c r="C69" i="135"/>
  <c r="D69" i="135"/>
  <c r="C70" i="135"/>
  <c r="D70" i="135"/>
  <c r="C71" i="135"/>
  <c r="D71" i="135"/>
  <c r="C72" i="135"/>
  <c r="D72" i="135"/>
  <c r="C73" i="135"/>
  <c r="D73" i="135"/>
  <c r="C74" i="135"/>
  <c r="D74" i="135"/>
  <c r="C75" i="135"/>
  <c r="D75" i="135"/>
  <c r="C76" i="135"/>
  <c r="D76" i="135"/>
  <c r="C77" i="135"/>
  <c r="D77" i="135"/>
  <c r="C78" i="135"/>
  <c r="D78" i="135"/>
  <c r="C79" i="135"/>
  <c r="D79" i="135"/>
  <c r="I608" i="1"/>
  <c r="F325" i="8" s="1"/>
  <c r="C82" i="179" l="1"/>
  <c r="E10" i="184"/>
  <c r="F10" i="184"/>
  <c r="F11" i="179"/>
  <c r="F81" i="183"/>
  <c r="G10" i="177"/>
  <c r="F9" i="179"/>
  <c r="D10" i="177"/>
  <c r="F81" i="176"/>
  <c r="D10" i="184"/>
  <c r="F8" i="179"/>
  <c r="C81" i="183"/>
  <c r="E10" i="177"/>
  <c r="F10" i="179"/>
  <c r="C81" i="174"/>
  <c r="F12" i="179"/>
  <c r="C10" i="184"/>
  <c r="C81" i="176"/>
  <c r="E81" i="174"/>
  <c r="G10" i="184"/>
  <c r="D81" i="174"/>
  <c r="E81" i="183"/>
  <c r="E81" i="176"/>
  <c r="D81" i="183"/>
  <c r="C10" i="177"/>
  <c r="C81" i="178"/>
  <c r="F7" i="179"/>
  <c r="D81" i="176"/>
  <c r="I145" i="98"/>
  <c r="F7" i="172"/>
  <c r="C81" i="171"/>
  <c r="F9" i="172"/>
  <c r="C81" i="172"/>
  <c r="F10" i="172"/>
  <c r="F11" i="172"/>
  <c r="F8" i="172"/>
  <c r="F12" i="172"/>
  <c r="I67" i="168"/>
  <c r="I151" i="98"/>
  <c r="I141" i="98"/>
  <c r="H13" i="112" a="1"/>
  <c r="H13" i="112" s="1"/>
  <c r="H14" i="112" a="1"/>
  <c r="H14" i="112" s="1"/>
  <c r="E61" i="169"/>
  <c r="E72" i="169"/>
  <c r="E49" i="169"/>
  <c r="E62" i="169"/>
  <c r="E36" i="169"/>
  <c r="E51" i="169"/>
  <c r="E66" i="169"/>
  <c r="E35" i="169"/>
  <c r="E65" i="169"/>
  <c r="E69" i="169"/>
  <c r="I143" i="98"/>
  <c r="E58" i="169"/>
  <c r="E73" i="169"/>
  <c r="E16" i="169"/>
  <c r="E77" i="169"/>
  <c r="E76" i="169"/>
  <c r="E54" i="169"/>
  <c r="E42" i="169"/>
  <c r="E57" i="169"/>
  <c r="E48" i="169"/>
  <c r="I66" i="168"/>
  <c r="E39" i="169"/>
  <c r="E78" i="169"/>
  <c r="I150" i="98"/>
  <c r="E72" i="112"/>
  <c r="H49" i="112" a="1"/>
  <c r="H49" i="112" s="1"/>
  <c r="E44" i="169"/>
  <c r="E59" i="169"/>
  <c r="E74" i="169"/>
  <c r="E79" i="169"/>
  <c r="E23" i="169"/>
  <c r="I156" i="98"/>
  <c r="H43" i="112" a="1"/>
  <c r="H43" i="112" s="1"/>
  <c r="H64" i="112" a="1"/>
  <c r="H64" i="112" s="1"/>
  <c r="E75" i="169"/>
  <c r="I65" i="168"/>
  <c r="E15" i="169"/>
  <c r="E71" i="169"/>
  <c r="H51" i="112" a="1"/>
  <c r="H51" i="112" s="1"/>
  <c r="H75" i="112" a="1"/>
  <c r="H75" i="112" s="1"/>
  <c r="I138" i="98"/>
  <c r="I134" i="98"/>
  <c r="I68" i="168"/>
  <c r="I130" i="98"/>
  <c r="I132" i="98"/>
  <c r="I74" i="168"/>
  <c r="I136" i="98"/>
  <c r="I148" i="98"/>
  <c r="I72" i="168"/>
  <c r="I69" i="168"/>
  <c r="I131" i="98"/>
  <c r="I155" i="98"/>
  <c r="I144" i="98"/>
  <c r="I157" i="98"/>
  <c r="I140" i="98"/>
  <c r="I73" i="168"/>
  <c r="I137" i="98"/>
  <c r="I135" i="98"/>
  <c r="I154" i="98"/>
  <c r="I142" i="98"/>
  <c r="I70" i="168"/>
  <c r="I146" i="98"/>
  <c r="I152" i="98"/>
  <c r="I153" i="98"/>
  <c r="H78" i="112" a="1"/>
  <c r="H78" i="112" s="1"/>
  <c r="H47" i="112" a="1"/>
  <c r="H47" i="112" s="1"/>
  <c r="H23" i="112" a="1"/>
  <c r="H23" i="112" s="1"/>
  <c r="E68" i="169"/>
  <c r="E56" i="169"/>
  <c r="H9" i="169" a="1"/>
  <c r="H9" i="169" s="1"/>
  <c r="H49" i="169" a="1"/>
  <c r="H49" i="169" s="1"/>
  <c r="H60" i="112" a="1"/>
  <c r="H60" i="112" s="1"/>
  <c r="H12" i="112" a="1"/>
  <c r="H12" i="112" s="1"/>
  <c r="E79" i="112"/>
  <c r="I147" i="98"/>
  <c r="H42" i="112" a="1"/>
  <c r="H42" i="112" s="1"/>
  <c r="E79" i="136"/>
  <c r="E63" i="169"/>
  <c r="H16" i="112" a="1"/>
  <c r="H16" i="112" s="1"/>
  <c r="H38" i="112" a="1"/>
  <c r="H38" i="112" s="1"/>
  <c r="H63" i="112" a="1"/>
  <c r="H63" i="112" s="1"/>
  <c r="H77" i="112" a="1"/>
  <c r="H77" i="112" s="1"/>
  <c r="E45" i="169"/>
  <c r="I133" i="98"/>
  <c r="H26" i="112" a="1"/>
  <c r="H26" i="112" s="1"/>
  <c r="H22" i="112" a="1"/>
  <c r="H22" i="112" s="1"/>
  <c r="H69" i="112" a="1"/>
  <c r="H69" i="112" s="1"/>
  <c r="H44" i="112" a="1"/>
  <c r="H44" i="112" s="1"/>
  <c r="I71" i="168"/>
  <c r="E24" i="112"/>
  <c r="H21" i="112" a="1"/>
  <c r="H21" i="112" s="1"/>
  <c r="I149" i="98"/>
  <c r="H50" i="112" a="1"/>
  <c r="H50" i="112" s="1"/>
  <c r="E73" i="112"/>
  <c r="E78" i="112"/>
  <c r="H66" i="112" a="1"/>
  <c r="H66" i="112" s="1"/>
  <c r="H41" i="112" a="1"/>
  <c r="H41" i="112" s="1"/>
  <c r="H17" i="112" a="1"/>
  <c r="H17" i="112" s="1"/>
  <c r="H45" i="112" a="1"/>
  <c r="H45" i="112" s="1"/>
  <c r="H61" i="112" a="1"/>
  <c r="H61" i="112" s="1"/>
  <c r="H14" i="169" a="1"/>
  <c r="H14" i="169" s="1"/>
  <c r="H29" i="169" a="1"/>
  <c r="H29" i="169" s="1"/>
  <c r="H44" i="169" a="1"/>
  <c r="H44" i="169" s="1"/>
  <c r="H59" i="169" a="1"/>
  <c r="H59" i="169" s="1"/>
  <c r="H74" i="169" a="1"/>
  <c r="H74" i="169" s="1"/>
  <c r="H62" i="112" a="1"/>
  <c r="H62" i="112" s="1"/>
  <c r="I139" i="98"/>
  <c r="H67" i="112" a="1"/>
  <c r="H67" i="112" s="1"/>
  <c r="H57" i="112" a="1"/>
  <c r="H57" i="112" s="1"/>
  <c r="H53" i="112" a="1"/>
  <c r="H53" i="112" s="1"/>
  <c r="H36" i="112" a="1"/>
  <c r="H36" i="112" s="1"/>
  <c r="H19" i="112" a="1"/>
  <c r="H19" i="112" s="1"/>
  <c r="E37" i="169"/>
  <c r="E52" i="169"/>
  <c r="E67" i="169"/>
  <c r="H12" i="169" a="1"/>
  <c r="H12" i="169" s="1"/>
  <c r="H27" i="169" a="1"/>
  <c r="H27" i="169" s="1"/>
  <c r="H42" i="169" a="1"/>
  <c r="H42" i="169" s="1"/>
  <c r="H68" i="112" a="1"/>
  <c r="H68" i="112" s="1"/>
  <c r="H76" i="112" a="1"/>
  <c r="H76" i="112" s="1"/>
  <c r="H20" i="112" a="1"/>
  <c r="H20" i="112" s="1"/>
  <c r="H35" i="112" a="1"/>
  <c r="H35" i="112" s="1"/>
  <c r="H55" i="112" a="1"/>
  <c r="H55" i="112" s="1"/>
  <c r="H39" i="112" a="1"/>
  <c r="H39" i="112" s="1"/>
  <c r="H46" i="112" a="1"/>
  <c r="H46" i="112" s="1"/>
  <c r="H37" i="112" a="1"/>
  <c r="H37" i="112" s="1"/>
  <c r="E70" i="136"/>
  <c r="H72" i="136" a="1"/>
  <c r="H72" i="136" s="1"/>
  <c r="E78" i="136"/>
  <c r="H57" i="169" a="1"/>
  <c r="H57" i="169" s="1"/>
  <c r="H34" i="112" a="1"/>
  <c r="H34" i="112" s="1"/>
  <c r="H20" i="169" a="1"/>
  <c r="H20" i="169" s="1"/>
  <c r="H35" i="169" a="1"/>
  <c r="H35" i="169" s="1"/>
  <c r="H50" i="169" a="1"/>
  <c r="H50" i="169" s="1"/>
  <c r="H48" i="112" a="1"/>
  <c r="H48" i="112" s="1"/>
  <c r="H15" i="112" a="1"/>
  <c r="H15" i="112" s="1"/>
  <c r="H61" i="136" a="1"/>
  <c r="H61" i="136" s="1"/>
  <c r="E59" i="136"/>
  <c r="E62" i="136"/>
  <c r="H64" i="136" a="1"/>
  <c r="H64" i="136" s="1"/>
  <c r="H41" i="169" a="1"/>
  <c r="H41" i="169" s="1"/>
  <c r="H19" i="169" a="1"/>
  <c r="H19" i="169" s="1"/>
  <c r="H65" i="112" a="1"/>
  <c r="H65" i="112" s="1"/>
  <c r="H67" i="136" a="1"/>
  <c r="H67" i="136" s="1"/>
  <c r="E65" i="136"/>
  <c r="H11" i="169" a="1"/>
  <c r="H11" i="169" s="1"/>
  <c r="H26" i="169" a="1"/>
  <c r="H26" i="169" s="1"/>
  <c r="H72" i="169" a="1"/>
  <c r="H72" i="169" s="1"/>
  <c r="H79" i="136" a="1"/>
  <c r="H79" i="136" s="1"/>
  <c r="E77" i="136"/>
  <c r="H66" i="136" a="1"/>
  <c r="H66" i="136" s="1"/>
  <c r="E64" i="136"/>
  <c r="H63" i="136" a="1"/>
  <c r="H63" i="136" s="1"/>
  <c r="E61" i="136"/>
  <c r="H25" i="169" a="1"/>
  <c r="H25" i="169" s="1"/>
  <c r="H18" i="169" a="1"/>
  <c r="H18" i="169" s="1"/>
  <c r="H64" i="169" a="1"/>
  <c r="H64" i="169" s="1"/>
  <c r="H79" i="169" a="1"/>
  <c r="H79" i="169" s="1"/>
  <c r="H18" i="112" a="1"/>
  <c r="H18" i="112" s="1"/>
  <c r="E76" i="136"/>
  <c r="H78" i="136" a="1"/>
  <c r="H78" i="136" s="1"/>
  <c r="H71" i="136" a="1"/>
  <c r="H71" i="136" s="1"/>
  <c r="E69" i="136"/>
  <c r="H17" i="169" a="1"/>
  <c r="H17" i="169" s="1"/>
  <c r="H78" i="169" a="1"/>
  <c r="H78" i="169" s="1"/>
  <c r="H56" i="169" a="1"/>
  <c r="H56" i="169" s="1"/>
  <c r="H71" i="169" a="1"/>
  <c r="H71" i="169" s="1"/>
  <c r="H52" i="112" a="1"/>
  <c r="H52" i="112" s="1"/>
  <c r="H68" i="136" a="1"/>
  <c r="H68" i="136" s="1"/>
  <c r="E66" i="136"/>
  <c r="H70" i="169" a="1"/>
  <c r="H70" i="169" s="1"/>
  <c r="H48" i="169" a="1"/>
  <c r="H48" i="169" s="1"/>
  <c r="H63" i="169" a="1"/>
  <c r="H63" i="169" s="1"/>
  <c r="H60" i="136" a="1"/>
  <c r="H60" i="136" s="1"/>
  <c r="E58" i="136"/>
  <c r="H62" i="169" a="1"/>
  <c r="H62" i="169" s="1"/>
  <c r="H77" i="169" a="1"/>
  <c r="H77" i="169" s="1"/>
  <c r="H40" i="169" a="1"/>
  <c r="H40" i="169" s="1"/>
  <c r="H55" i="169" a="1"/>
  <c r="H55" i="169" s="1"/>
  <c r="H54" i="112" a="1"/>
  <c r="H54" i="112" s="1"/>
  <c r="H73" i="112" a="1"/>
  <c r="H73" i="112" s="1"/>
  <c r="E75" i="136"/>
  <c r="H77" i="136" a="1"/>
  <c r="H77" i="136" s="1"/>
  <c r="E71" i="136"/>
  <c r="H73" i="136" a="1"/>
  <c r="H73" i="136" s="1"/>
  <c r="H40" i="112" a="1"/>
  <c r="H40" i="112" s="1"/>
  <c r="H54" i="169" a="1"/>
  <c r="H54" i="169" s="1"/>
  <c r="H69" i="169" a="1"/>
  <c r="H69" i="169" s="1"/>
  <c r="H32" i="169" a="1"/>
  <c r="H32" i="169" s="1"/>
  <c r="H47" i="169" a="1"/>
  <c r="H47" i="169" s="1"/>
  <c r="H74" i="112" a="1"/>
  <c r="H74" i="112" s="1"/>
  <c r="H46" i="169" a="1"/>
  <c r="H46" i="169" s="1"/>
  <c r="H61" i="169" a="1"/>
  <c r="H61" i="169" s="1"/>
  <c r="H76" i="169" a="1"/>
  <c r="H76" i="169" s="1"/>
  <c r="H24" i="169" a="1"/>
  <c r="H24" i="169" s="1"/>
  <c r="H39" i="169" a="1"/>
  <c r="H39" i="169" s="1"/>
  <c r="H56" i="112" a="1"/>
  <c r="H56" i="112" s="1"/>
  <c r="H76" i="136" a="1"/>
  <c r="H76" i="136" s="1"/>
  <c r="E74" i="136"/>
  <c r="H65" i="136" a="1"/>
  <c r="H65" i="136" s="1"/>
  <c r="E63" i="136"/>
  <c r="H62" i="136" a="1"/>
  <c r="H62" i="136" s="1"/>
  <c r="H38" i="169" a="1"/>
  <c r="H38" i="169" s="1"/>
  <c r="H53" i="169" a="1"/>
  <c r="H53" i="169" s="1"/>
  <c r="H68" i="169" a="1"/>
  <c r="H68" i="169" s="1"/>
  <c r="H16" i="169" a="1"/>
  <c r="H16" i="169" s="1"/>
  <c r="H31" i="169" a="1"/>
  <c r="H31" i="169" s="1"/>
  <c r="H24" i="112" a="1"/>
  <c r="H24" i="112" s="1"/>
  <c r="E40" i="169"/>
  <c r="H30" i="169" a="1"/>
  <c r="H30" i="169" s="1"/>
  <c r="H45" i="169" a="1"/>
  <c r="H45" i="169" s="1"/>
  <c r="H60" i="169" a="1"/>
  <c r="H60" i="169" s="1"/>
  <c r="H75" i="169" a="1"/>
  <c r="H75" i="169" s="1"/>
  <c r="H23" i="169" a="1"/>
  <c r="H23" i="169" s="1"/>
  <c r="H58" i="112" a="1"/>
  <c r="H58" i="112" s="1"/>
  <c r="H25" i="112" a="1"/>
  <c r="H25" i="112" s="1"/>
  <c r="H74" i="136" a="1"/>
  <c r="H74" i="136" s="1"/>
  <c r="E72" i="136"/>
  <c r="H70" i="136" a="1"/>
  <c r="H70" i="136" s="1"/>
  <c r="E68" i="136"/>
  <c r="H22" i="169" a="1"/>
  <c r="H22" i="169" s="1"/>
  <c r="H37" i="169" a="1"/>
  <c r="H37" i="169" s="1"/>
  <c r="H52" i="169" a="1"/>
  <c r="H52" i="169" s="1"/>
  <c r="H67" i="169" a="1"/>
  <c r="H67" i="169" s="1"/>
  <c r="H15" i="169" a="1"/>
  <c r="H15" i="169" s="1"/>
  <c r="H59" i="112" a="1"/>
  <c r="H59" i="112" s="1"/>
  <c r="H79" i="112" a="1"/>
  <c r="H79" i="112" s="1"/>
  <c r="E73" i="136"/>
  <c r="H75" i="136" a="1"/>
  <c r="H75" i="136" s="1"/>
  <c r="H73" i="169" a="1"/>
  <c r="H73" i="169" s="1"/>
  <c r="H36" i="169" a="1"/>
  <c r="H36" i="169" s="1"/>
  <c r="H51" i="169" a="1"/>
  <c r="H51" i="169" s="1"/>
  <c r="H66" i="169" a="1"/>
  <c r="H66" i="169" s="1"/>
  <c r="E67" i="136"/>
  <c r="H69" i="136" a="1"/>
  <c r="H69" i="136" s="1"/>
  <c r="H65" i="169" a="1"/>
  <c r="H65" i="169" s="1"/>
  <c r="H13" i="169" a="1"/>
  <c r="H13" i="169" s="1"/>
  <c r="H28" i="169" a="1"/>
  <c r="H28" i="169" s="1"/>
  <c r="H43" i="169" a="1"/>
  <c r="H43" i="169" s="1"/>
  <c r="H58" i="169" a="1"/>
  <c r="H58" i="169" s="1"/>
  <c r="N27" i="168"/>
  <c r="M27" i="168"/>
  <c r="N26" i="168"/>
  <c r="M26" i="168"/>
  <c r="M371" i="1"/>
  <c r="M409" i="1"/>
  <c r="M484" i="1"/>
  <c r="M506" i="1"/>
  <c r="M521" i="1"/>
  <c r="M535" i="1"/>
  <c r="M576" i="1"/>
  <c r="M597" i="1"/>
  <c r="M610" i="1"/>
  <c r="M666" i="1"/>
  <c r="M705" i="1"/>
  <c r="M734" i="1"/>
  <c r="M778" i="1"/>
  <c r="M791" i="1"/>
  <c r="M835" i="1"/>
  <c r="M15" i="1"/>
  <c r="M32" i="1"/>
  <c r="M84" i="1"/>
  <c r="M110" i="1"/>
  <c r="M209" i="1"/>
  <c r="M264" i="1"/>
  <c r="H72" i="135"/>
  <c r="H63" i="135"/>
  <c r="G63" i="135"/>
  <c r="G70" i="135"/>
  <c r="G74" i="135"/>
  <c r="H73" i="135"/>
  <c r="G73" i="135"/>
  <c r="H74" i="135"/>
  <c r="G72" i="135"/>
  <c r="G71" i="135"/>
  <c r="H70" i="135"/>
  <c r="H69" i="135"/>
  <c r="H79" i="135"/>
  <c r="G69" i="135"/>
  <c r="G79" i="135"/>
  <c r="H71" i="135"/>
  <c r="G60" i="135"/>
  <c r="H60" i="135"/>
  <c r="G61" i="135"/>
  <c r="H61" i="135"/>
  <c r="G62" i="135"/>
  <c r="H62" i="135"/>
  <c r="G64" i="135"/>
  <c r="H64" i="135"/>
  <c r="G65" i="135"/>
  <c r="H65" i="135"/>
  <c r="G66" i="135"/>
  <c r="H66" i="135"/>
  <c r="G67" i="135"/>
  <c r="H67" i="135"/>
  <c r="G68" i="135"/>
  <c r="H68" i="135"/>
  <c r="G76" i="135"/>
  <c r="H76" i="135"/>
  <c r="G75" i="135"/>
  <c r="H75" i="135"/>
  <c r="G78" i="135"/>
  <c r="H78" i="135"/>
  <c r="G77" i="135"/>
  <c r="H77" i="135"/>
  <c r="F55" i="1"/>
  <c r="U55" i="1" s="1"/>
  <c r="O755" i="1"/>
  <c r="H254" i="8" s="1"/>
  <c r="O753" i="1"/>
  <c r="H252" i="8" s="1"/>
  <c r="F697" i="1"/>
  <c r="U697" i="1" s="1"/>
  <c r="J699" i="1"/>
  <c r="I699" i="1"/>
  <c r="H699" i="1"/>
  <c r="F699" i="1"/>
  <c r="U699" i="1" s="1"/>
  <c r="O689" i="1"/>
  <c r="H218" i="8" s="1"/>
  <c r="F684" i="1"/>
  <c r="J684" i="1"/>
  <c r="I684" i="1"/>
  <c r="H684" i="1"/>
  <c r="H685" i="1"/>
  <c r="E215" i="8" s="1"/>
  <c r="I685" i="1"/>
  <c r="J685" i="1"/>
  <c r="G215" i="8" s="1"/>
  <c r="P812" i="1"/>
  <c r="I271" i="8" s="1"/>
  <c r="P834" i="1"/>
  <c r="I272" i="8" s="1"/>
  <c r="P836" i="1"/>
  <c r="P839" i="1"/>
  <c r="P840" i="1"/>
  <c r="P845" i="1"/>
  <c r="I273" i="8" s="1"/>
  <c r="P854" i="1"/>
  <c r="I274" i="8" s="1"/>
  <c r="O2" i="1"/>
  <c r="H278" i="8" s="1"/>
  <c r="O3" i="1"/>
  <c r="H7" i="8" s="1"/>
  <c r="O5" i="1"/>
  <c r="H279" i="8" s="1"/>
  <c r="O7" i="1"/>
  <c r="H280" i="8" s="1"/>
  <c r="O12" i="1"/>
  <c r="H8" i="8" s="1"/>
  <c r="O14" i="1"/>
  <c r="H281" i="8" s="1"/>
  <c r="O16" i="1"/>
  <c r="H9" i="8" s="1"/>
  <c r="O17" i="1"/>
  <c r="H10" i="8" s="1"/>
  <c r="O18" i="1"/>
  <c r="H11" i="8" s="1"/>
  <c r="O20" i="1"/>
  <c r="H12" i="8" s="1"/>
  <c r="O21" i="1"/>
  <c r="H13" i="8" s="1"/>
  <c r="O22" i="1"/>
  <c r="H14" i="8" s="1"/>
  <c r="O36" i="1"/>
  <c r="H15" i="8" s="1"/>
  <c r="O37" i="1"/>
  <c r="H16" i="8" s="1"/>
  <c r="O38" i="1"/>
  <c r="H17" i="8" s="1"/>
  <c r="O45" i="1"/>
  <c r="H18" i="8" s="1"/>
  <c r="O46" i="1"/>
  <c r="H19" i="8" s="1"/>
  <c r="O47" i="1"/>
  <c r="H282" i="8" s="1"/>
  <c r="O49" i="1"/>
  <c r="H20" i="8" s="1"/>
  <c r="O50" i="1"/>
  <c r="H283" i="8" s="1"/>
  <c r="O51" i="1"/>
  <c r="H21" i="8" s="1"/>
  <c r="O53" i="1"/>
  <c r="H22" i="8" s="1"/>
  <c r="O54" i="1"/>
  <c r="H23" i="8" s="1"/>
  <c r="O55" i="1"/>
  <c r="H24" i="8" s="1"/>
  <c r="O56" i="1"/>
  <c r="H25" i="8" s="1"/>
  <c r="O59" i="1"/>
  <c r="H26" i="8" s="1"/>
  <c r="O60" i="1"/>
  <c r="H27" i="8" s="1"/>
  <c r="O62" i="1"/>
  <c r="H284" i="8" s="1"/>
  <c r="O63" i="1"/>
  <c r="H28" i="8" s="1"/>
  <c r="O64" i="1"/>
  <c r="H29" i="8" s="1"/>
  <c r="O65" i="1"/>
  <c r="H30" i="8" s="1"/>
  <c r="O67" i="1"/>
  <c r="H31" i="8" s="1"/>
  <c r="O68" i="1"/>
  <c r="H32" i="8" s="1"/>
  <c r="O69" i="1"/>
  <c r="H33" i="8" s="1"/>
  <c r="O70" i="1"/>
  <c r="H34" i="8" s="1"/>
  <c r="O71" i="1"/>
  <c r="H35" i="8" s="1"/>
  <c r="O73" i="1"/>
  <c r="H36" i="8" s="1"/>
  <c r="O75" i="1"/>
  <c r="H285" i="8" s="1"/>
  <c r="O84" i="1"/>
  <c r="H286" i="8" s="1"/>
  <c r="O90" i="1"/>
  <c r="H287" i="8" s="1"/>
  <c r="O91" i="1"/>
  <c r="H37" i="8" s="1"/>
  <c r="O92" i="1"/>
  <c r="H38" i="8" s="1"/>
  <c r="O93" i="1"/>
  <c r="H39" i="8" s="1"/>
  <c r="O96" i="1"/>
  <c r="H40" i="8" s="1"/>
  <c r="O97" i="1"/>
  <c r="H41" i="8" s="1"/>
  <c r="O99" i="1"/>
  <c r="H42" i="8" s="1"/>
  <c r="O103" i="1"/>
  <c r="H288" i="8" s="1"/>
  <c r="O105" i="1"/>
  <c r="H43" i="8" s="1"/>
  <c r="O106" i="1"/>
  <c r="H44" i="8" s="1"/>
  <c r="O107" i="1"/>
  <c r="H45" i="8" s="1"/>
  <c r="O108" i="1"/>
  <c r="H46" i="8" s="1"/>
  <c r="O111" i="1"/>
  <c r="H47" i="8" s="1"/>
  <c r="O112" i="1"/>
  <c r="H289" i="8" s="1"/>
  <c r="O113" i="1"/>
  <c r="H48" i="8" s="1"/>
  <c r="O117" i="1"/>
  <c r="H49" i="8" s="1"/>
  <c r="O118" i="1"/>
  <c r="H50" i="8" s="1"/>
  <c r="O119" i="1"/>
  <c r="H51" i="8" s="1"/>
  <c r="O120" i="1"/>
  <c r="H52" i="8" s="1"/>
  <c r="O135" i="1"/>
  <c r="H53" i="8" s="1"/>
  <c r="O137" i="1"/>
  <c r="H54" i="8" s="1"/>
  <c r="O138" i="1"/>
  <c r="H55" i="8" s="1"/>
  <c r="O139" i="1"/>
  <c r="H56" i="8" s="1"/>
  <c r="O140" i="1"/>
  <c r="H57" i="8" s="1"/>
  <c r="O141" i="1"/>
  <c r="H58" i="8" s="1"/>
  <c r="O142" i="1"/>
  <c r="H59" i="8" s="1"/>
  <c r="O148" i="1"/>
  <c r="H60" i="8" s="1"/>
  <c r="O149" i="1"/>
  <c r="H61" i="8" s="1"/>
  <c r="O150" i="1"/>
  <c r="H62" i="8" s="1"/>
  <c r="O151" i="1"/>
  <c r="H63" i="8" s="1"/>
  <c r="O160" i="1"/>
  <c r="H64" i="8" s="1"/>
  <c r="O161" i="1"/>
  <c r="H65" i="8" s="1"/>
  <c r="O163" i="1"/>
  <c r="H66" i="8" s="1"/>
  <c r="O164" i="1"/>
  <c r="H67" i="8" s="1"/>
  <c r="O165" i="1"/>
  <c r="H68" i="8" s="1"/>
  <c r="O167" i="1"/>
  <c r="H69" i="8" s="1"/>
  <c r="O168" i="1"/>
  <c r="H70" i="8" s="1"/>
  <c r="O169" i="1"/>
  <c r="H71" i="8" s="1"/>
  <c r="O171" i="1"/>
  <c r="H290" i="8" s="1"/>
  <c r="O172" i="1"/>
  <c r="H72" i="8" s="1"/>
  <c r="O173" i="1"/>
  <c r="H73" i="8" s="1"/>
  <c r="O174" i="1"/>
  <c r="H74" i="8" s="1"/>
  <c r="O178" i="1"/>
  <c r="H75" i="8" s="1"/>
  <c r="O179" i="1"/>
  <c r="H76" i="8" s="1"/>
  <c r="O180" i="1"/>
  <c r="H77" i="8" s="1"/>
  <c r="O181" i="1"/>
  <c r="H78" i="8" s="1"/>
  <c r="O182" i="1"/>
  <c r="H79" i="8" s="1"/>
  <c r="O183" i="1"/>
  <c r="H80" i="8" s="1"/>
  <c r="O184" i="1"/>
  <c r="H81" i="8" s="1"/>
  <c r="O185" i="1"/>
  <c r="H82" i="8" s="1"/>
  <c r="O189" i="1"/>
  <c r="H83" i="8" s="1"/>
  <c r="O194" i="1"/>
  <c r="H84" i="8" s="1"/>
  <c r="O195" i="1"/>
  <c r="H85" i="8" s="1"/>
  <c r="O196" i="1"/>
  <c r="H86" i="8" s="1"/>
  <c r="O197" i="1"/>
  <c r="H87" i="8" s="1"/>
  <c r="O198" i="1"/>
  <c r="H291" i="8" s="1"/>
  <c r="O199" i="1"/>
  <c r="H88" i="8" s="1"/>
  <c r="O200" i="1"/>
  <c r="H89" i="8" s="1"/>
  <c r="O206" i="1"/>
  <c r="H90" i="8" s="1"/>
  <c r="O208" i="1"/>
  <c r="H91" i="8" s="1"/>
  <c r="O210" i="1"/>
  <c r="H92" i="8" s="1"/>
  <c r="O216" i="1"/>
  <c r="H93" i="8" s="1"/>
  <c r="O218" i="1"/>
  <c r="H94" i="8" s="1"/>
  <c r="O219" i="1"/>
  <c r="H95" i="8" s="1"/>
  <c r="O220" i="1"/>
  <c r="H96" i="8" s="1"/>
  <c r="O224" i="1"/>
  <c r="H97" i="8" s="1"/>
  <c r="O226" i="1"/>
  <c r="H98" i="8" s="1"/>
  <c r="O227" i="1"/>
  <c r="H99" i="8" s="1"/>
  <c r="O229" i="1"/>
  <c r="H100" i="8" s="1"/>
  <c r="O231" i="1"/>
  <c r="H101" i="8" s="1"/>
  <c r="O232" i="1"/>
  <c r="H102" i="8" s="1"/>
  <c r="O233" i="1"/>
  <c r="H103" i="8" s="1"/>
  <c r="O237" i="1"/>
  <c r="H104" i="8" s="1"/>
  <c r="O238" i="1"/>
  <c r="H105" i="8" s="1"/>
  <c r="O239" i="1"/>
  <c r="H106" i="8" s="1"/>
  <c r="O240" i="1"/>
  <c r="H107" i="8" s="1"/>
  <c r="O241" i="1"/>
  <c r="H108" i="8" s="1"/>
  <c r="O248" i="1"/>
  <c r="H109" i="8" s="1"/>
  <c r="O252" i="1"/>
  <c r="H292" i="8" s="1"/>
  <c r="O253" i="1"/>
  <c r="H110" i="8" s="1"/>
  <c r="O254" i="1"/>
  <c r="H111" i="8" s="1"/>
  <c r="O255" i="1"/>
  <c r="H112" i="8" s="1"/>
  <c r="O256" i="1"/>
  <c r="H293" i="8" s="1"/>
  <c r="O261" i="1"/>
  <c r="H113" i="8" s="1"/>
  <c r="O303" i="1"/>
  <c r="H114" i="8" s="1"/>
  <c r="O304" i="1"/>
  <c r="H115" i="8" s="1"/>
  <c r="O305" i="1"/>
  <c r="H116" i="8" s="1"/>
  <c r="O812" i="1"/>
  <c r="H271" i="8" s="1"/>
  <c r="O834" i="1"/>
  <c r="H272" i="8" s="1"/>
  <c r="O836" i="1"/>
  <c r="O839" i="1"/>
  <c r="O840" i="1"/>
  <c r="O845" i="1"/>
  <c r="H273" i="8" s="1"/>
  <c r="O854" i="1"/>
  <c r="H274" i="8" s="1"/>
  <c r="O742" i="1"/>
  <c r="H244" i="8" s="1"/>
  <c r="F215" i="8" l="1"/>
  <c r="C28" i="193" a="1"/>
  <c r="C28" i="193" s="1"/>
  <c r="D23" i="168"/>
  <c r="U684" i="1"/>
  <c r="O26" i="168"/>
  <c r="O27" i="168"/>
  <c r="I72" i="135"/>
  <c r="I70" i="135"/>
  <c r="I73" i="135"/>
  <c r="I63" i="135"/>
  <c r="I71" i="135"/>
  <c r="I74" i="135"/>
  <c r="I79" i="135"/>
  <c r="I69" i="135"/>
  <c r="I77" i="135"/>
  <c r="I78" i="135"/>
  <c r="I75" i="135"/>
  <c r="I76" i="135"/>
  <c r="I68" i="135"/>
  <c r="I67" i="135"/>
  <c r="I66" i="135"/>
  <c r="I65" i="135"/>
  <c r="I64" i="135"/>
  <c r="I62" i="135"/>
  <c r="I61" i="135"/>
  <c r="I60" i="135"/>
  <c r="C59" i="135"/>
  <c r="C58" i="135"/>
  <c r="C57" i="135"/>
  <c r="C56" i="135"/>
  <c r="C55" i="135"/>
  <c r="C54" i="135"/>
  <c r="C53" i="135"/>
  <c r="C52" i="135"/>
  <c r="C51" i="135"/>
  <c r="C50" i="135"/>
  <c r="C49" i="135"/>
  <c r="C48" i="135"/>
  <c r="C47" i="135"/>
  <c r="C46" i="135"/>
  <c r="C45" i="135"/>
  <c r="C44" i="135"/>
  <c r="C43" i="135"/>
  <c r="C42" i="135"/>
  <c r="C41" i="135"/>
  <c r="C40" i="135"/>
  <c r="C39" i="135"/>
  <c r="C38" i="135"/>
  <c r="C37" i="135"/>
  <c r="C36" i="135"/>
  <c r="C35" i="135"/>
  <c r="C34" i="135"/>
  <c r="C33" i="135"/>
  <c r="C32" i="135"/>
  <c r="C31" i="135"/>
  <c r="C30" i="135"/>
  <c r="C29" i="135"/>
  <c r="C28" i="135"/>
  <c r="C27" i="135"/>
  <c r="C26" i="135"/>
  <c r="C25" i="135"/>
  <c r="C24" i="135"/>
  <c r="C23" i="135"/>
  <c r="C22" i="135"/>
  <c r="C21" i="135"/>
  <c r="C20" i="135"/>
  <c r="C19" i="135"/>
  <c r="C18" i="135"/>
  <c r="C17" i="135"/>
  <c r="C16" i="135"/>
  <c r="C15" i="135"/>
  <c r="C14" i="135"/>
  <c r="C13" i="135"/>
  <c r="C12" i="135"/>
  <c r="C11" i="135"/>
  <c r="C10" i="135"/>
  <c r="C9" i="135"/>
  <c r="C8" i="135"/>
  <c r="C7" i="135"/>
  <c r="G23" i="168" l="1"/>
  <c r="H23" i="168"/>
  <c r="N26" i="135"/>
  <c r="N27" i="135"/>
  <c r="N28" i="135"/>
  <c r="M26" i="135"/>
  <c r="M27" i="135"/>
  <c r="M28" i="135"/>
  <c r="L26" i="135"/>
  <c r="L27" i="135"/>
  <c r="L28" i="135"/>
  <c r="H2" i="1"/>
  <c r="I2" i="1"/>
  <c r="J2" i="1"/>
  <c r="G278" i="8" s="1"/>
  <c r="H3" i="1"/>
  <c r="I3" i="1"/>
  <c r="J3" i="1"/>
  <c r="H4" i="1"/>
  <c r="I4" i="1"/>
  <c r="J4" i="1"/>
  <c r="H5" i="1"/>
  <c r="E279" i="8" s="1"/>
  <c r="I5" i="1"/>
  <c r="F279" i="8" s="1"/>
  <c r="J5" i="1"/>
  <c r="G279" i="8" s="1"/>
  <c r="H6" i="1"/>
  <c r="I6" i="1"/>
  <c r="J6" i="1"/>
  <c r="H7" i="1"/>
  <c r="E280" i="8" s="1"/>
  <c r="I7" i="1"/>
  <c r="F280" i="8" s="1"/>
  <c r="J7" i="1"/>
  <c r="G280" i="8" s="1"/>
  <c r="H9" i="1"/>
  <c r="I9" i="1"/>
  <c r="J9" i="1"/>
  <c r="H10" i="1"/>
  <c r="I10" i="1"/>
  <c r="J10" i="1"/>
  <c r="H11" i="1"/>
  <c r="I11" i="1"/>
  <c r="J11" i="1"/>
  <c r="H12" i="1"/>
  <c r="E8" i="8" s="1"/>
  <c r="I12" i="1"/>
  <c r="F8" i="8" s="1"/>
  <c r="J12" i="1"/>
  <c r="G8" i="8" s="1"/>
  <c r="H13" i="1"/>
  <c r="I13" i="1"/>
  <c r="J13" i="1"/>
  <c r="H14" i="1"/>
  <c r="E281" i="8" s="1"/>
  <c r="I14" i="1"/>
  <c r="F281" i="8" s="1"/>
  <c r="J14" i="1"/>
  <c r="G281" i="8" s="1"/>
  <c r="H15" i="1"/>
  <c r="I15" i="1"/>
  <c r="J15" i="1"/>
  <c r="H16" i="1"/>
  <c r="E9" i="8" s="1"/>
  <c r="I16" i="1"/>
  <c r="F9" i="8" s="1"/>
  <c r="J16" i="1"/>
  <c r="G9" i="8" s="1"/>
  <c r="H17" i="1"/>
  <c r="E10" i="8" s="1"/>
  <c r="I17" i="1"/>
  <c r="F10" i="8" s="1"/>
  <c r="J17" i="1"/>
  <c r="G10" i="8" s="1"/>
  <c r="H18" i="1"/>
  <c r="E11" i="8" s="1"/>
  <c r="I18" i="1"/>
  <c r="F11" i="8" s="1"/>
  <c r="J18" i="1"/>
  <c r="G11" i="8" s="1"/>
  <c r="H19" i="1"/>
  <c r="I19" i="1"/>
  <c r="J19" i="1"/>
  <c r="H20" i="1"/>
  <c r="E12" i="8" s="1"/>
  <c r="I20" i="1"/>
  <c r="F12" i="8" s="1"/>
  <c r="J20" i="1"/>
  <c r="G12" i="8" s="1"/>
  <c r="H21" i="1"/>
  <c r="E13" i="8" s="1"/>
  <c r="I21" i="1"/>
  <c r="F13" i="8" s="1"/>
  <c r="J21" i="1"/>
  <c r="G13" i="8" s="1"/>
  <c r="H22" i="1"/>
  <c r="E14" i="8" s="1"/>
  <c r="I22" i="1"/>
  <c r="F14" i="8" s="1"/>
  <c r="J22" i="1"/>
  <c r="G14" i="8" s="1"/>
  <c r="H24" i="1"/>
  <c r="I24" i="1"/>
  <c r="J24" i="1"/>
  <c r="H25" i="1"/>
  <c r="I25" i="1"/>
  <c r="J25" i="1"/>
  <c r="H27" i="1"/>
  <c r="I27" i="1"/>
  <c r="J27" i="1"/>
  <c r="H28" i="1"/>
  <c r="I28" i="1"/>
  <c r="J28" i="1"/>
  <c r="H30" i="1"/>
  <c r="I30" i="1"/>
  <c r="J30" i="1"/>
  <c r="H31" i="1"/>
  <c r="I31" i="1"/>
  <c r="J31" i="1"/>
  <c r="H32" i="1"/>
  <c r="I32" i="1"/>
  <c r="J32" i="1"/>
  <c r="H34" i="1"/>
  <c r="I34" i="1"/>
  <c r="J34" i="1"/>
  <c r="H35" i="1"/>
  <c r="I35" i="1"/>
  <c r="J35" i="1"/>
  <c r="H36" i="1"/>
  <c r="E15" i="8" s="1"/>
  <c r="I36" i="1"/>
  <c r="F15" i="8" s="1"/>
  <c r="J36" i="1"/>
  <c r="G15" i="8" s="1"/>
  <c r="H37" i="1"/>
  <c r="E16" i="8" s="1"/>
  <c r="I37" i="1"/>
  <c r="F16" i="8" s="1"/>
  <c r="J37" i="1"/>
  <c r="G16" i="8" s="1"/>
  <c r="H38" i="1"/>
  <c r="E17" i="8" s="1"/>
  <c r="I38" i="1"/>
  <c r="F17" i="8" s="1"/>
  <c r="J38" i="1"/>
  <c r="G17" i="8" s="1"/>
  <c r="H39" i="1"/>
  <c r="I39" i="1"/>
  <c r="J39" i="1"/>
  <c r="H40" i="1"/>
  <c r="I40" i="1"/>
  <c r="J40" i="1"/>
  <c r="H41" i="1"/>
  <c r="I41" i="1"/>
  <c r="J41" i="1"/>
  <c r="H42" i="1"/>
  <c r="I42" i="1"/>
  <c r="J42" i="1"/>
  <c r="H43" i="1"/>
  <c r="I43" i="1"/>
  <c r="J43" i="1"/>
  <c r="H44" i="1"/>
  <c r="I44" i="1"/>
  <c r="J44" i="1"/>
  <c r="H45" i="1"/>
  <c r="E18" i="8" s="1"/>
  <c r="I45" i="1"/>
  <c r="F18" i="8" s="1"/>
  <c r="J45" i="1"/>
  <c r="G18" i="8" s="1"/>
  <c r="H46" i="1"/>
  <c r="E19" i="8" s="1"/>
  <c r="I46" i="1"/>
  <c r="F19" i="8" s="1"/>
  <c r="J46" i="1"/>
  <c r="G19" i="8" s="1"/>
  <c r="H47" i="1"/>
  <c r="E282" i="8" s="1"/>
  <c r="I47" i="1"/>
  <c r="F282" i="8" s="1"/>
  <c r="J47" i="1"/>
  <c r="G282" i="8" s="1"/>
  <c r="H48" i="1"/>
  <c r="I48" i="1"/>
  <c r="J48" i="1"/>
  <c r="H49" i="1"/>
  <c r="E20" i="8" s="1"/>
  <c r="I49" i="1"/>
  <c r="F20" i="8" s="1"/>
  <c r="J49" i="1"/>
  <c r="G20" i="8" s="1"/>
  <c r="H50" i="1"/>
  <c r="E283" i="8" s="1"/>
  <c r="I50" i="1"/>
  <c r="F283" i="8" s="1"/>
  <c r="J50" i="1"/>
  <c r="G283" i="8" s="1"/>
  <c r="H51" i="1"/>
  <c r="E21" i="8" s="1"/>
  <c r="I51" i="1"/>
  <c r="F21" i="8" s="1"/>
  <c r="J51" i="1"/>
  <c r="G21" i="8" s="1"/>
  <c r="H52" i="1"/>
  <c r="I52" i="1"/>
  <c r="J52" i="1"/>
  <c r="H53" i="1"/>
  <c r="E22" i="8" s="1"/>
  <c r="I53" i="1"/>
  <c r="F22" i="8" s="1"/>
  <c r="J53" i="1"/>
  <c r="G22" i="8" s="1"/>
  <c r="H54" i="1"/>
  <c r="E23" i="8" s="1"/>
  <c r="I54" i="1"/>
  <c r="F23" i="8" s="1"/>
  <c r="J54" i="1"/>
  <c r="G23" i="8" s="1"/>
  <c r="H55" i="1"/>
  <c r="E24" i="8" s="1"/>
  <c r="I55" i="1"/>
  <c r="F24" i="8" s="1"/>
  <c r="J55" i="1"/>
  <c r="G24" i="8" s="1"/>
  <c r="H56" i="1"/>
  <c r="E25" i="8" s="1"/>
  <c r="I56" i="1"/>
  <c r="F25" i="8" s="1"/>
  <c r="J56" i="1"/>
  <c r="G25" i="8" s="1"/>
  <c r="H57" i="1"/>
  <c r="I57" i="1"/>
  <c r="J57" i="1"/>
  <c r="H58" i="1"/>
  <c r="I58" i="1"/>
  <c r="J58" i="1"/>
  <c r="H59" i="1"/>
  <c r="E26" i="8" s="1"/>
  <c r="I59" i="1"/>
  <c r="F26" i="8" s="1"/>
  <c r="J59" i="1"/>
  <c r="G26" i="8" s="1"/>
  <c r="H60" i="1"/>
  <c r="E27" i="8" s="1"/>
  <c r="I60" i="1"/>
  <c r="F27" i="8" s="1"/>
  <c r="J60" i="1"/>
  <c r="G27" i="8" s="1"/>
  <c r="H61" i="1"/>
  <c r="I61" i="1"/>
  <c r="J61" i="1"/>
  <c r="H62" i="1"/>
  <c r="E284" i="8" s="1"/>
  <c r="I62" i="1"/>
  <c r="F284" i="8" s="1"/>
  <c r="J62" i="1"/>
  <c r="G284" i="8" s="1"/>
  <c r="H63" i="1"/>
  <c r="E28" i="8" s="1"/>
  <c r="I63" i="1"/>
  <c r="F28" i="8" s="1"/>
  <c r="J63" i="1"/>
  <c r="G28" i="8" s="1"/>
  <c r="H64" i="1"/>
  <c r="E29" i="8" s="1"/>
  <c r="I64" i="1"/>
  <c r="F29" i="8" s="1"/>
  <c r="J64" i="1"/>
  <c r="G29" i="8" s="1"/>
  <c r="H65" i="1"/>
  <c r="E30" i="8" s="1"/>
  <c r="I65" i="1"/>
  <c r="F30" i="8" s="1"/>
  <c r="J65" i="1"/>
  <c r="G30" i="8" s="1"/>
  <c r="H66" i="1"/>
  <c r="I66" i="1"/>
  <c r="J66" i="1"/>
  <c r="H67" i="1"/>
  <c r="E31" i="8" s="1"/>
  <c r="I67" i="1"/>
  <c r="F31" i="8" s="1"/>
  <c r="J67" i="1"/>
  <c r="G31" i="8" s="1"/>
  <c r="H68" i="1"/>
  <c r="E32" i="8" s="1"/>
  <c r="I68" i="1"/>
  <c r="F32" i="8" s="1"/>
  <c r="J68" i="1"/>
  <c r="G32" i="8" s="1"/>
  <c r="H69" i="1"/>
  <c r="E33" i="8" s="1"/>
  <c r="I69" i="1"/>
  <c r="F33" i="8" s="1"/>
  <c r="J69" i="1"/>
  <c r="G33" i="8" s="1"/>
  <c r="H70" i="1"/>
  <c r="E34" i="8" s="1"/>
  <c r="I70" i="1"/>
  <c r="F34" i="8" s="1"/>
  <c r="J70" i="1"/>
  <c r="G34" i="8" s="1"/>
  <c r="H71" i="1"/>
  <c r="E35" i="8" s="1"/>
  <c r="I71" i="1"/>
  <c r="F35" i="8" s="1"/>
  <c r="J71" i="1"/>
  <c r="G35" i="8" s="1"/>
  <c r="H72" i="1"/>
  <c r="I72" i="1"/>
  <c r="J72" i="1"/>
  <c r="H73" i="1"/>
  <c r="E36" i="8" s="1"/>
  <c r="I73" i="1"/>
  <c r="F36" i="8" s="1"/>
  <c r="J73" i="1"/>
  <c r="G36" i="8" s="1"/>
  <c r="H74" i="1"/>
  <c r="I74" i="1"/>
  <c r="J74" i="1"/>
  <c r="H75" i="1"/>
  <c r="E285" i="8" s="1"/>
  <c r="I75" i="1"/>
  <c r="F285" i="8" s="1"/>
  <c r="J75" i="1"/>
  <c r="G285" i="8" s="1"/>
  <c r="H77" i="1"/>
  <c r="I77" i="1"/>
  <c r="J77" i="1"/>
  <c r="H78" i="1"/>
  <c r="I78" i="1"/>
  <c r="J78" i="1"/>
  <c r="H80" i="1"/>
  <c r="I80" i="1"/>
  <c r="J80" i="1"/>
  <c r="H81" i="1"/>
  <c r="I81" i="1"/>
  <c r="J81" i="1"/>
  <c r="H82" i="1"/>
  <c r="I82" i="1"/>
  <c r="J82" i="1"/>
  <c r="H83" i="1"/>
  <c r="I83" i="1"/>
  <c r="J83" i="1"/>
  <c r="H84" i="1"/>
  <c r="E286" i="8" s="1"/>
  <c r="I84" i="1"/>
  <c r="F286" i="8" s="1"/>
  <c r="J84" i="1"/>
  <c r="G286" i="8" s="1"/>
  <c r="H86" i="1"/>
  <c r="I86" i="1"/>
  <c r="J86" i="1"/>
  <c r="H87" i="1"/>
  <c r="I87" i="1"/>
  <c r="J87" i="1"/>
  <c r="H88" i="1"/>
  <c r="I88" i="1"/>
  <c r="J88" i="1"/>
  <c r="H89" i="1"/>
  <c r="I89" i="1"/>
  <c r="J89" i="1"/>
  <c r="H90" i="1"/>
  <c r="E287" i="8" s="1"/>
  <c r="I90" i="1"/>
  <c r="F287" i="8" s="1"/>
  <c r="J90" i="1"/>
  <c r="G287" i="8" s="1"/>
  <c r="H91" i="1"/>
  <c r="E37" i="8" s="1"/>
  <c r="I91" i="1"/>
  <c r="F37" i="8" s="1"/>
  <c r="J91" i="1"/>
  <c r="G37" i="8" s="1"/>
  <c r="H92" i="1"/>
  <c r="E38" i="8" s="1"/>
  <c r="I92" i="1"/>
  <c r="F38" i="8" s="1"/>
  <c r="J92" i="1"/>
  <c r="G38" i="8" s="1"/>
  <c r="H93" i="1"/>
  <c r="E39" i="8" s="1"/>
  <c r="I93" i="1"/>
  <c r="F39" i="8" s="1"/>
  <c r="J93" i="1"/>
  <c r="G39" i="8" s="1"/>
  <c r="H94" i="1"/>
  <c r="I94" i="1"/>
  <c r="J94" i="1"/>
  <c r="H95" i="1"/>
  <c r="I95" i="1"/>
  <c r="J95" i="1"/>
  <c r="H96" i="1"/>
  <c r="E40" i="8" s="1"/>
  <c r="I96" i="1"/>
  <c r="F40" i="8" s="1"/>
  <c r="J96" i="1"/>
  <c r="G40" i="8" s="1"/>
  <c r="H97" i="1"/>
  <c r="E41" i="8" s="1"/>
  <c r="I97" i="1"/>
  <c r="F41" i="8" s="1"/>
  <c r="J97" i="1"/>
  <c r="G41" i="8" s="1"/>
  <c r="H98" i="1"/>
  <c r="I98" i="1"/>
  <c r="J98" i="1"/>
  <c r="H99" i="1"/>
  <c r="E42" i="8" s="1"/>
  <c r="I99" i="1"/>
  <c r="F42" i="8" s="1"/>
  <c r="J99" i="1"/>
  <c r="G42" i="8" s="1"/>
  <c r="H100" i="1"/>
  <c r="I100" i="1"/>
  <c r="J100" i="1"/>
  <c r="H101" i="1"/>
  <c r="I101" i="1"/>
  <c r="J101" i="1"/>
  <c r="H102" i="1"/>
  <c r="I102" i="1"/>
  <c r="J102" i="1"/>
  <c r="H103" i="1"/>
  <c r="E288" i="8" s="1"/>
  <c r="I103" i="1"/>
  <c r="F288" i="8" s="1"/>
  <c r="J103" i="1"/>
  <c r="G288" i="8" s="1"/>
  <c r="H104" i="1"/>
  <c r="I104" i="1"/>
  <c r="J104" i="1"/>
  <c r="H105" i="1"/>
  <c r="E43" i="8" s="1"/>
  <c r="I105" i="1"/>
  <c r="F43" i="8" s="1"/>
  <c r="J105" i="1"/>
  <c r="G43" i="8" s="1"/>
  <c r="H106" i="1"/>
  <c r="E44" i="8" s="1"/>
  <c r="I106" i="1"/>
  <c r="F44" i="8" s="1"/>
  <c r="J106" i="1"/>
  <c r="G44" i="8" s="1"/>
  <c r="H107" i="1"/>
  <c r="E45" i="8" s="1"/>
  <c r="I107" i="1"/>
  <c r="F45" i="8" s="1"/>
  <c r="J107" i="1"/>
  <c r="G45" i="8" s="1"/>
  <c r="H108" i="1"/>
  <c r="E46" i="8" s="1"/>
  <c r="I108" i="1"/>
  <c r="F46" i="8" s="1"/>
  <c r="J108" i="1"/>
  <c r="G46" i="8" s="1"/>
  <c r="H109" i="1"/>
  <c r="I109" i="1"/>
  <c r="J109" i="1"/>
  <c r="H110" i="1"/>
  <c r="I110" i="1"/>
  <c r="J110" i="1"/>
  <c r="H111" i="1"/>
  <c r="E47" i="8" s="1"/>
  <c r="I111" i="1"/>
  <c r="F47" i="8" s="1"/>
  <c r="J111" i="1"/>
  <c r="G47" i="8" s="1"/>
  <c r="H112" i="1"/>
  <c r="E289" i="8" s="1"/>
  <c r="I112" i="1"/>
  <c r="F289" i="8" s="1"/>
  <c r="J112" i="1"/>
  <c r="G289" i="8" s="1"/>
  <c r="H113" i="1"/>
  <c r="E48" i="8" s="1"/>
  <c r="I113" i="1"/>
  <c r="F48" i="8" s="1"/>
  <c r="J113" i="1"/>
  <c r="G48" i="8" s="1"/>
  <c r="H115" i="1"/>
  <c r="I115" i="1"/>
  <c r="J115" i="1"/>
  <c r="H116" i="1"/>
  <c r="I116" i="1"/>
  <c r="J116" i="1"/>
  <c r="H117" i="1"/>
  <c r="E49" i="8" s="1"/>
  <c r="I117" i="1"/>
  <c r="F49" i="8" s="1"/>
  <c r="J117" i="1"/>
  <c r="G49" i="8" s="1"/>
  <c r="H118" i="1"/>
  <c r="E50" i="8" s="1"/>
  <c r="I118" i="1"/>
  <c r="F50" i="8" s="1"/>
  <c r="J118" i="1"/>
  <c r="G50" i="8" s="1"/>
  <c r="H119" i="1"/>
  <c r="E51" i="8" s="1"/>
  <c r="I119" i="1"/>
  <c r="F51" i="8" s="1"/>
  <c r="J119" i="1"/>
  <c r="G51" i="8" s="1"/>
  <c r="H120" i="1"/>
  <c r="E52" i="8" s="1"/>
  <c r="I120" i="1"/>
  <c r="F52" i="8" s="1"/>
  <c r="J120" i="1"/>
  <c r="G52" i="8" s="1"/>
  <c r="H121" i="1"/>
  <c r="I121" i="1"/>
  <c r="J121" i="1"/>
  <c r="H123" i="1"/>
  <c r="I123" i="1"/>
  <c r="J123" i="1"/>
  <c r="H124" i="1"/>
  <c r="I124" i="1"/>
  <c r="J124" i="1"/>
  <c r="H125" i="1"/>
  <c r="I125" i="1"/>
  <c r="J125" i="1"/>
  <c r="H126" i="1"/>
  <c r="I126" i="1"/>
  <c r="J126" i="1"/>
  <c r="H127" i="1"/>
  <c r="I127" i="1"/>
  <c r="J127" i="1"/>
  <c r="H128" i="1"/>
  <c r="I128" i="1"/>
  <c r="J128" i="1"/>
  <c r="H129" i="1"/>
  <c r="I129" i="1"/>
  <c r="J129" i="1"/>
  <c r="H130" i="1"/>
  <c r="I130" i="1"/>
  <c r="J130" i="1"/>
  <c r="H131" i="1"/>
  <c r="I131" i="1"/>
  <c r="J131" i="1"/>
  <c r="H132" i="1"/>
  <c r="I132" i="1"/>
  <c r="J132" i="1"/>
  <c r="H133" i="1"/>
  <c r="I133" i="1"/>
  <c r="J133" i="1"/>
  <c r="H134" i="1"/>
  <c r="I134" i="1"/>
  <c r="J134" i="1"/>
  <c r="H135" i="1"/>
  <c r="E53" i="8" s="1"/>
  <c r="I135" i="1"/>
  <c r="F53" i="8" s="1"/>
  <c r="J135" i="1"/>
  <c r="G53" i="8" s="1"/>
  <c r="H136" i="1"/>
  <c r="I136" i="1"/>
  <c r="J136" i="1"/>
  <c r="H137" i="1"/>
  <c r="E54" i="8" s="1"/>
  <c r="I137" i="1"/>
  <c r="F54" i="8" s="1"/>
  <c r="J137" i="1"/>
  <c r="G54" i="8" s="1"/>
  <c r="H138" i="1"/>
  <c r="E55" i="8" s="1"/>
  <c r="I138" i="1"/>
  <c r="F55" i="8" s="1"/>
  <c r="J138" i="1"/>
  <c r="G55" i="8" s="1"/>
  <c r="H139" i="1"/>
  <c r="E56" i="8" s="1"/>
  <c r="I139" i="1"/>
  <c r="F56" i="8" s="1"/>
  <c r="J139" i="1"/>
  <c r="G56" i="8" s="1"/>
  <c r="H140" i="1"/>
  <c r="E57" i="8" s="1"/>
  <c r="I140" i="1"/>
  <c r="F57" i="8" s="1"/>
  <c r="J140" i="1"/>
  <c r="G57" i="8" s="1"/>
  <c r="H141" i="1"/>
  <c r="E58" i="8" s="1"/>
  <c r="I141" i="1"/>
  <c r="F58" i="8" s="1"/>
  <c r="J141" i="1"/>
  <c r="G58" i="8" s="1"/>
  <c r="H142" i="1"/>
  <c r="E59" i="8" s="1"/>
  <c r="I142" i="1"/>
  <c r="F59" i="8" s="1"/>
  <c r="J142" i="1"/>
  <c r="G59" i="8" s="1"/>
  <c r="H144" i="1"/>
  <c r="I144" i="1"/>
  <c r="J144" i="1"/>
  <c r="H145" i="1"/>
  <c r="I145" i="1"/>
  <c r="J145" i="1"/>
  <c r="H146" i="1"/>
  <c r="I146" i="1"/>
  <c r="J146" i="1"/>
  <c r="H147" i="1"/>
  <c r="I147" i="1"/>
  <c r="J147" i="1"/>
  <c r="H148" i="1"/>
  <c r="E60" i="8" s="1"/>
  <c r="I148" i="1"/>
  <c r="F60" i="8" s="1"/>
  <c r="J148" i="1"/>
  <c r="G60" i="8" s="1"/>
  <c r="H149" i="1"/>
  <c r="E61" i="8" s="1"/>
  <c r="I149" i="1"/>
  <c r="F61" i="8" s="1"/>
  <c r="J149" i="1"/>
  <c r="G61" i="8" s="1"/>
  <c r="H150" i="1"/>
  <c r="E62" i="8" s="1"/>
  <c r="I150" i="1"/>
  <c r="F62" i="8" s="1"/>
  <c r="J150" i="1"/>
  <c r="G62" i="8" s="1"/>
  <c r="H151" i="1"/>
  <c r="E63" i="8" s="1"/>
  <c r="I151" i="1"/>
  <c r="F63" i="8" s="1"/>
  <c r="J151" i="1"/>
  <c r="G63" i="8" s="1"/>
  <c r="H153" i="1"/>
  <c r="I153" i="1"/>
  <c r="J153" i="1"/>
  <c r="H154" i="1"/>
  <c r="I154" i="1"/>
  <c r="J154" i="1"/>
  <c r="H155" i="1"/>
  <c r="I155" i="1"/>
  <c r="J155" i="1"/>
  <c r="H157" i="1"/>
  <c r="I157" i="1"/>
  <c r="J157" i="1"/>
  <c r="H158" i="1"/>
  <c r="I158" i="1"/>
  <c r="J158" i="1"/>
  <c r="H159" i="1"/>
  <c r="I159" i="1"/>
  <c r="J159" i="1"/>
  <c r="H160" i="1"/>
  <c r="E64" i="8" s="1"/>
  <c r="I160" i="1"/>
  <c r="F64" i="8" s="1"/>
  <c r="J160" i="1"/>
  <c r="G64" i="8" s="1"/>
  <c r="H161" i="1"/>
  <c r="E65" i="8" s="1"/>
  <c r="I161" i="1"/>
  <c r="F65" i="8" s="1"/>
  <c r="J161" i="1"/>
  <c r="G65" i="8" s="1"/>
  <c r="H162" i="1"/>
  <c r="I162" i="1"/>
  <c r="J162" i="1"/>
  <c r="H163" i="1"/>
  <c r="E66" i="8" s="1"/>
  <c r="I163" i="1"/>
  <c r="F66" i="8" s="1"/>
  <c r="J163" i="1"/>
  <c r="G66" i="8" s="1"/>
  <c r="H164" i="1"/>
  <c r="E67" i="8" s="1"/>
  <c r="I164" i="1"/>
  <c r="F67" i="8" s="1"/>
  <c r="J164" i="1"/>
  <c r="G67" i="8" s="1"/>
  <c r="H165" i="1"/>
  <c r="E68" i="8" s="1"/>
  <c r="I165" i="1"/>
  <c r="F68" i="8" s="1"/>
  <c r="J165" i="1"/>
  <c r="G68" i="8" s="1"/>
  <c r="H166" i="1"/>
  <c r="I166" i="1"/>
  <c r="J166" i="1"/>
  <c r="H167" i="1"/>
  <c r="E69" i="8" s="1"/>
  <c r="I167" i="1"/>
  <c r="F69" i="8" s="1"/>
  <c r="J167" i="1"/>
  <c r="G69" i="8" s="1"/>
  <c r="H168" i="1"/>
  <c r="E70" i="8" s="1"/>
  <c r="I168" i="1"/>
  <c r="F70" i="8" s="1"/>
  <c r="J168" i="1"/>
  <c r="G70" i="8" s="1"/>
  <c r="H169" i="1"/>
  <c r="E71" i="8" s="1"/>
  <c r="I169" i="1"/>
  <c r="F71" i="8" s="1"/>
  <c r="J169" i="1"/>
  <c r="G71" i="8" s="1"/>
  <c r="H170" i="1"/>
  <c r="I170" i="1"/>
  <c r="J170" i="1"/>
  <c r="H171" i="1"/>
  <c r="E290" i="8" s="1"/>
  <c r="I171" i="1"/>
  <c r="F290" i="8" s="1"/>
  <c r="J171" i="1"/>
  <c r="G290" i="8" s="1"/>
  <c r="H172" i="1"/>
  <c r="E72" i="8" s="1"/>
  <c r="I172" i="1"/>
  <c r="F72" i="8" s="1"/>
  <c r="J172" i="1"/>
  <c r="G72" i="8" s="1"/>
  <c r="H173" i="1"/>
  <c r="E73" i="8" s="1"/>
  <c r="I173" i="1"/>
  <c r="F73" i="8" s="1"/>
  <c r="J173" i="1"/>
  <c r="G73" i="8" s="1"/>
  <c r="H174" i="1"/>
  <c r="E74" i="8" s="1"/>
  <c r="I174" i="1"/>
  <c r="F74" i="8" s="1"/>
  <c r="J174" i="1"/>
  <c r="G74" i="8" s="1"/>
  <c r="H176" i="1"/>
  <c r="I176" i="1"/>
  <c r="J176" i="1"/>
  <c r="H177" i="1"/>
  <c r="I177" i="1"/>
  <c r="J177" i="1"/>
  <c r="H178" i="1"/>
  <c r="E75" i="8" s="1"/>
  <c r="I178" i="1"/>
  <c r="F75" i="8" s="1"/>
  <c r="J178" i="1"/>
  <c r="G75" i="8" s="1"/>
  <c r="H179" i="1"/>
  <c r="E76" i="8" s="1"/>
  <c r="I179" i="1"/>
  <c r="F76" i="8" s="1"/>
  <c r="J179" i="1"/>
  <c r="G76" i="8" s="1"/>
  <c r="H180" i="1"/>
  <c r="E77" i="8" s="1"/>
  <c r="I180" i="1"/>
  <c r="F77" i="8" s="1"/>
  <c r="J180" i="1"/>
  <c r="G77" i="8" s="1"/>
  <c r="H181" i="1"/>
  <c r="E78" i="8" s="1"/>
  <c r="I181" i="1"/>
  <c r="F78" i="8" s="1"/>
  <c r="J181" i="1"/>
  <c r="G78" i="8" s="1"/>
  <c r="H182" i="1"/>
  <c r="E79" i="8" s="1"/>
  <c r="I182" i="1"/>
  <c r="F79" i="8" s="1"/>
  <c r="J182" i="1"/>
  <c r="G79" i="8" s="1"/>
  <c r="H183" i="1"/>
  <c r="E80" i="8" s="1"/>
  <c r="I183" i="1"/>
  <c r="F80" i="8" s="1"/>
  <c r="J183" i="1"/>
  <c r="G80" i="8" s="1"/>
  <c r="H184" i="1"/>
  <c r="E81" i="8" s="1"/>
  <c r="I184" i="1"/>
  <c r="F81" i="8" s="1"/>
  <c r="J184" i="1"/>
  <c r="G81" i="8" s="1"/>
  <c r="H185" i="1"/>
  <c r="E82" i="8" s="1"/>
  <c r="I185" i="1"/>
  <c r="F82" i="8" s="1"/>
  <c r="J185" i="1"/>
  <c r="G82" i="8" s="1"/>
  <c r="H186" i="1"/>
  <c r="I186" i="1"/>
  <c r="J186" i="1"/>
  <c r="H187" i="1"/>
  <c r="I187" i="1"/>
  <c r="J187" i="1"/>
  <c r="H188" i="1"/>
  <c r="I188" i="1"/>
  <c r="J188" i="1"/>
  <c r="H189" i="1"/>
  <c r="E83" i="8" s="1"/>
  <c r="I189" i="1"/>
  <c r="F83" i="8" s="1"/>
  <c r="J189" i="1"/>
  <c r="G83" i="8" s="1"/>
  <c r="H191" i="1"/>
  <c r="I191" i="1"/>
  <c r="J191" i="1"/>
  <c r="H192" i="1"/>
  <c r="I192" i="1"/>
  <c r="J192" i="1"/>
  <c r="H193" i="1"/>
  <c r="I193" i="1"/>
  <c r="J193" i="1"/>
  <c r="H194" i="1"/>
  <c r="E84" i="8" s="1"/>
  <c r="I194" i="1"/>
  <c r="F84" i="8" s="1"/>
  <c r="J194" i="1"/>
  <c r="G84" i="8" s="1"/>
  <c r="H195" i="1"/>
  <c r="E85" i="8" s="1"/>
  <c r="I195" i="1"/>
  <c r="F85" i="8" s="1"/>
  <c r="J195" i="1"/>
  <c r="G85" i="8" s="1"/>
  <c r="H196" i="1"/>
  <c r="E86" i="8" s="1"/>
  <c r="I196" i="1"/>
  <c r="F86" i="8" s="1"/>
  <c r="J196" i="1"/>
  <c r="G86" i="8" s="1"/>
  <c r="H197" i="1"/>
  <c r="E87" i="8" s="1"/>
  <c r="I197" i="1"/>
  <c r="F87" i="8" s="1"/>
  <c r="J197" i="1"/>
  <c r="G87" i="8" s="1"/>
  <c r="H198" i="1"/>
  <c r="E291" i="8" s="1"/>
  <c r="I198" i="1"/>
  <c r="F291" i="8" s="1"/>
  <c r="J198" i="1"/>
  <c r="G291" i="8" s="1"/>
  <c r="H199" i="1"/>
  <c r="E88" i="8" s="1"/>
  <c r="I199" i="1"/>
  <c r="F88" i="8" s="1"/>
  <c r="J199" i="1"/>
  <c r="G88" i="8" s="1"/>
  <c r="H200" i="1"/>
  <c r="E89" i="8" s="1"/>
  <c r="I200" i="1"/>
  <c r="F89" i="8" s="1"/>
  <c r="J200" i="1"/>
  <c r="G89" i="8" s="1"/>
  <c r="H202" i="1"/>
  <c r="I202" i="1"/>
  <c r="J202" i="1"/>
  <c r="H203" i="1"/>
  <c r="I203" i="1"/>
  <c r="J203" i="1"/>
  <c r="H204" i="1"/>
  <c r="I204" i="1"/>
  <c r="J204" i="1"/>
  <c r="H205" i="1"/>
  <c r="I205" i="1"/>
  <c r="J205" i="1"/>
  <c r="H206" i="1"/>
  <c r="E90" i="8" s="1"/>
  <c r="I206" i="1"/>
  <c r="F90" i="8" s="1"/>
  <c r="J206" i="1"/>
  <c r="G90" i="8" s="1"/>
  <c r="H207" i="1"/>
  <c r="I207" i="1"/>
  <c r="J207" i="1"/>
  <c r="H208" i="1"/>
  <c r="E91" i="8" s="1"/>
  <c r="I208" i="1"/>
  <c r="F91" i="8" s="1"/>
  <c r="J208" i="1"/>
  <c r="G91" i="8" s="1"/>
  <c r="H209" i="1"/>
  <c r="I209" i="1"/>
  <c r="J209" i="1"/>
  <c r="H210" i="1"/>
  <c r="E92" i="8" s="1"/>
  <c r="I210" i="1"/>
  <c r="F92" i="8" s="1"/>
  <c r="J210" i="1"/>
  <c r="G92" i="8" s="1"/>
  <c r="H212" i="1"/>
  <c r="I212" i="1"/>
  <c r="J212" i="1"/>
  <c r="H213" i="1"/>
  <c r="I213" i="1"/>
  <c r="J213" i="1"/>
  <c r="H214" i="1"/>
  <c r="I214" i="1"/>
  <c r="J214" i="1"/>
  <c r="H215" i="1"/>
  <c r="I215" i="1"/>
  <c r="J215" i="1"/>
  <c r="H216" i="1"/>
  <c r="E93" i="8" s="1"/>
  <c r="I216" i="1"/>
  <c r="F93" i="8" s="1"/>
  <c r="J216" i="1"/>
  <c r="G93" i="8" s="1"/>
  <c r="H217" i="1"/>
  <c r="I217" i="1"/>
  <c r="J217" i="1"/>
  <c r="H218" i="1"/>
  <c r="E94" i="8" s="1"/>
  <c r="I218" i="1"/>
  <c r="F94" i="8" s="1"/>
  <c r="J218" i="1"/>
  <c r="G94" i="8" s="1"/>
  <c r="H219" i="1"/>
  <c r="E95" i="8" s="1"/>
  <c r="I219" i="1"/>
  <c r="F95" i="8" s="1"/>
  <c r="J219" i="1"/>
  <c r="G95" i="8" s="1"/>
  <c r="H220" i="1"/>
  <c r="E96" i="8" s="1"/>
  <c r="I220" i="1"/>
  <c r="F96" i="8" s="1"/>
  <c r="J220" i="1"/>
  <c r="G96" i="8" s="1"/>
  <c r="H222" i="1"/>
  <c r="I222" i="1"/>
  <c r="J222" i="1"/>
  <c r="H223" i="1"/>
  <c r="I223" i="1"/>
  <c r="J223" i="1"/>
  <c r="H224" i="1"/>
  <c r="E97" i="8" s="1"/>
  <c r="I224" i="1"/>
  <c r="F97" i="8" s="1"/>
  <c r="J224" i="1"/>
  <c r="G97" i="8" s="1"/>
  <c r="H225" i="1"/>
  <c r="I225" i="1"/>
  <c r="J225" i="1"/>
  <c r="H226" i="1"/>
  <c r="E98" i="8" s="1"/>
  <c r="I226" i="1"/>
  <c r="F98" i="8" s="1"/>
  <c r="J226" i="1"/>
  <c r="G98" i="8" s="1"/>
  <c r="H227" i="1"/>
  <c r="E99" i="8" s="1"/>
  <c r="I227" i="1"/>
  <c r="F99" i="8" s="1"/>
  <c r="J227" i="1"/>
  <c r="G99" i="8" s="1"/>
  <c r="H228" i="1"/>
  <c r="I228" i="1"/>
  <c r="J228" i="1"/>
  <c r="H229" i="1"/>
  <c r="E100" i="8" s="1"/>
  <c r="I229" i="1"/>
  <c r="F100" i="8" s="1"/>
  <c r="J229" i="1"/>
  <c r="G100" i="8" s="1"/>
  <c r="H230" i="1"/>
  <c r="I230" i="1"/>
  <c r="J230" i="1"/>
  <c r="H231" i="1"/>
  <c r="E101" i="8" s="1"/>
  <c r="I231" i="1"/>
  <c r="F101" i="8" s="1"/>
  <c r="J231" i="1"/>
  <c r="G101" i="8" s="1"/>
  <c r="H232" i="1"/>
  <c r="E102" i="8" s="1"/>
  <c r="I232" i="1"/>
  <c r="F102" i="8" s="1"/>
  <c r="J232" i="1"/>
  <c r="G102" i="8" s="1"/>
  <c r="H233" i="1"/>
  <c r="E103" i="8" s="1"/>
  <c r="I233" i="1"/>
  <c r="F103" i="8" s="1"/>
  <c r="J233" i="1"/>
  <c r="G103" i="8" s="1"/>
  <c r="H234" i="1"/>
  <c r="I234" i="1"/>
  <c r="J234" i="1"/>
  <c r="H235" i="1"/>
  <c r="I235" i="1"/>
  <c r="J235" i="1"/>
  <c r="H236" i="1"/>
  <c r="I236" i="1"/>
  <c r="J236" i="1"/>
  <c r="H237" i="1"/>
  <c r="E104" i="8" s="1"/>
  <c r="I237" i="1"/>
  <c r="F104" i="8" s="1"/>
  <c r="J237" i="1"/>
  <c r="G104" i="8" s="1"/>
  <c r="H238" i="1"/>
  <c r="E105" i="8" s="1"/>
  <c r="I238" i="1"/>
  <c r="F105" i="8" s="1"/>
  <c r="J238" i="1"/>
  <c r="G105" i="8" s="1"/>
  <c r="H239" i="1"/>
  <c r="E106" i="8" s="1"/>
  <c r="I239" i="1"/>
  <c r="F106" i="8" s="1"/>
  <c r="J239" i="1"/>
  <c r="G106" i="8" s="1"/>
  <c r="H240" i="1"/>
  <c r="E107" i="8" s="1"/>
  <c r="I240" i="1"/>
  <c r="F107" i="8" s="1"/>
  <c r="J240" i="1"/>
  <c r="G107" i="8" s="1"/>
  <c r="H241" i="1"/>
  <c r="E108" i="8" s="1"/>
  <c r="I241" i="1"/>
  <c r="F108" i="8" s="1"/>
  <c r="J241" i="1"/>
  <c r="G108" i="8" s="1"/>
  <c r="H242" i="1"/>
  <c r="I242" i="1"/>
  <c r="J242" i="1"/>
  <c r="H243" i="1"/>
  <c r="I243" i="1"/>
  <c r="J243" i="1"/>
  <c r="H244" i="1"/>
  <c r="I244" i="1"/>
  <c r="J244" i="1"/>
  <c r="H246" i="1"/>
  <c r="I246" i="1"/>
  <c r="J246" i="1"/>
  <c r="H247" i="1"/>
  <c r="I247" i="1"/>
  <c r="J247" i="1"/>
  <c r="H248" i="1"/>
  <c r="E109" i="8" s="1"/>
  <c r="I248" i="1"/>
  <c r="F109" i="8" s="1"/>
  <c r="J248" i="1"/>
  <c r="G109" i="8" s="1"/>
  <c r="H250" i="1"/>
  <c r="I250" i="1"/>
  <c r="J250" i="1"/>
  <c r="H251" i="1"/>
  <c r="I251" i="1"/>
  <c r="J251" i="1"/>
  <c r="H252" i="1"/>
  <c r="E292" i="8" s="1"/>
  <c r="I252" i="1"/>
  <c r="F292" i="8" s="1"/>
  <c r="J252" i="1"/>
  <c r="G292" i="8" s="1"/>
  <c r="H253" i="1"/>
  <c r="E110" i="8" s="1"/>
  <c r="I253" i="1"/>
  <c r="F110" i="8" s="1"/>
  <c r="J253" i="1"/>
  <c r="G110" i="8" s="1"/>
  <c r="H254" i="1"/>
  <c r="E111" i="8" s="1"/>
  <c r="I254" i="1"/>
  <c r="F111" i="8" s="1"/>
  <c r="J254" i="1"/>
  <c r="G111" i="8" s="1"/>
  <c r="H255" i="1"/>
  <c r="E112" i="8" s="1"/>
  <c r="I255" i="1"/>
  <c r="F112" i="8" s="1"/>
  <c r="J255" i="1"/>
  <c r="G112" i="8" s="1"/>
  <c r="H256" i="1"/>
  <c r="E293" i="8" s="1"/>
  <c r="I256" i="1"/>
  <c r="F293" i="8" s="1"/>
  <c r="J256" i="1"/>
  <c r="G293" i="8" s="1"/>
  <c r="H258" i="1"/>
  <c r="I258" i="1"/>
  <c r="J258" i="1"/>
  <c r="H259" i="1"/>
  <c r="I259" i="1"/>
  <c r="J259" i="1"/>
  <c r="H260" i="1"/>
  <c r="I260" i="1"/>
  <c r="J260" i="1"/>
  <c r="H261" i="1"/>
  <c r="E113" i="8" s="1"/>
  <c r="I261" i="1"/>
  <c r="F113" i="8" s="1"/>
  <c r="J261" i="1"/>
  <c r="G113" i="8" s="1"/>
  <c r="H262" i="1"/>
  <c r="I262" i="1"/>
  <c r="J262" i="1"/>
  <c r="H263" i="1"/>
  <c r="I263" i="1"/>
  <c r="J263" i="1"/>
  <c r="H265" i="1"/>
  <c r="I265" i="1"/>
  <c r="J265" i="1"/>
  <c r="H266" i="1"/>
  <c r="I266" i="1"/>
  <c r="J266" i="1"/>
  <c r="H267" i="1"/>
  <c r="I267" i="1"/>
  <c r="J267" i="1"/>
  <c r="H268" i="1"/>
  <c r="I268" i="1"/>
  <c r="J268" i="1"/>
  <c r="H269" i="1"/>
  <c r="I269" i="1"/>
  <c r="J269" i="1"/>
  <c r="H270" i="1"/>
  <c r="I270" i="1"/>
  <c r="J270" i="1"/>
  <c r="H271" i="1"/>
  <c r="I271" i="1"/>
  <c r="J271" i="1"/>
  <c r="H272" i="1"/>
  <c r="I272" i="1"/>
  <c r="J272" i="1"/>
  <c r="H273" i="1"/>
  <c r="I273" i="1"/>
  <c r="J273" i="1"/>
  <c r="H274" i="1"/>
  <c r="I274" i="1"/>
  <c r="J274" i="1"/>
  <c r="H275" i="1"/>
  <c r="I275" i="1"/>
  <c r="J275" i="1"/>
  <c r="H276" i="1"/>
  <c r="I276" i="1"/>
  <c r="J276" i="1"/>
  <c r="H277" i="1"/>
  <c r="I277" i="1"/>
  <c r="J277" i="1"/>
  <c r="H278" i="1"/>
  <c r="I278" i="1"/>
  <c r="J278" i="1"/>
  <c r="H279" i="1"/>
  <c r="I279" i="1"/>
  <c r="J279" i="1"/>
  <c r="H280" i="1"/>
  <c r="I280" i="1"/>
  <c r="J280" i="1"/>
  <c r="H281" i="1"/>
  <c r="I281" i="1"/>
  <c r="J281" i="1"/>
  <c r="H282" i="1"/>
  <c r="I282" i="1"/>
  <c r="J282" i="1"/>
  <c r="H283" i="1"/>
  <c r="I283" i="1"/>
  <c r="J283" i="1"/>
  <c r="H284" i="1"/>
  <c r="I284" i="1"/>
  <c r="J284" i="1"/>
  <c r="H285" i="1"/>
  <c r="I285" i="1"/>
  <c r="J285" i="1"/>
  <c r="H286" i="1"/>
  <c r="I286" i="1"/>
  <c r="J286" i="1"/>
  <c r="H287" i="1"/>
  <c r="I287" i="1"/>
  <c r="J287" i="1"/>
  <c r="H288" i="1"/>
  <c r="I288" i="1"/>
  <c r="J288" i="1"/>
  <c r="H289" i="1"/>
  <c r="I289" i="1"/>
  <c r="J289" i="1"/>
  <c r="H290" i="1"/>
  <c r="I290" i="1"/>
  <c r="J290" i="1"/>
  <c r="H291" i="1"/>
  <c r="I291" i="1"/>
  <c r="J291" i="1"/>
  <c r="H292" i="1"/>
  <c r="I292" i="1"/>
  <c r="J292" i="1"/>
  <c r="H293" i="1"/>
  <c r="I293" i="1"/>
  <c r="J293" i="1"/>
  <c r="H294" i="1"/>
  <c r="I294" i="1"/>
  <c r="J294" i="1"/>
  <c r="H295" i="1"/>
  <c r="I295" i="1"/>
  <c r="J295" i="1"/>
  <c r="H296" i="1"/>
  <c r="I296" i="1"/>
  <c r="J296" i="1"/>
  <c r="H297" i="1"/>
  <c r="I297" i="1"/>
  <c r="J297" i="1"/>
  <c r="H298" i="1"/>
  <c r="I298" i="1"/>
  <c r="J298" i="1"/>
  <c r="H299" i="1"/>
  <c r="I299" i="1"/>
  <c r="J299" i="1"/>
  <c r="H300" i="1"/>
  <c r="I300" i="1"/>
  <c r="J300" i="1"/>
  <c r="H301" i="1"/>
  <c r="I301" i="1"/>
  <c r="J301" i="1"/>
  <c r="H302" i="1"/>
  <c r="I302" i="1"/>
  <c r="J302" i="1"/>
  <c r="H303" i="1"/>
  <c r="E114" i="8" s="1"/>
  <c r="I303" i="1"/>
  <c r="F114" i="8" s="1"/>
  <c r="J303" i="1"/>
  <c r="G114" i="8" s="1"/>
  <c r="H304" i="1"/>
  <c r="E115" i="8" s="1"/>
  <c r="I304" i="1"/>
  <c r="F115" i="8" s="1"/>
  <c r="J304" i="1"/>
  <c r="G115" i="8" s="1"/>
  <c r="H305" i="1"/>
  <c r="E116" i="8" s="1"/>
  <c r="I305" i="1"/>
  <c r="F116" i="8" s="1"/>
  <c r="J305" i="1"/>
  <c r="G116" i="8" s="1"/>
  <c r="H306" i="1"/>
  <c r="I306" i="1"/>
  <c r="J306" i="1"/>
  <c r="H307" i="1"/>
  <c r="I307" i="1"/>
  <c r="J307" i="1"/>
  <c r="H309" i="1"/>
  <c r="I309" i="1"/>
  <c r="J309" i="1"/>
  <c r="H310" i="1"/>
  <c r="I310" i="1"/>
  <c r="J310" i="1"/>
  <c r="H312" i="1"/>
  <c r="I312" i="1"/>
  <c r="J312" i="1"/>
  <c r="H313" i="1"/>
  <c r="I313" i="1"/>
  <c r="J313" i="1"/>
  <c r="H314" i="1"/>
  <c r="I314" i="1"/>
  <c r="J314" i="1"/>
  <c r="H315" i="1"/>
  <c r="I315" i="1"/>
  <c r="J315" i="1"/>
  <c r="H316" i="1"/>
  <c r="I316" i="1"/>
  <c r="J316" i="1"/>
  <c r="F2" i="1"/>
  <c r="F3" i="1"/>
  <c r="U3" i="1" s="1"/>
  <c r="F4" i="1"/>
  <c r="U4" i="1" s="1"/>
  <c r="F5" i="1"/>
  <c r="F6" i="1"/>
  <c r="U6" i="1" s="1"/>
  <c r="F7" i="1"/>
  <c r="U7" i="1" s="1"/>
  <c r="F8" i="1"/>
  <c r="U8" i="1" s="1"/>
  <c r="F9" i="1"/>
  <c r="U9" i="1" s="1"/>
  <c r="F10" i="1"/>
  <c r="U10" i="1" s="1"/>
  <c r="F11" i="1"/>
  <c r="U11" i="1" s="1"/>
  <c r="F12" i="1"/>
  <c r="U12" i="1" s="1"/>
  <c r="F13" i="1"/>
  <c r="U13" i="1" s="1"/>
  <c r="F14" i="1"/>
  <c r="U14" i="1" s="1"/>
  <c r="F15" i="1"/>
  <c r="U15" i="1" s="1"/>
  <c r="F16" i="1"/>
  <c r="U16" i="1" s="1"/>
  <c r="F17" i="1"/>
  <c r="U17" i="1" s="1"/>
  <c r="F18" i="1"/>
  <c r="U18" i="1" s="1"/>
  <c r="F19" i="1"/>
  <c r="U19" i="1" s="1"/>
  <c r="F20" i="1"/>
  <c r="U20" i="1" s="1"/>
  <c r="F21" i="1"/>
  <c r="U21" i="1" s="1"/>
  <c r="F22" i="1"/>
  <c r="U22" i="1" s="1"/>
  <c r="F23" i="1"/>
  <c r="U23" i="1" s="1"/>
  <c r="F24" i="1"/>
  <c r="U24" i="1" s="1"/>
  <c r="F25" i="1"/>
  <c r="U25" i="1" s="1"/>
  <c r="F26" i="1"/>
  <c r="U26" i="1" s="1"/>
  <c r="F27" i="1"/>
  <c r="U27" i="1" s="1"/>
  <c r="F28" i="1"/>
  <c r="U28" i="1" s="1"/>
  <c r="F29" i="1"/>
  <c r="U29" i="1" s="1"/>
  <c r="F30" i="1"/>
  <c r="U30" i="1" s="1"/>
  <c r="F31" i="1"/>
  <c r="U31" i="1" s="1"/>
  <c r="F32" i="1"/>
  <c r="U32" i="1" s="1"/>
  <c r="F33" i="1"/>
  <c r="U33" i="1" s="1"/>
  <c r="F34" i="1"/>
  <c r="U34" i="1" s="1"/>
  <c r="F35" i="1"/>
  <c r="U35" i="1" s="1"/>
  <c r="F36" i="1"/>
  <c r="U36" i="1" s="1"/>
  <c r="F37" i="1"/>
  <c r="U37" i="1" s="1"/>
  <c r="F38" i="1"/>
  <c r="U38" i="1" s="1"/>
  <c r="F39" i="1"/>
  <c r="U39" i="1" s="1"/>
  <c r="F40" i="1"/>
  <c r="U40" i="1" s="1"/>
  <c r="F41" i="1"/>
  <c r="U41" i="1" s="1"/>
  <c r="F42" i="1"/>
  <c r="U42" i="1" s="1"/>
  <c r="F43" i="1"/>
  <c r="U43" i="1" s="1"/>
  <c r="F44" i="1"/>
  <c r="U44" i="1" s="1"/>
  <c r="F45" i="1"/>
  <c r="U45" i="1" s="1"/>
  <c r="F46" i="1"/>
  <c r="U46" i="1" s="1"/>
  <c r="F47" i="1"/>
  <c r="U47" i="1" s="1"/>
  <c r="F48" i="1"/>
  <c r="U48" i="1" s="1"/>
  <c r="F49" i="1"/>
  <c r="F50" i="1"/>
  <c r="U50" i="1" s="1"/>
  <c r="F51" i="1"/>
  <c r="U51" i="1" s="1"/>
  <c r="F52" i="1"/>
  <c r="U52" i="1" s="1"/>
  <c r="F53" i="1"/>
  <c r="U53" i="1" s="1"/>
  <c r="F54" i="1"/>
  <c r="U54" i="1" s="1"/>
  <c r="P55" i="1"/>
  <c r="I24" i="8" s="1"/>
  <c r="F56" i="1"/>
  <c r="U56" i="1" s="1"/>
  <c r="F57" i="1"/>
  <c r="U57" i="1" s="1"/>
  <c r="F58" i="1"/>
  <c r="U58" i="1" s="1"/>
  <c r="F59" i="1"/>
  <c r="U59" i="1" s="1"/>
  <c r="F60" i="1"/>
  <c r="U60" i="1" s="1"/>
  <c r="F61" i="1"/>
  <c r="U61" i="1" s="1"/>
  <c r="F62" i="1"/>
  <c r="U62" i="1" s="1"/>
  <c r="F63" i="1"/>
  <c r="U63" i="1" s="1"/>
  <c r="F64" i="1"/>
  <c r="U64" i="1" s="1"/>
  <c r="F65" i="1"/>
  <c r="U65" i="1" s="1"/>
  <c r="F66" i="1"/>
  <c r="U66" i="1" s="1"/>
  <c r="F67" i="1"/>
  <c r="U67" i="1" s="1"/>
  <c r="F68" i="1"/>
  <c r="U68" i="1" s="1"/>
  <c r="F69" i="1"/>
  <c r="U69" i="1" s="1"/>
  <c r="F70" i="1"/>
  <c r="U70" i="1" s="1"/>
  <c r="F71" i="1"/>
  <c r="U71" i="1" s="1"/>
  <c r="F72" i="1"/>
  <c r="U72" i="1" s="1"/>
  <c r="F73" i="1"/>
  <c r="U73" i="1" s="1"/>
  <c r="F74" i="1"/>
  <c r="U74" i="1" s="1"/>
  <c r="F75" i="1"/>
  <c r="U75" i="1" s="1"/>
  <c r="F76" i="1"/>
  <c r="U76" i="1" s="1"/>
  <c r="F77" i="1"/>
  <c r="U77" i="1" s="1"/>
  <c r="F78" i="1"/>
  <c r="U78" i="1" s="1"/>
  <c r="F79" i="1"/>
  <c r="F80" i="1"/>
  <c r="U80" i="1" s="1"/>
  <c r="F81" i="1"/>
  <c r="U81" i="1" s="1"/>
  <c r="F82" i="1"/>
  <c r="U82" i="1" s="1"/>
  <c r="F83" i="1"/>
  <c r="U83" i="1" s="1"/>
  <c r="F84" i="1"/>
  <c r="U84" i="1" s="1"/>
  <c r="F85" i="1"/>
  <c r="U85" i="1" s="1"/>
  <c r="F86" i="1"/>
  <c r="U86" i="1" s="1"/>
  <c r="F87" i="1"/>
  <c r="U87" i="1" s="1"/>
  <c r="F88" i="1"/>
  <c r="U88" i="1" s="1"/>
  <c r="F89" i="1"/>
  <c r="U89" i="1" s="1"/>
  <c r="F90" i="1"/>
  <c r="U90" i="1" s="1"/>
  <c r="F91" i="1"/>
  <c r="U91" i="1" s="1"/>
  <c r="F92" i="1"/>
  <c r="U92" i="1" s="1"/>
  <c r="F93" i="1"/>
  <c r="U93" i="1" s="1"/>
  <c r="F94" i="1"/>
  <c r="U94" i="1" s="1"/>
  <c r="F95" i="1"/>
  <c r="U95" i="1" s="1"/>
  <c r="F96" i="1"/>
  <c r="U96" i="1" s="1"/>
  <c r="F97" i="1"/>
  <c r="U97" i="1" s="1"/>
  <c r="F98" i="1"/>
  <c r="U98" i="1" s="1"/>
  <c r="F99" i="1"/>
  <c r="U99" i="1" s="1"/>
  <c r="F100" i="1"/>
  <c r="U100" i="1" s="1"/>
  <c r="F101" i="1"/>
  <c r="U101" i="1" s="1"/>
  <c r="F102" i="1"/>
  <c r="U102" i="1" s="1"/>
  <c r="F103" i="1"/>
  <c r="U103" i="1" s="1"/>
  <c r="F104" i="1"/>
  <c r="U104" i="1" s="1"/>
  <c r="F105" i="1"/>
  <c r="U105" i="1" s="1"/>
  <c r="F106" i="1"/>
  <c r="U106" i="1" s="1"/>
  <c r="F107" i="1"/>
  <c r="U107" i="1" s="1"/>
  <c r="F108" i="1"/>
  <c r="U108" i="1" s="1"/>
  <c r="F109" i="1"/>
  <c r="U109" i="1" s="1"/>
  <c r="F110" i="1"/>
  <c r="U110" i="1" s="1"/>
  <c r="F111" i="1"/>
  <c r="U111" i="1" s="1"/>
  <c r="F112" i="1"/>
  <c r="U112" i="1" s="1"/>
  <c r="F113" i="1"/>
  <c r="U113" i="1" s="1"/>
  <c r="F114" i="1"/>
  <c r="U114" i="1" s="1"/>
  <c r="F115" i="1"/>
  <c r="U115" i="1" s="1"/>
  <c r="F116" i="1"/>
  <c r="U116" i="1" s="1"/>
  <c r="F117" i="1"/>
  <c r="U117" i="1" s="1"/>
  <c r="F118" i="1"/>
  <c r="U118" i="1" s="1"/>
  <c r="F119" i="1"/>
  <c r="U119" i="1" s="1"/>
  <c r="F120" i="1"/>
  <c r="U120" i="1" s="1"/>
  <c r="F121" i="1"/>
  <c r="U121" i="1" s="1"/>
  <c r="F122" i="1"/>
  <c r="U122" i="1" s="1"/>
  <c r="F123" i="1"/>
  <c r="U123" i="1" s="1"/>
  <c r="F124" i="1"/>
  <c r="U124" i="1" s="1"/>
  <c r="F125" i="1"/>
  <c r="U125" i="1" s="1"/>
  <c r="F126" i="1"/>
  <c r="U126" i="1" s="1"/>
  <c r="F127" i="1"/>
  <c r="U127" i="1" s="1"/>
  <c r="F128" i="1"/>
  <c r="U128" i="1" s="1"/>
  <c r="F129" i="1"/>
  <c r="U129" i="1" s="1"/>
  <c r="F130" i="1"/>
  <c r="U130" i="1" s="1"/>
  <c r="F131" i="1"/>
  <c r="U131" i="1" s="1"/>
  <c r="F132" i="1"/>
  <c r="U132" i="1" s="1"/>
  <c r="F133" i="1"/>
  <c r="U133" i="1" s="1"/>
  <c r="F134" i="1"/>
  <c r="U134" i="1" s="1"/>
  <c r="F135" i="1"/>
  <c r="U135" i="1" s="1"/>
  <c r="F136" i="1"/>
  <c r="U136" i="1" s="1"/>
  <c r="F137" i="1"/>
  <c r="U137" i="1" s="1"/>
  <c r="F138" i="1"/>
  <c r="U138" i="1" s="1"/>
  <c r="F139" i="1"/>
  <c r="U139" i="1" s="1"/>
  <c r="F140" i="1"/>
  <c r="U140" i="1" s="1"/>
  <c r="F141" i="1"/>
  <c r="U141" i="1" s="1"/>
  <c r="F142" i="1"/>
  <c r="U142" i="1" s="1"/>
  <c r="F143" i="1"/>
  <c r="U143" i="1" s="1"/>
  <c r="F144" i="1"/>
  <c r="U144" i="1" s="1"/>
  <c r="F145" i="1"/>
  <c r="U145" i="1" s="1"/>
  <c r="F146" i="1"/>
  <c r="U146" i="1" s="1"/>
  <c r="F147" i="1"/>
  <c r="U147" i="1" s="1"/>
  <c r="F148" i="1"/>
  <c r="U148" i="1" s="1"/>
  <c r="F149" i="1"/>
  <c r="U149" i="1" s="1"/>
  <c r="F150" i="1"/>
  <c r="U150" i="1" s="1"/>
  <c r="F151" i="1"/>
  <c r="U151" i="1" s="1"/>
  <c r="F152" i="1"/>
  <c r="U152" i="1" s="1"/>
  <c r="F153" i="1"/>
  <c r="U153" i="1" s="1"/>
  <c r="F154" i="1"/>
  <c r="U154" i="1" s="1"/>
  <c r="F155" i="1"/>
  <c r="U155" i="1" s="1"/>
  <c r="F156" i="1"/>
  <c r="U156" i="1" s="1"/>
  <c r="F157" i="1"/>
  <c r="U157" i="1" s="1"/>
  <c r="F158" i="1"/>
  <c r="U158" i="1" s="1"/>
  <c r="F159" i="1"/>
  <c r="U159" i="1" s="1"/>
  <c r="F160" i="1"/>
  <c r="U160" i="1" s="1"/>
  <c r="F161" i="1"/>
  <c r="U161" i="1" s="1"/>
  <c r="F162" i="1"/>
  <c r="U162" i="1" s="1"/>
  <c r="F163" i="1"/>
  <c r="U163" i="1" s="1"/>
  <c r="F164" i="1"/>
  <c r="U164" i="1" s="1"/>
  <c r="F165" i="1"/>
  <c r="U165" i="1" s="1"/>
  <c r="F166" i="1"/>
  <c r="U166" i="1" s="1"/>
  <c r="F167" i="1"/>
  <c r="U167" i="1" s="1"/>
  <c r="F168" i="1"/>
  <c r="U168" i="1" s="1"/>
  <c r="F169" i="1"/>
  <c r="U169" i="1" s="1"/>
  <c r="F170" i="1"/>
  <c r="U170" i="1" s="1"/>
  <c r="F171" i="1"/>
  <c r="U171" i="1" s="1"/>
  <c r="F172" i="1"/>
  <c r="U172" i="1" s="1"/>
  <c r="F173" i="1"/>
  <c r="U173" i="1" s="1"/>
  <c r="F174" i="1"/>
  <c r="U174" i="1" s="1"/>
  <c r="F175" i="1"/>
  <c r="U175" i="1" s="1"/>
  <c r="F176" i="1"/>
  <c r="U176" i="1" s="1"/>
  <c r="F177" i="1"/>
  <c r="U177" i="1" s="1"/>
  <c r="F178" i="1"/>
  <c r="U178" i="1" s="1"/>
  <c r="F179" i="1"/>
  <c r="U179" i="1" s="1"/>
  <c r="F180" i="1"/>
  <c r="U180" i="1" s="1"/>
  <c r="F181" i="1"/>
  <c r="U181" i="1" s="1"/>
  <c r="F182" i="1"/>
  <c r="U182" i="1" s="1"/>
  <c r="F183" i="1"/>
  <c r="U183" i="1" s="1"/>
  <c r="F184" i="1"/>
  <c r="U184" i="1" s="1"/>
  <c r="F185" i="1"/>
  <c r="U185" i="1" s="1"/>
  <c r="F186" i="1"/>
  <c r="U186" i="1" s="1"/>
  <c r="F187" i="1"/>
  <c r="U187" i="1" s="1"/>
  <c r="F188" i="1"/>
  <c r="U188" i="1" s="1"/>
  <c r="F189" i="1"/>
  <c r="U189" i="1" s="1"/>
  <c r="F190" i="1"/>
  <c r="U190" i="1" s="1"/>
  <c r="F191" i="1"/>
  <c r="U191" i="1" s="1"/>
  <c r="F192" i="1"/>
  <c r="U192" i="1" s="1"/>
  <c r="F193" i="1"/>
  <c r="U193" i="1" s="1"/>
  <c r="F194" i="1"/>
  <c r="U194" i="1" s="1"/>
  <c r="F195" i="1"/>
  <c r="U195" i="1" s="1"/>
  <c r="F196" i="1"/>
  <c r="U196" i="1" s="1"/>
  <c r="F197" i="1"/>
  <c r="U197" i="1" s="1"/>
  <c r="F198" i="1"/>
  <c r="U198" i="1" s="1"/>
  <c r="F199" i="1"/>
  <c r="U199" i="1" s="1"/>
  <c r="F200" i="1"/>
  <c r="U200" i="1" s="1"/>
  <c r="F201" i="1"/>
  <c r="U201" i="1" s="1"/>
  <c r="F202" i="1"/>
  <c r="U202" i="1" s="1"/>
  <c r="F203" i="1"/>
  <c r="U203" i="1" s="1"/>
  <c r="F204" i="1"/>
  <c r="U204" i="1" s="1"/>
  <c r="F205" i="1"/>
  <c r="U205" i="1" s="1"/>
  <c r="F206" i="1"/>
  <c r="U206" i="1" s="1"/>
  <c r="F207" i="1"/>
  <c r="U207" i="1" s="1"/>
  <c r="F208" i="1"/>
  <c r="U208" i="1" s="1"/>
  <c r="F209" i="1"/>
  <c r="U209" i="1" s="1"/>
  <c r="F210" i="1"/>
  <c r="U210" i="1" s="1"/>
  <c r="F211" i="1"/>
  <c r="U211" i="1" s="1"/>
  <c r="F212" i="1"/>
  <c r="U212" i="1" s="1"/>
  <c r="F213" i="1"/>
  <c r="U213" i="1" s="1"/>
  <c r="F214" i="1"/>
  <c r="U214" i="1" s="1"/>
  <c r="F215" i="1"/>
  <c r="U215" i="1" s="1"/>
  <c r="F216" i="1"/>
  <c r="U216" i="1" s="1"/>
  <c r="F217" i="1"/>
  <c r="U217" i="1" s="1"/>
  <c r="F218" i="1"/>
  <c r="U218" i="1" s="1"/>
  <c r="F219" i="1"/>
  <c r="U219" i="1" s="1"/>
  <c r="F220" i="1"/>
  <c r="U220" i="1" s="1"/>
  <c r="F221" i="1"/>
  <c r="U221" i="1" s="1"/>
  <c r="F222" i="1"/>
  <c r="U222" i="1" s="1"/>
  <c r="F223" i="1"/>
  <c r="U223" i="1" s="1"/>
  <c r="F224" i="1"/>
  <c r="U224" i="1" s="1"/>
  <c r="F225" i="1"/>
  <c r="U225" i="1" s="1"/>
  <c r="F226" i="1"/>
  <c r="U226" i="1" s="1"/>
  <c r="F227" i="1"/>
  <c r="U227" i="1" s="1"/>
  <c r="F228" i="1"/>
  <c r="U228" i="1" s="1"/>
  <c r="F229" i="1"/>
  <c r="U229" i="1" s="1"/>
  <c r="F230" i="1"/>
  <c r="U230" i="1" s="1"/>
  <c r="F231" i="1"/>
  <c r="U231" i="1" s="1"/>
  <c r="F232" i="1"/>
  <c r="U232" i="1" s="1"/>
  <c r="F233" i="1"/>
  <c r="U233" i="1" s="1"/>
  <c r="F234" i="1"/>
  <c r="U234" i="1" s="1"/>
  <c r="F235" i="1"/>
  <c r="U235" i="1" s="1"/>
  <c r="F236" i="1"/>
  <c r="U236" i="1" s="1"/>
  <c r="F237" i="1"/>
  <c r="U237" i="1" s="1"/>
  <c r="F238" i="1"/>
  <c r="U238" i="1" s="1"/>
  <c r="F239" i="1"/>
  <c r="U239" i="1" s="1"/>
  <c r="F240" i="1"/>
  <c r="U240" i="1" s="1"/>
  <c r="F241" i="1"/>
  <c r="U241" i="1" s="1"/>
  <c r="F242" i="1"/>
  <c r="U242" i="1" s="1"/>
  <c r="F243" i="1"/>
  <c r="U243" i="1" s="1"/>
  <c r="F244" i="1"/>
  <c r="U244" i="1" s="1"/>
  <c r="F245" i="1"/>
  <c r="U245" i="1" s="1"/>
  <c r="F246" i="1"/>
  <c r="U246" i="1" s="1"/>
  <c r="F247" i="1"/>
  <c r="U247" i="1" s="1"/>
  <c r="F248" i="1"/>
  <c r="U248" i="1" s="1"/>
  <c r="F249" i="1"/>
  <c r="U249" i="1" s="1"/>
  <c r="F250" i="1"/>
  <c r="F251" i="1"/>
  <c r="F252" i="1"/>
  <c r="F253" i="1"/>
  <c r="U253" i="1" s="1"/>
  <c r="F254" i="1"/>
  <c r="U254" i="1" s="1"/>
  <c r="F255" i="1"/>
  <c r="F256" i="1"/>
  <c r="F257" i="1"/>
  <c r="U257" i="1" s="1"/>
  <c r="F258" i="1"/>
  <c r="F259" i="1"/>
  <c r="F260" i="1"/>
  <c r="U260" i="1" s="1"/>
  <c r="F261" i="1"/>
  <c r="U261" i="1" s="1"/>
  <c r="F262" i="1"/>
  <c r="U262" i="1" s="1"/>
  <c r="F263" i="1"/>
  <c r="U263" i="1" s="1"/>
  <c r="F264" i="1"/>
  <c r="U264" i="1" s="1"/>
  <c r="F265" i="1"/>
  <c r="U265" i="1" s="1"/>
  <c r="F266" i="1"/>
  <c r="U266" i="1" s="1"/>
  <c r="F267" i="1"/>
  <c r="U267" i="1" s="1"/>
  <c r="F268" i="1"/>
  <c r="U268" i="1" s="1"/>
  <c r="F269" i="1"/>
  <c r="U269" i="1" s="1"/>
  <c r="F270" i="1"/>
  <c r="U270" i="1" s="1"/>
  <c r="F271" i="1"/>
  <c r="U271" i="1" s="1"/>
  <c r="F272" i="1"/>
  <c r="U272" i="1" s="1"/>
  <c r="F273" i="1"/>
  <c r="U273" i="1" s="1"/>
  <c r="F274" i="1"/>
  <c r="U274" i="1" s="1"/>
  <c r="F275" i="1"/>
  <c r="U275" i="1" s="1"/>
  <c r="F276" i="1"/>
  <c r="U276" i="1" s="1"/>
  <c r="F277" i="1"/>
  <c r="U277" i="1" s="1"/>
  <c r="F278" i="1"/>
  <c r="U278" i="1" s="1"/>
  <c r="F279" i="1"/>
  <c r="U279" i="1" s="1"/>
  <c r="F280" i="1"/>
  <c r="U280" i="1" s="1"/>
  <c r="F281" i="1"/>
  <c r="U281" i="1" s="1"/>
  <c r="F282" i="1"/>
  <c r="U282" i="1" s="1"/>
  <c r="F283" i="1"/>
  <c r="U283" i="1" s="1"/>
  <c r="F284" i="1"/>
  <c r="U284" i="1" s="1"/>
  <c r="F285" i="1"/>
  <c r="U285" i="1" s="1"/>
  <c r="F286" i="1"/>
  <c r="U286" i="1" s="1"/>
  <c r="F287" i="1"/>
  <c r="U287" i="1" s="1"/>
  <c r="F288" i="1"/>
  <c r="U288" i="1" s="1"/>
  <c r="F289" i="1"/>
  <c r="U289" i="1" s="1"/>
  <c r="F290" i="1"/>
  <c r="U290" i="1" s="1"/>
  <c r="F291" i="1"/>
  <c r="U291" i="1" s="1"/>
  <c r="F292" i="1"/>
  <c r="U292" i="1" s="1"/>
  <c r="F293" i="1"/>
  <c r="U293" i="1" s="1"/>
  <c r="F294" i="1"/>
  <c r="U294" i="1" s="1"/>
  <c r="F295" i="1"/>
  <c r="U295" i="1" s="1"/>
  <c r="F296" i="1"/>
  <c r="U296" i="1" s="1"/>
  <c r="F297" i="1"/>
  <c r="U297" i="1" s="1"/>
  <c r="F298" i="1"/>
  <c r="U298" i="1" s="1"/>
  <c r="F299" i="1"/>
  <c r="U299" i="1" s="1"/>
  <c r="F300" i="1"/>
  <c r="U300" i="1" s="1"/>
  <c r="F301" i="1"/>
  <c r="U301" i="1" s="1"/>
  <c r="F302" i="1"/>
  <c r="U302" i="1" s="1"/>
  <c r="F303" i="1"/>
  <c r="U303" i="1" s="1"/>
  <c r="F304" i="1"/>
  <c r="F305" i="1"/>
  <c r="U305" i="1" s="1"/>
  <c r="F306" i="1"/>
  <c r="F307" i="1"/>
  <c r="U307" i="1" s="1"/>
  <c r="F308" i="1"/>
  <c r="U308" i="1" s="1"/>
  <c r="F309" i="1"/>
  <c r="F310" i="1"/>
  <c r="F311" i="1"/>
  <c r="U311" i="1" s="1"/>
  <c r="F312" i="1"/>
  <c r="U312" i="1" s="1"/>
  <c r="F313" i="1"/>
  <c r="U313" i="1" s="1"/>
  <c r="F314" i="1"/>
  <c r="U314" i="1" s="1"/>
  <c r="F315" i="1"/>
  <c r="U315" i="1" s="1"/>
  <c r="F316" i="1"/>
  <c r="H801" i="1"/>
  <c r="I801" i="1"/>
  <c r="J801" i="1"/>
  <c r="H802" i="1"/>
  <c r="I802" i="1"/>
  <c r="J802" i="1"/>
  <c r="H803" i="1"/>
  <c r="E268" i="8" s="1"/>
  <c r="I803" i="1"/>
  <c r="F268" i="8" s="1"/>
  <c r="J803" i="1"/>
  <c r="G268" i="8" s="1"/>
  <c r="H804" i="1"/>
  <c r="E269" i="8" s="1"/>
  <c r="I804" i="1"/>
  <c r="F269" i="8" s="1"/>
  <c r="J804" i="1"/>
  <c r="G269" i="8" s="1"/>
  <c r="H805" i="1"/>
  <c r="I805" i="1"/>
  <c r="J805" i="1"/>
  <c r="H806" i="1"/>
  <c r="I806" i="1"/>
  <c r="J806" i="1"/>
  <c r="H807" i="1"/>
  <c r="I807" i="1"/>
  <c r="J807" i="1"/>
  <c r="H808" i="1"/>
  <c r="E270" i="8" s="1"/>
  <c r="I808" i="1"/>
  <c r="F270" i="8" s="1"/>
  <c r="J808" i="1"/>
  <c r="G270" i="8" s="1"/>
  <c r="H809" i="1"/>
  <c r="I809" i="1"/>
  <c r="J809" i="1"/>
  <c r="H810" i="1"/>
  <c r="I810" i="1"/>
  <c r="J810" i="1"/>
  <c r="H811" i="1"/>
  <c r="I811" i="1"/>
  <c r="J811" i="1"/>
  <c r="H812" i="1"/>
  <c r="E271" i="8" s="1"/>
  <c r="I812" i="1"/>
  <c r="F271" i="8" s="1"/>
  <c r="J812" i="1"/>
  <c r="G271" i="8" s="1"/>
  <c r="H813" i="1"/>
  <c r="I813" i="1"/>
  <c r="J813" i="1"/>
  <c r="H814" i="1"/>
  <c r="I814" i="1"/>
  <c r="J814" i="1"/>
  <c r="H815" i="1"/>
  <c r="I815" i="1"/>
  <c r="J815" i="1"/>
  <c r="H816" i="1"/>
  <c r="I816" i="1"/>
  <c r="J816" i="1"/>
  <c r="H817" i="1"/>
  <c r="I817" i="1"/>
  <c r="J817" i="1"/>
  <c r="H818" i="1"/>
  <c r="I818" i="1"/>
  <c r="J818" i="1"/>
  <c r="H819" i="1"/>
  <c r="I819" i="1"/>
  <c r="J819" i="1"/>
  <c r="H820" i="1"/>
  <c r="I820" i="1"/>
  <c r="J820" i="1"/>
  <c r="H821" i="1"/>
  <c r="I821" i="1"/>
  <c r="J821" i="1"/>
  <c r="H822" i="1"/>
  <c r="I822" i="1"/>
  <c r="J822" i="1"/>
  <c r="H823" i="1"/>
  <c r="I823" i="1"/>
  <c r="J823" i="1"/>
  <c r="H824" i="1"/>
  <c r="I824" i="1"/>
  <c r="J824" i="1"/>
  <c r="H825" i="1"/>
  <c r="I825" i="1"/>
  <c r="J825" i="1"/>
  <c r="H826" i="1"/>
  <c r="I826" i="1"/>
  <c r="J826" i="1"/>
  <c r="H827" i="1"/>
  <c r="I827" i="1"/>
  <c r="J827" i="1"/>
  <c r="H828" i="1"/>
  <c r="I828" i="1"/>
  <c r="J828" i="1"/>
  <c r="H829" i="1"/>
  <c r="I829" i="1"/>
  <c r="J829" i="1"/>
  <c r="H830" i="1"/>
  <c r="I830" i="1"/>
  <c r="J830" i="1"/>
  <c r="H831" i="1"/>
  <c r="I831" i="1"/>
  <c r="J831" i="1"/>
  <c r="H832" i="1"/>
  <c r="I832" i="1"/>
  <c r="J832" i="1"/>
  <c r="H833" i="1"/>
  <c r="I833" i="1"/>
  <c r="J833" i="1"/>
  <c r="H834" i="1"/>
  <c r="E272" i="8" s="1"/>
  <c r="I834" i="1"/>
  <c r="F272" i="8" s="1"/>
  <c r="J834" i="1"/>
  <c r="G272" i="8" s="1"/>
  <c r="H835" i="1"/>
  <c r="I835" i="1"/>
  <c r="J835" i="1"/>
  <c r="H836" i="1"/>
  <c r="I836" i="1"/>
  <c r="J836" i="1"/>
  <c r="H837" i="1"/>
  <c r="I837" i="1"/>
  <c r="J837" i="1"/>
  <c r="H838" i="1"/>
  <c r="I838" i="1"/>
  <c r="J838" i="1"/>
  <c r="H839" i="1"/>
  <c r="I839" i="1"/>
  <c r="J839" i="1"/>
  <c r="H840" i="1"/>
  <c r="I840" i="1"/>
  <c r="J840" i="1"/>
  <c r="H841" i="1"/>
  <c r="I841" i="1"/>
  <c r="J841" i="1"/>
  <c r="H842" i="1"/>
  <c r="I842" i="1"/>
  <c r="J842" i="1"/>
  <c r="H843" i="1"/>
  <c r="I843" i="1"/>
  <c r="J843" i="1"/>
  <c r="H844" i="1"/>
  <c r="I844" i="1"/>
  <c r="J844" i="1"/>
  <c r="H845" i="1"/>
  <c r="E273" i="8" s="1"/>
  <c r="I845" i="1"/>
  <c r="F273" i="8" s="1"/>
  <c r="J845" i="1"/>
  <c r="G273" i="8" s="1"/>
  <c r="H846" i="1"/>
  <c r="I846" i="1"/>
  <c r="J846" i="1"/>
  <c r="H847" i="1"/>
  <c r="I847" i="1"/>
  <c r="J847" i="1"/>
  <c r="H848" i="1"/>
  <c r="I848" i="1"/>
  <c r="J848" i="1"/>
  <c r="H849" i="1"/>
  <c r="I849" i="1"/>
  <c r="J849" i="1"/>
  <c r="H850" i="1"/>
  <c r="I850" i="1"/>
  <c r="J850" i="1"/>
  <c r="H851" i="1"/>
  <c r="I851" i="1"/>
  <c r="J851" i="1"/>
  <c r="H852" i="1"/>
  <c r="I852" i="1"/>
  <c r="J852" i="1"/>
  <c r="H853" i="1"/>
  <c r="I853" i="1"/>
  <c r="J853" i="1"/>
  <c r="H854" i="1"/>
  <c r="E274" i="8" s="1"/>
  <c r="I854" i="1"/>
  <c r="F274" i="8" s="1"/>
  <c r="J854" i="1"/>
  <c r="G274" i="8" s="1"/>
  <c r="H855" i="1"/>
  <c r="I855" i="1"/>
  <c r="J855" i="1"/>
  <c r="H856" i="1"/>
  <c r="I856" i="1"/>
  <c r="J856" i="1"/>
  <c r="H857" i="1"/>
  <c r="I857" i="1"/>
  <c r="J857" i="1"/>
  <c r="H858" i="1"/>
  <c r="I858" i="1"/>
  <c r="J858" i="1"/>
  <c r="H859" i="1"/>
  <c r="I859" i="1"/>
  <c r="J859" i="1"/>
  <c r="H860" i="1"/>
  <c r="I860" i="1"/>
  <c r="J860" i="1"/>
  <c r="H861" i="1"/>
  <c r="I861" i="1"/>
  <c r="J861" i="1"/>
  <c r="H862" i="1"/>
  <c r="I862" i="1"/>
  <c r="J862" i="1"/>
  <c r="H863" i="1"/>
  <c r="I863" i="1"/>
  <c r="J863" i="1"/>
  <c r="H864" i="1"/>
  <c r="I864" i="1"/>
  <c r="J864" i="1"/>
  <c r="H865" i="1"/>
  <c r="I865" i="1"/>
  <c r="J865" i="1"/>
  <c r="H866" i="1"/>
  <c r="I866" i="1"/>
  <c r="J866" i="1"/>
  <c r="H867" i="1"/>
  <c r="I867" i="1"/>
  <c r="J867" i="1"/>
  <c r="H868" i="1"/>
  <c r="I868" i="1"/>
  <c r="J868" i="1"/>
  <c r="H869" i="1"/>
  <c r="I869" i="1"/>
  <c r="J869" i="1"/>
  <c r="O751" i="1"/>
  <c r="H250" i="8" s="1"/>
  <c r="O723" i="1"/>
  <c r="H237" i="8" s="1"/>
  <c r="H748" i="1"/>
  <c r="E248" i="8" s="1"/>
  <c r="I748" i="1"/>
  <c r="J748" i="1"/>
  <c r="G248" i="8" s="1"/>
  <c r="F737" i="1"/>
  <c r="F748" i="1"/>
  <c r="O748" i="1"/>
  <c r="H248" i="8" s="1"/>
  <c r="O737" i="1"/>
  <c r="H241" i="8" s="1"/>
  <c r="J737" i="1"/>
  <c r="G241" i="8" s="1"/>
  <c r="H737" i="1"/>
  <c r="E241" i="8" s="1"/>
  <c r="I737" i="1"/>
  <c r="O745" i="1"/>
  <c r="H245" i="8" s="1"/>
  <c r="O722" i="1"/>
  <c r="H236" i="8" s="1"/>
  <c r="H722" i="1"/>
  <c r="E236" i="8" s="1"/>
  <c r="I722" i="1"/>
  <c r="J722" i="1"/>
  <c r="G236" i="8" s="1"/>
  <c r="F722" i="1"/>
  <c r="O703" i="1"/>
  <c r="H226" i="8" s="1"/>
  <c r="H703" i="1"/>
  <c r="E226" i="8" s="1"/>
  <c r="I703" i="1"/>
  <c r="F226" i="8" s="1"/>
  <c r="J703" i="1"/>
  <c r="G226" i="8" s="1"/>
  <c r="F703" i="1"/>
  <c r="O736" i="1"/>
  <c r="H240" i="8" s="1"/>
  <c r="O726" i="1"/>
  <c r="H238" i="8" s="1"/>
  <c r="C8" i="198" l="1"/>
  <c r="C9" i="198"/>
  <c r="C12" i="198"/>
  <c r="G8" i="198"/>
  <c r="D9" i="198"/>
  <c r="G11" i="198"/>
  <c r="F11" i="198"/>
  <c r="E8" i="198"/>
  <c r="E11" i="198"/>
  <c r="D8" i="198"/>
  <c r="D11" i="198"/>
  <c r="C11" i="198"/>
  <c r="G7" i="198"/>
  <c r="G10" i="198"/>
  <c r="F12" i="198"/>
  <c r="F10" i="198"/>
  <c r="E7" i="198"/>
  <c r="G13" i="198"/>
  <c r="E10" i="198"/>
  <c r="D7" i="198"/>
  <c r="F13" i="198"/>
  <c r="D10" i="198"/>
  <c r="C7" i="198"/>
  <c r="G12" i="198"/>
  <c r="D12" i="198"/>
  <c r="E13" i="198"/>
  <c r="C10" i="198"/>
  <c r="D13" i="198"/>
  <c r="G9" i="198"/>
  <c r="C13" i="198"/>
  <c r="F9" i="198"/>
  <c r="F8" i="198"/>
  <c r="F7" i="198"/>
  <c r="U79" i="1"/>
  <c r="E12" i="198"/>
  <c r="E9" i="198"/>
  <c r="E8" i="190" a="1"/>
  <c r="E8" i="190" s="1"/>
  <c r="D8" i="190" a="1"/>
  <c r="D8" i="190" s="1"/>
  <c r="I31" i="195"/>
  <c r="H7" i="190"/>
  <c r="G7" i="190"/>
  <c r="D9" i="190"/>
  <c r="F7" i="190"/>
  <c r="C9" i="190"/>
  <c r="E7" i="190"/>
  <c r="G8" i="190" a="1"/>
  <c r="G8" i="190" s="1"/>
  <c r="H9" i="190"/>
  <c r="C8" i="190" a="1"/>
  <c r="C8" i="190" s="1"/>
  <c r="D7" i="190"/>
  <c r="I33" i="195"/>
  <c r="G9" i="190"/>
  <c r="G31" i="195"/>
  <c r="C7" i="190"/>
  <c r="E29" i="195"/>
  <c r="F9" i="190"/>
  <c r="E9" i="190"/>
  <c r="H8" i="190" a="1"/>
  <c r="H8" i="190" s="1"/>
  <c r="F8" i="190" a="1"/>
  <c r="F8" i="190" s="1"/>
  <c r="G29" i="195"/>
  <c r="C71" i="191" a="1"/>
  <c r="C71" i="191" s="1"/>
  <c r="C55" i="191" a="1"/>
  <c r="C55" i="191" s="1"/>
  <c r="C39" i="191" a="1"/>
  <c r="C39" i="191" s="1"/>
  <c r="C23" i="191" a="1"/>
  <c r="C23" i="191" s="1"/>
  <c r="C7" i="191" a="1"/>
  <c r="C7" i="191" s="1"/>
  <c r="C70" i="191" a="1"/>
  <c r="C70" i="191" s="1"/>
  <c r="C54" i="191" a="1"/>
  <c r="C54" i="191" s="1"/>
  <c r="C38" i="191" a="1"/>
  <c r="C38" i="191" s="1"/>
  <c r="C22" i="191" a="1"/>
  <c r="C22" i="191" s="1"/>
  <c r="C69" i="191" a="1"/>
  <c r="C69" i="191" s="1"/>
  <c r="C53" i="191" a="1"/>
  <c r="C53" i="191" s="1"/>
  <c r="C37" i="191" a="1"/>
  <c r="C37" i="191" s="1"/>
  <c r="C21" i="191" a="1"/>
  <c r="C21" i="191" s="1"/>
  <c r="C68" i="191" a="1"/>
  <c r="C68" i="191" s="1"/>
  <c r="C52" i="191" a="1"/>
  <c r="C52" i="191" s="1"/>
  <c r="C36" i="191" a="1"/>
  <c r="C36" i="191" s="1"/>
  <c r="C20" i="191" a="1"/>
  <c r="C20" i="191" s="1"/>
  <c r="C67" i="191" a="1"/>
  <c r="C67" i="191" s="1"/>
  <c r="C51" i="191" a="1"/>
  <c r="C51" i="191" s="1"/>
  <c r="C35" i="191" a="1"/>
  <c r="C35" i="191" s="1"/>
  <c r="C19" i="191" a="1"/>
  <c r="C19" i="191" s="1"/>
  <c r="I32" i="195"/>
  <c r="I13" i="195"/>
  <c r="C66" i="191" a="1"/>
  <c r="C66" i="191" s="1"/>
  <c r="C50" i="191" a="1"/>
  <c r="C50" i="191" s="1"/>
  <c r="C34" i="191" a="1"/>
  <c r="C34" i="191" s="1"/>
  <c r="C18" i="191" a="1"/>
  <c r="C18" i="191" s="1"/>
  <c r="H32" i="195"/>
  <c r="H13" i="195"/>
  <c r="C65" i="191" a="1"/>
  <c r="C65" i="191" s="1"/>
  <c r="C49" i="191" a="1"/>
  <c r="C49" i="191" s="1"/>
  <c r="C33" i="191" a="1"/>
  <c r="C33" i="191" s="1"/>
  <c r="C17" i="191" a="1"/>
  <c r="C17" i="191" s="1"/>
  <c r="I34" i="195"/>
  <c r="G32" i="195"/>
  <c r="G13" i="195"/>
  <c r="C80" i="191" a="1"/>
  <c r="C80" i="191" s="1"/>
  <c r="C64" i="191" a="1"/>
  <c r="C64" i="191" s="1"/>
  <c r="C48" i="191" a="1"/>
  <c r="C48" i="191" s="1"/>
  <c r="C32" i="191" a="1"/>
  <c r="C32" i="191" s="1"/>
  <c r="C16" i="191" a="1"/>
  <c r="C16" i="191" s="1"/>
  <c r="H34" i="195"/>
  <c r="F32" i="195"/>
  <c r="F13" i="195"/>
  <c r="C79" i="191" a="1"/>
  <c r="C79" i="191" s="1"/>
  <c r="C63" i="191" a="1"/>
  <c r="C63" i="191" s="1"/>
  <c r="C47" i="191" a="1"/>
  <c r="C47" i="191" s="1"/>
  <c r="C31" i="191" a="1"/>
  <c r="C31" i="191" s="1"/>
  <c r="G34" i="195"/>
  <c r="E32" i="195"/>
  <c r="E13" i="195"/>
  <c r="C78" i="191" a="1"/>
  <c r="C78" i="191" s="1"/>
  <c r="C62" i="191" a="1"/>
  <c r="C62" i="191" s="1"/>
  <c r="C46" i="191" a="1"/>
  <c r="C46" i="191" s="1"/>
  <c r="C30" i="191" a="1"/>
  <c r="C30" i="191" s="1"/>
  <c r="C14" i="191" a="1"/>
  <c r="C14" i="191" s="1"/>
  <c r="F34" i="195"/>
  <c r="D32" i="195"/>
  <c r="D13" i="195"/>
  <c r="E34" i="195"/>
  <c r="C32" i="195"/>
  <c r="C13" i="195"/>
  <c r="C76" i="191" a="1"/>
  <c r="C76" i="191" s="1"/>
  <c r="C60" i="191" a="1"/>
  <c r="C60" i="191" s="1"/>
  <c r="C44" i="191" a="1"/>
  <c r="C44" i="191" s="1"/>
  <c r="C28" i="191" a="1"/>
  <c r="C28" i="191" s="1"/>
  <c r="C12" i="191" a="1"/>
  <c r="C12" i="191" s="1"/>
  <c r="D34" i="195"/>
  <c r="C75" i="191" a="1"/>
  <c r="C75" i="191" s="1"/>
  <c r="C59" i="191" a="1"/>
  <c r="C59" i="191" s="1"/>
  <c r="C43" i="191" a="1"/>
  <c r="C43" i="191" s="1"/>
  <c r="C27" i="191" a="1"/>
  <c r="C27" i="191" s="1"/>
  <c r="C11" i="191" a="1"/>
  <c r="C11" i="191" s="1"/>
  <c r="C34" i="195"/>
  <c r="C74" i="191" a="1"/>
  <c r="C74" i="191" s="1"/>
  <c r="C58" i="191" a="1"/>
  <c r="C58" i="191" s="1"/>
  <c r="C42" i="191" a="1"/>
  <c r="C42" i="191" s="1"/>
  <c r="C26" i="191" a="1"/>
  <c r="C26" i="191" s="1"/>
  <c r="C10" i="191" a="1"/>
  <c r="C10" i="191" s="1"/>
  <c r="C72" i="191" a="1"/>
  <c r="C72" i="191" s="1"/>
  <c r="C56" i="191" a="1"/>
  <c r="C56" i="191" s="1"/>
  <c r="C40" i="191" a="1"/>
  <c r="C40" i="191" s="1"/>
  <c r="C24" i="191" a="1"/>
  <c r="C24" i="191" s="1"/>
  <c r="C8" i="191" a="1"/>
  <c r="C8" i="191" s="1"/>
  <c r="C77" i="191" a="1"/>
  <c r="C77" i="191" s="1"/>
  <c r="C73" i="191" a="1"/>
  <c r="C73" i="191" s="1"/>
  <c r="C61" i="191" a="1"/>
  <c r="C61" i="191" s="1"/>
  <c r="C57" i="191" a="1"/>
  <c r="C57" i="191" s="1"/>
  <c r="C45" i="191" a="1"/>
  <c r="C45" i="191" s="1"/>
  <c r="C41" i="191" a="1"/>
  <c r="C41" i="191" s="1"/>
  <c r="C29" i="191" a="1"/>
  <c r="C29" i="191" s="1"/>
  <c r="C13" i="191" a="1"/>
  <c r="C13" i="191" s="1"/>
  <c r="C25" i="191" a="1"/>
  <c r="C25" i="191" s="1"/>
  <c r="C15" i="191" a="1"/>
  <c r="C15" i="191" s="1"/>
  <c r="C9" i="191" a="1"/>
  <c r="C9" i="191" s="1"/>
  <c r="E278" i="8"/>
  <c r="G33" i="195"/>
  <c r="E31" i="195"/>
  <c r="C29" i="195"/>
  <c r="E12" i="195"/>
  <c r="G10" i="195"/>
  <c r="E8" i="195"/>
  <c r="F33" i="195"/>
  <c r="D31" i="195"/>
  <c r="D12" i="195"/>
  <c r="F10" i="195"/>
  <c r="D8" i="195"/>
  <c r="E33" i="195"/>
  <c r="C31" i="195"/>
  <c r="C12" i="195"/>
  <c r="E10" i="195"/>
  <c r="C8" i="195"/>
  <c r="D33" i="195"/>
  <c r="I30" i="195"/>
  <c r="I11" i="195" a="1"/>
  <c r="I11" i="195" s="1"/>
  <c r="D10" i="195"/>
  <c r="C33" i="195"/>
  <c r="H30" i="195"/>
  <c r="H11" i="195" a="1"/>
  <c r="H11" i="195" s="1"/>
  <c r="C10" i="195"/>
  <c r="G30" i="195"/>
  <c r="I9" i="195"/>
  <c r="F30" i="195"/>
  <c r="G11" i="195" a="1"/>
  <c r="G11" i="195" s="1"/>
  <c r="H9" i="195"/>
  <c r="E30" i="195"/>
  <c r="G9" i="195"/>
  <c r="D30" i="195"/>
  <c r="F11" i="195" a="1"/>
  <c r="F11" i="195" s="1"/>
  <c r="F9" i="195"/>
  <c r="C30" i="195"/>
  <c r="E11" i="195" a="1"/>
  <c r="E11" i="195" s="1"/>
  <c r="E9" i="195"/>
  <c r="I29" i="195"/>
  <c r="D9" i="195"/>
  <c r="H29" i="195"/>
  <c r="D11" i="195" a="1"/>
  <c r="D11" i="195" s="1"/>
  <c r="C9" i="195"/>
  <c r="I12" i="195"/>
  <c r="I8" i="195"/>
  <c r="H31" i="195"/>
  <c r="F29" i="195"/>
  <c r="H12" i="195"/>
  <c r="C11" i="195" a="1"/>
  <c r="C11" i="195" s="1"/>
  <c r="H8" i="195"/>
  <c r="H33" i="195"/>
  <c r="F31" i="195"/>
  <c r="D29" i="195"/>
  <c r="F12" i="195"/>
  <c r="H10" i="195"/>
  <c r="F8" i="195"/>
  <c r="I10" i="195"/>
  <c r="G8" i="195"/>
  <c r="G12" i="195"/>
  <c r="F241" i="8"/>
  <c r="F236" i="8"/>
  <c r="C61" i="193" a="1"/>
  <c r="C61" i="193" s="1"/>
  <c r="F248" i="8"/>
  <c r="H12" i="190"/>
  <c r="G12" i="190"/>
  <c r="F12" i="190"/>
  <c r="E12" i="190"/>
  <c r="D12" i="190"/>
  <c r="C12" i="190"/>
  <c r="E10" i="190"/>
  <c r="D10" i="190"/>
  <c r="C10" i="190"/>
  <c r="F11" i="190"/>
  <c r="D11" i="190"/>
  <c r="C11" i="190"/>
  <c r="H10" i="190"/>
  <c r="F10" i="190"/>
  <c r="G11" i="190"/>
  <c r="E11" i="190"/>
  <c r="H11" i="190"/>
  <c r="G10" i="190"/>
  <c r="L8" i="173" a="1"/>
  <c r="L8" i="173" s="1"/>
  <c r="L9" i="173" s="1"/>
  <c r="K8" i="173" a="1"/>
  <c r="K8" i="173" s="1"/>
  <c r="K9" i="173" s="1"/>
  <c r="J8" i="173" a="1"/>
  <c r="J8" i="173" s="1"/>
  <c r="J9" i="173" s="1"/>
  <c r="I8" i="173" a="1"/>
  <c r="I8" i="173" s="1"/>
  <c r="I9" i="173" s="1"/>
  <c r="H8" i="173" a="1"/>
  <c r="H8" i="173" s="1"/>
  <c r="H9" i="173" s="1"/>
  <c r="G8" i="173" a="1"/>
  <c r="G8" i="173" s="1"/>
  <c r="G9" i="173" s="1"/>
  <c r="F8" i="173" a="1"/>
  <c r="F8" i="173" s="1"/>
  <c r="F9" i="173" s="1"/>
  <c r="E8" i="173" a="1"/>
  <c r="E8" i="173" s="1"/>
  <c r="E9" i="173" s="1"/>
  <c r="D78" i="170" a="1"/>
  <c r="D78" i="170" s="1"/>
  <c r="D74" i="170" a="1"/>
  <c r="D74" i="170" s="1"/>
  <c r="D70" i="170" a="1"/>
  <c r="D70" i="170" s="1"/>
  <c r="D66" i="170" a="1"/>
  <c r="D66" i="170" s="1"/>
  <c r="D62" i="170" a="1"/>
  <c r="D62" i="170" s="1"/>
  <c r="D58" i="170" a="1"/>
  <c r="D58" i="170" s="1"/>
  <c r="D54" i="170" a="1"/>
  <c r="D54" i="170" s="1"/>
  <c r="D50" i="170" a="1"/>
  <c r="D50" i="170" s="1"/>
  <c r="D46" i="170" a="1"/>
  <c r="D46" i="170" s="1"/>
  <c r="D42" i="170" a="1"/>
  <c r="D42" i="170" s="1"/>
  <c r="D38" i="170" a="1"/>
  <c r="D38" i="170" s="1"/>
  <c r="D34" i="170" a="1"/>
  <c r="D34" i="170" s="1"/>
  <c r="D30" i="170" a="1"/>
  <c r="D30" i="170" s="1"/>
  <c r="D26" i="170" a="1"/>
  <c r="D26" i="170" s="1"/>
  <c r="D22" i="170" a="1"/>
  <c r="D22" i="170" s="1"/>
  <c r="D18" i="170" a="1"/>
  <c r="D18" i="170" s="1"/>
  <c r="D14" i="170" a="1"/>
  <c r="D14" i="170" s="1"/>
  <c r="D10" i="170" a="1"/>
  <c r="D10" i="170" s="1"/>
  <c r="F25" i="170" a="1"/>
  <c r="F25" i="170" s="1"/>
  <c r="F9" i="170" a="1"/>
  <c r="F9" i="170" s="1"/>
  <c r="E45" i="170" a="1"/>
  <c r="E45" i="170" s="1"/>
  <c r="E29" i="170" a="1"/>
  <c r="E29" i="170" s="1"/>
  <c r="E13" i="170" a="1"/>
  <c r="E13" i="170" s="1"/>
  <c r="E20" i="170" a="1"/>
  <c r="E20" i="170" s="1"/>
  <c r="C78" i="170" a="1"/>
  <c r="C78" i="170" s="1"/>
  <c r="C74" i="170" a="1"/>
  <c r="C74" i="170" s="1"/>
  <c r="C70" i="170" a="1"/>
  <c r="C70" i="170" s="1"/>
  <c r="C66" i="170" a="1"/>
  <c r="C66" i="170" s="1"/>
  <c r="C62" i="170" a="1"/>
  <c r="C62" i="170" s="1"/>
  <c r="C58" i="170" a="1"/>
  <c r="C58" i="170" s="1"/>
  <c r="C54" i="170" a="1"/>
  <c r="C54" i="170" s="1"/>
  <c r="C50" i="170" a="1"/>
  <c r="C50" i="170" s="1"/>
  <c r="C46" i="170" a="1"/>
  <c r="C46" i="170" s="1"/>
  <c r="C42" i="170" a="1"/>
  <c r="C42" i="170" s="1"/>
  <c r="C38" i="170" a="1"/>
  <c r="C38" i="170" s="1"/>
  <c r="C34" i="170" a="1"/>
  <c r="C34" i="170" s="1"/>
  <c r="C30" i="170" a="1"/>
  <c r="C30" i="170" s="1"/>
  <c r="C26" i="170" a="1"/>
  <c r="C26" i="170" s="1"/>
  <c r="C22" i="170" a="1"/>
  <c r="C22" i="170" s="1"/>
  <c r="C18" i="170" a="1"/>
  <c r="C18" i="170" s="1"/>
  <c r="C14" i="170" a="1"/>
  <c r="C14" i="170" s="1"/>
  <c r="C10" i="170" a="1"/>
  <c r="C10" i="170" s="1"/>
  <c r="F21" i="170" a="1"/>
  <c r="F21" i="170" s="1"/>
  <c r="F13" i="170" a="1"/>
  <c r="F13" i="170" s="1"/>
  <c r="E49" i="170" a="1"/>
  <c r="E49" i="170" s="1"/>
  <c r="E33" i="170" a="1"/>
  <c r="E33" i="170" s="1"/>
  <c r="E17" i="170" a="1"/>
  <c r="E17" i="170" s="1"/>
  <c r="E16" i="170" a="1"/>
  <c r="E16" i="170" s="1"/>
  <c r="F77" i="170" a="1"/>
  <c r="F77" i="170" s="1"/>
  <c r="F73" i="170" a="1"/>
  <c r="F73" i="170" s="1"/>
  <c r="F69" i="170" a="1"/>
  <c r="F69" i="170" s="1"/>
  <c r="F65" i="170" a="1"/>
  <c r="F65" i="170" s="1"/>
  <c r="F61" i="170" a="1"/>
  <c r="F61" i="170" s="1"/>
  <c r="F57" i="170" a="1"/>
  <c r="F57" i="170" s="1"/>
  <c r="F53" i="170" a="1"/>
  <c r="F53" i="170" s="1"/>
  <c r="F49" i="170" a="1"/>
  <c r="F49" i="170" s="1"/>
  <c r="F45" i="170" a="1"/>
  <c r="F45" i="170" s="1"/>
  <c r="F41" i="170" a="1"/>
  <c r="F41" i="170" s="1"/>
  <c r="F37" i="170" a="1"/>
  <c r="F37" i="170" s="1"/>
  <c r="F33" i="170" a="1"/>
  <c r="F33" i="170" s="1"/>
  <c r="F29" i="170" a="1"/>
  <c r="F29" i="170" s="1"/>
  <c r="F17" i="170" a="1"/>
  <c r="F17" i="170" s="1"/>
  <c r="E53" i="170" a="1"/>
  <c r="E53" i="170" s="1"/>
  <c r="E37" i="170" a="1"/>
  <c r="E37" i="170" s="1"/>
  <c r="E21" i="170" a="1"/>
  <c r="E21" i="170" s="1"/>
  <c r="E28" i="170" a="1"/>
  <c r="E28" i="170" s="1"/>
  <c r="E77" i="170" a="1"/>
  <c r="E77" i="170" s="1"/>
  <c r="E73" i="170" a="1"/>
  <c r="E73" i="170" s="1"/>
  <c r="E69" i="170" a="1"/>
  <c r="E69" i="170" s="1"/>
  <c r="E65" i="170" a="1"/>
  <c r="E65" i="170" s="1"/>
  <c r="E61" i="170" a="1"/>
  <c r="E61" i="170" s="1"/>
  <c r="E57" i="170" a="1"/>
  <c r="E57" i="170" s="1"/>
  <c r="E41" i="170" a="1"/>
  <c r="E41" i="170" s="1"/>
  <c r="E25" i="170" a="1"/>
  <c r="E25" i="170" s="1"/>
  <c r="E9" i="170" a="1"/>
  <c r="E9" i="170" s="1"/>
  <c r="D77" i="170" a="1"/>
  <c r="D77" i="170" s="1"/>
  <c r="D73" i="170" a="1"/>
  <c r="D73" i="170" s="1"/>
  <c r="D69" i="170" a="1"/>
  <c r="D69" i="170" s="1"/>
  <c r="D65" i="170" a="1"/>
  <c r="D65" i="170" s="1"/>
  <c r="D61" i="170" a="1"/>
  <c r="D61" i="170" s="1"/>
  <c r="D57" i="170" a="1"/>
  <c r="D57" i="170" s="1"/>
  <c r="D53" i="170" a="1"/>
  <c r="D53" i="170" s="1"/>
  <c r="D49" i="170" a="1"/>
  <c r="D49" i="170" s="1"/>
  <c r="D45" i="170" a="1"/>
  <c r="D45" i="170" s="1"/>
  <c r="D41" i="170" a="1"/>
  <c r="D41" i="170" s="1"/>
  <c r="D37" i="170" a="1"/>
  <c r="D37" i="170" s="1"/>
  <c r="D33" i="170" a="1"/>
  <c r="D33" i="170" s="1"/>
  <c r="D29" i="170" a="1"/>
  <c r="D29" i="170" s="1"/>
  <c r="D25" i="170" a="1"/>
  <c r="D25" i="170" s="1"/>
  <c r="D21" i="170" a="1"/>
  <c r="D21" i="170" s="1"/>
  <c r="D17" i="170" a="1"/>
  <c r="D17" i="170" s="1"/>
  <c r="D13" i="170" a="1"/>
  <c r="D13" i="170" s="1"/>
  <c r="D9" i="170" a="1"/>
  <c r="D9" i="170" s="1"/>
  <c r="F12" i="170" a="1"/>
  <c r="F12" i="170" s="1"/>
  <c r="E76" i="170" a="1"/>
  <c r="E76" i="170" s="1"/>
  <c r="E60" i="170" a="1"/>
  <c r="E60" i="170" s="1"/>
  <c r="E48" i="170" a="1"/>
  <c r="E48" i="170" s="1"/>
  <c r="E40" i="170" a="1"/>
  <c r="E40" i="170" s="1"/>
  <c r="C77" i="170" a="1"/>
  <c r="C77" i="170" s="1"/>
  <c r="C73" i="170" a="1"/>
  <c r="C73" i="170" s="1"/>
  <c r="C69" i="170" a="1"/>
  <c r="C69" i="170" s="1"/>
  <c r="C65" i="170" a="1"/>
  <c r="C65" i="170" s="1"/>
  <c r="C61" i="170" a="1"/>
  <c r="C61" i="170" s="1"/>
  <c r="C57" i="170" a="1"/>
  <c r="C57" i="170" s="1"/>
  <c r="C53" i="170" a="1"/>
  <c r="C53" i="170" s="1"/>
  <c r="C49" i="170" a="1"/>
  <c r="C49" i="170" s="1"/>
  <c r="C45" i="170" a="1"/>
  <c r="C45" i="170" s="1"/>
  <c r="C41" i="170" a="1"/>
  <c r="C41" i="170" s="1"/>
  <c r="C37" i="170" a="1"/>
  <c r="C37" i="170" s="1"/>
  <c r="C33" i="170" a="1"/>
  <c r="C33" i="170" s="1"/>
  <c r="C29" i="170" a="1"/>
  <c r="C29" i="170" s="1"/>
  <c r="C25" i="170" a="1"/>
  <c r="C25" i="170" s="1"/>
  <c r="C21" i="170" a="1"/>
  <c r="C21" i="170" s="1"/>
  <c r="C17" i="170" a="1"/>
  <c r="C17" i="170" s="1"/>
  <c r="C13" i="170" a="1"/>
  <c r="C13" i="170" s="1"/>
  <c r="C9" i="170" a="1"/>
  <c r="C9" i="170" s="1"/>
  <c r="F8" i="170" a="1"/>
  <c r="F8" i="170" s="1"/>
  <c r="E72" i="170" a="1"/>
  <c r="E72" i="170" s="1"/>
  <c r="E64" i="170" a="1"/>
  <c r="E64" i="170" s="1"/>
  <c r="E52" i="170" a="1"/>
  <c r="E52" i="170" s="1"/>
  <c r="E36" i="170" a="1"/>
  <c r="E36" i="170" s="1"/>
  <c r="F76" i="170" a="1"/>
  <c r="F76" i="170" s="1"/>
  <c r="F72" i="170" a="1"/>
  <c r="F72" i="170" s="1"/>
  <c r="F68" i="170" a="1"/>
  <c r="F68" i="170" s="1"/>
  <c r="F64" i="170" a="1"/>
  <c r="F64" i="170" s="1"/>
  <c r="F60" i="170" a="1"/>
  <c r="F60" i="170" s="1"/>
  <c r="F56" i="170" a="1"/>
  <c r="F56" i="170" s="1"/>
  <c r="F52" i="170" a="1"/>
  <c r="F52" i="170" s="1"/>
  <c r="F48" i="170" a="1"/>
  <c r="F48" i="170" s="1"/>
  <c r="F44" i="170" a="1"/>
  <c r="F44" i="170" s="1"/>
  <c r="F40" i="170" a="1"/>
  <c r="F40" i="170" s="1"/>
  <c r="F36" i="170" a="1"/>
  <c r="F36" i="170" s="1"/>
  <c r="F32" i="170" a="1"/>
  <c r="F32" i="170" s="1"/>
  <c r="F28" i="170" a="1"/>
  <c r="F28" i="170" s="1"/>
  <c r="F24" i="170" a="1"/>
  <c r="F24" i="170" s="1"/>
  <c r="F20" i="170" a="1"/>
  <c r="F20" i="170" s="1"/>
  <c r="F16" i="170" a="1"/>
  <c r="F16" i="170" s="1"/>
  <c r="E68" i="170" a="1"/>
  <c r="E68" i="170" s="1"/>
  <c r="E56" i="170" a="1"/>
  <c r="E56" i="170" s="1"/>
  <c r="E44" i="170" a="1"/>
  <c r="E44" i="170" s="1"/>
  <c r="E32" i="170" a="1"/>
  <c r="E32" i="170" s="1"/>
  <c r="D76" i="170" a="1"/>
  <c r="D76" i="170" s="1"/>
  <c r="D72" i="170" a="1"/>
  <c r="D72" i="170" s="1"/>
  <c r="D68" i="170" a="1"/>
  <c r="D68" i="170" s="1"/>
  <c r="D64" i="170" a="1"/>
  <c r="D64" i="170" s="1"/>
  <c r="D60" i="170" a="1"/>
  <c r="D60" i="170" s="1"/>
  <c r="D56" i="170" a="1"/>
  <c r="D56" i="170" s="1"/>
  <c r="D52" i="170" a="1"/>
  <c r="D52" i="170" s="1"/>
  <c r="D48" i="170" a="1"/>
  <c r="D48" i="170" s="1"/>
  <c r="D44" i="170" a="1"/>
  <c r="D44" i="170" s="1"/>
  <c r="D40" i="170" a="1"/>
  <c r="D40" i="170" s="1"/>
  <c r="D36" i="170" a="1"/>
  <c r="D36" i="170" s="1"/>
  <c r="D32" i="170" a="1"/>
  <c r="D32" i="170" s="1"/>
  <c r="D28" i="170" a="1"/>
  <c r="D28" i="170" s="1"/>
  <c r="D24" i="170" a="1"/>
  <c r="D24" i="170" s="1"/>
  <c r="D20" i="170" a="1"/>
  <c r="D20" i="170" s="1"/>
  <c r="D16" i="170" a="1"/>
  <c r="D16" i="170" s="1"/>
  <c r="D12" i="170" a="1"/>
  <c r="D12" i="170" s="1"/>
  <c r="D8" i="170" a="1"/>
  <c r="D8" i="170" s="1"/>
  <c r="E55" i="170" a="1"/>
  <c r="E55" i="170" s="1"/>
  <c r="E35" i="170" a="1"/>
  <c r="E35" i="170" s="1"/>
  <c r="E19" i="170" a="1"/>
  <c r="E19" i="170" s="1"/>
  <c r="E12" i="170" a="1"/>
  <c r="E12" i="170" s="1"/>
  <c r="C76" i="170" a="1"/>
  <c r="C76" i="170" s="1"/>
  <c r="C72" i="170" a="1"/>
  <c r="C72" i="170" s="1"/>
  <c r="C68" i="170" a="1"/>
  <c r="C68" i="170" s="1"/>
  <c r="C64" i="170" a="1"/>
  <c r="C64" i="170" s="1"/>
  <c r="C60" i="170" a="1"/>
  <c r="C60" i="170" s="1"/>
  <c r="C56" i="170" a="1"/>
  <c r="C56" i="170" s="1"/>
  <c r="C52" i="170" a="1"/>
  <c r="C52" i="170" s="1"/>
  <c r="C48" i="170" a="1"/>
  <c r="C48" i="170" s="1"/>
  <c r="C44" i="170" a="1"/>
  <c r="C44" i="170" s="1"/>
  <c r="C40" i="170" a="1"/>
  <c r="C40" i="170" s="1"/>
  <c r="C36" i="170" a="1"/>
  <c r="C36" i="170" s="1"/>
  <c r="C32" i="170" a="1"/>
  <c r="C32" i="170" s="1"/>
  <c r="C28" i="170" a="1"/>
  <c r="C28" i="170" s="1"/>
  <c r="C24" i="170" a="1"/>
  <c r="C24" i="170" s="1"/>
  <c r="C20" i="170" a="1"/>
  <c r="C20" i="170" s="1"/>
  <c r="C16" i="170" a="1"/>
  <c r="C16" i="170" s="1"/>
  <c r="C12" i="170" a="1"/>
  <c r="C12" i="170" s="1"/>
  <c r="C8" i="170" a="1"/>
  <c r="C8" i="170" s="1"/>
  <c r="F23" i="170" a="1"/>
  <c r="F23" i="170" s="1"/>
  <c r="F15" i="170" a="1"/>
  <c r="F15" i="170" s="1"/>
  <c r="F7" i="170" a="1"/>
  <c r="F7" i="170" s="1"/>
  <c r="E47" i="170" a="1"/>
  <c r="E47" i="170" s="1"/>
  <c r="E31" i="170" a="1"/>
  <c r="E31" i="170" s="1"/>
  <c r="E15" i="170" a="1"/>
  <c r="E15" i="170" s="1"/>
  <c r="E8" i="170" a="1"/>
  <c r="E8" i="170" s="1"/>
  <c r="F79" i="170" a="1"/>
  <c r="F79" i="170" s="1"/>
  <c r="F75" i="170" a="1"/>
  <c r="F75" i="170" s="1"/>
  <c r="F71" i="170" a="1"/>
  <c r="F71" i="170" s="1"/>
  <c r="F67" i="170" a="1"/>
  <c r="F67" i="170" s="1"/>
  <c r="F63" i="170" a="1"/>
  <c r="F63" i="170" s="1"/>
  <c r="F59" i="170" a="1"/>
  <c r="F59" i="170" s="1"/>
  <c r="F55" i="170" a="1"/>
  <c r="F55" i="170" s="1"/>
  <c r="F51" i="170" a="1"/>
  <c r="F51" i="170" s="1"/>
  <c r="F47" i="170" a="1"/>
  <c r="F47" i="170" s="1"/>
  <c r="F43" i="170" a="1"/>
  <c r="F43" i="170" s="1"/>
  <c r="F39" i="170" a="1"/>
  <c r="F39" i="170" s="1"/>
  <c r="F35" i="170" a="1"/>
  <c r="F35" i="170" s="1"/>
  <c r="F31" i="170" a="1"/>
  <c r="F31" i="170" s="1"/>
  <c r="F27" i="170" a="1"/>
  <c r="F27" i="170" s="1"/>
  <c r="F19" i="170" a="1"/>
  <c r="F19" i="170" s="1"/>
  <c r="F11" i="170" a="1"/>
  <c r="F11" i="170" s="1"/>
  <c r="E51" i="170" a="1"/>
  <c r="E51" i="170" s="1"/>
  <c r="E39" i="170" a="1"/>
  <c r="E39" i="170" s="1"/>
  <c r="E23" i="170" a="1"/>
  <c r="E23" i="170" s="1"/>
  <c r="E7" i="170" a="1"/>
  <c r="E7" i="170" s="1"/>
  <c r="E79" i="170" a="1"/>
  <c r="E79" i="170" s="1"/>
  <c r="E75" i="170" a="1"/>
  <c r="E75" i="170" s="1"/>
  <c r="E71" i="170" a="1"/>
  <c r="E71" i="170" s="1"/>
  <c r="E67" i="170" a="1"/>
  <c r="E67" i="170" s="1"/>
  <c r="E63" i="170" a="1"/>
  <c r="E63" i="170" s="1"/>
  <c r="E59" i="170" a="1"/>
  <c r="E59" i="170" s="1"/>
  <c r="E43" i="170" a="1"/>
  <c r="E43" i="170" s="1"/>
  <c r="E27" i="170" a="1"/>
  <c r="E27" i="170" s="1"/>
  <c r="E11" i="170" a="1"/>
  <c r="E11" i="170" s="1"/>
  <c r="D79" i="170" a="1"/>
  <c r="D79" i="170" s="1"/>
  <c r="D75" i="170" a="1"/>
  <c r="D75" i="170" s="1"/>
  <c r="D71" i="170" a="1"/>
  <c r="D71" i="170" s="1"/>
  <c r="D67" i="170" a="1"/>
  <c r="D67" i="170" s="1"/>
  <c r="D63" i="170" a="1"/>
  <c r="D63" i="170" s="1"/>
  <c r="D59" i="170" a="1"/>
  <c r="D59" i="170" s="1"/>
  <c r="D55" i="170" a="1"/>
  <c r="D55" i="170" s="1"/>
  <c r="D51" i="170" a="1"/>
  <c r="D51" i="170" s="1"/>
  <c r="D47" i="170" a="1"/>
  <c r="D47" i="170" s="1"/>
  <c r="D43" i="170" a="1"/>
  <c r="D43" i="170" s="1"/>
  <c r="D39" i="170" a="1"/>
  <c r="D39" i="170" s="1"/>
  <c r="D35" i="170" a="1"/>
  <c r="D35" i="170" s="1"/>
  <c r="D31" i="170" a="1"/>
  <c r="D31" i="170" s="1"/>
  <c r="D27" i="170" a="1"/>
  <c r="D27" i="170" s="1"/>
  <c r="D23" i="170" a="1"/>
  <c r="D23" i="170" s="1"/>
  <c r="D19" i="170" a="1"/>
  <c r="D19" i="170" s="1"/>
  <c r="D15" i="170" a="1"/>
  <c r="D15" i="170" s="1"/>
  <c r="D11" i="170" a="1"/>
  <c r="D11" i="170" s="1"/>
  <c r="D7" i="170" a="1"/>
  <c r="D7" i="170" s="1"/>
  <c r="E46" i="170" a="1"/>
  <c r="E46" i="170" s="1"/>
  <c r="E30" i="170" a="1"/>
  <c r="E30" i="170" s="1"/>
  <c r="E14" i="170" a="1"/>
  <c r="E14" i="170" s="1"/>
  <c r="C79" i="170" a="1"/>
  <c r="C79" i="170" s="1"/>
  <c r="C75" i="170" a="1"/>
  <c r="C75" i="170" s="1"/>
  <c r="C71" i="170" a="1"/>
  <c r="C71" i="170" s="1"/>
  <c r="C67" i="170" a="1"/>
  <c r="C67" i="170" s="1"/>
  <c r="C63" i="170" a="1"/>
  <c r="C63" i="170" s="1"/>
  <c r="C59" i="170" a="1"/>
  <c r="C59" i="170" s="1"/>
  <c r="C55" i="170" a="1"/>
  <c r="C55" i="170" s="1"/>
  <c r="C51" i="170" a="1"/>
  <c r="C51" i="170" s="1"/>
  <c r="C47" i="170" a="1"/>
  <c r="C47" i="170" s="1"/>
  <c r="C43" i="170" a="1"/>
  <c r="C43" i="170" s="1"/>
  <c r="C39" i="170" a="1"/>
  <c r="C39" i="170" s="1"/>
  <c r="C35" i="170" a="1"/>
  <c r="C35" i="170" s="1"/>
  <c r="C31" i="170" a="1"/>
  <c r="C31" i="170" s="1"/>
  <c r="C27" i="170" a="1"/>
  <c r="C27" i="170" s="1"/>
  <c r="C23" i="170" a="1"/>
  <c r="C23" i="170" s="1"/>
  <c r="C19" i="170" a="1"/>
  <c r="C19" i="170" s="1"/>
  <c r="C15" i="170" a="1"/>
  <c r="C15" i="170" s="1"/>
  <c r="C11" i="170" a="1"/>
  <c r="C11" i="170" s="1"/>
  <c r="C7" i="170" a="1"/>
  <c r="C7" i="170" s="1"/>
  <c r="F14" i="170" a="1"/>
  <c r="F14" i="170" s="1"/>
  <c r="E58" i="170" a="1"/>
  <c r="E58" i="170" s="1"/>
  <c r="E42" i="170" a="1"/>
  <c r="E42" i="170" s="1"/>
  <c r="E26" i="170" a="1"/>
  <c r="E26" i="170" s="1"/>
  <c r="E10" i="170" a="1"/>
  <c r="E10" i="170" s="1"/>
  <c r="F78" i="170" a="1"/>
  <c r="F78" i="170" s="1"/>
  <c r="F74" i="170" a="1"/>
  <c r="F74" i="170" s="1"/>
  <c r="F70" i="170" a="1"/>
  <c r="F70" i="170" s="1"/>
  <c r="F66" i="170" a="1"/>
  <c r="F66" i="170" s="1"/>
  <c r="F62" i="170" a="1"/>
  <c r="F62" i="170" s="1"/>
  <c r="F58" i="170" a="1"/>
  <c r="F58" i="170" s="1"/>
  <c r="F54" i="170" a="1"/>
  <c r="F54" i="170" s="1"/>
  <c r="F50" i="170" a="1"/>
  <c r="F50" i="170" s="1"/>
  <c r="F46" i="170" a="1"/>
  <c r="F46" i="170" s="1"/>
  <c r="F42" i="170" a="1"/>
  <c r="F42" i="170" s="1"/>
  <c r="F38" i="170" a="1"/>
  <c r="F38" i="170" s="1"/>
  <c r="F34" i="170" a="1"/>
  <c r="F34" i="170" s="1"/>
  <c r="F30" i="170" a="1"/>
  <c r="F30" i="170" s="1"/>
  <c r="F26" i="170" a="1"/>
  <c r="F26" i="170" s="1"/>
  <c r="F22" i="170" a="1"/>
  <c r="F22" i="170" s="1"/>
  <c r="F18" i="170" a="1"/>
  <c r="F18" i="170" s="1"/>
  <c r="F10" i="170" a="1"/>
  <c r="F10" i="170" s="1"/>
  <c r="E54" i="170" a="1"/>
  <c r="E54" i="170" s="1"/>
  <c r="E38" i="170" a="1"/>
  <c r="E38" i="170" s="1"/>
  <c r="E22" i="170" a="1"/>
  <c r="E22" i="170" s="1"/>
  <c r="E24" i="170" a="1"/>
  <c r="E24" i="170" s="1"/>
  <c r="E78" i="170" a="1"/>
  <c r="E78" i="170" s="1"/>
  <c r="E74" i="170" a="1"/>
  <c r="E74" i="170" s="1"/>
  <c r="E70" i="170" a="1"/>
  <c r="E70" i="170" s="1"/>
  <c r="E66" i="170" a="1"/>
  <c r="E66" i="170" s="1"/>
  <c r="E62" i="170" a="1"/>
  <c r="E62" i="170" s="1"/>
  <c r="E50" i="170" a="1"/>
  <c r="E50" i="170" s="1"/>
  <c r="E34" i="170" a="1"/>
  <c r="E34" i="170" s="1"/>
  <c r="E18" i="170" a="1"/>
  <c r="E18" i="170" s="1"/>
  <c r="D126" i="98"/>
  <c r="U306" i="1"/>
  <c r="D45" i="168"/>
  <c r="U737" i="1"/>
  <c r="U49" i="1"/>
  <c r="P49" i="1" s="1"/>
  <c r="I20" i="8" s="1"/>
  <c r="D124" i="98"/>
  <c r="U259" i="1"/>
  <c r="D33" i="168"/>
  <c r="U703" i="1"/>
  <c r="D125" i="98"/>
  <c r="U304" i="1"/>
  <c r="P304" i="1" s="1"/>
  <c r="I115" i="8" s="1"/>
  <c r="D122" i="98"/>
  <c r="U256" i="1"/>
  <c r="P256" i="1" s="1"/>
  <c r="I293" i="8" s="1"/>
  <c r="D129" i="98"/>
  <c r="U316" i="1"/>
  <c r="D120" i="98"/>
  <c r="U252" i="1"/>
  <c r="P252" i="1" s="1"/>
  <c r="I292" i="8" s="1"/>
  <c r="D39" i="168"/>
  <c r="U722" i="1"/>
  <c r="D119" i="98"/>
  <c r="U251" i="1"/>
  <c r="D118" i="98"/>
  <c r="U250" i="1"/>
  <c r="F278" i="8"/>
  <c r="AI74" i="43" a="1"/>
  <c r="AI74" i="43" s="1"/>
  <c r="AI71" i="43" a="1"/>
  <c r="AI71" i="43" s="1"/>
  <c r="D121" i="98"/>
  <c r="U255" i="1"/>
  <c r="P255" i="1" s="1"/>
  <c r="I112" i="8" s="1"/>
  <c r="D123" i="98"/>
  <c r="U258" i="1"/>
  <c r="D128" i="98"/>
  <c r="U310" i="1"/>
  <c r="D50" i="168"/>
  <c r="U748" i="1"/>
  <c r="D127" i="98"/>
  <c r="U309" i="1"/>
  <c r="I23" i="168"/>
  <c r="U5" i="1"/>
  <c r="P5" i="1" s="1"/>
  <c r="I279" i="8" s="1"/>
  <c r="U2" i="1"/>
  <c r="P2" i="1" s="1"/>
  <c r="I278" i="8" s="1"/>
  <c r="P305" i="1"/>
  <c r="I116" i="8" s="1"/>
  <c r="P303" i="1"/>
  <c r="I114" i="8" s="1"/>
  <c r="P261" i="1"/>
  <c r="I113" i="8" s="1"/>
  <c r="P254" i="1"/>
  <c r="I111" i="8" s="1"/>
  <c r="P253" i="1"/>
  <c r="I110" i="8" s="1"/>
  <c r="P239" i="1"/>
  <c r="I106" i="8" s="1"/>
  <c r="P238" i="1"/>
  <c r="I105" i="8" s="1"/>
  <c r="P231" i="1"/>
  <c r="I101" i="8" s="1"/>
  <c r="P229" i="1"/>
  <c r="I100" i="8" s="1"/>
  <c r="P226" i="1"/>
  <c r="I98" i="8" s="1"/>
  <c r="P224" i="1"/>
  <c r="I97" i="8" s="1"/>
  <c r="P219" i="1"/>
  <c r="I95" i="8" s="1"/>
  <c r="P218" i="1"/>
  <c r="I94" i="8" s="1"/>
  <c r="P216" i="1"/>
  <c r="I93" i="8" s="1"/>
  <c r="P208" i="1"/>
  <c r="I91" i="8" s="1"/>
  <c r="P206" i="1"/>
  <c r="I90" i="8" s="1"/>
  <c r="P199" i="1"/>
  <c r="I88" i="8" s="1"/>
  <c r="P195" i="1"/>
  <c r="I85" i="8" s="1"/>
  <c r="P194" i="1"/>
  <c r="I84" i="8" s="1"/>
  <c r="P182" i="1"/>
  <c r="I79" i="8" s="1"/>
  <c r="P180" i="1"/>
  <c r="I77" i="8" s="1"/>
  <c r="P178" i="1"/>
  <c r="I75" i="8" s="1"/>
  <c r="P173" i="1"/>
  <c r="I73" i="8" s="1"/>
  <c r="P172" i="1"/>
  <c r="I72" i="8" s="1"/>
  <c r="P165" i="1"/>
  <c r="I68" i="8" s="1"/>
  <c r="P161" i="1"/>
  <c r="I65" i="8" s="1"/>
  <c r="P160" i="1"/>
  <c r="I64" i="8" s="1"/>
  <c r="P151" i="1"/>
  <c r="I63" i="8" s="1"/>
  <c r="P150" i="1"/>
  <c r="I62" i="8" s="1"/>
  <c r="P142" i="1"/>
  <c r="I59" i="8" s="1"/>
  <c r="P141" i="1"/>
  <c r="I58" i="8" s="1"/>
  <c r="P119" i="1"/>
  <c r="I51" i="8" s="1"/>
  <c r="P108" i="1"/>
  <c r="I46" i="8" s="1"/>
  <c r="P106" i="1"/>
  <c r="I44" i="8" s="1"/>
  <c r="P105" i="1"/>
  <c r="I43" i="8" s="1"/>
  <c r="P73" i="1"/>
  <c r="I36" i="8" s="1"/>
  <c r="P71" i="1"/>
  <c r="I35" i="8" s="1"/>
  <c r="P70" i="1"/>
  <c r="I34" i="8" s="1"/>
  <c r="P60" i="1"/>
  <c r="I27" i="8" s="1"/>
  <c r="P59" i="1"/>
  <c r="I26" i="8" s="1"/>
  <c r="P56" i="1"/>
  <c r="I25" i="8" s="1"/>
  <c r="P54" i="1"/>
  <c r="I23" i="8" s="1"/>
  <c r="P45" i="1"/>
  <c r="I18" i="8" s="1"/>
  <c r="P22" i="1"/>
  <c r="I14" i="8" s="1"/>
  <c r="P20" i="1"/>
  <c r="I12" i="8" s="1"/>
  <c r="P17" i="1"/>
  <c r="I10" i="8" s="1"/>
  <c r="D7" i="136"/>
  <c r="D20" i="136"/>
  <c r="D9" i="136"/>
  <c r="D22" i="136"/>
  <c r="D24" i="136"/>
  <c r="D36" i="136"/>
  <c r="D48" i="136"/>
  <c r="D32" i="136"/>
  <c r="D45" i="136"/>
  <c r="D14" i="136"/>
  <c r="D26" i="136"/>
  <c r="D38" i="136"/>
  <c r="D50" i="136"/>
  <c r="D15" i="136"/>
  <c r="D27" i="136"/>
  <c r="D39" i="136"/>
  <c r="D51" i="136"/>
  <c r="D16" i="136"/>
  <c r="D28" i="136"/>
  <c r="D40" i="136"/>
  <c r="D52" i="136"/>
  <c r="D17" i="136"/>
  <c r="D29" i="136"/>
  <c r="D41" i="136"/>
  <c r="D53" i="136"/>
  <c r="D8" i="136"/>
  <c r="D44" i="136"/>
  <c r="D21" i="136"/>
  <c r="D57" i="136"/>
  <c r="D10" i="136"/>
  <c r="D46" i="136"/>
  <c r="D19" i="136"/>
  <c r="D31" i="136"/>
  <c r="D43" i="136"/>
  <c r="D55" i="136"/>
  <c r="D56" i="136"/>
  <c r="D33" i="136"/>
  <c r="D34" i="136"/>
  <c r="D11" i="136"/>
  <c r="D23" i="136"/>
  <c r="D35" i="136"/>
  <c r="D47" i="136"/>
  <c r="D12" i="136"/>
  <c r="D13" i="136"/>
  <c r="D25" i="136"/>
  <c r="D37" i="136"/>
  <c r="D49" i="136"/>
  <c r="D18" i="136"/>
  <c r="D30" i="136"/>
  <c r="D42" i="136"/>
  <c r="D54" i="136"/>
  <c r="D7" i="112"/>
  <c r="C15" i="136"/>
  <c r="C27" i="136"/>
  <c r="C39" i="136"/>
  <c r="C51" i="136"/>
  <c r="C16" i="136"/>
  <c r="C40" i="136"/>
  <c r="C41" i="136"/>
  <c r="C18" i="136"/>
  <c r="C31" i="136"/>
  <c r="C32" i="136"/>
  <c r="C9" i="136"/>
  <c r="C21" i="136"/>
  <c r="C33" i="136"/>
  <c r="C45" i="136"/>
  <c r="C57" i="136"/>
  <c r="C10" i="136"/>
  <c r="C22" i="136"/>
  <c r="C34" i="136"/>
  <c r="C46" i="136"/>
  <c r="C11" i="136"/>
  <c r="C23" i="136"/>
  <c r="C35" i="136"/>
  <c r="C7" i="136"/>
  <c r="C48" i="136"/>
  <c r="C54" i="136"/>
  <c r="C43" i="136"/>
  <c r="C8" i="136"/>
  <c r="C56" i="136"/>
  <c r="C47" i="136"/>
  <c r="C13" i="136"/>
  <c r="C25" i="136"/>
  <c r="C37" i="136"/>
  <c r="C49" i="136"/>
  <c r="C17" i="136"/>
  <c r="C53" i="136"/>
  <c r="C42" i="136"/>
  <c r="C19" i="136"/>
  <c r="C55" i="136"/>
  <c r="C44" i="136"/>
  <c r="C14" i="136"/>
  <c r="C26" i="136"/>
  <c r="C38" i="136"/>
  <c r="C50" i="136"/>
  <c r="C28" i="136"/>
  <c r="C52" i="136"/>
  <c r="C29" i="136"/>
  <c r="C30" i="136"/>
  <c r="C20" i="136"/>
  <c r="C12" i="136"/>
  <c r="C24" i="136"/>
  <c r="C36" i="136"/>
  <c r="D7" i="98"/>
  <c r="P220" i="1"/>
  <c r="I96" i="8" s="1"/>
  <c r="D104" i="98"/>
  <c r="P196" i="1"/>
  <c r="I86" i="8" s="1"/>
  <c r="D94" i="98"/>
  <c r="P184" i="1"/>
  <c r="I81" i="8" s="1"/>
  <c r="D91" i="98"/>
  <c r="P148" i="1"/>
  <c r="I60" i="8" s="1"/>
  <c r="D74" i="98"/>
  <c r="P112" i="1"/>
  <c r="I289" i="8" s="1"/>
  <c r="D61" i="98"/>
  <c r="P64" i="1"/>
  <c r="I29" i="8" s="1"/>
  <c r="D39" i="98"/>
  <c r="D21" i="98"/>
  <c r="D115" i="98"/>
  <c r="P183" i="1"/>
  <c r="I80" i="8" s="1"/>
  <c r="D90" i="98"/>
  <c r="P171" i="1"/>
  <c r="I290" i="8" s="1"/>
  <c r="D84" i="98"/>
  <c r="P135" i="1"/>
  <c r="I53" i="8" s="1"/>
  <c r="D68" i="98"/>
  <c r="P111" i="1"/>
  <c r="I47" i="8" s="1"/>
  <c r="D60" i="98"/>
  <c r="P99" i="1"/>
  <c r="I42" i="8" s="1"/>
  <c r="D53" i="98"/>
  <c r="P75" i="1"/>
  <c r="I285" i="8" s="1"/>
  <c r="D44" i="98"/>
  <c r="P63" i="1"/>
  <c r="I28" i="8" s="1"/>
  <c r="D38" i="98"/>
  <c r="P51" i="1"/>
  <c r="I21" i="8" s="1"/>
  <c r="D35" i="98"/>
  <c r="D27" i="98"/>
  <c r="D20" i="98"/>
  <c r="D14" i="98"/>
  <c r="P3" i="1"/>
  <c r="I7" i="8" s="1"/>
  <c r="D8" i="98"/>
  <c r="D114" i="98"/>
  <c r="D73" i="98"/>
  <c r="D59" i="98"/>
  <c r="D52" i="98"/>
  <c r="P62" i="1"/>
  <c r="I284" i="8" s="1"/>
  <c r="D37" i="98"/>
  <c r="P50" i="1"/>
  <c r="I283" i="8" s="1"/>
  <c r="D34" i="98"/>
  <c r="P38" i="1"/>
  <c r="I17" i="8" s="1"/>
  <c r="D26" i="98"/>
  <c r="P14" i="1"/>
  <c r="I281" i="8" s="1"/>
  <c r="D13" i="98"/>
  <c r="P181" i="1"/>
  <c r="I78" i="8" s="1"/>
  <c r="D89" i="98"/>
  <c r="P169" i="1"/>
  <c r="I71" i="8" s="1"/>
  <c r="D83" i="98"/>
  <c r="D58" i="98"/>
  <c r="P97" i="1"/>
  <c r="I41" i="8" s="1"/>
  <c r="D51" i="98"/>
  <c r="P37" i="1"/>
  <c r="I16" i="8" s="1"/>
  <c r="D25" i="98"/>
  <c r="D19" i="98"/>
  <c r="P240" i="1"/>
  <c r="I107" i="8" s="1"/>
  <c r="D112" i="98"/>
  <c r="D106" i="98"/>
  <c r="P168" i="1"/>
  <c r="I70" i="8" s="1"/>
  <c r="D82" i="98"/>
  <c r="P120" i="1"/>
  <c r="I52" i="8" s="1"/>
  <c r="D67" i="98"/>
  <c r="P96" i="1"/>
  <c r="I40" i="8" s="1"/>
  <c r="D50" i="98"/>
  <c r="P84" i="1"/>
  <c r="I286" i="8" s="1"/>
  <c r="D45" i="98"/>
  <c r="D32" i="98"/>
  <c r="P36" i="1"/>
  <c r="I15" i="8" s="1"/>
  <c r="D24" i="98"/>
  <c r="D18" i="98"/>
  <c r="P12" i="1"/>
  <c r="I8" i="8" s="1"/>
  <c r="D11" i="98"/>
  <c r="P227" i="1"/>
  <c r="I99" i="8" s="1"/>
  <c r="D105" i="98"/>
  <c r="D102" i="98"/>
  <c r="P179" i="1"/>
  <c r="I76" i="8" s="1"/>
  <c r="D88" i="98"/>
  <c r="P167" i="1"/>
  <c r="I69" i="8" s="1"/>
  <c r="D81" i="98"/>
  <c r="P107" i="1"/>
  <c r="I45" i="8" s="1"/>
  <c r="D57" i="98"/>
  <c r="P47" i="1"/>
  <c r="I282" i="8" s="1"/>
  <c r="D31" i="98"/>
  <c r="D23" i="98"/>
  <c r="D117" i="98"/>
  <c r="D101" i="98"/>
  <c r="D80" i="98"/>
  <c r="P118" i="1"/>
  <c r="I50" i="8" s="1"/>
  <c r="D66" i="98"/>
  <c r="P46" i="1"/>
  <c r="I19" i="8" s="1"/>
  <c r="D30" i="98"/>
  <c r="D22" i="98"/>
  <c r="P237" i="1"/>
  <c r="I104" i="8" s="1"/>
  <c r="D111" i="98"/>
  <c r="D100" i="98"/>
  <c r="P189" i="1"/>
  <c r="I83" i="8" s="1"/>
  <c r="D93" i="98"/>
  <c r="D87" i="98"/>
  <c r="D76" i="98"/>
  <c r="P117" i="1"/>
  <c r="I49" i="8" s="1"/>
  <c r="D65" i="98"/>
  <c r="P93" i="1"/>
  <c r="I39" i="8" s="1"/>
  <c r="D49" i="98"/>
  <c r="P69" i="1"/>
  <c r="I33" i="8" s="1"/>
  <c r="D43" i="98"/>
  <c r="P21" i="1"/>
  <c r="I13" i="8" s="1"/>
  <c r="D17" i="98"/>
  <c r="P248" i="1"/>
  <c r="I109" i="8" s="1"/>
  <c r="D116" i="98"/>
  <c r="D99" i="98"/>
  <c r="P200" i="1"/>
  <c r="I89" i="8" s="1"/>
  <c r="D97" i="98"/>
  <c r="D86" i="98"/>
  <c r="P164" i="1"/>
  <c r="I67" i="8" s="1"/>
  <c r="D79" i="98"/>
  <c r="P140" i="1"/>
  <c r="I57" i="8" s="1"/>
  <c r="D72" i="98"/>
  <c r="D64" i="98"/>
  <c r="P92" i="1"/>
  <c r="I38" i="8" s="1"/>
  <c r="D48" i="98"/>
  <c r="P68" i="1"/>
  <c r="I32" i="8" s="1"/>
  <c r="D42" i="98"/>
  <c r="D29" i="98"/>
  <c r="D110" i="98"/>
  <c r="P163" i="1"/>
  <c r="I66" i="8" s="1"/>
  <c r="D78" i="98"/>
  <c r="P139" i="1"/>
  <c r="I56" i="8" s="1"/>
  <c r="D71" i="98"/>
  <c r="D63" i="98"/>
  <c r="P103" i="1"/>
  <c r="I288" i="8" s="1"/>
  <c r="D56" i="98"/>
  <c r="P91" i="1"/>
  <c r="I37" i="8" s="1"/>
  <c r="D47" i="98"/>
  <c r="P67" i="1"/>
  <c r="I31" i="8" s="1"/>
  <c r="D41" i="98"/>
  <c r="P7" i="1"/>
  <c r="I280" i="8" s="1"/>
  <c r="D10" i="98"/>
  <c r="D109" i="98"/>
  <c r="P210" i="1"/>
  <c r="I92" i="8" s="1"/>
  <c r="D98" i="98"/>
  <c r="P198" i="1"/>
  <c r="I291" i="8" s="1"/>
  <c r="D96" i="98"/>
  <c r="P174" i="1"/>
  <c r="I74" i="8" s="1"/>
  <c r="D85" i="98"/>
  <c r="D77" i="98"/>
  <c r="P138" i="1"/>
  <c r="I55" i="8" s="1"/>
  <c r="D70" i="98"/>
  <c r="D55" i="98"/>
  <c r="P90" i="1"/>
  <c r="I287" i="8" s="1"/>
  <c r="D46" i="98"/>
  <c r="D28" i="98"/>
  <c r="P18" i="1"/>
  <c r="I11" i="8" s="1"/>
  <c r="D16" i="98"/>
  <c r="P232" i="1"/>
  <c r="I102" i="8" s="1"/>
  <c r="D107" i="98"/>
  <c r="D54" i="98"/>
  <c r="P16" i="1"/>
  <c r="I9" i="8" s="1"/>
  <c r="D15" i="98"/>
  <c r="P241" i="1"/>
  <c r="I108" i="8" s="1"/>
  <c r="D113" i="98"/>
  <c r="D103" i="98"/>
  <c r="D33" i="98"/>
  <c r="D12" i="98"/>
  <c r="P233" i="1"/>
  <c r="I103" i="8" s="1"/>
  <c r="D108" i="98"/>
  <c r="P197" i="1"/>
  <c r="I87" i="8" s="1"/>
  <c r="D95" i="98"/>
  <c r="P185" i="1"/>
  <c r="I82" i="8" s="1"/>
  <c r="D92" i="98"/>
  <c r="P149" i="1"/>
  <c r="I61" i="8" s="1"/>
  <c r="D75" i="98"/>
  <c r="P137" i="1"/>
  <c r="I54" i="8" s="1"/>
  <c r="D69" i="98"/>
  <c r="P113" i="1"/>
  <c r="I48" i="8" s="1"/>
  <c r="D62" i="98"/>
  <c r="P65" i="1"/>
  <c r="I30" i="8" s="1"/>
  <c r="D40" i="98"/>
  <c r="P53" i="1"/>
  <c r="I22" i="8" s="1"/>
  <c r="D36" i="98"/>
  <c r="D9" i="98"/>
  <c r="F82" i="119"/>
  <c r="J772" i="1"/>
  <c r="G261" i="8" s="1"/>
  <c r="J771" i="1"/>
  <c r="J770" i="1"/>
  <c r="G260" i="8" s="1"/>
  <c r="J769" i="1"/>
  <c r="J768" i="1"/>
  <c r="G259" i="8" s="1"/>
  <c r="J767" i="1"/>
  <c r="G258" i="8" s="1"/>
  <c r="J766" i="1"/>
  <c r="G257" i="8" s="1"/>
  <c r="J765" i="1"/>
  <c r="J764" i="1"/>
  <c r="G256" i="8" s="1"/>
  <c r="J763" i="1"/>
  <c r="J762" i="1"/>
  <c r="J760" i="1"/>
  <c r="G255" i="8" s="1"/>
  <c r="J759" i="1"/>
  <c r="J758" i="1"/>
  <c r="J757" i="1"/>
  <c r="J755" i="1"/>
  <c r="G254" i="8" s="1"/>
  <c r="J754" i="1"/>
  <c r="G253" i="8" s="1"/>
  <c r="J753" i="1"/>
  <c r="G252" i="8" s="1"/>
  <c r="J752" i="1"/>
  <c r="G251" i="8" s="1"/>
  <c r="J751" i="1"/>
  <c r="G250" i="8" s="1"/>
  <c r="J750" i="1"/>
  <c r="G249" i="8" s="1"/>
  <c r="J749" i="1"/>
  <c r="J747" i="1"/>
  <c r="G247" i="8" s="1"/>
  <c r="J746" i="1"/>
  <c r="G246" i="8" s="1"/>
  <c r="J745" i="1"/>
  <c r="G245" i="8" s="1"/>
  <c r="J744" i="1"/>
  <c r="J743" i="1"/>
  <c r="J742" i="1"/>
  <c r="G244" i="8" s="1"/>
  <c r="J741" i="1"/>
  <c r="J740" i="1"/>
  <c r="J739" i="1"/>
  <c r="G243" i="8" s="1"/>
  <c r="J738" i="1"/>
  <c r="G242" i="8" s="1"/>
  <c r="J736" i="1"/>
  <c r="G240" i="8" s="1"/>
  <c r="J735" i="1"/>
  <c r="J734" i="1"/>
  <c r="J733" i="1"/>
  <c r="G239" i="8" s="1"/>
  <c r="J732" i="1"/>
  <c r="J731" i="1"/>
  <c r="J730" i="1"/>
  <c r="J729" i="1"/>
  <c r="J720" i="1"/>
  <c r="G234" i="8" s="1"/>
  <c r="J721" i="1"/>
  <c r="G235" i="8" s="1"/>
  <c r="J723" i="1"/>
  <c r="G237" i="8" s="1"/>
  <c r="J724" i="1"/>
  <c r="J725" i="1"/>
  <c r="J726" i="1"/>
  <c r="G238" i="8" s="1"/>
  <c r="J727" i="1"/>
  <c r="J728" i="1"/>
  <c r="J713" i="1"/>
  <c r="G229" i="8" s="1"/>
  <c r="J714" i="1"/>
  <c r="G230" i="8" s="1"/>
  <c r="H720" i="1"/>
  <c r="E234" i="8" s="1"/>
  <c r="I720" i="1"/>
  <c r="H721" i="1"/>
  <c r="E235" i="8" s="1"/>
  <c r="I721" i="1"/>
  <c r="H723" i="1"/>
  <c r="E237" i="8" s="1"/>
  <c r="I723" i="1"/>
  <c r="H724" i="1"/>
  <c r="I724" i="1"/>
  <c r="H725" i="1"/>
  <c r="I725" i="1"/>
  <c r="H726" i="1"/>
  <c r="E238" i="8" s="1"/>
  <c r="I726" i="1"/>
  <c r="F238" i="8" s="1"/>
  <c r="H727" i="1"/>
  <c r="I727" i="1"/>
  <c r="H728" i="1"/>
  <c r="I728" i="1"/>
  <c r="H729" i="1"/>
  <c r="I729" i="1"/>
  <c r="H730" i="1"/>
  <c r="I730" i="1"/>
  <c r="H731" i="1"/>
  <c r="I731" i="1"/>
  <c r="H732" i="1"/>
  <c r="I732" i="1"/>
  <c r="H733" i="1"/>
  <c r="E239" i="8" s="1"/>
  <c r="I733" i="1"/>
  <c r="H734" i="1"/>
  <c r="I734" i="1"/>
  <c r="H735" i="1"/>
  <c r="I735" i="1"/>
  <c r="H736" i="1"/>
  <c r="E240" i="8" s="1"/>
  <c r="I736" i="1"/>
  <c r="H738" i="1"/>
  <c r="E242" i="8" s="1"/>
  <c r="I738" i="1"/>
  <c r="F242" i="8" s="1"/>
  <c r="H739" i="1"/>
  <c r="E243" i="8" s="1"/>
  <c r="I739" i="1"/>
  <c r="H740" i="1"/>
  <c r="I740" i="1"/>
  <c r="H741" i="1"/>
  <c r="I741" i="1"/>
  <c r="H742" i="1"/>
  <c r="E244" i="8" s="1"/>
  <c r="I742" i="1"/>
  <c r="F244" i="8" s="1"/>
  <c r="H743" i="1"/>
  <c r="I743" i="1"/>
  <c r="H744" i="1"/>
  <c r="I744" i="1"/>
  <c r="H745" i="1"/>
  <c r="E245" i="8" s="1"/>
  <c r="I745" i="1"/>
  <c r="F245" i="8" s="1"/>
  <c r="H746" i="1"/>
  <c r="E246" i="8" s="1"/>
  <c r="I746" i="1"/>
  <c r="F246" i="8" s="1"/>
  <c r="H747" i="1"/>
  <c r="E247" i="8" s="1"/>
  <c r="I747" i="1"/>
  <c r="F247" i="8" s="1"/>
  <c r="H749" i="1"/>
  <c r="I749" i="1"/>
  <c r="H750" i="1"/>
  <c r="E249" i="8" s="1"/>
  <c r="I750" i="1"/>
  <c r="F249" i="8" s="1"/>
  <c r="H751" i="1"/>
  <c r="E250" i="8" s="1"/>
  <c r="I751" i="1"/>
  <c r="F250" i="8" s="1"/>
  <c r="H752" i="1"/>
  <c r="E251" i="8" s="1"/>
  <c r="I752" i="1"/>
  <c r="H753" i="1"/>
  <c r="E252" i="8" s="1"/>
  <c r="I753" i="1"/>
  <c r="F252" i="8" s="1"/>
  <c r="H754" i="1"/>
  <c r="E253" i="8" s="1"/>
  <c r="I754" i="1"/>
  <c r="F253" i="8" s="1"/>
  <c r="H755" i="1"/>
  <c r="E254" i="8" s="1"/>
  <c r="I755" i="1"/>
  <c r="F254" i="8" s="1"/>
  <c r="H757" i="1"/>
  <c r="I757" i="1"/>
  <c r="H758" i="1"/>
  <c r="I758" i="1"/>
  <c r="H759" i="1"/>
  <c r="I759" i="1"/>
  <c r="H760" i="1"/>
  <c r="E255" i="8" s="1"/>
  <c r="I760" i="1"/>
  <c r="F255" i="8" s="1"/>
  <c r="H762" i="1"/>
  <c r="I762" i="1"/>
  <c r="H763" i="1"/>
  <c r="I763" i="1"/>
  <c r="H764" i="1"/>
  <c r="E256" i="8" s="1"/>
  <c r="I764" i="1"/>
  <c r="F256" i="8" s="1"/>
  <c r="H765" i="1"/>
  <c r="I765" i="1"/>
  <c r="H766" i="1"/>
  <c r="E257" i="8" s="1"/>
  <c r="I766" i="1"/>
  <c r="H767" i="1"/>
  <c r="E258" i="8" s="1"/>
  <c r="I767" i="1"/>
  <c r="H768" i="1"/>
  <c r="E259" i="8" s="1"/>
  <c r="I768" i="1"/>
  <c r="H769" i="1"/>
  <c r="I769" i="1"/>
  <c r="H770" i="1"/>
  <c r="E260" i="8" s="1"/>
  <c r="I770" i="1"/>
  <c r="F260" i="8" s="1"/>
  <c r="H771" i="1"/>
  <c r="I771" i="1"/>
  <c r="H772" i="1"/>
  <c r="E261" i="8" s="1"/>
  <c r="I772" i="1"/>
  <c r="H713" i="1"/>
  <c r="E229" i="8" s="1"/>
  <c r="I713" i="1"/>
  <c r="H714" i="1"/>
  <c r="E230" i="8" s="1"/>
  <c r="I714" i="1"/>
  <c r="F230" i="8" s="1"/>
  <c r="O713" i="1"/>
  <c r="H229" i="8" s="1"/>
  <c r="O714" i="1"/>
  <c r="H230" i="8" s="1"/>
  <c r="F772" i="1"/>
  <c r="F771" i="1"/>
  <c r="U771" i="1" s="1"/>
  <c r="F770" i="1"/>
  <c r="F769" i="1"/>
  <c r="F768" i="1"/>
  <c r="F767" i="1"/>
  <c r="U767" i="1" s="1"/>
  <c r="I7" i="190" l="1"/>
  <c r="C15" i="198"/>
  <c r="D15" i="198"/>
  <c r="F15" i="198"/>
  <c r="J30" i="195"/>
  <c r="E15" i="198"/>
  <c r="G15" i="198"/>
  <c r="J31" i="195"/>
  <c r="I9" i="190"/>
  <c r="P703" i="1"/>
  <c r="I226" i="8" s="1"/>
  <c r="F49" i="188"/>
  <c r="P722" i="1"/>
  <c r="I236" i="8" s="1"/>
  <c r="C61" i="186"/>
  <c r="C61" i="185"/>
  <c r="E61" i="188"/>
  <c r="C70" i="188"/>
  <c r="P748" i="1"/>
  <c r="I248" i="8" s="1"/>
  <c r="C75" i="188"/>
  <c r="C75" i="185"/>
  <c r="C75" i="186"/>
  <c r="I10" i="190"/>
  <c r="J13" i="195"/>
  <c r="F261" i="8"/>
  <c r="C83" i="193" a="1"/>
  <c r="C83" i="193" s="1"/>
  <c r="F240" i="8"/>
  <c r="J10" i="195"/>
  <c r="J8" i="195"/>
  <c r="C83" i="191"/>
  <c r="J32" i="195"/>
  <c r="I8" i="190"/>
  <c r="I12" i="190"/>
  <c r="J12" i="195"/>
  <c r="J9" i="195"/>
  <c r="J34" i="195"/>
  <c r="P767" i="1"/>
  <c r="I258" i="8" s="1"/>
  <c r="C80" i="185"/>
  <c r="C80" i="186"/>
  <c r="D80" i="188"/>
  <c r="F251" i="8"/>
  <c r="F239" i="8"/>
  <c r="J29" i="195"/>
  <c r="J33" i="195"/>
  <c r="F234" i="8"/>
  <c r="C75" i="193" a="1"/>
  <c r="C75" i="193" s="1"/>
  <c r="F229" i="8"/>
  <c r="J11" i="195"/>
  <c r="F259" i="8"/>
  <c r="F258" i="8"/>
  <c r="C80" i="193" a="1"/>
  <c r="C80" i="193" s="1"/>
  <c r="F237" i="8"/>
  <c r="F257" i="8"/>
  <c r="F243" i="8"/>
  <c r="F235" i="8"/>
  <c r="I11" i="190"/>
  <c r="E81" i="170"/>
  <c r="D81" i="170"/>
  <c r="F81" i="170"/>
  <c r="C81" i="170"/>
  <c r="U769" i="1"/>
  <c r="D81" i="188" s="1"/>
  <c r="G125" i="98"/>
  <c r="H125" i="98"/>
  <c r="H33" i="168"/>
  <c r="G33" i="168"/>
  <c r="H118" i="98"/>
  <c r="G118" i="98"/>
  <c r="H124" i="98"/>
  <c r="G124" i="98"/>
  <c r="G119" i="98"/>
  <c r="H119" i="98"/>
  <c r="D64" i="168"/>
  <c r="U772" i="1"/>
  <c r="H127" i="98"/>
  <c r="G127" i="98"/>
  <c r="G39" i="168"/>
  <c r="H39" i="168"/>
  <c r="G45" i="168"/>
  <c r="H45" i="168"/>
  <c r="D63" i="168"/>
  <c r="U770" i="1"/>
  <c r="P770" i="1" s="1"/>
  <c r="I260" i="8" s="1"/>
  <c r="G50" i="168"/>
  <c r="H50" i="168"/>
  <c r="G120" i="98"/>
  <c r="H120" i="98"/>
  <c r="H128" i="98"/>
  <c r="G128" i="98"/>
  <c r="G126" i="98"/>
  <c r="H126" i="98"/>
  <c r="H129" i="98"/>
  <c r="G129" i="98"/>
  <c r="H123" i="98"/>
  <c r="G123" i="98"/>
  <c r="G122" i="98"/>
  <c r="H122" i="98"/>
  <c r="D62" i="168"/>
  <c r="U768" i="1"/>
  <c r="G121" i="98"/>
  <c r="H121" i="98"/>
  <c r="E77" i="112"/>
  <c r="E76" i="112"/>
  <c r="E75" i="112"/>
  <c r="M83" i="119"/>
  <c r="P737" i="1"/>
  <c r="I241" i="8" s="1"/>
  <c r="H33" i="136" a="1"/>
  <c r="H33" i="136" s="1"/>
  <c r="H29" i="136" a="1"/>
  <c r="H29" i="136" s="1"/>
  <c r="H32" i="136" a="1"/>
  <c r="H32" i="136" s="1"/>
  <c r="H10" i="136" a="1"/>
  <c r="H10" i="136" s="1"/>
  <c r="H27" i="136" a="1"/>
  <c r="H27" i="136" s="1"/>
  <c r="E12" i="136"/>
  <c r="H9" i="136" a="1"/>
  <c r="H9" i="136" s="1"/>
  <c r="E41" i="136"/>
  <c r="H28" i="136" a="1"/>
  <c r="H28" i="136" s="1"/>
  <c r="H30" i="136" a="1"/>
  <c r="H30" i="136" s="1"/>
  <c r="H31" i="136" a="1"/>
  <c r="H31" i="136" s="1"/>
  <c r="H20" i="136" a="1"/>
  <c r="H20" i="136" s="1"/>
  <c r="E34" i="136"/>
  <c r="H21" i="136" a="1"/>
  <c r="H21" i="136" s="1"/>
  <c r="H52" i="136" a="1"/>
  <c r="H52" i="136" s="1"/>
  <c r="E48" i="136"/>
  <c r="E35" i="136"/>
  <c r="H37" i="136" a="1"/>
  <c r="H37" i="136" s="1"/>
  <c r="E47" i="136"/>
  <c r="H49" i="136" a="1"/>
  <c r="H49" i="136" s="1"/>
  <c r="E54" i="136"/>
  <c r="H56" i="136" a="1"/>
  <c r="H56" i="136" s="1"/>
  <c r="H14" i="136" a="1"/>
  <c r="H14" i="136" s="1"/>
  <c r="H15" i="136" a="1"/>
  <c r="H15" i="136" s="1"/>
  <c r="H24" i="136" a="1"/>
  <c r="H24" i="136" s="1"/>
  <c r="H19" i="136" a="1"/>
  <c r="H19" i="136" s="1"/>
  <c r="E17" i="136"/>
  <c r="E44" i="136"/>
  <c r="H46" i="136" a="1"/>
  <c r="H46" i="136" s="1"/>
  <c r="E15" i="136"/>
  <c r="H17" i="136" a="1"/>
  <c r="H17" i="136" s="1"/>
  <c r="E42" i="136"/>
  <c r="H44" i="136" a="1"/>
  <c r="H44" i="136" s="1"/>
  <c r="E55" i="136"/>
  <c r="H57" i="136" a="1"/>
  <c r="H57" i="136" s="1"/>
  <c r="H34" i="136" a="1"/>
  <c r="H34" i="136" s="1"/>
  <c r="H43" i="136" a="1"/>
  <c r="H43" i="136" s="1"/>
  <c r="H45" i="136" a="1"/>
  <c r="H45" i="136" s="1"/>
  <c r="H26" i="136" a="1"/>
  <c r="H26" i="136" s="1"/>
  <c r="H48" i="136" a="1"/>
  <c r="H48" i="136" s="1"/>
  <c r="E46" i="136"/>
  <c r="E20" i="136"/>
  <c r="H22" i="136" a="1"/>
  <c r="H22" i="136" s="1"/>
  <c r="H11" i="136" a="1"/>
  <c r="H11" i="136" s="1"/>
  <c r="H12" i="136" a="1"/>
  <c r="H12" i="136" s="1"/>
  <c r="H36" i="136" a="1"/>
  <c r="H36" i="136" s="1"/>
  <c r="H50" i="136" a="1"/>
  <c r="H50" i="136" s="1"/>
  <c r="E49" i="136"/>
  <c r="H51" i="136" a="1"/>
  <c r="H51" i="136" s="1"/>
  <c r="H58" i="136" a="1"/>
  <c r="H58" i="136" s="1"/>
  <c r="E56" i="136"/>
  <c r="E57" i="136"/>
  <c r="H59" i="136" a="1"/>
  <c r="H59" i="136" s="1"/>
  <c r="E24" i="136"/>
  <c r="E37" i="136"/>
  <c r="H39" i="136" a="1"/>
  <c r="H39" i="136" s="1"/>
  <c r="E53" i="136"/>
  <c r="H55" i="136" a="1"/>
  <c r="H55" i="136" s="1"/>
  <c r="H38" i="136" a="1"/>
  <c r="H38" i="136" s="1"/>
  <c r="E36" i="136"/>
  <c r="H35" i="136" a="1"/>
  <c r="H35" i="136" s="1"/>
  <c r="H53" i="136" a="1"/>
  <c r="H53" i="136" s="1"/>
  <c r="E51" i="136"/>
  <c r="E45" i="136"/>
  <c r="H47" i="136" a="1"/>
  <c r="H47" i="136" s="1"/>
  <c r="H40" i="136" a="1"/>
  <c r="H40" i="136" s="1"/>
  <c r="E23" i="136"/>
  <c r="H25" i="136" a="1"/>
  <c r="H25" i="136" s="1"/>
  <c r="E39" i="136"/>
  <c r="H41" i="136" a="1"/>
  <c r="H41" i="136" s="1"/>
  <c r="H23" i="136" a="1"/>
  <c r="H23" i="136" s="1"/>
  <c r="E40" i="136"/>
  <c r="H42" i="136" a="1"/>
  <c r="H42" i="136" s="1"/>
  <c r="H13" i="136" a="1"/>
  <c r="H13" i="136" s="1"/>
  <c r="E16" i="136"/>
  <c r="H18" i="136" a="1"/>
  <c r="H18" i="136" s="1"/>
  <c r="E52" i="136"/>
  <c r="H54" i="136" a="1"/>
  <c r="H54" i="136" s="1"/>
  <c r="H16" i="136" a="1"/>
  <c r="H16" i="136" s="1"/>
  <c r="E14" i="136"/>
  <c r="C7" i="121"/>
  <c r="Y83" i="119"/>
  <c r="AJ83" i="119" a="1"/>
  <c r="AJ83" i="119" s="1"/>
  <c r="AI83" i="119" a="1"/>
  <c r="AI83" i="119" s="1"/>
  <c r="AH83" i="119" a="1"/>
  <c r="AH83" i="119" s="1"/>
  <c r="Z83" i="119" a="1"/>
  <c r="Z83" i="119" s="1"/>
  <c r="AB83" i="119"/>
  <c r="AC83" i="119"/>
  <c r="AD83" i="119"/>
  <c r="AE83" i="119"/>
  <c r="AF83" i="119"/>
  <c r="E83" i="119"/>
  <c r="F83" i="119"/>
  <c r="G83" i="119"/>
  <c r="H83" i="119"/>
  <c r="I83" i="119"/>
  <c r="J83" i="119"/>
  <c r="K83" i="119"/>
  <c r="L83" i="119"/>
  <c r="N83" i="119"/>
  <c r="O83" i="119"/>
  <c r="P83" i="119"/>
  <c r="Q83" i="119"/>
  <c r="R83" i="119"/>
  <c r="S83" i="119"/>
  <c r="T83" i="119"/>
  <c r="U83" i="119"/>
  <c r="V83" i="119"/>
  <c r="W83" i="119"/>
  <c r="X83" i="119"/>
  <c r="D83" i="119"/>
  <c r="C83" i="119"/>
  <c r="P768" i="1" l="1"/>
  <c r="I259" i="8" s="1"/>
  <c r="C81" i="188"/>
  <c r="C81" i="186"/>
  <c r="C81" i="185"/>
  <c r="C81" i="193" a="1"/>
  <c r="C81" i="193" s="1"/>
  <c r="P772" i="1"/>
  <c r="I261" i="8" s="1"/>
  <c r="C83" i="186"/>
  <c r="C83" i="185"/>
  <c r="D83" i="188"/>
  <c r="I128" i="98"/>
  <c r="AA83" i="119"/>
  <c r="I33" i="168"/>
  <c r="I129" i="98"/>
  <c r="I124" i="98"/>
  <c r="I50" i="168"/>
  <c r="I122" i="98"/>
  <c r="I120" i="98"/>
  <c r="I118" i="98"/>
  <c r="I126" i="98"/>
  <c r="H64" i="168"/>
  <c r="N25" i="168" s="1"/>
  <c r="G64" i="168"/>
  <c r="I119" i="98"/>
  <c r="I121" i="98"/>
  <c r="H62" i="168"/>
  <c r="G62" i="168"/>
  <c r="G63" i="168"/>
  <c r="H63" i="168"/>
  <c r="I123" i="98"/>
  <c r="I45" i="168"/>
  <c r="I125" i="98"/>
  <c r="I39" i="168"/>
  <c r="I127" i="98"/>
  <c r="F766" i="1"/>
  <c r="F765" i="1"/>
  <c r="F764" i="1"/>
  <c r="F762" i="1"/>
  <c r="U762" i="1" s="1"/>
  <c r="F763" i="1"/>
  <c r="U763" i="1" s="1"/>
  <c r="F761" i="1"/>
  <c r="U761" i="1" s="1"/>
  <c r="F760" i="1"/>
  <c r="F759" i="1"/>
  <c r="U759" i="1" s="1"/>
  <c r="F758" i="1"/>
  <c r="U758" i="1" s="1"/>
  <c r="F757" i="1"/>
  <c r="U757" i="1" s="1"/>
  <c r="F756" i="1"/>
  <c r="U756" i="1" s="1"/>
  <c r="O754" i="1"/>
  <c r="H253" i="8" s="1"/>
  <c r="F755" i="1"/>
  <c r="F754" i="1"/>
  <c r="F753" i="1"/>
  <c r="O752" i="1"/>
  <c r="H251" i="8" s="1"/>
  <c r="F752" i="1"/>
  <c r="F751" i="1"/>
  <c r="O750" i="1"/>
  <c r="H249" i="8" s="1"/>
  <c r="F750" i="1"/>
  <c r="F749" i="1"/>
  <c r="O747" i="1"/>
  <c r="H247" i="8" s="1"/>
  <c r="F747" i="1"/>
  <c r="O746" i="1"/>
  <c r="H246" i="8" s="1"/>
  <c r="F746" i="1"/>
  <c r="U746" i="1" s="1"/>
  <c r="F745" i="1"/>
  <c r="U745" i="1" s="1"/>
  <c r="F744" i="1"/>
  <c r="U744" i="1" s="1"/>
  <c r="F743" i="1"/>
  <c r="U743" i="1" s="1"/>
  <c r="F12" i="186" l="1"/>
  <c r="C74" i="193" a="1"/>
  <c r="C74" i="193" s="1"/>
  <c r="D74" i="188"/>
  <c r="I62" i="168"/>
  <c r="D58" i="168"/>
  <c r="U760" i="1"/>
  <c r="P760" i="1" s="1"/>
  <c r="I255" i="8" s="1"/>
  <c r="D51" i="168"/>
  <c r="U749" i="1"/>
  <c r="D61" i="168"/>
  <c r="U766" i="1"/>
  <c r="I63" i="168"/>
  <c r="D49" i="168"/>
  <c r="U747" i="1"/>
  <c r="D52" i="168"/>
  <c r="U750" i="1"/>
  <c r="P750" i="1" s="1"/>
  <c r="I249" i="8" s="1"/>
  <c r="D59" i="168"/>
  <c r="U764" i="1"/>
  <c r="P764" i="1" s="1"/>
  <c r="I256" i="8" s="1"/>
  <c r="D55" i="168"/>
  <c r="U753" i="1"/>
  <c r="D78" i="188" s="1"/>
  <c r="D57" i="168"/>
  <c r="U755" i="1"/>
  <c r="C78" i="193" s="1" a="1"/>
  <c r="C78" i="193" s="1"/>
  <c r="D53" i="168"/>
  <c r="U751" i="1"/>
  <c r="D77" i="188" s="1"/>
  <c r="D54" i="168"/>
  <c r="U752" i="1"/>
  <c r="D56" i="168"/>
  <c r="U754" i="1"/>
  <c r="P754" i="1" s="1"/>
  <c r="I253" i="8" s="1"/>
  <c r="D60" i="168"/>
  <c r="U765" i="1"/>
  <c r="I64" i="168"/>
  <c r="O25" i="168" s="1"/>
  <c r="M25" i="168"/>
  <c r="P745" i="1"/>
  <c r="I245" i="8" s="1"/>
  <c r="F742" i="1"/>
  <c r="F741" i="1"/>
  <c r="F740" i="1"/>
  <c r="O739" i="1"/>
  <c r="H243" i="8" s="1"/>
  <c r="F739" i="1"/>
  <c r="O738" i="1"/>
  <c r="H242" i="8" s="1"/>
  <c r="F738" i="1"/>
  <c r="F736" i="1"/>
  <c r="F735" i="1"/>
  <c r="F734" i="1"/>
  <c r="U734" i="1" s="1"/>
  <c r="F733" i="1"/>
  <c r="F729" i="1"/>
  <c r="U729" i="1" s="1"/>
  <c r="F730" i="1"/>
  <c r="U730" i="1" s="1"/>
  <c r="F731" i="1"/>
  <c r="U731" i="1" s="1"/>
  <c r="F732" i="1"/>
  <c r="U732" i="1" s="1"/>
  <c r="C64" i="193" s="1" a="1"/>
  <c r="C64" i="193" s="1"/>
  <c r="F728" i="1"/>
  <c r="P747" i="1" l="1"/>
  <c r="I247" i="8" s="1"/>
  <c r="C74" i="188"/>
  <c r="P766" i="1"/>
  <c r="I257" i="8" s="1"/>
  <c r="D79" i="188"/>
  <c r="C79" i="185"/>
  <c r="C79" i="186"/>
  <c r="C79" i="193" a="1"/>
  <c r="C79" i="193" s="1"/>
  <c r="P752" i="1"/>
  <c r="I251" i="8" s="1"/>
  <c r="C78" i="186"/>
  <c r="C78" i="188"/>
  <c r="C78" i="185"/>
  <c r="C64" i="185"/>
  <c r="C64" i="186"/>
  <c r="C77" i="188"/>
  <c r="C77" i="186"/>
  <c r="C77" i="185"/>
  <c r="C77" i="193" a="1"/>
  <c r="C77" i="193" s="1"/>
  <c r="D68" i="188"/>
  <c r="C74" i="185"/>
  <c r="C74" i="186"/>
  <c r="P751" i="1"/>
  <c r="I250" i="8" s="1"/>
  <c r="D44" i="168"/>
  <c r="U735" i="1"/>
  <c r="C68" i="185" s="1"/>
  <c r="G60" i="168"/>
  <c r="H60" i="168"/>
  <c r="U736" i="1"/>
  <c r="H52" i="168"/>
  <c r="G52" i="168"/>
  <c r="H56" i="168"/>
  <c r="G56" i="168"/>
  <c r="U738" i="1"/>
  <c r="U739" i="1"/>
  <c r="G49" i="168"/>
  <c r="H49" i="168"/>
  <c r="H59" i="168"/>
  <c r="G59" i="168"/>
  <c r="G54" i="168"/>
  <c r="H54" i="168"/>
  <c r="D43" i="168"/>
  <c r="U733" i="1"/>
  <c r="G53" i="168"/>
  <c r="H53" i="168"/>
  <c r="G61" i="168"/>
  <c r="M28" i="168" s="1"/>
  <c r="H61" i="168"/>
  <c r="H51" i="168"/>
  <c r="G51" i="168"/>
  <c r="G55" i="168"/>
  <c r="H55" i="168"/>
  <c r="D46" i="168"/>
  <c r="U740" i="1"/>
  <c r="D42" i="168"/>
  <c r="U728" i="1"/>
  <c r="D63" i="188" s="1"/>
  <c r="D48" i="168"/>
  <c r="U742" i="1"/>
  <c r="D47" i="168"/>
  <c r="U741" i="1"/>
  <c r="G57" i="168"/>
  <c r="H57" i="168"/>
  <c r="G58" i="168"/>
  <c r="H58" i="168"/>
  <c r="P755" i="1"/>
  <c r="I254" i="8" s="1"/>
  <c r="P753" i="1"/>
  <c r="I252" i="8" s="1"/>
  <c r="P746" i="1"/>
  <c r="I246" i="8" s="1"/>
  <c r="F727" i="1"/>
  <c r="U727" i="1" s="1"/>
  <c r="F726" i="1"/>
  <c r="F725" i="1"/>
  <c r="F724" i="1"/>
  <c r="F723" i="1"/>
  <c r="O721" i="1"/>
  <c r="H235" i="8" s="1"/>
  <c r="F721" i="1"/>
  <c r="O720" i="1"/>
  <c r="H234" i="8" s="1"/>
  <c r="F720" i="1"/>
  <c r="U720" i="1" s="1"/>
  <c r="D71" i="188" l="1"/>
  <c r="C71" i="186"/>
  <c r="C71" i="185"/>
  <c r="C71" i="193" a="1"/>
  <c r="C71" i="193" s="1"/>
  <c r="P736" i="1"/>
  <c r="I240" i="8" s="1"/>
  <c r="C69" i="185"/>
  <c r="C69" i="186"/>
  <c r="D69" i="188"/>
  <c r="C69" i="193" a="1"/>
  <c r="C69" i="193" s="1"/>
  <c r="D70" i="188"/>
  <c r="C70" i="193" a="1"/>
  <c r="C70" i="193" s="1"/>
  <c r="C70" i="186"/>
  <c r="C70" i="185"/>
  <c r="C66" i="186"/>
  <c r="D66" i="188"/>
  <c r="C66" i="185"/>
  <c r="C66" i="193" a="1"/>
  <c r="C66" i="193" s="1"/>
  <c r="C73" i="188"/>
  <c r="C73" i="185"/>
  <c r="C73" i="186"/>
  <c r="C73" i="193" a="1"/>
  <c r="C73" i="193" s="1"/>
  <c r="F68" i="188"/>
  <c r="C68" i="193" a="1"/>
  <c r="C68" i="193" s="1"/>
  <c r="C57" i="186"/>
  <c r="C57" i="188"/>
  <c r="C57" i="185"/>
  <c r="C57" i="193" a="1"/>
  <c r="C57" i="193" s="1"/>
  <c r="U725" i="1"/>
  <c r="I27" i="195"/>
  <c r="H27" i="195"/>
  <c r="G27" i="195"/>
  <c r="F27" i="195"/>
  <c r="E27" i="195"/>
  <c r="D27" i="195"/>
  <c r="C27" i="195"/>
  <c r="C68" i="186"/>
  <c r="N24" i="168"/>
  <c r="N28" i="168"/>
  <c r="I56" i="168"/>
  <c r="P738" i="1"/>
  <c r="I242" i="8" s="1"/>
  <c r="I52" i="168"/>
  <c r="I49" i="168"/>
  <c r="N23" i="168"/>
  <c r="I59" i="168"/>
  <c r="H46" i="168"/>
  <c r="N21" i="168" s="1"/>
  <c r="G46" i="168"/>
  <c r="I51" i="168"/>
  <c r="M23" i="168"/>
  <c r="I58" i="168"/>
  <c r="I61" i="168"/>
  <c r="M24" i="168"/>
  <c r="I57" i="168"/>
  <c r="I53" i="168"/>
  <c r="G47" i="168"/>
  <c r="H47" i="168"/>
  <c r="H43" i="168"/>
  <c r="N19" i="168" s="1"/>
  <c r="G43" i="168"/>
  <c r="D38" i="168"/>
  <c r="U721" i="1"/>
  <c r="P739" i="1"/>
  <c r="I243" i="8" s="1"/>
  <c r="H48" i="168"/>
  <c r="G48" i="168"/>
  <c r="I54" i="168"/>
  <c r="I60" i="168"/>
  <c r="I55" i="168"/>
  <c r="D40" i="168"/>
  <c r="U723" i="1"/>
  <c r="U724" i="1"/>
  <c r="G42" i="168"/>
  <c r="H42" i="168"/>
  <c r="H44" i="168"/>
  <c r="N20" i="168" s="1"/>
  <c r="G44" i="168"/>
  <c r="D41" i="168"/>
  <c r="U726" i="1"/>
  <c r="P733" i="1"/>
  <c r="I239" i="8" s="1"/>
  <c r="P742" i="1"/>
  <c r="I244" i="8" s="1"/>
  <c r="P720" i="1"/>
  <c r="I234" i="8" s="1"/>
  <c r="O719" i="1"/>
  <c r="H233" i="8" s="1"/>
  <c r="H719" i="1"/>
  <c r="E233" i="8" s="1"/>
  <c r="I719" i="1"/>
  <c r="F233" i="8" s="1"/>
  <c r="J719" i="1"/>
  <c r="G233" i="8" s="1"/>
  <c r="F719" i="1"/>
  <c r="F718" i="1"/>
  <c r="U718" i="1" s="1"/>
  <c r="O718" i="1"/>
  <c r="H232" i="8" s="1"/>
  <c r="H718" i="1"/>
  <c r="E232" i="8" s="1"/>
  <c r="I718" i="1"/>
  <c r="J718" i="1"/>
  <c r="G232" i="8" s="1"/>
  <c r="O717" i="1"/>
  <c r="H231" i="8" s="1"/>
  <c r="H717" i="1"/>
  <c r="E231" i="8" s="1"/>
  <c r="I717" i="1"/>
  <c r="F231" i="8" s="1"/>
  <c r="J717" i="1"/>
  <c r="G231" i="8" s="1"/>
  <c r="F717" i="1"/>
  <c r="H716" i="1"/>
  <c r="I716" i="1"/>
  <c r="J716" i="1"/>
  <c r="F716" i="1"/>
  <c r="U716" i="1" s="1"/>
  <c r="H715" i="1"/>
  <c r="I715" i="1"/>
  <c r="C54" i="193" s="1" a="1"/>
  <c r="C54" i="193" s="1"/>
  <c r="J715" i="1"/>
  <c r="F715" i="1"/>
  <c r="U715" i="1" s="1"/>
  <c r="F714" i="1"/>
  <c r="U714" i="1" s="1"/>
  <c r="F713" i="1"/>
  <c r="O712" i="1"/>
  <c r="H228" i="8" s="1"/>
  <c r="H712" i="1"/>
  <c r="E228" i="8" s="1"/>
  <c r="I712" i="1"/>
  <c r="F228" i="8" s="1"/>
  <c r="J712" i="1"/>
  <c r="G228" i="8" s="1"/>
  <c r="F712" i="1"/>
  <c r="H707" i="1"/>
  <c r="I707" i="1"/>
  <c r="J707" i="1"/>
  <c r="H708" i="1"/>
  <c r="I708" i="1"/>
  <c r="J708" i="1"/>
  <c r="H709" i="1"/>
  <c r="I709" i="1"/>
  <c r="J709" i="1"/>
  <c r="H710" i="1"/>
  <c r="I710" i="1"/>
  <c r="J710" i="1"/>
  <c r="H711" i="1"/>
  <c r="I711" i="1"/>
  <c r="J711" i="1"/>
  <c r="H706" i="1"/>
  <c r="I706" i="1"/>
  <c r="J706" i="1"/>
  <c r="F711" i="1"/>
  <c r="U711" i="1" s="1"/>
  <c r="F710" i="1"/>
  <c r="U710" i="1" s="1"/>
  <c r="F709" i="1"/>
  <c r="U709" i="1" s="1"/>
  <c r="F708" i="1"/>
  <c r="U708" i="1" s="1"/>
  <c r="F707" i="1"/>
  <c r="U707" i="1" s="1"/>
  <c r="F706" i="1"/>
  <c r="U706" i="1" s="1"/>
  <c r="F705" i="1"/>
  <c r="O704" i="1"/>
  <c r="H227" i="8" s="1"/>
  <c r="H704" i="1"/>
  <c r="E227" i="8" s="1"/>
  <c r="I704" i="1"/>
  <c r="J704" i="1"/>
  <c r="G227" i="8" s="1"/>
  <c r="F704" i="1"/>
  <c r="U704" i="1" s="1"/>
  <c r="O702" i="1"/>
  <c r="H225" i="8" s="1"/>
  <c r="H702" i="1"/>
  <c r="E225" i="8" s="1"/>
  <c r="I702" i="1"/>
  <c r="F225" i="8" s="1"/>
  <c r="J702" i="1"/>
  <c r="G225" i="8" s="1"/>
  <c r="F702" i="1"/>
  <c r="O701" i="1"/>
  <c r="H224" i="8" s="1"/>
  <c r="H701" i="1"/>
  <c r="E224" i="8" s="1"/>
  <c r="I701" i="1"/>
  <c r="J701" i="1"/>
  <c r="G224" i="8" s="1"/>
  <c r="F701" i="1"/>
  <c r="O700" i="1"/>
  <c r="H223" i="8" s="1"/>
  <c r="H700" i="1"/>
  <c r="E223" i="8" s="1"/>
  <c r="I700" i="1"/>
  <c r="F223" i="8" s="1"/>
  <c r="J700" i="1"/>
  <c r="G223" i="8" s="1"/>
  <c r="F700" i="1"/>
  <c r="H698" i="1"/>
  <c r="I698" i="1"/>
  <c r="J698" i="1"/>
  <c r="U705" i="1" l="1"/>
  <c r="E11" i="200"/>
  <c r="C55" i="188"/>
  <c r="F224" i="8"/>
  <c r="F63" i="188"/>
  <c r="C63" i="186"/>
  <c r="C63" i="185"/>
  <c r="C63" i="193" a="1"/>
  <c r="C63" i="193" s="1"/>
  <c r="C48" i="193" a="1"/>
  <c r="C48" i="193" s="1"/>
  <c r="P726" i="1"/>
  <c r="I238" i="8" s="1"/>
  <c r="E63" i="188"/>
  <c r="C51" i="188"/>
  <c r="F11" i="186"/>
  <c r="P721" i="1"/>
  <c r="I235" i="8" s="1"/>
  <c r="C60" i="185"/>
  <c r="C60" i="186"/>
  <c r="C60" i="188"/>
  <c r="C60" i="193" a="1"/>
  <c r="C60" i="193" s="1"/>
  <c r="F227" i="8"/>
  <c r="C51" i="193" a="1"/>
  <c r="C51" i="193" s="1"/>
  <c r="F232" i="8"/>
  <c r="C56" i="193" a="1"/>
  <c r="C56" i="193" s="1"/>
  <c r="C52" i="193" a="1"/>
  <c r="C52" i="193" s="1"/>
  <c r="F8" i="189"/>
  <c r="F10" i="189" s="1"/>
  <c r="E51" i="188"/>
  <c r="E93" i="188" s="1"/>
  <c r="C54" i="186"/>
  <c r="E54" i="188"/>
  <c r="C54" i="185"/>
  <c r="F62" i="188"/>
  <c r="C62" i="193" a="1"/>
  <c r="C62" i="193" s="1"/>
  <c r="C56" i="186"/>
  <c r="P723" i="1"/>
  <c r="I237" i="8" s="1"/>
  <c r="C62" i="185"/>
  <c r="C62" i="186"/>
  <c r="C62" i="188"/>
  <c r="J27" i="195"/>
  <c r="O24" i="168"/>
  <c r="O28" i="168"/>
  <c r="N22" i="168"/>
  <c r="I48" i="168"/>
  <c r="G38" i="168"/>
  <c r="H38" i="168"/>
  <c r="N17" i="168" s="1"/>
  <c r="I42" i="168"/>
  <c r="I47" i="168"/>
  <c r="M22" i="168"/>
  <c r="H40" i="168"/>
  <c r="G40" i="168"/>
  <c r="D31" i="168"/>
  <c r="U701" i="1"/>
  <c r="D37" i="168"/>
  <c r="U719" i="1"/>
  <c r="C56" i="185" s="1"/>
  <c r="O23" i="168"/>
  <c r="I44" i="168"/>
  <c r="O20" i="168" s="1"/>
  <c r="M20" i="168"/>
  <c r="I43" i="168"/>
  <c r="O19" i="168" s="1"/>
  <c r="M19" i="168"/>
  <c r="I46" i="168"/>
  <c r="O21" i="168" s="1"/>
  <c r="M21" i="168"/>
  <c r="D34" i="168"/>
  <c r="U712" i="1"/>
  <c r="C51" i="186" s="1"/>
  <c r="D30" i="168"/>
  <c r="U700" i="1"/>
  <c r="P700" i="1" s="1"/>
  <c r="I223" i="8" s="1"/>
  <c r="D35" i="168"/>
  <c r="U713" i="1"/>
  <c r="D32" i="168"/>
  <c r="U702" i="1"/>
  <c r="C49" i="188" s="1"/>
  <c r="D36" i="168"/>
  <c r="U717" i="1"/>
  <c r="G41" i="168"/>
  <c r="H41" i="168"/>
  <c r="P714" i="1"/>
  <c r="I230" i="8" s="1"/>
  <c r="P718" i="1"/>
  <c r="I232" i="8" s="1"/>
  <c r="F698" i="1"/>
  <c r="U698" i="1" s="1"/>
  <c r="H696" i="1"/>
  <c r="I696" i="1"/>
  <c r="J696" i="1"/>
  <c r="F696" i="1"/>
  <c r="U696" i="1" s="1"/>
  <c r="O691" i="1"/>
  <c r="H220" i="8" s="1"/>
  <c r="O695" i="1"/>
  <c r="H222" i="8" s="1"/>
  <c r="H695" i="1"/>
  <c r="E222" i="8" s="1"/>
  <c r="I695" i="1"/>
  <c r="F222" i="8" s="1"/>
  <c r="J695" i="1"/>
  <c r="G222" i="8" s="1"/>
  <c r="F695" i="1"/>
  <c r="H694" i="1"/>
  <c r="I694" i="1"/>
  <c r="J694" i="1"/>
  <c r="F694" i="1"/>
  <c r="U694" i="1" s="1"/>
  <c r="H693" i="1"/>
  <c r="I693" i="1"/>
  <c r="C39" i="193" s="1" a="1"/>
  <c r="C39" i="193" s="1"/>
  <c r="J693" i="1"/>
  <c r="F693" i="1"/>
  <c r="U693" i="1" s="1"/>
  <c r="O692" i="1"/>
  <c r="H221" i="8" s="1"/>
  <c r="H692" i="1"/>
  <c r="E221" i="8" s="1"/>
  <c r="I692" i="1"/>
  <c r="F221" i="8" s="1"/>
  <c r="J692" i="1"/>
  <c r="G221" i="8" s="1"/>
  <c r="F692" i="1"/>
  <c r="H691" i="1"/>
  <c r="E220" i="8" s="1"/>
  <c r="I691" i="1"/>
  <c r="J691" i="1"/>
  <c r="G220" i="8" s="1"/>
  <c r="F691" i="1"/>
  <c r="O690" i="1"/>
  <c r="H219" i="8" s="1"/>
  <c r="H690" i="1"/>
  <c r="E219" i="8" s="1"/>
  <c r="I690" i="1"/>
  <c r="F219" i="8" s="1"/>
  <c r="J690" i="1"/>
  <c r="G219" i="8" s="1"/>
  <c r="F690" i="1"/>
  <c r="H689" i="1"/>
  <c r="E218" i="8" s="1"/>
  <c r="I689" i="1"/>
  <c r="J689" i="1"/>
  <c r="G218" i="8" s="1"/>
  <c r="F689" i="1"/>
  <c r="F688" i="1"/>
  <c r="U688" i="1" s="1"/>
  <c r="H688" i="1"/>
  <c r="E217" i="8" s="1"/>
  <c r="I688" i="1"/>
  <c r="F217" i="8" s="1"/>
  <c r="J688" i="1"/>
  <c r="G217" i="8" s="1"/>
  <c r="O688" i="1"/>
  <c r="H217" i="8" s="1"/>
  <c r="O687" i="1"/>
  <c r="H216" i="8" s="1"/>
  <c r="H687" i="1"/>
  <c r="E216" i="8" s="1"/>
  <c r="I687" i="1"/>
  <c r="J687" i="1"/>
  <c r="G216" i="8" s="1"/>
  <c r="F687" i="1"/>
  <c r="H686" i="1"/>
  <c r="I686" i="1"/>
  <c r="C30" i="193" s="1" a="1"/>
  <c r="C30" i="193" s="1"/>
  <c r="J686" i="1"/>
  <c r="F686" i="1"/>
  <c r="O685" i="1"/>
  <c r="H215" i="8" s="1"/>
  <c r="F685" i="1"/>
  <c r="U685" i="1" s="1"/>
  <c r="H683" i="1"/>
  <c r="I683" i="1"/>
  <c r="J683" i="1"/>
  <c r="F683" i="1"/>
  <c r="O682" i="1"/>
  <c r="H214" i="8" s="1"/>
  <c r="H682" i="1"/>
  <c r="E214" i="8" s="1"/>
  <c r="I682" i="1"/>
  <c r="J682" i="1"/>
  <c r="G214" i="8" s="1"/>
  <c r="F682" i="1"/>
  <c r="H676" i="1"/>
  <c r="I676" i="1"/>
  <c r="J676" i="1"/>
  <c r="F676" i="1"/>
  <c r="F680" i="1"/>
  <c r="F681" i="1"/>
  <c r="F679" i="1"/>
  <c r="H680" i="1"/>
  <c r="I680" i="1"/>
  <c r="J680" i="1"/>
  <c r="H681" i="1"/>
  <c r="I681" i="1"/>
  <c r="J681" i="1"/>
  <c r="O678" i="1"/>
  <c r="H213" i="8" s="1"/>
  <c r="I678" i="1"/>
  <c r="F213" i="8" s="1"/>
  <c r="H678" i="1"/>
  <c r="E213" i="8" s="1"/>
  <c r="J678" i="1"/>
  <c r="G213" i="8" s="1"/>
  <c r="F678" i="1"/>
  <c r="H677" i="1"/>
  <c r="I677" i="1"/>
  <c r="J677" i="1"/>
  <c r="F677" i="1"/>
  <c r="U677" i="1" s="1"/>
  <c r="H674" i="1"/>
  <c r="I674" i="1"/>
  <c r="J674" i="1"/>
  <c r="H675" i="1"/>
  <c r="I675" i="1"/>
  <c r="J675" i="1"/>
  <c r="F675" i="1"/>
  <c r="F674" i="1"/>
  <c r="F673" i="1"/>
  <c r="U673" i="1" s="1"/>
  <c r="F670" i="1"/>
  <c r="U670" i="1" s="1"/>
  <c r="F672" i="1"/>
  <c r="H672" i="1"/>
  <c r="I672" i="1"/>
  <c r="J672" i="1"/>
  <c r="H671" i="1"/>
  <c r="I671" i="1"/>
  <c r="J671" i="1"/>
  <c r="F669" i="1"/>
  <c r="U669" i="1" s="1"/>
  <c r="F671" i="1"/>
  <c r="C17" i="193" l="1" a="1"/>
  <c r="C17" i="193" s="1"/>
  <c r="F10" i="186"/>
  <c r="O22" i="168"/>
  <c r="C49" i="193" a="1"/>
  <c r="C49" i="193" s="1"/>
  <c r="C51" i="185"/>
  <c r="P717" i="1"/>
  <c r="I231" i="8" s="1"/>
  <c r="F55" i="188"/>
  <c r="C52" i="185"/>
  <c r="F52" i="188"/>
  <c r="C52" i="186"/>
  <c r="F220" i="8"/>
  <c r="C28" i="188"/>
  <c r="C28" i="186"/>
  <c r="C28" i="185"/>
  <c r="C47" i="185"/>
  <c r="C8" i="189"/>
  <c r="D8" i="187"/>
  <c r="C47" i="188"/>
  <c r="D8" i="189"/>
  <c r="C47" i="186"/>
  <c r="C17" i="186"/>
  <c r="C17" i="185"/>
  <c r="C17" i="188"/>
  <c r="F218" i="8"/>
  <c r="C39" i="186"/>
  <c r="C39" i="185"/>
  <c r="C39" i="188"/>
  <c r="F8" i="187" a="1"/>
  <c r="F8" i="187" s="1"/>
  <c r="H8" i="187" a="1"/>
  <c r="H8" i="187" s="1"/>
  <c r="C47" i="193" a="1"/>
  <c r="C47" i="193" s="1"/>
  <c r="J8" i="187" a="1"/>
  <c r="J8" i="187" s="1"/>
  <c r="J9" i="187" s="1"/>
  <c r="L8" i="187" a="1"/>
  <c r="L8" i="187" s="1"/>
  <c r="L9" i="187" s="1"/>
  <c r="E8" i="189"/>
  <c r="D49" i="188"/>
  <c r="C49" i="185"/>
  <c r="C49" i="186"/>
  <c r="C48" i="185"/>
  <c r="C48" i="188"/>
  <c r="C48" i="186"/>
  <c r="C56" i="188"/>
  <c r="C55" i="193" a="1"/>
  <c r="C55" i="193" s="1"/>
  <c r="C55" i="186"/>
  <c r="C55" i="185"/>
  <c r="P712" i="1"/>
  <c r="I228" i="8" s="1"/>
  <c r="F51" i="188"/>
  <c r="G8" i="189"/>
  <c r="F216" i="8"/>
  <c r="F214" i="8"/>
  <c r="P713" i="1"/>
  <c r="I229" i="8" s="1"/>
  <c r="P701" i="1"/>
  <c r="I224" i="8" s="1"/>
  <c r="P702" i="1"/>
  <c r="I225" i="8" s="1"/>
  <c r="N18" i="168"/>
  <c r="I41" i="168"/>
  <c r="H36" i="168"/>
  <c r="G36" i="168"/>
  <c r="H32" i="168"/>
  <c r="G32" i="168"/>
  <c r="D22" i="168"/>
  <c r="U683" i="1"/>
  <c r="C27" i="193" s="1" a="1"/>
  <c r="C27" i="193" s="1"/>
  <c r="D28" i="168"/>
  <c r="U692" i="1"/>
  <c r="C37" i="188" s="1"/>
  <c r="D13" i="168"/>
  <c r="U671" i="1"/>
  <c r="G35" i="168"/>
  <c r="H35" i="168"/>
  <c r="N15" i="168" s="1"/>
  <c r="G37" i="168"/>
  <c r="H37" i="168"/>
  <c r="H30" i="168"/>
  <c r="N13" i="168" s="1"/>
  <c r="G30" i="168"/>
  <c r="G31" i="168"/>
  <c r="H31" i="168"/>
  <c r="U686" i="1"/>
  <c r="D17" i="168"/>
  <c r="U676" i="1"/>
  <c r="D26" i="168"/>
  <c r="U690" i="1"/>
  <c r="C35" i="193" s="1" a="1"/>
  <c r="C35" i="193" s="1"/>
  <c r="I40" i="168"/>
  <c r="M18" i="168"/>
  <c r="D25" i="168"/>
  <c r="U689" i="1"/>
  <c r="D18" i="168"/>
  <c r="U678" i="1"/>
  <c r="G34" i="168"/>
  <c r="H34" i="168"/>
  <c r="U679" i="1"/>
  <c r="D19" i="168"/>
  <c r="U680" i="1"/>
  <c r="C23" i="193" s="1" a="1"/>
  <c r="C23" i="193" s="1"/>
  <c r="D20" i="168"/>
  <c r="U681" i="1"/>
  <c r="D24" i="168"/>
  <c r="U687" i="1"/>
  <c r="C34" i="193" s="1" a="1"/>
  <c r="C34" i="193" s="1"/>
  <c r="D21" i="168"/>
  <c r="U682" i="1"/>
  <c r="C25" i="193" s="1" a="1"/>
  <c r="C25" i="193" s="1"/>
  <c r="D15" i="168"/>
  <c r="U674" i="1"/>
  <c r="D14" i="168"/>
  <c r="U672" i="1"/>
  <c r="D27" i="168"/>
  <c r="U691" i="1"/>
  <c r="C37" i="193" s="1" a="1"/>
  <c r="C37" i="193" s="1"/>
  <c r="D16" i="168"/>
  <c r="U675" i="1"/>
  <c r="D29" i="168"/>
  <c r="U695" i="1"/>
  <c r="C42" i="188" s="1"/>
  <c r="I38" i="168"/>
  <c r="O17" i="168" s="1"/>
  <c r="M17" i="168"/>
  <c r="P719" i="1"/>
  <c r="I233" i="8" s="1"/>
  <c r="P704" i="1"/>
  <c r="I227" i="8" s="1"/>
  <c r="P688" i="1"/>
  <c r="I217" i="8" s="1"/>
  <c r="P692" i="1"/>
  <c r="I221" i="8" s="1"/>
  <c r="P685" i="1"/>
  <c r="I215" i="8" s="1"/>
  <c r="O669" i="1"/>
  <c r="H212" i="8" s="1"/>
  <c r="P669" i="1"/>
  <c r="I212" i="8" s="1"/>
  <c r="H669" i="1"/>
  <c r="E212" i="8" s="1"/>
  <c r="I669" i="1"/>
  <c r="F212" i="8" s="1"/>
  <c r="J669" i="1"/>
  <c r="G212" i="8" s="1"/>
  <c r="O668" i="1"/>
  <c r="H211" i="8" s="1"/>
  <c r="H668" i="1"/>
  <c r="E211" i="8" s="1"/>
  <c r="I668" i="1"/>
  <c r="J668" i="1"/>
  <c r="G211" i="8" s="1"/>
  <c r="F668" i="1"/>
  <c r="J667" i="1"/>
  <c r="I667" i="1"/>
  <c r="H667" i="1"/>
  <c r="F667" i="1"/>
  <c r="H9" i="187" l="1"/>
  <c r="F9" i="187"/>
  <c r="C16" i="188"/>
  <c r="C16" i="186"/>
  <c r="C16" i="193" a="1"/>
  <c r="C16" i="193" s="1"/>
  <c r="F9" i="186"/>
  <c r="C16" i="185"/>
  <c r="C42" i="193" a="1"/>
  <c r="C42" i="193" s="1"/>
  <c r="D30" i="188"/>
  <c r="C30" i="186"/>
  <c r="C30" i="185"/>
  <c r="C23" i="185"/>
  <c r="C23" i="186"/>
  <c r="C23" i="188"/>
  <c r="P691" i="1"/>
  <c r="I220" i="8" s="1"/>
  <c r="C37" i="185"/>
  <c r="F37" i="188"/>
  <c r="C37" i="186"/>
  <c r="F211" i="8"/>
  <c r="C15" i="193" a="1"/>
  <c r="C15" i="193" s="1"/>
  <c r="C25" i="188"/>
  <c r="C25" i="186"/>
  <c r="C25" i="185"/>
  <c r="C19" i="186"/>
  <c r="F19" i="188"/>
  <c r="C19" i="185"/>
  <c r="P689" i="1"/>
  <c r="I218" i="8" s="1"/>
  <c r="C35" i="186"/>
  <c r="C35" i="188"/>
  <c r="C35" i="185"/>
  <c r="P690" i="1"/>
  <c r="I219" i="8" s="1"/>
  <c r="F35" i="188"/>
  <c r="C14" i="193" a="1"/>
  <c r="C14" i="193" s="1"/>
  <c r="P687" i="1"/>
  <c r="I216" i="8" s="1"/>
  <c r="C34" i="188"/>
  <c r="C34" i="185"/>
  <c r="C34" i="186"/>
  <c r="C27" i="188"/>
  <c r="C27" i="186"/>
  <c r="C27" i="185"/>
  <c r="C42" i="185"/>
  <c r="C42" i="186"/>
  <c r="P695" i="1"/>
  <c r="I222" i="8" s="1"/>
  <c r="N14" i="168"/>
  <c r="O18" i="168"/>
  <c r="P682" i="1"/>
  <c r="I214" i="8" s="1"/>
  <c r="I34" i="168"/>
  <c r="I37" i="168"/>
  <c r="H15" i="168"/>
  <c r="G15" i="168"/>
  <c r="G25" i="168"/>
  <c r="H25" i="168"/>
  <c r="I35" i="168"/>
  <c r="O15" i="168" s="1"/>
  <c r="M15" i="168"/>
  <c r="G21" i="168"/>
  <c r="H21" i="168"/>
  <c r="G13" i="168"/>
  <c r="H13" i="168"/>
  <c r="H14" i="168"/>
  <c r="G14" i="168"/>
  <c r="H24" i="168"/>
  <c r="G24" i="168"/>
  <c r="H26" i="168"/>
  <c r="G26" i="168"/>
  <c r="D11" i="168"/>
  <c r="U667" i="1"/>
  <c r="G28" i="168"/>
  <c r="H28" i="168"/>
  <c r="H20" i="168"/>
  <c r="G20" i="168"/>
  <c r="H17" i="168"/>
  <c r="G17" i="168"/>
  <c r="G29" i="168"/>
  <c r="H29" i="168"/>
  <c r="N12" i="168" s="1"/>
  <c r="H19" i="168"/>
  <c r="G19" i="168"/>
  <c r="G22" i="168"/>
  <c r="H22" i="168"/>
  <c r="H18" i="168"/>
  <c r="N7" i="168" s="1"/>
  <c r="G18" i="168"/>
  <c r="D12" i="168"/>
  <c r="U668" i="1"/>
  <c r="I32" i="168"/>
  <c r="M14" i="168"/>
  <c r="H16" i="168"/>
  <c r="G16" i="168"/>
  <c r="I31" i="168"/>
  <c r="I36" i="168"/>
  <c r="M16" i="168"/>
  <c r="H27" i="168"/>
  <c r="G27" i="168"/>
  <c r="I30" i="168"/>
  <c r="O13" i="168" s="1"/>
  <c r="M13" i="168"/>
  <c r="N16" i="168"/>
  <c r="P678" i="1"/>
  <c r="I213" i="8" s="1"/>
  <c r="F8" i="186" l="1"/>
  <c r="C15" i="186"/>
  <c r="C15" i="188"/>
  <c r="C15" i="185"/>
  <c r="C14" i="188"/>
  <c r="C14" i="186"/>
  <c r="C14" i="185"/>
  <c r="O14" i="168"/>
  <c r="P668" i="1"/>
  <c r="I211" i="8" s="1"/>
  <c r="I14" i="168"/>
  <c r="I16" i="168"/>
  <c r="I20" i="168"/>
  <c r="N11" i="168"/>
  <c r="O16" i="168"/>
  <c r="N10" i="168"/>
  <c r="N8" i="168"/>
  <c r="I17" i="168"/>
  <c r="I28" i="168"/>
  <c r="I13" i="168"/>
  <c r="I19" i="168"/>
  <c r="M8" i="168"/>
  <c r="I29" i="168"/>
  <c r="O12" i="168" s="1"/>
  <c r="M12" i="168"/>
  <c r="I24" i="168"/>
  <c r="M10" i="168"/>
  <c r="I22" i="168"/>
  <c r="N9" i="168"/>
  <c r="I21" i="168"/>
  <c r="M9" i="168"/>
  <c r="I27" i="168"/>
  <c r="M11" i="168"/>
  <c r="I25" i="168"/>
  <c r="I15" i="168"/>
  <c r="G12" i="168"/>
  <c r="H12" i="168"/>
  <c r="H11" i="168"/>
  <c r="G11" i="168"/>
  <c r="I18" i="168"/>
  <c r="O7" i="168" s="1"/>
  <c r="M7" i="168"/>
  <c r="I26" i="168"/>
  <c r="AJ12" i="119" a="1"/>
  <c r="AJ12" i="119" s="1"/>
  <c r="AJ14" i="119" a="1"/>
  <c r="AJ14" i="119" s="1"/>
  <c r="AJ15" i="119" a="1"/>
  <c r="AJ15" i="119" s="1"/>
  <c r="AJ16" i="119" a="1"/>
  <c r="AJ16" i="119" s="1"/>
  <c r="AJ17" i="119" a="1"/>
  <c r="AJ17" i="119" s="1"/>
  <c r="AJ18" i="119" a="1"/>
  <c r="AJ18" i="119" s="1"/>
  <c r="AJ19" i="119" a="1"/>
  <c r="AJ19" i="119" s="1"/>
  <c r="AJ20" i="119" a="1"/>
  <c r="AJ20" i="119" s="1"/>
  <c r="AJ21" i="119" a="1"/>
  <c r="AJ21" i="119" s="1"/>
  <c r="AJ22" i="119" a="1"/>
  <c r="AJ22" i="119" s="1"/>
  <c r="AJ23" i="119" a="1"/>
  <c r="AJ23" i="119" s="1"/>
  <c r="AJ24" i="119" a="1"/>
  <c r="AJ24" i="119" s="1"/>
  <c r="AJ25" i="119" a="1"/>
  <c r="AJ25" i="119" s="1"/>
  <c r="AJ26" i="119" a="1"/>
  <c r="AJ26" i="119" s="1"/>
  <c r="AJ27" i="119" a="1"/>
  <c r="AJ27" i="119" s="1"/>
  <c r="AJ28" i="119" a="1"/>
  <c r="AJ28" i="119" s="1"/>
  <c r="AJ29" i="119" a="1"/>
  <c r="AJ29" i="119" s="1"/>
  <c r="AJ30" i="119" a="1"/>
  <c r="AJ30" i="119" s="1"/>
  <c r="AJ31" i="119" a="1"/>
  <c r="AJ31" i="119" s="1"/>
  <c r="AJ32" i="119" a="1"/>
  <c r="AJ32" i="119" s="1"/>
  <c r="AJ33" i="119" a="1"/>
  <c r="AJ33" i="119" s="1"/>
  <c r="AJ34" i="119" a="1"/>
  <c r="AJ34" i="119" s="1"/>
  <c r="AJ35" i="119" a="1"/>
  <c r="AJ35" i="119" s="1"/>
  <c r="AJ38" i="119" a="1"/>
  <c r="AJ38" i="119" s="1"/>
  <c r="AJ39" i="119" a="1"/>
  <c r="AJ39" i="119" s="1"/>
  <c r="AJ40" i="119" a="1"/>
  <c r="AJ40" i="119" s="1"/>
  <c r="AJ43" i="119" a="1"/>
  <c r="AJ43" i="119" s="1"/>
  <c r="AJ44" i="119" a="1"/>
  <c r="AJ44" i="119" s="1"/>
  <c r="AJ45" i="119" a="1"/>
  <c r="AJ45" i="119" s="1"/>
  <c r="AJ49" i="119" a="1"/>
  <c r="AJ49" i="119" s="1"/>
  <c r="AJ50" i="119" a="1"/>
  <c r="AJ50" i="119" s="1"/>
  <c r="AJ51" i="119" a="1"/>
  <c r="AJ51" i="119" s="1"/>
  <c r="AJ52" i="119" a="1"/>
  <c r="AJ52" i="119" s="1"/>
  <c r="AJ53" i="119" a="1"/>
  <c r="AJ53" i="119" s="1"/>
  <c r="AJ57" i="119" a="1"/>
  <c r="AJ57" i="119" s="1"/>
  <c r="AJ58" i="119" a="1"/>
  <c r="AJ58" i="119" s="1"/>
  <c r="AJ59" i="119" a="1"/>
  <c r="AJ59" i="119" s="1"/>
  <c r="AJ60" i="119" a="1"/>
  <c r="AJ60" i="119" s="1"/>
  <c r="AJ63" i="119" a="1"/>
  <c r="AJ63" i="119" s="1"/>
  <c r="AJ64" i="119" a="1"/>
  <c r="AJ64" i="119" s="1"/>
  <c r="AJ65" i="119" a="1"/>
  <c r="AJ65" i="119" s="1"/>
  <c r="AJ66" i="119" a="1"/>
  <c r="AJ66" i="119" s="1"/>
  <c r="AJ67" i="119" a="1"/>
  <c r="AJ67" i="119" s="1"/>
  <c r="AJ68" i="119" a="1"/>
  <c r="AJ68" i="119" s="1"/>
  <c r="AJ69" i="119" a="1"/>
  <c r="AJ69" i="119" s="1"/>
  <c r="AJ70" i="119" a="1"/>
  <c r="AJ70" i="119" s="1"/>
  <c r="AJ71" i="119" a="1"/>
  <c r="AJ71" i="119" s="1"/>
  <c r="AJ72" i="119" a="1"/>
  <c r="AJ72" i="119" s="1"/>
  <c r="AJ73" i="119" a="1"/>
  <c r="AJ73" i="119" s="1"/>
  <c r="AJ74" i="119" a="1"/>
  <c r="AJ74" i="119" s="1"/>
  <c r="AJ75" i="119" a="1"/>
  <c r="AJ75" i="119" s="1"/>
  <c r="AJ76" i="119" a="1"/>
  <c r="AJ76" i="119" s="1"/>
  <c r="AJ77" i="119" a="1"/>
  <c r="AJ77" i="119" s="1"/>
  <c r="AJ78" i="119" a="1"/>
  <c r="AJ78" i="119" s="1"/>
  <c r="AJ79" i="119" a="1"/>
  <c r="AJ79" i="119" s="1"/>
  <c r="AJ80" i="119" a="1"/>
  <c r="AJ80" i="119" s="1"/>
  <c r="AJ81" i="119" a="1"/>
  <c r="AJ81" i="119" s="1"/>
  <c r="AJ82" i="119" a="1"/>
  <c r="AJ82" i="119" s="1"/>
  <c r="AI12" i="119" a="1"/>
  <c r="AI12" i="119" s="1"/>
  <c r="AI14" i="119" a="1"/>
  <c r="AI14" i="119" s="1"/>
  <c r="AI15" i="119" a="1"/>
  <c r="AI15" i="119" s="1"/>
  <c r="AI16" i="119" a="1"/>
  <c r="AI16" i="119" s="1"/>
  <c r="AI17" i="119" a="1"/>
  <c r="AI17" i="119" s="1"/>
  <c r="AI18" i="119" a="1"/>
  <c r="AI18" i="119" s="1"/>
  <c r="AI19" i="119" a="1"/>
  <c r="AI19" i="119" s="1"/>
  <c r="AI20" i="119" a="1"/>
  <c r="AI20" i="119" s="1"/>
  <c r="AI21" i="119" a="1"/>
  <c r="AI21" i="119" s="1"/>
  <c r="AI22" i="119" a="1"/>
  <c r="AI22" i="119" s="1"/>
  <c r="AI23" i="119" a="1"/>
  <c r="AI23" i="119" s="1"/>
  <c r="AI24" i="119" a="1"/>
  <c r="AI24" i="119" s="1"/>
  <c r="AI25" i="119" a="1"/>
  <c r="AI25" i="119" s="1"/>
  <c r="AI26" i="119" a="1"/>
  <c r="AI26" i="119" s="1"/>
  <c r="AI27" i="119" a="1"/>
  <c r="AI27" i="119" s="1"/>
  <c r="AI28" i="119" a="1"/>
  <c r="AI28" i="119" s="1"/>
  <c r="AI29" i="119" a="1"/>
  <c r="AI29" i="119" s="1"/>
  <c r="AI30" i="119" a="1"/>
  <c r="AI30" i="119" s="1"/>
  <c r="AI31" i="119" a="1"/>
  <c r="AI31" i="119" s="1"/>
  <c r="AI32" i="119" a="1"/>
  <c r="AI32" i="119" s="1"/>
  <c r="AI33" i="119" a="1"/>
  <c r="AI33" i="119" s="1"/>
  <c r="AI34" i="119" a="1"/>
  <c r="AI34" i="119" s="1"/>
  <c r="AI35" i="119" a="1"/>
  <c r="AI35" i="119" s="1"/>
  <c r="AI38" i="119" a="1"/>
  <c r="AI38" i="119" s="1"/>
  <c r="AI39" i="119" a="1"/>
  <c r="AI39" i="119" s="1"/>
  <c r="AI40" i="119" a="1"/>
  <c r="AI40" i="119" s="1"/>
  <c r="AI43" i="119" a="1"/>
  <c r="AI43" i="119" s="1"/>
  <c r="AI44" i="119" a="1"/>
  <c r="AI44" i="119" s="1"/>
  <c r="AI45" i="119" a="1"/>
  <c r="AI45" i="119" s="1"/>
  <c r="AI49" i="119" a="1"/>
  <c r="AI49" i="119" s="1"/>
  <c r="AI50" i="119" a="1"/>
  <c r="AI50" i="119" s="1"/>
  <c r="AI51" i="119" a="1"/>
  <c r="AI51" i="119" s="1"/>
  <c r="AI52" i="119" a="1"/>
  <c r="AI52" i="119" s="1"/>
  <c r="AI53" i="119" a="1"/>
  <c r="AI53" i="119" s="1"/>
  <c r="AI57" i="119" a="1"/>
  <c r="AI57" i="119" s="1"/>
  <c r="AI58" i="119" a="1"/>
  <c r="AI58" i="119" s="1"/>
  <c r="AI59" i="119" a="1"/>
  <c r="AI59" i="119" s="1"/>
  <c r="AI60" i="119" a="1"/>
  <c r="AI60" i="119" s="1"/>
  <c r="AI63" i="119" a="1"/>
  <c r="AI63" i="119" s="1"/>
  <c r="AI64" i="119" a="1"/>
  <c r="AI64" i="119" s="1"/>
  <c r="AI65" i="119" a="1"/>
  <c r="AI65" i="119" s="1"/>
  <c r="AI66" i="119" a="1"/>
  <c r="AI66" i="119" s="1"/>
  <c r="AI67" i="119" a="1"/>
  <c r="AI67" i="119" s="1"/>
  <c r="AI68" i="119" a="1"/>
  <c r="AI68" i="119" s="1"/>
  <c r="AI69" i="119" a="1"/>
  <c r="AI69" i="119" s="1"/>
  <c r="AI70" i="119" a="1"/>
  <c r="AI70" i="119" s="1"/>
  <c r="AI71" i="119" a="1"/>
  <c r="AI71" i="119" s="1"/>
  <c r="AI72" i="119" a="1"/>
  <c r="AI72" i="119" s="1"/>
  <c r="AI73" i="119" a="1"/>
  <c r="AI73" i="119" s="1"/>
  <c r="AI74" i="119" a="1"/>
  <c r="AI74" i="119" s="1"/>
  <c r="AI75" i="119" a="1"/>
  <c r="AI75" i="119" s="1"/>
  <c r="AI76" i="119" a="1"/>
  <c r="AI76" i="119" s="1"/>
  <c r="AI77" i="119" a="1"/>
  <c r="AI77" i="119" s="1"/>
  <c r="AI78" i="119" a="1"/>
  <c r="AI78" i="119" s="1"/>
  <c r="AI79" i="119" a="1"/>
  <c r="AI79" i="119" s="1"/>
  <c r="AI80" i="119" a="1"/>
  <c r="AI80" i="119" s="1"/>
  <c r="AI81" i="119" a="1"/>
  <c r="AI81" i="119" s="1"/>
  <c r="AI82" i="119" a="1"/>
  <c r="AI82" i="119" s="1"/>
  <c r="AH12" i="119" a="1"/>
  <c r="AH12" i="119" s="1"/>
  <c r="AH14" i="119" a="1"/>
  <c r="AH14" i="119" s="1"/>
  <c r="AH15" i="119" a="1"/>
  <c r="AH15" i="119" s="1"/>
  <c r="AH16" i="119" a="1"/>
  <c r="AH16" i="119" s="1"/>
  <c r="AH17" i="119" a="1"/>
  <c r="AH17" i="119" s="1"/>
  <c r="AH18" i="119" a="1"/>
  <c r="AH18" i="119" s="1"/>
  <c r="AH19" i="119" a="1"/>
  <c r="AH19" i="119" s="1"/>
  <c r="AH20" i="119" a="1"/>
  <c r="AH20" i="119" s="1"/>
  <c r="AH21" i="119" a="1"/>
  <c r="AH21" i="119" s="1"/>
  <c r="AH22" i="119" a="1"/>
  <c r="AH22" i="119" s="1"/>
  <c r="AH23" i="119" a="1"/>
  <c r="AH23" i="119" s="1"/>
  <c r="AH24" i="119" a="1"/>
  <c r="AH24" i="119" s="1"/>
  <c r="AH25" i="119" a="1"/>
  <c r="AH25" i="119" s="1"/>
  <c r="AH26" i="119" a="1"/>
  <c r="AH26" i="119" s="1"/>
  <c r="AH27" i="119" a="1"/>
  <c r="AH27" i="119" s="1"/>
  <c r="AH28" i="119" a="1"/>
  <c r="AH28" i="119" s="1"/>
  <c r="AH29" i="119" a="1"/>
  <c r="AH29" i="119" s="1"/>
  <c r="AH30" i="119" a="1"/>
  <c r="AH30" i="119" s="1"/>
  <c r="AH31" i="119" a="1"/>
  <c r="AH31" i="119" s="1"/>
  <c r="AH32" i="119" a="1"/>
  <c r="AH32" i="119" s="1"/>
  <c r="AH33" i="119" a="1"/>
  <c r="AH33" i="119" s="1"/>
  <c r="AH34" i="119" a="1"/>
  <c r="AH34" i="119" s="1"/>
  <c r="AH35" i="119" a="1"/>
  <c r="AH35" i="119" s="1"/>
  <c r="AH38" i="119" a="1"/>
  <c r="AH38" i="119" s="1"/>
  <c r="AH39" i="119" a="1"/>
  <c r="AH39" i="119" s="1"/>
  <c r="AH40" i="119" a="1"/>
  <c r="AH40" i="119" s="1"/>
  <c r="AH43" i="119" a="1"/>
  <c r="AH43" i="119" s="1"/>
  <c r="AH44" i="119" a="1"/>
  <c r="AH44" i="119" s="1"/>
  <c r="AH45" i="119" a="1"/>
  <c r="AH45" i="119" s="1"/>
  <c r="AH49" i="119" a="1"/>
  <c r="AH49" i="119" s="1"/>
  <c r="AH50" i="119" a="1"/>
  <c r="AH50" i="119" s="1"/>
  <c r="AH51" i="119" a="1"/>
  <c r="AH51" i="119" s="1"/>
  <c r="AH52" i="119" a="1"/>
  <c r="AH52" i="119" s="1"/>
  <c r="AH53" i="119" a="1"/>
  <c r="AH53" i="119" s="1"/>
  <c r="AH57" i="119" a="1"/>
  <c r="AH57" i="119" s="1"/>
  <c r="AH58" i="119" a="1"/>
  <c r="AH58" i="119" s="1"/>
  <c r="AH59" i="119" a="1"/>
  <c r="AH59" i="119" s="1"/>
  <c r="AH60" i="119" a="1"/>
  <c r="AH60" i="119" s="1"/>
  <c r="AH63" i="119" a="1"/>
  <c r="AH63" i="119" s="1"/>
  <c r="AH64" i="119" a="1"/>
  <c r="AH64" i="119" s="1"/>
  <c r="AH65" i="119" a="1"/>
  <c r="AH65" i="119" s="1"/>
  <c r="AH66" i="119" a="1"/>
  <c r="AH66" i="119" s="1"/>
  <c r="AH67" i="119" a="1"/>
  <c r="AH67" i="119" s="1"/>
  <c r="AH68" i="119" a="1"/>
  <c r="AH68" i="119" s="1"/>
  <c r="AH69" i="119" a="1"/>
  <c r="AH69" i="119" s="1"/>
  <c r="AH70" i="119" a="1"/>
  <c r="AH70" i="119" s="1"/>
  <c r="AH71" i="119" a="1"/>
  <c r="AH71" i="119" s="1"/>
  <c r="AH72" i="119" a="1"/>
  <c r="AH72" i="119" s="1"/>
  <c r="AH73" i="119" a="1"/>
  <c r="AH73" i="119" s="1"/>
  <c r="AH74" i="119" a="1"/>
  <c r="AH74" i="119" s="1"/>
  <c r="AH75" i="119" a="1"/>
  <c r="AH75" i="119" s="1"/>
  <c r="AH76" i="119" a="1"/>
  <c r="AH76" i="119" s="1"/>
  <c r="AH77" i="119" a="1"/>
  <c r="AH77" i="119" s="1"/>
  <c r="AH78" i="119" a="1"/>
  <c r="AH78" i="119" s="1"/>
  <c r="AH79" i="119" a="1"/>
  <c r="AH79" i="119" s="1"/>
  <c r="AH80" i="119" a="1"/>
  <c r="AH80" i="119" s="1"/>
  <c r="AH81" i="119" a="1"/>
  <c r="AH81" i="119" s="1"/>
  <c r="AH82" i="119" a="1"/>
  <c r="AH82" i="119" s="1"/>
  <c r="AF12" i="119"/>
  <c r="AF14" i="119"/>
  <c r="AF15" i="119"/>
  <c r="AF16" i="119"/>
  <c r="AF17" i="119"/>
  <c r="AF18" i="119"/>
  <c r="AF19" i="119"/>
  <c r="AF20" i="119"/>
  <c r="AF21" i="119"/>
  <c r="AF22" i="119"/>
  <c r="AF23" i="119"/>
  <c r="AF24" i="119"/>
  <c r="AF25" i="119"/>
  <c r="AF26" i="119"/>
  <c r="AF27" i="119"/>
  <c r="AF28" i="119"/>
  <c r="AF29" i="119"/>
  <c r="AF30" i="119"/>
  <c r="AF31" i="119"/>
  <c r="AF32" i="119"/>
  <c r="AF33" i="119"/>
  <c r="AF34" i="119"/>
  <c r="AF35" i="119"/>
  <c r="AF38" i="119"/>
  <c r="AF39" i="119"/>
  <c r="AF40" i="119"/>
  <c r="AF43" i="119"/>
  <c r="AF44" i="119"/>
  <c r="AF45" i="119"/>
  <c r="AF49" i="119"/>
  <c r="AF50" i="119"/>
  <c r="AF51" i="119"/>
  <c r="AF52" i="119"/>
  <c r="AF53" i="119"/>
  <c r="AF57" i="119"/>
  <c r="AF58" i="119"/>
  <c r="AF59" i="119"/>
  <c r="AF60" i="119"/>
  <c r="AF63" i="119"/>
  <c r="AF64" i="119"/>
  <c r="AF65" i="119"/>
  <c r="AF66" i="119"/>
  <c r="AF67" i="119"/>
  <c r="AF68" i="119"/>
  <c r="AF69" i="119"/>
  <c r="AF70" i="119"/>
  <c r="AF71" i="119"/>
  <c r="AF72" i="119"/>
  <c r="AF73" i="119"/>
  <c r="AF74" i="119"/>
  <c r="AF75" i="119"/>
  <c r="AF76" i="119"/>
  <c r="AF77" i="119"/>
  <c r="AF78" i="119"/>
  <c r="AF79" i="119"/>
  <c r="AF80" i="119"/>
  <c r="AF81" i="119"/>
  <c r="AF82" i="119"/>
  <c r="AE12" i="119"/>
  <c r="AE14" i="119"/>
  <c r="AE15" i="119"/>
  <c r="AE16" i="119"/>
  <c r="AE17" i="119"/>
  <c r="AE18" i="119"/>
  <c r="AE19" i="119"/>
  <c r="AE20" i="119"/>
  <c r="AE21" i="119"/>
  <c r="AE22" i="119"/>
  <c r="AE23" i="119"/>
  <c r="AE24" i="119"/>
  <c r="AE25" i="119"/>
  <c r="AE26" i="119"/>
  <c r="AE27" i="119"/>
  <c r="AE28" i="119"/>
  <c r="AE29" i="119"/>
  <c r="AE30" i="119"/>
  <c r="AE31" i="119"/>
  <c r="AE32" i="119"/>
  <c r="AE33" i="119"/>
  <c r="AE34" i="119"/>
  <c r="AE35" i="119"/>
  <c r="AE38" i="119"/>
  <c r="AE39" i="119"/>
  <c r="AE40" i="119"/>
  <c r="AE43" i="119"/>
  <c r="AE44" i="119"/>
  <c r="AE45" i="119"/>
  <c r="AE49" i="119"/>
  <c r="AE50" i="119"/>
  <c r="AE51" i="119"/>
  <c r="AE52" i="119"/>
  <c r="AE53" i="119"/>
  <c r="AE57" i="119"/>
  <c r="AE58" i="119"/>
  <c r="AE59" i="119"/>
  <c r="AE60" i="119"/>
  <c r="AE63" i="119"/>
  <c r="AE64" i="119"/>
  <c r="AE65" i="119"/>
  <c r="AE66" i="119"/>
  <c r="AE67" i="119"/>
  <c r="AE68" i="119"/>
  <c r="AE69" i="119"/>
  <c r="AE70" i="119"/>
  <c r="AE71" i="119"/>
  <c r="AE72" i="119"/>
  <c r="AE73" i="119"/>
  <c r="AE74" i="119"/>
  <c r="AE75" i="119"/>
  <c r="AE76" i="119"/>
  <c r="AE77" i="119"/>
  <c r="AE78" i="119"/>
  <c r="AE79" i="119"/>
  <c r="AE80" i="119"/>
  <c r="AE81" i="119"/>
  <c r="AE82" i="119"/>
  <c r="AD12" i="119"/>
  <c r="AD14" i="119"/>
  <c r="AD15" i="119"/>
  <c r="AD16" i="119"/>
  <c r="AD17" i="119"/>
  <c r="AD18" i="119"/>
  <c r="AD19" i="119"/>
  <c r="AD20" i="119"/>
  <c r="AD21" i="119"/>
  <c r="AD22" i="119"/>
  <c r="AD23" i="119"/>
  <c r="AD24" i="119"/>
  <c r="AD25" i="119"/>
  <c r="AD26" i="119"/>
  <c r="AD27" i="119"/>
  <c r="AD28" i="119"/>
  <c r="AD29" i="119"/>
  <c r="AD30" i="119"/>
  <c r="AD31" i="119"/>
  <c r="AD32" i="119"/>
  <c r="AD33" i="119"/>
  <c r="AD34" i="119"/>
  <c r="AD35" i="119"/>
  <c r="AD38" i="119"/>
  <c r="AD39" i="119"/>
  <c r="AD40" i="119"/>
  <c r="AD43" i="119"/>
  <c r="AD44" i="119"/>
  <c r="AD45" i="119"/>
  <c r="AD49" i="119"/>
  <c r="AD50" i="119"/>
  <c r="AD51" i="119"/>
  <c r="AD52" i="119"/>
  <c r="AD53" i="119"/>
  <c r="AD57" i="119"/>
  <c r="AD58" i="119"/>
  <c r="AD59" i="119"/>
  <c r="AD60" i="119"/>
  <c r="AD63" i="119"/>
  <c r="AD64" i="119"/>
  <c r="AD65" i="119"/>
  <c r="AD66" i="119"/>
  <c r="AD67" i="119"/>
  <c r="AD68" i="119"/>
  <c r="AD69" i="119"/>
  <c r="AD70" i="119"/>
  <c r="AD71" i="119"/>
  <c r="AD72" i="119"/>
  <c r="AD73" i="119"/>
  <c r="AD74" i="119"/>
  <c r="AD75" i="119"/>
  <c r="AD76" i="119"/>
  <c r="AD77" i="119"/>
  <c r="AD78" i="119"/>
  <c r="AD79" i="119"/>
  <c r="AD80" i="119"/>
  <c r="AD81" i="119"/>
  <c r="AD82" i="119"/>
  <c r="AC12" i="119"/>
  <c r="AC14" i="119"/>
  <c r="AC15" i="119"/>
  <c r="AC16" i="119"/>
  <c r="AC17" i="119"/>
  <c r="AC18" i="119"/>
  <c r="AC19" i="119"/>
  <c r="AC20" i="119"/>
  <c r="AC21" i="119"/>
  <c r="AC22" i="119"/>
  <c r="AC23" i="119"/>
  <c r="AC24" i="119"/>
  <c r="AC25" i="119"/>
  <c r="AC26" i="119"/>
  <c r="AC27" i="119"/>
  <c r="AC28" i="119"/>
  <c r="AC29" i="119"/>
  <c r="AC30" i="119"/>
  <c r="AC31" i="119"/>
  <c r="AC32" i="119"/>
  <c r="AC33" i="119"/>
  <c r="AC34" i="119"/>
  <c r="AC35" i="119"/>
  <c r="AC38" i="119"/>
  <c r="AC39" i="119"/>
  <c r="AC40" i="119"/>
  <c r="AC43" i="119"/>
  <c r="AC44" i="119"/>
  <c r="AC45" i="119"/>
  <c r="AC49" i="119"/>
  <c r="AC50" i="119"/>
  <c r="AC51" i="119"/>
  <c r="AC52" i="119"/>
  <c r="AC53" i="119"/>
  <c r="AC57" i="119"/>
  <c r="AC58" i="119"/>
  <c r="AC59" i="119"/>
  <c r="AC60" i="119"/>
  <c r="AC63" i="119"/>
  <c r="AC64" i="119"/>
  <c r="AC65" i="119"/>
  <c r="AC66" i="119"/>
  <c r="AC67" i="119"/>
  <c r="AC68" i="119"/>
  <c r="AC69" i="119"/>
  <c r="AC70" i="119"/>
  <c r="AC71" i="119"/>
  <c r="AC72" i="119"/>
  <c r="AC73" i="119"/>
  <c r="AC74" i="119"/>
  <c r="AC75" i="119"/>
  <c r="AC76" i="119"/>
  <c r="AC77" i="119"/>
  <c r="AC78" i="119"/>
  <c r="AC79" i="119"/>
  <c r="AC80" i="119"/>
  <c r="AC81" i="119"/>
  <c r="AC82" i="119"/>
  <c r="AB12" i="119"/>
  <c r="AB14" i="119"/>
  <c r="AB15" i="119"/>
  <c r="AB16" i="119"/>
  <c r="AB17" i="119"/>
  <c r="AB18" i="119"/>
  <c r="AB19" i="119"/>
  <c r="AB20" i="119"/>
  <c r="AB21" i="119"/>
  <c r="AB22" i="119"/>
  <c r="AB23" i="119"/>
  <c r="AB24" i="119"/>
  <c r="AB25" i="119"/>
  <c r="AB26" i="119"/>
  <c r="AB27" i="119"/>
  <c r="AB28" i="119"/>
  <c r="AB29" i="119"/>
  <c r="AB30" i="119"/>
  <c r="AB31" i="119"/>
  <c r="AB32" i="119"/>
  <c r="AB33" i="119"/>
  <c r="AB34" i="119"/>
  <c r="AB35" i="119"/>
  <c r="AB38" i="119"/>
  <c r="AB39" i="119"/>
  <c r="AB40" i="119"/>
  <c r="AB43" i="119"/>
  <c r="AB44" i="119"/>
  <c r="AB45" i="119"/>
  <c r="AB49" i="119"/>
  <c r="AB50" i="119"/>
  <c r="AB51" i="119"/>
  <c r="AB52" i="119"/>
  <c r="AB53" i="119"/>
  <c r="AB57" i="119"/>
  <c r="AB58" i="119"/>
  <c r="AB59" i="119"/>
  <c r="AB60" i="119"/>
  <c r="AB63" i="119"/>
  <c r="AB64" i="119"/>
  <c r="AB65" i="119"/>
  <c r="AB66" i="119"/>
  <c r="AB67" i="119"/>
  <c r="AB68" i="119"/>
  <c r="AB69" i="119"/>
  <c r="AB70" i="119"/>
  <c r="AB71" i="119"/>
  <c r="AB72" i="119"/>
  <c r="AB73" i="119"/>
  <c r="AB74" i="119"/>
  <c r="AB75" i="119"/>
  <c r="AB76" i="119"/>
  <c r="AB77" i="119"/>
  <c r="AB78" i="119"/>
  <c r="AB79" i="119"/>
  <c r="AB80" i="119"/>
  <c r="AB81" i="119"/>
  <c r="AB82" i="119"/>
  <c r="AA12" i="119"/>
  <c r="AA14" i="119"/>
  <c r="AA15" i="119"/>
  <c r="AA16" i="119"/>
  <c r="AA17" i="119"/>
  <c r="AA18" i="119"/>
  <c r="AA19" i="119"/>
  <c r="AA20" i="119"/>
  <c r="AA21" i="119"/>
  <c r="AA22" i="119"/>
  <c r="AA23" i="119"/>
  <c r="AA24" i="119"/>
  <c r="AA25" i="119"/>
  <c r="AA26" i="119"/>
  <c r="AA27" i="119"/>
  <c r="AA28" i="119"/>
  <c r="AA29" i="119"/>
  <c r="AA30" i="119"/>
  <c r="AA31" i="119"/>
  <c r="AA32" i="119"/>
  <c r="AA33" i="119"/>
  <c r="AA34" i="119"/>
  <c r="AA35" i="119"/>
  <c r="AA38" i="119"/>
  <c r="AA39" i="119"/>
  <c r="AA40" i="119"/>
  <c r="AA43" i="119"/>
  <c r="AA44" i="119"/>
  <c r="AA45" i="119"/>
  <c r="AA49" i="119"/>
  <c r="AA50" i="119"/>
  <c r="AA51" i="119"/>
  <c r="AA52" i="119"/>
  <c r="AA53" i="119"/>
  <c r="AA57" i="119"/>
  <c r="AA58" i="119"/>
  <c r="AA59" i="119"/>
  <c r="AA60" i="119"/>
  <c r="AA63" i="119"/>
  <c r="AA64" i="119"/>
  <c r="AA65" i="119"/>
  <c r="AA66" i="119"/>
  <c r="AA67" i="119"/>
  <c r="AA68" i="119"/>
  <c r="AA69" i="119"/>
  <c r="AA70" i="119"/>
  <c r="AA71" i="119"/>
  <c r="AA72" i="119"/>
  <c r="AA73" i="119"/>
  <c r="AA74" i="119"/>
  <c r="AA75" i="119"/>
  <c r="AA76" i="119"/>
  <c r="AA77" i="119"/>
  <c r="AA78" i="119"/>
  <c r="AA79" i="119"/>
  <c r="AA80" i="119"/>
  <c r="AA81" i="119"/>
  <c r="AA82" i="119"/>
  <c r="Z12" i="119" a="1"/>
  <c r="Z12" i="119" s="1"/>
  <c r="Z14" i="119" a="1"/>
  <c r="Z14" i="119" s="1"/>
  <c r="Z15" i="119" a="1"/>
  <c r="Z15" i="119" s="1"/>
  <c r="Z16" i="119" a="1"/>
  <c r="Z16" i="119" s="1"/>
  <c r="Z17" i="119" a="1"/>
  <c r="Z17" i="119" s="1"/>
  <c r="Z18" i="119" a="1"/>
  <c r="Z18" i="119" s="1"/>
  <c r="Z19" i="119" a="1"/>
  <c r="Z19" i="119" s="1"/>
  <c r="Z20" i="119" a="1"/>
  <c r="Z20" i="119" s="1"/>
  <c r="Z21" i="119" a="1"/>
  <c r="Z21" i="119" s="1"/>
  <c r="Z22" i="119" a="1"/>
  <c r="Z22" i="119" s="1"/>
  <c r="Z23" i="119" a="1"/>
  <c r="Z23" i="119" s="1"/>
  <c r="Z24" i="119" a="1"/>
  <c r="Z24" i="119" s="1"/>
  <c r="Z25" i="119" a="1"/>
  <c r="Z25" i="119" s="1"/>
  <c r="Z26" i="119" a="1"/>
  <c r="Z26" i="119" s="1"/>
  <c r="Z27" i="119" a="1"/>
  <c r="Z27" i="119" s="1"/>
  <c r="Z28" i="119" a="1"/>
  <c r="Z28" i="119" s="1"/>
  <c r="Z29" i="119" a="1"/>
  <c r="Z29" i="119" s="1"/>
  <c r="Z30" i="119" a="1"/>
  <c r="Z30" i="119" s="1"/>
  <c r="Z31" i="119" a="1"/>
  <c r="Z31" i="119" s="1"/>
  <c r="Z32" i="119" a="1"/>
  <c r="Z32" i="119" s="1"/>
  <c r="Z33" i="119" a="1"/>
  <c r="Z33" i="119" s="1"/>
  <c r="Z34" i="119" a="1"/>
  <c r="Z34" i="119" s="1"/>
  <c r="Z35" i="119" a="1"/>
  <c r="Z35" i="119" s="1"/>
  <c r="Z38" i="119" a="1"/>
  <c r="Z38" i="119" s="1"/>
  <c r="Z39" i="119" a="1"/>
  <c r="Z39" i="119" s="1"/>
  <c r="Z40" i="119" a="1"/>
  <c r="Z40" i="119" s="1"/>
  <c r="Z43" i="119" a="1"/>
  <c r="Z43" i="119" s="1"/>
  <c r="Z44" i="119" a="1"/>
  <c r="Z44" i="119" s="1"/>
  <c r="Z45" i="119" a="1"/>
  <c r="Z45" i="119" s="1"/>
  <c r="Z49" i="119" a="1"/>
  <c r="Z49" i="119" s="1"/>
  <c r="Z50" i="119" a="1"/>
  <c r="Z50" i="119" s="1"/>
  <c r="Z51" i="119" a="1"/>
  <c r="Z51" i="119" s="1"/>
  <c r="Z52" i="119" a="1"/>
  <c r="Z52" i="119" s="1"/>
  <c r="Z53" i="119" a="1"/>
  <c r="Z53" i="119" s="1"/>
  <c r="Z57" i="119" a="1"/>
  <c r="Z57" i="119" s="1"/>
  <c r="Z58" i="119" a="1"/>
  <c r="Z58" i="119" s="1"/>
  <c r="Z59" i="119" a="1"/>
  <c r="Z59" i="119" s="1"/>
  <c r="Z60" i="119" a="1"/>
  <c r="Z60" i="119" s="1"/>
  <c r="Z63" i="119" a="1"/>
  <c r="Z63" i="119" s="1"/>
  <c r="Z64" i="119" a="1"/>
  <c r="Z64" i="119" s="1"/>
  <c r="Z65" i="119" a="1"/>
  <c r="Z65" i="119" s="1"/>
  <c r="Z66" i="119" a="1"/>
  <c r="Z66" i="119" s="1"/>
  <c r="Z67" i="119" a="1"/>
  <c r="Z67" i="119" s="1"/>
  <c r="Z68" i="119" a="1"/>
  <c r="Z68" i="119" s="1"/>
  <c r="Z69" i="119" a="1"/>
  <c r="Z69" i="119" s="1"/>
  <c r="Z70" i="119" a="1"/>
  <c r="Z70" i="119" s="1"/>
  <c r="Z71" i="119" a="1"/>
  <c r="Z71" i="119" s="1"/>
  <c r="Z72" i="119" a="1"/>
  <c r="Z72" i="119" s="1"/>
  <c r="Z73" i="119" a="1"/>
  <c r="Z73" i="119" s="1"/>
  <c r="Z74" i="119" a="1"/>
  <c r="Z74" i="119" s="1"/>
  <c r="Z75" i="119" a="1"/>
  <c r="Z75" i="119" s="1"/>
  <c r="Z76" i="119" a="1"/>
  <c r="Z76" i="119" s="1"/>
  <c r="Z77" i="119" a="1"/>
  <c r="Z77" i="119" s="1"/>
  <c r="Z78" i="119" a="1"/>
  <c r="Z78" i="119" s="1"/>
  <c r="Z79" i="119" a="1"/>
  <c r="Z79" i="119" s="1"/>
  <c r="Z80" i="119" a="1"/>
  <c r="Z80" i="119" s="1"/>
  <c r="Z81" i="119" a="1"/>
  <c r="Z81" i="119" s="1"/>
  <c r="Z82" i="119" a="1"/>
  <c r="Z82" i="119" s="1"/>
  <c r="Y12" i="119"/>
  <c r="Y14" i="119"/>
  <c r="Y15" i="119"/>
  <c r="Y16" i="119"/>
  <c r="Y17" i="119"/>
  <c r="Y18" i="119"/>
  <c r="Y19" i="119"/>
  <c r="Y20" i="119"/>
  <c r="Y21" i="119"/>
  <c r="Y22" i="119"/>
  <c r="Y23" i="119"/>
  <c r="Y24" i="119"/>
  <c r="Y25" i="119"/>
  <c r="Y26" i="119"/>
  <c r="Y27" i="119"/>
  <c r="Y28" i="119"/>
  <c r="Y29" i="119"/>
  <c r="Y30" i="119"/>
  <c r="Y31" i="119"/>
  <c r="Y32" i="119"/>
  <c r="Y33" i="119"/>
  <c r="Y34" i="119"/>
  <c r="Y35" i="119"/>
  <c r="Y38" i="119"/>
  <c r="Y39" i="119"/>
  <c r="Y40" i="119"/>
  <c r="Y43" i="119"/>
  <c r="Y44" i="119"/>
  <c r="Y45" i="119"/>
  <c r="Y49" i="119"/>
  <c r="Y50" i="119"/>
  <c r="Y51" i="119"/>
  <c r="Y52" i="119"/>
  <c r="Y53" i="119"/>
  <c r="Y57" i="119"/>
  <c r="Y58" i="119"/>
  <c r="Y59" i="119"/>
  <c r="Y60" i="119"/>
  <c r="Y63" i="119"/>
  <c r="Y64" i="119"/>
  <c r="Y65" i="119"/>
  <c r="Y66" i="119"/>
  <c r="Y67" i="119"/>
  <c r="Y68" i="119"/>
  <c r="Y69" i="119"/>
  <c r="Y70" i="119"/>
  <c r="Y71" i="119"/>
  <c r="Y72" i="119"/>
  <c r="Y73" i="119"/>
  <c r="Y74" i="119"/>
  <c r="Y75" i="119"/>
  <c r="Y76" i="119"/>
  <c r="Y77" i="119"/>
  <c r="Y78" i="119"/>
  <c r="Y79" i="119"/>
  <c r="Y80" i="119"/>
  <c r="Y81" i="119"/>
  <c r="Y82" i="119"/>
  <c r="X12" i="119"/>
  <c r="X14" i="119"/>
  <c r="X15" i="119"/>
  <c r="X16" i="119"/>
  <c r="X17" i="119"/>
  <c r="X18" i="119"/>
  <c r="X19" i="119"/>
  <c r="X20" i="119"/>
  <c r="X21" i="119"/>
  <c r="X22" i="119"/>
  <c r="X23" i="119"/>
  <c r="X24" i="119"/>
  <c r="X25" i="119"/>
  <c r="X26" i="119"/>
  <c r="X27" i="119"/>
  <c r="X28" i="119"/>
  <c r="X29" i="119"/>
  <c r="X30" i="119"/>
  <c r="X31" i="119"/>
  <c r="X32" i="119"/>
  <c r="X33" i="119"/>
  <c r="X34" i="119"/>
  <c r="X35" i="119"/>
  <c r="X38" i="119"/>
  <c r="X39" i="119"/>
  <c r="X40" i="119"/>
  <c r="X43" i="119"/>
  <c r="X44" i="119"/>
  <c r="X45" i="119"/>
  <c r="X49" i="119"/>
  <c r="X50" i="119"/>
  <c r="X51" i="119"/>
  <c r="X52" i="119"/>
  <c r="X53" i="119"/>
  <c r="X57" i="119"/>
  <c r="X58" i="119"/>
  <c r="X59" i="119"/>
  <c r="X60" i="119"/>
  <c r="X63" i="119"/>
  <c r="X64" i="119"/>
  <c r="X65" i="119"/>
  <c r="X66" i="119"/>
  <c r="X67" i="119"/>
  <c r="X68" i="119"/>
  <c r="X69" i="119"/>
  <c r="X70" i="119"/>
  <c r="X71" i="119"/>
  <c r="X72" i="119"/>
  <c r="X73" i="119"/>
  <c r="X74" i="119"/>
  <c r="X75" i="119"/>
  <c r="X76" i="119"/>
  <c r="X77" i="119"/>
  <c r="X78" i="119"/>
  <c r="X79" i="119"/>
  <c r="X80" i="119"/>
  <c r="X81" i="119"/>
  <c r="X82" i="119"/>
  <c r="W12" i="119"/>
  <c r="W14" i="119"/>
  <c r="W15" i="119"/>
  <c r="W16" i="119"/>
  <c r="W17" i="119"/>
  <c r="W18" i="119"/>
  <c r="W19" i="119"/>
  <c r="W20" i="119"/>
  <c r="W21" i="119"/>
  <c r="W22" i="119"/>
  <c r="W23" i="119"/>
  <c r="W24" i="119"/>
  <c r="W25" i="119"/>
  <c r="W26" i="119"/>
  <c r="W27" i="119"/>
  <c r="W28" i="119"/>
  <c r="W29" i="119"/>
  <c r="W30" i="119"/>
  <c r="W31" i="119"/>
  <c r="W32" i="119"/>
  <c r="W33" i="119"/>
  <c r="W34" i="119"/>
  <c r="W35" i="119"/>
  <c r="W38" i="119"/>
  <c r="W39" i="119"/>
  <c r="W40" i="119"/>
  <c r="W43" i="119"/>
  <c r="W44" i="119"/>
  <c r="W45" i="119"/>
  <c r="W49" i="119"/>
  <c r="W50" i="119"/>
  <c r="W51" i="119"/>
  <c r="W52" i="119"/>
  <c r="W53" i="119"/>
  <c r="W57" i="119"/>
  <c r="W58" i="119"/>
  <c r="W59" i="119"/>
  <c r="W60" i="119"/>
  <c r="W63" i="119"/>
  <c r="W64" i="119"/>
  <c r="W65" i="119"/>
  <c r="W66" i="119"/>
  <c r="W67" i="119"/>
  <c r="W68" i="119"/>
  <c r="W69" i="119"/>
  <c r="W70" i="119"/>
  <c r="W71" i="119"/>
  <c r="W72" i="119"/>
  <c r="W73" i="119"/>
  <c r="W74" i="119"/>
  <c r="W75" i="119"/>
  <c r="W76" i="119"/>
  <c r="W77" i="119"/>
  <c r="W78" i="119"/>
  <c r="W79" i="119"/>
  <c r="W80" i="119"/>
  <c r="W81" i="119"/>
  <c r="W82" i="119"/>
  <c r="V12" i="119"/>
  <c r="V14" i="119"/>
  <c r="V15" i="119"/>
  <c r="V16" i="119"/>
  <c r="V17" i="119"/>
  <c r="V18" i="119"/>
  <c r="V19" i="119"/>
  <c r="V20" i="119"/>
  <c r="V21" i="119"/>
  <c r="V22" i="119"/>
  <c r="V23" i="119"/>
  <c r="V24" i="119"/>
  <c r="V25" i="119"/>
  <c r="V26" i="119"/>
  <c r="V27" i="119"/>
  <c r="V28" i="119"/>
  <c r="V29" i="119"/>
  <c r="V30" i="119"/>
  <c r="V31" i="119"/>
  <c r="V32" i="119"/>
  <c r="V33" i="119"/>
  <c r="V34" i="119"/>
  <c r="V35" i="119"/>
  <c r="V38" i="119"/>
  <c r="V39" i="119"/>
  <c r="V40" i="119"/>
  <c r="V43" i="119"/>
  <c r="V44" i="119"/>
  <c r="V45" i="119"/>
  <c r="V49" i="119"/>
  <c r="V50" i="119"/>
  <c r="V51" i="119"/>
  <c r="V52" i="119"/>
  <c r="V53" i="119"/>
  <c r="V57" i="119"/>
  <c r="V58" i="119"/>
  <c r="V59" i="119"/>
  <c r="V60" i="119"/>
  <c r="V63" i="119"/>
  <c r="V64" i="119"/>
  <c r="V65" i="119"/>
  <c r="V66" i="119"/>
  <c r="V67" i="119"/>
  <c r="V68" i="119"/>
  <c r="V69" i="119"/>
  <c r="V70" i="119"/>
  <c r="V71" i="119"/>
  <c r="V72" i="119"/>
  <c r="V73" i="119"/>
  <c r="V74" i="119"/>
  <c r="V75" i="119"/>
  <c r="V76" i="119"/>
  <c r="V77" i="119"/>
  <c r="V78" i="119"/>
  <c r="V79" i="119"/>
  <c r="V80" i="119"/>
  <c r="V81" i="119"/>
  <c r="V82" i="119"/>
  <c r="U12" i="119"/>
  <c r="U14" i="119"/>
  <c r="U15" i="119"/>
  <c r="U16" i="119"/>
  <c r="U17" i="119"/>
  <c r="U18" i="119"/>
  <c r="U19" i="119"/>
  <c r="U20" i="119"/>
  <c r="U21" i="119"/>
  <c r="U22" i="119"/>
  <c r="U23" i="119"/>
  <c r="U24" i="119"/>
  <c r="U25" i="119"/>
  <c r="U26" i="119"/>
  <c r="U27" i="119"/>
  <c r="U28" i="119"/>
  <c r="U29" i="119"/>
  <c r="U30" i="119"/>
  <c r="U31" i="119"/>
  <c r="U32" i="119"/>
  <c r="U33" i="119"/>
  <c r="U34" i="119"/>
  <c r="U35" i="119"/>
  <c r="U38" i="119"/>
  <c r="U39" i="119"/>
  <c r="U40" i="119"/>
  <c r="U43" i="119"/>
  <c r="U44" i="119"/>
  <c r="U45" i="119"/>
  <c r="U49" i="119"/>
  <c r="U50" i="119"/>
  <c r="U51" i="119"/>
  <c r="U52" i="119"/>
  <c r="U53" i="119"/>
  <c r="U57" i="119"/>
  <c r="U58" i="119"/>
  <c r="U59" i="119"/>
  <c r="U60" i="119"/>
  <c r="U63" i="119"/>
  <c r="U64" i="119"/>
  <c r="U65" i="119"/>
  <c r="U66" i="119"/>
  <c r="U67" i="119"/>
  <c r="U68" i="119"/>
  <c r="U69" i="119"/>
  <c r="U70" i="119"/>
  <c r="U71" i="119"/>
  <c r="U72" i="119"/>
  <c r="U73" i="119"/>
  <c r="U74" i="119"/>
  <c r="U75" i="119"/>
  <c r="U76" i="119"/>
  <c r="U77" i="119"/>
  <c r="U78" i="119"/>
  <c r="U79" i="119"/>
  <c r="U80" i="119"/>
  <c r="U81" i="119"/>
  <c r="U82" i="119"/>
  <c r="T12" i="119"/>
  <c r="T14" i="119"/>
  <c r="T15" i="119"/>
  <c r="T16" i="119"/>
  <c r="T17" i="119"/>
  <c r="T18" i="119"/>
  <c r="T19" i="119"/>
  <c r="T20" i="119"/>
  <c r="T21" i="119"/>
  <c r="T22" i="119"/>
  <c r="T23" i="119"/>
  <c r="T24" i="119"/>
  <c r="T25" i="119"/>
  <c r="T26" i="119"/>
  <c r="T27" i="119"/>
  <c r="T28" i="119"/>
  <c r="T29" i="119"/>
  <c r="T30" i="119"/>
  <c r="T31" i="119"/>
  <c r="T32" i="119"/>
  <c r="T33" i="119"/>
  <c r="T34" i="119"/>
  <c r="T35" i="119"/>
  <c r="T38" i="119"/>
  <c r="T39" i="119"/>
  <c r="T40" i="119"/>
  <c r="T43" i="119"/>
  <c r="T44" i="119"/>
  <c r="T45" i="119"/>
  <c r="T49" i="119"/>
  <c r="T50" i="119"/>
  <c r="T51" i="119"/>
  <c r="T52" i="119"/>
  <c r="T53" i="119"/>
  <c r="T57" i="119"/>
  <c r="T58" i="119"/>
  <c r="T59" i="119"/>
  <c r="T60" i="119"/>
  <c r="T63" i="119"/>
  <c r="T64" i="119"/>
  <c r="T65" i="119"/>
  <c r="T66" i="119"/>
  <c r="T67" i="119"/>
  <c r="T68" i="119"/>
  <c r="T69" i="119"/>
  <c r="T70" i="119"/>
  <c r="T71" i="119"/>
  <c r="T72" i="119"/>
  <c r="T73" i="119"/>
  <c r="T74" i="119"/>
  <c r="T75" i="119"/>
  <c r="T76" i="119"/>
  <c r="T77" i="119"/>
  <c r="T78" i="119"/>
  <c r="T79" i="119"/>
  <c r="T80" i="119"/>
  <c r="T81" i="119"/>
  <c r="T82" i="119"/>
  <c r="S12" i="119"/>
  <c r="S14" i="119"/>
  <c r="S15" i="119"/>
  <c r="S16" i="119"/>
  <c r="S17" i="119"/>
  <c r="S18" i="119"/>
  <c r="S19" i="119"/>
  <c r="S20" i="119"/>
  <c r="S21" i="119"/>
  <c r="S22" i="119"/>
  <c r="S23" i="119"/>
  <c r="S24" i="119"/>
  <c r="S25" i="119"/>
  <c r="S26" i="119"/>
  <c r="S27" i="119"/>
  <c r="S28" i="119"/>
  <c r="S29" i="119"/>
  <c r="S30" i="119"/>
  <c r="S31" i="119"/>
  <c r="S32" i="119"/>
  <c r="S33" i="119"/>
  <c r="S34" i="119"/>
  <c r="S35" i="119"/>
  <c r="S38" i="119"/>
  <c r="S39" i="119"/>
  <c r="S40" i="119"/>
  <c r="S43" i="119"/>
  <c r="S44" i="119"/>
  <c r="S45" i="119"/>
  <c r="S49" i="119"/>
  <c r="S50" i="119"/>
  <c r="S51" i="119"/>
  <c r="S52" i="119"/>
  <c r="S53" i="119"/>
  <c r="S57" i="119"/>
  <c r="S58" i="119"/>
  <c r="S59" i="119"/>
  <c r="S60" i="119"/>
  <c r="S63" i="119"/>
  <c r="S64" i="119"/>
  <c r="S65" i="119"/>
  <c r="S66" i="119"/>
  <c r="S67" i="119"/>
  <c r="S68" i="119"/>
  <c r="S69" i="119"/>
  <c r="S70" i="119"/>
  <c r="S71" i="119"/>
  <c r="S72" i="119"/>
  <c r="S73" i="119"/>
  <c r="S74" i="119"/>
  <c r="S75" i="119"/>
  <c r="S76" i="119"/>
  <c r="S77" i="119"/>
  <c r="S78" i="119"/>
  <c r="S79" i="119"/>
  <c r="S80" i="119"/>
  <c r="S81" i="119"/>
  <c r="S82" i="119"/>
  <c r="R12" i="119"/>
  <c r="R14" i="119"/>
  <c r="R15" i="119"/>
  <c r="R16" i="119"/>
  <c r="R17" i="119"/>
  <c r="R18" i="119"/>
  <c r="R19" i="119"/>
  <c r="R20" i="119"/>
  <c r="R21" i="119"/>
  <c r="R22" i="119"/>
  <c r="R23" i="119"/>
  <c r="R24" i="119"/>
  <c r="R25" i="119"/>
  <c r="R26" i="119"/>
  <c r="R27" i="119"/>
  <c r="R28" i="119"/>
  <c r="R29" i="119"/>
  <c r="R30" i="119"/>
  <c r="R31" i="119"/>
  <c r="R32" i="119"/>
  <c r="R33" i="119"/>
  <c r="R34" i="119"/>
  <c r="R35" i="119"/>
  <c r="R38" i="119"/>
  <c r="R39" i="119"/>
  <c r="R40" i="119"/>
  <c r="R43" i="119"/>
  <c r="R44" i="119"/>
  <c r="R45" i="119"/>
  <c r="R49" i="119"/>
  <c r="R50" i="119"/>
  <c r="R51" i="119"/>
  <c r="R52" i="119"/>
  <c r="R53" i="119"/>
  <c r="R57" i="119"/>
  <c r="R58" i="119"/>
  <c r="R59" i="119"/>
  <c r="R60" i="119"/>
  <c r="R63" i="119"/>
  <c r="R64" i="119"/>
  <c r="R65" i="119"/>
  <c r="R66" i="119"/>
  <c r="R67" i="119"/>
  <c r="R68" i="119"/>
  <c r="R69" i="119"/>
  <c r="R70" i="119"/>
  <c r="R71" i="119"/>
  <c r="R72" i="119"/>
  <c r="R73" i="119"/>
  <c r="R74" i="119"/>
  <c r="R75" i="119"/>
  <c r="R76" i="119"/>
  <c r="R77" i="119"/>
  <c r="R78" i="119"/>
  <c r="R79" i="119"/>
  <c r="R80" i="119"/>
  <c r="R81" i="119"/>
  <c r="R82" i="119"/>
  <c r="Q12" i="119"/>
  <c r="Q14" i="119"/>
  <c r="Q15" i="119"/>
  <c r="Q16" i="119"/>
  <c r="Q17" i="119"/>
  <c r="Q18" i="119"/>
  <c r="Q19" i="119"/>
  <c r="Q20" i="119"/>
  <c r="Q21" i="119"/>
  <c r="Q22" i="119"/>
  <c r="Q23" i="119"/>
  <c r="Q24" i="119"/>
  <c r="Q25" i="119"/>
  <c r="Q26" i="119"/>
  <c r="Q27" i="119"/>
  <c r="Q28" i="119"/>
  <c r="Q29" i="119"/>
  <c r="Q30" i="119"/>
  <c r="Q31" i="119"/>
  <c r="Q32" i="119"/>
  <c r="Q33" i="119"/>
  <c r="Q34" i="119"/>
  <c r="Q35" i="119"/>
  <c r="Q38" i="119"/>
  <c r="Q39" i="119"/>
  <c r="Q40" i="119"/>
  <c r="Q43" i="119"/>
  <c r="Q44" i="119"/>
  <c r="Q45" i="119"/>
  <c r="Q49" i="119"/>
  <c r="Q50" i="119"/>
  <c r="Q51" i="119"/>
  <c r="Q52" i="119"/>
  <c r="Q53" i="119"/>
  <c r="Q57" i="119"/>
  <c r="Q58" i="119"/>
  <c r="Q59" i="119"/>
  <c r="Q60" i="119"/>
  <c r="Q63" i="119"/>
  <c r="Q64" i="119"/>
  <c r="Q65" i="119"/>
  <c r="Q66" i="119"/>
  <c r="Q67" i="119"/>
  <c r="Q68" i="119"/>
  <c r="Q69" i="119"/>
  <c r="Q70" i="119"/>
  <c r="Q71" i="119"/>
  <c r="Q72" i="119"/>
  <c r="Q73" i="119"/>
  <c r="Q74" i="119"/>
  <c r="Q75" i="119"/>
  <c r="Q76" i="119"/>
  <c r="Q77" i="119"/>
  <c r="Q78" i="119"/>
  <c r="Q79" i="119"/>
  <c r="Q80" i="119"/>
  <c r="Q81" i="119"/>
  <c r="Q82" i="119"/>
  <c r="P12" i="119"/>
  <c r="P14" i="119"/>
  <c r="P15" i="119"/>
  <c r="P16" i="119"/>
  <c r="P17" i="119"/>
  <c r="P18" i="119"/>
  <c r="P19" i="119"/>
  <c r="P20" i="119"/>
  <c r="P21" i="119"/>
  <c r="P22" i="119"/>
  <c r="P23" i="119"/>
  <c r="P24" i="119"/>
  <c r="P25" i="119"/>
  <c r="P26" i="119"/>
  <c r="P27" i="119"/>
  <c r="P28" i="119"/>
  <c r="P29" i="119"/>
  <c r="P30" i="119"/>
  <c r="P31" i="119"/>
  <c r="P32" i="119"/>
  <c r="P33" i="119"/>
  <c r="P34" i="119"/>
  <c r="P35" i="119"/>
  <c r="P38" i="119"/>
  <c r="P39" i="119"/>
  <c r="P40" i="119"/>
  <c r="P43" i="119"/>
  <c r="P44" i="119"/>
  <c r="P45" i="119"/>
  <c r="P49" i="119"/>
  <c r="P50" i="119"/>
  <c r="P51" i="119"/>
  <c r="P52" i="119"/>
  <c r="P53" i="119"/>
  <c r="P57" i="119"/>
  <c r="P58" i="119"/>
  <c r="P59" i="119"/>
  <c r="P60" i="119"/>
  <c r="P63" i="119"/>
  <c r="P64" i="119"/>
  <c r="P65" i="119"/>
  <c r="P66" i="119"/>
  <c r="P67" i="119"/>
  <c r="P68" i="119"/>
  <c r="P69" i="119"/>
  <c r="P70" i="119"/>
  <c r="P71" i="119"/>
  <c r="P72" i="119"/>
  <c r="P73" i="119"/>
  <c r="P74" i="119"/>
  <c r="P75" i="119"/>
  <c r="P76" i="119"/>
  <c r="P77" i="119"/>
  <c r="P78" i="119"/>
  <c r="P79" i="119"/>
  <c r="P80" i="119"/>
  <c r="P81" i="119"/>
  <c r="P82" i="119"/>
  <c r="O12" i="119"/>
  <c r="O14" i="119"/>
  <c r="O15" i="119"/>
  <c r="O16" i="119"/>
  <c r="O17" i="119"/>
  <c r="O18" i="119"/>
  <c r="O19" i="119"/>
  <c r="O20" i="119"/>
  <c r="O21" i="119"/>
  <c r="O22" i="119"/>
  <c r="O23" i="119"/>
  <c r="O24" i="119"/>
  <c r="O25" i="119"/>
  <c r="O26" i="119"/>
  <c r="O27" i="119"/>
  <c r="O28" i="119"/>
  <c r="O29" i="119"/>
  <c r="O30" i="119"/>
  <c r="O31" i="119"/>
  <c r="O32" i="119"/>
  <c r="O33" i="119"/>
  <c r="O34" i="119"/>
  <c r="O35" i="119"/>
  <c r="O38" i="119"/>
  <c r="O39" i="119"/>
  <c r="O40" i="119"/>
  <c r="O43" i="119"/>
  <c r="O44" i="119"/>
  <c r="O45" i="119"/>
  <c r="O49" i="119"/>
  <c r="O50" i="119"/>
  <c r="O51" i="119"/>
  <c r="O52" i="119"/>
  <c r="O53" i="119"/>
  <c r="O57" i="119"/>
  <c r="O58" i="119"/>
  <c r="O59" i="119"/>
  <c r="O60" i="119"/>
  <c r="O63" i="119"/>
  <c r="O64" i="119"/>
  <c r="O65" i="119"/>
  <c r="O66" i="119"/>
  <c r="O67" i="119"/>
  <c r="O68" i="119"/>
  <c r="O69" i="119"/>
  <c r="O70" i="119"/>
  <c r="O71" i="119"/>
  <c r="O72" i="119"/>
  <c r="O73" i="119"/>
  <c r="O74" i="119"/>
  <c r="O75" i="119"/>
  <c r="O76" i="119"/>
  <c r="O77" i="119"/>
  <c r="O78" i="119"/>
  <c r="O79" i="119"/>
  <c r="O80" i="119"/>
  <c r="O81" i="119"/>
  <c r="O82" i="119"/>
  <c r="N12" i="119"/>
  <c r="N14" i="119"/>
  <c r="N15" i="119"/>
  <c r="N16" i="119"/>
  <c r="N17" i="119"/>
  <c r="N18" i="119"/>
  <c r="N19" i="119"/>
  <c r="N20" i="119"/>
  <c r="N21" i="119"/>
  <c r="N22" i="119"/>
  <c r="N23" i="119"/>
  <c r="N24" i="119"/>
  <c r="N25" i="119"/>
  <c r="N26" i="119"/>
  <c r="N27" i="119"/>
  <c r="N28" i="119"/>
  <c r="N29" i="119"/>
  <c r="N30" i="119"/>
  <c r="N31" i="119"/>
  <c r="N32" i="119"/>
  <c r="N33" i="119"/>
  <c r="N34" i="119"/>
  <c r="N35" i="119"/>
  <c r="N38" i="119"/>
  <c r="N39" i="119"/>
  <c r="N40" i="119"/>
  <c r="N43" i="119"/>
  <c r="N44" i="119"/>
  <c r="N45" i="119"/>
  <c r="N49" i="119"/>
  <c r="N50" i="119"/>
  <c r="N51" i="119"/>
  <c r="N52" i="119"/>
  <c r="N53" i="119"/>
  <c r="N57" i="119"/>
  <c r="N58" i="119"/>
  <c r="N59" i="119"/>
  <c r="N60" i="119"/>
  <c r="N63" i="119"/>
  <c r="N64" i="119"/>
  <c r="N65" i="119"/>
  <c r="N66" i="119"/>
  <c r="N67" i="119"/>
  <c r="N68" i="119"/>
  <c r="N69" i="119"/>
  <c r="N70" i="119"/>
  <c r="N71" i="119"/>
  <c r="N72" i="119"/>
  <c r="N73" i="119"/>
  <c r="N74" i="119"/>
  <c r="N75" i="119"/>
  <c r="N76" i="119"/>
  <c r="N77" i="119"/>
  <c r="N78" i="119"/>
  <c r="N79" i="119"/>
  <c r="N80" i="119"/>
  <c r="N81" i="119"/>
  <c r="N82" i="119"/>
  <c r="M12" i="119"/>
  <c r="M14" i="119"/>
  <c r="M15" i="119"/>
  <c r="M16" i="119"/>
  <c r="M17" i="119"/>
  <c r="M18" i="119"/>
  <c r="M19" i="119"/>
  <c r="M20" i="119"/>
  <c r="M21" i="119"/>
  <c r="M22" i="119"/>
  <c r="M23" i="119"/>
  <c r="M24" i="119"/>
  <c r="M25" i="119"/>
  <c r="M26" i="119"/>
  <c r="M27" i="119"/>
  <c r="M28" i="119"/>
  <c r="M29" i="119"/>
  <c r="M30" i="119"/>
  <c r="M31" i="119"/>
  <c r="M32" i="119"/>
  <c r="M33" i="119"/>
  <c r="M34" i="119"/>
  <c r="M35" i="119"/>
  <c r="M38" i="119"/>
  <c r="M39" i="119"/>
  <c r="M40" i="119"/>
  <c r="M43" i="119"/>
  <c r="M44" i="119"/>
  <c r="M45" i="119"/>
  <c r="M49" i="119"/>
  <c r="M50" i="119"/>
  <c r="M51" i="119"/>
  <c r="M52" i="119"/>
  <c r="M53" i="119"/>
  <c r="M57" i="119"/>
  <c r="M58" i="119"/>
  <c r="M59" i="119"/>
  <c r="M60" i="119"/>
  <c r="M63" i="119"/>
  <c r="M64" i="119"/>
  <c r="M65" i="119"/>
  <c r="M66" i="119"/>
  <c r="M67" i="119"/>
  <c r="M68" i="119"/>
  <c r="M69" i="119"/>
  <c r="M70" i="119"/>
  <c r="M71" i="119"/>
  <c r="M72" i="119"/>
  <c r="M73" i="119"/>
  <c r="M74" i="119"/>
  <c r="M75" i="119"/>
  <c r="M76" i="119"/>
  <c r="M77" i="119"/>
  <c r="M78" i="119"/>
  <c r="M79" i="119"/>
  <c r="M80" i="119"/>
  <c r="M81" i="119"/>
  <c r="M82" i="119"/>
  <c r="L12" i="119"/>
  <c r="L14" i="119"/>
  <c r="L15" i="119"/>
  <c r="L16" i="119"/>
  <c r="L17" i="119"/>
  <c r="L18" i="119"/>
  <c r="L19" i="119"/>
  <c r="L20" i="119"/>
  <c r="L21" i="119"/>
  <c r="L22" i="119"/>
  <c r="L23" i="119"/>
  <c r="L24" i="119"/>
  <c r="L25" i="119"/>
  <c r="L26" i="119"/>
  <c r="L27" i="119"/>
  <c r="L28" i="119"/>
  <c r="L29" i="119"/>
  <c r="L30" i="119"/>
  <c r="L31" i="119"/>
  <c r="L32" i="119"/>
  <c r="L33" i="119"/>
  <c r="L34" i="119"/>
  <c r="L35" i="119"/>
  <c r="L38" i="119"/>
  <c r="L39" i="119"/>
  <c r="L40" i="119"/>
  <c r="L43" i="119"/>
  <c r="L44" i="119"/>
  <c r="L45" i="119"/>
  <c r="L49" i="119"/>
  <c r="L50" i="119"/>
  <c r="L51" i="119"/>
  <c r="L52" i="119"/>
  <c r="L53" i="119"/>
  <c r="L57" i="119"/>
  <c r="L58" i="119"/>
  <c r="L59" i="119"/>
  <c r="L60" i="119"/>
  <c r="L63" i="119"/>
  <c r="L64" i="119"/>
  <c r="L65" i="119"/>
  <c r="L66" i="119"/>
  <c r="L67" i="119"/>
  <c r="L68" i="119"/>
  <c r="L69" i="119"/>
  <c r="L70" i="119"/>
  <c r="L71" i="119"/>
  <c r="L72" i="119"/>
  <c r="L73" i="119"/>
  <c r="L74" i="119"/>
  <c r="L75" i="119"/>
  <c r="L76" i="119"/>
  <c r="L77" i="119"/>
  <c r="L78" i="119"/>
  <c r="L79" i="119"/>
  <c r="L80" i="119"/>
  <c r="L81" i="119"/>
  <c r="L82" i="119"/>
  <c r="K12" i="119"/>
  <c r="K14" i="119"/>
  <c r="K15" i="119"/>
  <c r="K16" i="119"/>
  <c r="K17" i="119"/>
  <c r="K18" i="119"/>
  <c r="K19" i="119"/>
  <c r="K20" i="119"/>
  <c r="K21" i="119"/>
  <c r="K22" i="119"/>
  <c r="K23" i="119"/>
  <c r="K24" i="119"/>
  <c r="K25" i="119"/>
  <c r="K26" i="119"/>
  <c r="K27" i="119"/>
  <c r="K28" i="119"/>
  <c r="K29" i="119"/>
  <c r="K30" i="119"/>
  <c r="K31" i="119"/>
  <c r="K32" i="119"/>
  <c r="K33" i="119"/>
  <c r="K34" i="119"/>
  <c r="K35" i="119"/>
  <c r="K38" i="119"/>
  <c r="K39" i="119"/>
  <c r="K40" i="119"/>
  <c r="K43" i="119"/>
  <c r="K44" i="119"/>
  <c r="K45" i="119"/>
  <c r="K49" i="119"/>
  <c r="K50" i="119"/>
  <c r="K51" i="119"/>
  <c r="K52" i="119"/>
  <c r="K53" i="119"/>
  <c r="K57" i="119"/>
  <c r="K58" i="119"/>
  <c r="K59" i="119"/>
  <c r="K60" i="119"/>
  <c r="K63" i="119"/>
  <c r="K64" i="119"/>
  <c r="K65" i="119"/>
  <c r="K66" i="119"/>
  <c r="K67" i="119"/>
  <c r="K68" i="119"/>
  <c r="K69" i="119"/>
  <c r="K70" i="119"/>
  <c r="K71" i="119"/>
  <c r="K72" i="119"/>
  <c r="K73" i="119"/>
  <c r="K74" i="119"/>
  <c r="K75" i="119"/>
  <c r="K76" i="119"/>
  <c r="K77" i="119"/>
  <c r="K78" i="119"/>
  <c r="K79" i="119"/>
  <c r="K80" i="119"/>
  <c r="K81" i="119"/>
  <c r="K82" i="119"/>
  <c r="J12" i="119"/>
  <c r="J14" i="119"/>
  <c r="J15" i="119"/>
  <c r="J16" i="119"/>
  <c r="J17" i="119"/>
  <c r="J18" i="119"/>
  <c r="J19" i="119"/>
  <c r="J20" i="119"/>
  <c r="J21" i="119"/>
  <c r="J22" i="119"/>
  <c r="J23" i="119"/>
  <c r="J24" i="119"/>
  <c r="J25" i="119"/>
  <c r="J26" i="119"/>
  <c r="J27" i="119"/>
  <c r="J28" i="119"/>
  <c r="J29" i="119"/>
  <c r="J30" i="119"/>
  <c r="J31" i="119"/>
  <c r="J32" i="119"/>
  <c r="J33" i="119"/>
  <c r="J34" i="119"/>
  <c r="J35" i="119"/>
  <c r="J38" i="119"/>
  <c r="J39" i="119"/>
  <c r="J40" i="119"/>
  <c r="J43" i="119"/>
  <c r="J44" i="119"/>
  <c r="J45" i="119"/>
  <c r="J49" i="119"/>
  <c r="J50" i="119"/>
  <c r="J51" i="119"/>
  <c r="J52" i="119"/>
  <c r="J53" i="119"/>
  <c r="J57" i="119"/>
  <c r="J58" i="119"/>
  <c r="J59" i="119"/>
  <c r="J60" i="119"/>
  <c r="J63" i="119"/>
  <c r="J64" i="119"/>
  <c r="J65" i="119"/>
  <c r="J66" i="119"/>
  <c r="J67" i="119"/>
  <c r="J68" i="119"/>
  <c r="J69" i="119"/>
  <c r="J70" i="119"/>
  <c r="J71" i="119"/>
  <c r="J72" i="119"/>
  <c r="J73" i="119"/>
  <c r="J74" i="119"/>
  <c r="J75" i="119"/>
  <c r="J76" i="119"/>
  <c r="J77" i="119"/>
  <c r="J78" i="119"/>
  <c r="J79" i="119"/>
  <c r="J80" i="119"/>
  <c r="J81" i="119"/>
  <c r="J82" i="119"/>
  <c r="I12" i="119"/>
  <c r="I14" i="119"/>
  <c r="I15" i="119"/>
  <c r="I16" i="119"/>
  <c r="I17" i="119"/>
  <c r="I18" i="119"/>
  <c r="I19" i="119"/>
  <c r="I20" i="119"/>
  <c r="I21" i="119"/>
  <c r="I22" i="119"/>
  <c r="I23" i="119"/>
  <c r="I24" i="119"/>
  <c r="I25" i="119"/>
  <c r="I26" i="119"/>
  <c r="I27" i="119"/>
  <c r="I28" i="119"/>
  <c r="I29" i="119"/>
  <c r="I30" i="119"/>
  <c r="I31" i="119"/>
  <c r="I32" i="119"/>
  <c r="I33" i="119"/>
  <c r="I34" i="119"/>
  <c r="I35" i="119"/>
  <c r="I38" i="119"/>
  <c r="I39" i="119"/>
  <c r="I40" i="119"/>
  <c r="I43" i="119"/>
  <c r="I44" i="119"/>
  <c r="I45" i="119"/>
  <c r="I49" i="119"/>
  <c r="I50" i="119"/>
  <c r="I51" i="119"/>
  <c r="I52" i="119"/>
  <c r="I53" i="119"/>
  <c r="I57" i="119"/>
  <c r="I58" i="119"/>
  <c r="I59" i="119"/>
  <c r="I60" i="119"/>
  <c r="I63" i="119"/>
  <c r="I64" i="119"/>
  <c r="I65" i="119"/>
  <c r="I66" i="119"/>
  <c r="I67" i="119"/>
  <c r="I68" i="119"/>
  <c r="I69" i="119"/>
  <c r="I70" i="119"/>
  <c r="I71" i="119"/>
  <c r="I72" i="119"/>
  <c r="I73" i="119"/>
  <c r="I74" i="119"/>
  <c r="I75" i="119"/>
  <c r="I76" i="119"/>
  <c r="I77" i="119"/>
  <c r="I78" i="119"/>
  <c r="I79" i="119"/>
  <c r="I80" i="119"/>
  <c r="I81" i="119"/>
  <c r="I82" i="119"/>
  <c r="H12" i="119"/>
  <c r="H14" i="119"/>
  <c r="H15" i="119"/>
  <c r="H16" i="119"/>
  <c r="H17" i="119"/>
  <c r="H18" i="119"/>
  <c r="H19" i="119"/>
  <c r="H20" i="119"/>
  <c r="H21" i="119"/>
  <c r="H22" i="119"/>
  <c r="H23" i="119"/>
  <c r="H24" i="119"/>
  <c r="H25" i="119"/>
  <c r="H26" i="119"/>
  <c r="H27" i="119"/>
  <c r="H28" i="119"/>
  <c r="H29" i="119"/>
  <c r="H30" i="119"/>
  <c r="H31" i="119"/>
  <c r="H32" i="119"/>
  <c r="H33" i="119"/>
  <c r="H34" i="119"/>
  <c r="H35" i="119"/>
  <c r="H38" i="119"/>
  <c r="H39" i="119"/>
  <c r="H40" i="119"/>
  <c r="H43" i="119"/>
  <c r="H44" i="119"/>
  <c r="H45" i="119"/>
  <c r="H49" i="119"/>
  <c r="H50" i="119"/>
  <c r="H51" i="119"/>
  <c r="H52" i="119"/>
  <c r="H53" i="119"/>
  <c r="H57" i="119"/>
  <c r="H58" i="119"/>
  <c r="H59" i="119"/>
  <c r="H60" i="119"/>
  <c r="H63" i="119"/>
  <c r="H64" i="119"/>
  <c r="H65" i="119"/>
  <c r="H66" i="119"/>
  <c r="H67" i="119"/>
  <c r="H68" i="119"/>
  <c r="H69" i="119"/>
  <c r="H70" i="119"/>
  <c r="H71" i="119"/>
  <c r="H72" i="119"/>
  <c r="H73" i="119"/>
  <c r="H74" i="119"/>
  <c r="H75" i="119"/>
  <c r="H76" i="119"/>
  <c r="H77" i="119"/>
  <c r="H78" i="119"/>
  <c r="H79" i="119"/>
  <c r="H80" i="119"/>
  <c r="H81" i="119"/>
  <c r="H82" i="119"/>
  <c r="G12" i="119"/>
  <c r="G14" i="119"/>
  <c r="G15" i="119"/>
  <c r="G16" i="119"/>
  <c r="G17" i="119"/>
  <c r="G18" i="119"/>
  <c r="G19" i="119"/>
  <c r="G20" i="119"/>
  <c r="G21" i="119"/>
  <c r="G22" i="119"/>
  <c r="G23" i="119"/>
  <c r="G24" i="119"/>
  <c r="G25" i="119"/>
  <c r="G26" i="119"/>
  <c r="G27" i="119"/>
  <c r="G28" i="119"/>
  <c r="G29" i="119"/>
  <c r="G30" i="119"/>
  <c r="G31" i="119"/>
  <c r="G32" i="119"/>
  <c r="G33" i="119"/>
  <c r="G34" i="119"/>
  <c r="G35" i="119"/>
  <c r="G38" i="119"/>
  <c r="G39" i="119"/>
  <c r="G40" i="119"/>
  <c r="G43" i="119"/>
  <c r="G44" i="119"/>
  <c r="G45" i="119"/>
  <c r="G49" i="119"/>
  <c r="G50" i="119"/>
  <c r="G51" i="119"/>
  <c r="G52" i="119"/>
  <c r="G53" i="119"/>
  <c r="G57" i="119"/>
  <c r="G58" i="119"/>
  <c r="G59" i="119"/>
  <c r="G60" i="119"/>
  <c r="G63" i="119"/>
  <c r="G64" i="119"/>
  <c r="G65" i="119"/>
  <c r="G66" i="119"/>
  <c r="G67" i="119"/>
  <c r="G68" i="119"/>
  <c r="G69" i="119"/>
  <c r="G70" i="119"/>
  <c r="G71" i="119"/>
  <c r="G72" i="119"/>
  <c r="G73" i="119"/>
  <c r="G74" i="119"/>
  <c r="G75" i="119"/>
  <c r="G76" i="119"/>
  <c r="G77" i="119"/>
  <c r="G78" i="119"/>
  <c r="G79" i="119"/>
  <c r="G80" i="119"/>
  <c r="G81" i="119"/>
  <c r="G82" i="119"/>
  <c r="F12" i="119"/>
  <c r="F14" i="119"/>
  <c r="F15" i="119"/>
  <c r="F16" i="119"/>
  <c r="F17" i="119"/>
  <c r="F18" i="119"/>
  <c r="F19" i="119"/>
  <c r="F20" i="119"/>
  <c r="F21" i="119"/>
  <c r="F22" i="119"/>
  <c r="F23" i="119"/>
  <c r="F24" i="119"/>
  <c r="F25" i="119"/>
  <c r="F26" i="119"/>
  <c r="F27" i="119"/>
  <c r="F28" i="119"/>
  <c r="F29" i="119"/>
  <c r="F30" i="119"/>
  <c r="F31" i="119"/>
  <c r="F32" i="119"/>
  <c r="F33" i="119"/>
  <c r="F34" i="119"/>
  <c r="F35" i="119"/>
  <c r="F38" i="119"/>
  <c r="F39" i="119"/>
  <c r="F40" i="119"/>
  <c r="F43" i="119"/>
  <c r="F44" i="119"/>
  <c r="F45" i="119"/>
  <c r="F49" i="119"/>
  <c r="F50" i="119"/>
  <c r="F51" i="119"/>
  <c r="F52" i="119"/>
  <c r="F53" i="119"/>
  <c r="F57" i="119"/>
  <c r="F58" i="119"/>
  <c r="F59" i="119"/>
  <c r="F60" i="119"/>
  <c r="F63" i="119"/>
  <c r="F64" i="119"/>
  <c r="F65" i="119"/>
  <c r="F66" i="119"/>
  <c r="F67" i="119"/>
  <c r="F68" i="119"/>
  <c r="F69" i="119"/>
  <c r="F70" i="119"/>
  <c r="F71" i="119"/>
  <c r="F72" i="119"/>
  <c r="F73" i="119"/>
  <c r="F74" i="119"/>
  <c r="F75" i="119"/>
  <c r="F76" i="119"/>
  <c r="F77" i="119"/>
  <c r="F78" i="119"/>
  <c r="F79" i="119"/>
  <c r="F80" i="119"/>
  <c r="F81" i="119"/>
  <c r="E12" i="119"/>
  <c r="E14" i="119"/>
  <c r="E15" i="119"/>
  <c r="E16" i="119"/>
  <c r="E17" i="119"/>
  <c r="E18" i="119"/>
  <c r="E19" i="119"/>
  <c r="E20" i="119"/>
  <c r="E21" i="119"/>
  <c r="E22" i="119"/>
  <c r="E23" i="119"/>
  <c r="E24" i="119"/>
  <c r="E25" i="119"/>
  <c r="E26" i="119"/>
  <c r="E27" i="119"/>
  <c r="E28" i="119"/>
  <c r="E29" i="119"/>
  <c r="E30" i="119"/>
  <c r="E31" i="119"/>
  <c r="E32" i="119"/>
  <c r="E33" i="119"/>
  <c r="E34" i="119"/>
  <c r="E35" i="119"/>
  <c r="E38" i="119"/>
  <c r="E39" i="119"/>
  <c r="E40" i="119"/>
  <c r="E43" i="119"/>
  <c r="E44" i="119"/>
  <c r="E45" i="119"/>
  <c r="E49" i="119"/>
  <c r="E50" i="119"/>
  <c r="E51" i="119"/>
  <c r="E52" i="119"/>
  <c r="E53" i="119"/>
  <c r="E57" i="119"/>
  <c r="E58" i="119"/>
  <c r="E59" i="119"/>
  <c r="E60" i="119"/>
  <c r="E63" i="119"/>
  <c r="E64" i="119"/>
  <c r="E65" i="119"/>
  <c r="E66" i="119"/>
  <c r="E67" i="119"/>
  <c r="E68" i="119"/>
  <c r="E69" i="119"/>
  <c r="E70" i="119"/>
  <c r="E71" i="119"/>
  <c r="E72" i="119"/>
  <c r="E73" i="119"/>
  <c r="E74" i="119"/>
  <c r="E75" i="119"/>
  <c r="E76" i="119"/>
  <c r="E77" i="119"/>
  <c r="E78" i="119"/>
  <c r="E79" i="119"/>
  <c r="E80" i="119"/>
  <c r="E81" i="119"/>
  <c r="E82" i="119"/>
  <c r="D12" i="119"/>
  <c r="D14" i="119"/>
  <c r="D15" i="119"/>
  <c r="D16" i="119"/>
  <c r="D17" i="119"/>
  <c r="D18" i="119"/>
  <c r="D19" i="119"/>
  <c r="D20" i="119"/>
  <c r="D21" i="119"/>
  <c r="D22" i="119"/>
  <c r="D23" i="119"/>
  <c r="D24" i="119"/>
  <c r="D25" i="119"/>
  <c r="D26" i="119"/>
  <c r="D27" i="119"/>
  <c r="D28" i="119"/>
  <c r="D29" i="119"/>
  <c r="D30" i="119"/>
  <c r="D31" i="119"/>
  <c r="D32" i="119"/>
  <c r="D33" i="119"/>
  <c r="D34" i="119"/>
  <c r="D35" i="119"/>
  <c r="D38" i="119"/>
  <c r="D39" i="119"/>
  <c r="D40" i="119"/>
  <c r="D43" i="119"/>
  <c r="D44" i="119"/>
  <c r="D45" i="119"/>
  <c r="D49" i="119"/>
  <c r="D50" i="119"/>
  <c r="D51" i="119"/>
  <c r="D52" i="119"/>
  <c r="D53" i="119"/>
  <c r="D57" i="119"/>
  <c r="D58" i="119"/>
  <c r="D59" i="119"/>
  <c r="D60" i="119"/>
  <c r="D63" i="119"/>
  <c r="D64" i="119"/>
  <c r="D65" i="119"/>
  <c r="D66" i="119"/>
  <c r="D67" i="119"/>
  <c r="D68" i="119"/>
  <c r="D69" i="119"/>
  <c r="D70" i="119"/>
  <c r="D71" i="119"/>
  <c r="D72" i="119"/>
  <c r="D73" i="119"/>
  <c r="D74" i="119"/>
  <c r="D75" i="119"/>
  <c r="D76" i="119"/>
  <c r="D77" i="119"/>
  <c r="D78" i="119"/>
  <c r="D79" i="119"/>
  <c r="D80" i="119"/>
  <c r="D81" i="119"/>
  <c r="D82" i="119"/>
  <c r="C12" i="119"/>
  <c r="C14" i="119"/>
  <c r="C15" i="119"/>
  <c r="C16" i="119"/>
  <c r="C17" i="119"/>
  <c r="C18" i="119"/>
  <c r="C19" i="119"/>
  <c r="C20" i="119"/>
  <c r="C21" i="119"/>
  <c r="C22" i="119"/>
  <c r="C23" i="119"/>
  <c r="C24" i="119"/>
  <c r="C25" i="119"/>
  <c r="C26" i="119"/>
  <c r="C27" i="119"/>
  <c r="C28" i="119"/>
  <c r="C29" i="119"/>
  <c r="C30" i="119"/>
  <c r="C31" i="119"/>
  <c r="C32" i="119"/>
  <c r="C33" i="119"/>
  <c r="C34" i="119"/>
  <c r="C35" i="119"/>
  <c r="C38" i="119"/>
  <c r="C39" i="119"/>
  <c r="C40" i="119"/>
  <c r="C43" i="119"/>
  <c r="C44" i="119"/>
  <c r="C45" i="119"/>
  <c r="C49" i="119"/>
  <c r="C50" i="119"/>
  <c r="C51" i="119"/>
  <c r="C52" i="119"/>
  <c r="C53" i="119"/>
  <c r="C57" i="119"/>
  <c r="C58" i="119"/>
  <c r="C59" i="119"/>
  <c r="C60" i="119"/>
  <c r="C63" i="119"/>
  <c r="C64" i="119"/>
  <c r="C65" i="119"/>
  <c r="C66" i="119"/>
  <c r="C67" i="119"/>
  <c r="C68" i="119"/>
  <c r="C69" i="119"/>
  <c r="C70" i="119"/>
  <c r="C71" i="119"/>
  <c r="C72" i="119"/>
  <c r="C73" i="119"/>
  <c r="C74" i="119"/>
  <c r="C75" i="119"/>
  <c r="C76" i="119"/>
  <c r="C77" i="119"/>
  <c r="C78" i="119"/>
  <c r="C79" i="119"/>
  <c r="C80" i="119"/>
  <c r="C81" i="119"/>
  <c r="C82" i="119"/>
  <c r="AJ9" i="118" a="1"/>
  <c r="AJ9" i="118" s="1"/>
  <c r="AJ11" i="118" a="1"/>
  <c r="AJ11" i="118" s="1"/>
  <c r="AJ18" i="118" a="1"/>
  <c r="AJ18" i="118" s="1"/>
  <c r="AJ22" i="118" a="1"/>
  <c r="AJ22" i="118" s="1"/>
  <c r="AJ26" i="118" a="1"/>
  <c r="AJ26" i="118" s="1"/>
  <c r="AJ38" i="118" a="1"/>
  <c r="AJ38" i="118" s="1"/>
  <c r="AJ60" i="118" a="1"/>
  <c r="AJ60" i="118" s="1"/>
  <c r="AH9" i="118" a="1"/>
  <c r="AH9" i="118" s="1"/>
  <c r="AH11" i="118" a="1"/>
  <c r="AH11" i="118" s="1"/>
  <c r="AH18" i="118" a="1"/>
  <c r="AH18" i="118" s="1"/>
  <c r="AH22" i="118" a="1"/>
  <c r="AH22" i="118" s="1"/>
  <c r="AH26" i="118" a="1"/>
  <c r="AH26" i="118" s="1"/>
  <c r="AH38" i="118" a="1"/>
  <c r="AH38" i="118" s="1"/>
  <c r="AH60" i="118" a="1"/>
  <c r="AH60" i="118" s="1"/>
  <c r="AF9" i="118"/>
  <c r="AF11" i="118"/>
  <c r="AF18" i="118"/>
  <c r="AF22" i="118"/>
  <c r="AF26" i="118"/>
  <c r="AF38" i="118"/>
  <c r="AF60" i="118"/>
  <c r="AE9" i="118"/>
  <c r="AE11" i="118"/>
  <c r="AE18" i="118"/>
  <c r="AE22" i="118"/>
  <c r="AE26" i="118"/>
  <c r="AE38" i="118"/>
  <c r="AE60" i="118"/>
  <c r="AD9" i="118"/>
  <c r="AD11" i="118"/>
  <c r="AD18" i="118"/>
  <c r="AD22" i="118"/>
  <c r="AD26" i="118"/>
  <c r="AD38" i="118"/>
  <c r="AD60" i="118"/>
  <c r="AC9" i="118"/>
  <c r="AC11" i="118"/>
  <c r="AC18" i="118"/>
  <c r="AC22" i="118"/>
  <c r="AC26" i="118"/>
  <c r="AC38" i="118"/>
  <c r="AC60" i="118"/>
  <c r="AB9" i="118"/>
  <c r="AB11" i="118"/>
  <c r="AB18" i="118"/>
  <c r="AB22" i="118"/>
  <c r="AB26" i="118"/>
  <c r="AB38" i="118"/>
  <c r="AB60" i="118"/>
  <c r="AA9" i="118"/>
  <c r="AA11" i="118"/>
  <c r="AA18" i="118"/>
  <c r="AA22" i="118"/>
  <c r="AA26" i="118"/>
  <c r="AA38" i="118"/>
  <c r="AA60" i="118"/>
  <c r="Z9" i="118" a="1"/>
  <c r="Z9" i="118" s="1"/>
  <c r="Z11" i="118" a="1"/>
  <c r="Z11" i="118" s="1"/>
  <c r="Z18" i="118" a="1"/>
  <c r="Z18" i="118" s="1"/>
  <c r="Z22" i="118" a="1"/>
  <c r="Z22" i="118" s="1"/>
  <c r="Z26" i="118" a="1"/>
  <c r="Z26" i="118" s="1"/>
  <c r="Z38" i="118" a="1"/>
  <c r="Z38" i="118" s="1"/>
  <c r="Z60" i="118" a="1"/>
  <c r="Z60" i="118" s="1"/>
  <c r="Y9" i="118"/>
  <c r="Y11" i="118"/>
  <c r="Y18" i="118"/>
  <c r="Y22" i="118"/>
  <c r="Y26" i="118"/>
  <c r="Y38" i="118"/>
  <c r="Y60" i="118"/>
  <c r="X9" i="118"/>
  <c r="X11" i="118"/>
  <c r="X18" i="118"/>
  <c r="X22" i="118"/>
  <c r="X26" i="118"/>
  <c r="X38" i="118"/>
  <c r="X60" i="118"/>
  <c r="W9" i="118"/>
  <c r="W11" i="118"/>
  <c r="W18" i="118"/>
  <c r="W22" i="118"/>
  <c r="W26" i="118"/>
  <c r="W38" i="118"/>
  <c r="W60" i="118"/>
  <c r="V9" i="118"/>
  <c r="V11" i="118"/>
  <c r="V18" i="118"/>
  <c r="V22" i="118"/>
  <c r="V26" i="118"/>
  <c r="V38" i="118"/>
  <c r="V60" i="118"/>
  <c r="U9" i="118"/>
  <c r="U11" i="118"/>
  <c r="U18" i="118"/>
  <c r="U22" i="118"/>
  <c r="U26" i="118"/>
  <c r="U38" i="118"/>
  <c r="U60" i="118"/>
  <c r="T9" i="118"/>
  <c r="T11" i="118"/>
  <c r="T18" i="118"/>
  <c r="T22" i="118"/>
  <c r="T26" i="118"/>
  <c r="T38" i="118"/>
  <c r="T60" i="118"/>
  <c r="S9" i="118"/>
  <c r="S11" i="118"/>
  <c r="S18" i="118"/>
  <c r="S22" i="118"/>
  <c r="S26" i="118"/>
  <c r="S38" i="118"/>
  <c r="S60" i="118"/>
  <c r="R9" i="118"/>
  <c r="R11" i="118"/>
  <c r="R18" i="118"/>
  <c r="R22" i="118"/>
  <c r="R26" i="118"/>
  <c r="R38" i="118"/>
  <c r="R60" i="118"/>
  <c r="Q9" i="118"/>
  <c r="Q11" i="118"/>
  <c r="Q18" i="118"/>
  <c r="Q22" i="118"/>
  <c r="Q26" i="118"/>
  <c r="Q38" i="118"/>
  <c r="Q60" i="118"/>
  <c r="P9" i="118"/>
  <c r="P11" i="118"/>
  <c r="P18" i="118"/>
  <c r="P22" i="118"/>
  <c r="P26" i="118"/>
  <c r="P38" i="118"/>
  <c r="P60" i="118"/>
  <c r="O9" i="118"/>
  <c r="O11" i="118"/>
  <c r="O18" i="118"/>
  <c r="O22" i="118"/>
  <c r="O26" i="118"/>
  <c r="O38" i="118"/>
  <c r="O60" i="118"/>
  <c r="N9" i="118"/>
  <c r="N11" i="118"/>
  <c r="N18" i="118"/>
  <c r="N22" i="118"/>
  <c r="N26" i="118"/>
  <c r="N38" i="118"/>
  <c r="N60" i="118"/>
  <c r="M9" i="118"/>
  <c r="M11" i="118"/>
  <c r="M18" i="118"/>
  <c r="M22" i="118"/>
  <c r="M26" i="118"/>
  <c r="M38" i="118"/>
  <c r="M60" i="118"/>
  <c r="L9" i="118"/>
  <c r="L11" i="118"/>
  <c r="L18" i="118"/>
  <c r="L22" i="118"/>
  <c r="L26" i="118"/>
  <c r="L38" i="118"/>
  <c r="L60" i="118"/>
  <c r="K9" i="118"/>
  <c r="K11" i="118"/>
  <c r="K18" i="118"/>
  <c r="K22" i="118"/>
  <c r="K26" i="118"/>
  <c r="K38" i="118"/>
  <c r="K60" i="118"/>
  <c r="J9" i="118"/>
  <c r="J11" i="118"/>
  <c r="J18" i="118"/>
  <c r="J22" i="118"/>
  <c r="J26" i="118"/>
  <c r="J38" i="118"/>
  <c r="J60" i="118"/>
  <c r="I9" i="118"/>
  <c r="I11" i="118"/>
  <c r="I18" i="118"/>
  <c r="I22" i="118"/>
  <c r="I26" i="118"/>
  <c r="I38" i="118"/>
  <c r="I60" i="118"/>
  <c r="H9" i="118"/>
  <c r="H11" i="118"/>
  <c r="H18" i="118"/>
  <c r="H22" i="118"/>
  <c r="H26" i="118"/>
  <c r="H38" i="118"/>
  <c r="H60" i="118"/>
  <c r="G9" i="118"/>
  <c r="G11" i="118"/>
  <c r="G18" i="118"/>
  <c r="G22" i="118"/>
  <c r="G26" i="118"/>
  <c r="G38" i="118"/>
  <c r="G60" i="118"/>
  <c r="F9" i="118"/>
  <c r="F11" i="118"/>
  <c r="F18" i="118"/>
  <c r="F22" i="118"/>
  <c r="F26" i="118"/>
  <c r="F38" i="118"/>
  <c r="F60" i="118"/>
  <c r="E9" i="118"/>
  <c r="E11" i="118"/>
  <c r="E18" i="118"/>
  <c r="E22" i="118"/>
  <c r="E26" i="118"/>
  <c r="E38" i="118"/>
  <c r="E60" i="118"/>
  <c r="D9" i="118"/>
  <c r="D11" i="118"/>
  <c r="D18" i="118"/>
  <c r="D22" i="118"/>
  <c r="D26" i="118"/>
  <c r="D38" i="118"/>
  <c r="D60" i="118"/>
  <c r="C9" i="118"/>
  <c r="C11" i="118"/>
  <c r="C18" i="118"/>
  <c r="C22" i="118"/>
  <c r="C26" i="118"/>
  <c r="C38" i="118"/>
  <c r="C60" i="118"/>
  <c r="I11" i="168" l="1"/>
  <c r="O11" i="168"/>
  <c r="O9" i="168"/>
  <c r="I12" i="168"/>
  <c r="O10" i="168"/>
  <c r="J665" i="1"/>
  <c r="I665" i="1"/>
  <c r="H665" i="1"/>
  <c r="F665" i="1"/>
  <c r="J666" i="1"/>
  <c r="I666" i="1"/>
  <c r="H666" i="1"/>
  <c r="F666" i="1"/>
  <c r="U666" i="1" s="1"/>
  <c r="D13" i="188" s="1"/>
  <c r="O664" i="1"/>
  <c r="H210" i="8" s="1"/>
  <c r="J664" i="1"/>
  <c r="G210" i="8" s="1"/>
  <c r="I664" i="1"/>
  <c r="H664" i="1"/>
  <c r="E210" i="8" s="1"/>
  <c r="F664" i="1"/>
  <c r="J663" i="1"/>
  <c r="G209" i="8" s="1"/>
  <c r="I663" i="1"/>
  <c r="H663" i="1"/>
  <c r="E209" i="8" s="1"/>
  <c r="O663" i="1"/>
  <c r="H209" i="8" s="1"/>
  <c r="F663" i="1"/>
  <c r="O662" i="1"/>
  <c r="H208" i="8" s="1"/>
  <c r="J662" i="1"/>
  <c r="G208" i="8" s="1"/>
  <c r="I662" i="1"/>
  <c r="F208" i="8" s="1"/>
  <c r="H662" i="1"/>
  <c r="E208" i="8" s="1"/>
  <c r="F662" i="1"/>
  <c r="U662" i="1" s="1"/>
  <c r="C10" i="200" l="1"/>
  <c r="C11" i="200"/>
  <c r="F210" i="8"/>
  <c r="F209" i="8"/>
  <c r="C11" i="193" a="1"/>
  <c r="C11" i="193" s="1"/>
  <c r="D9" i="168"/>
  <c r="U664" i="1"/>
  <c r="D8" i="168"/>
  <c r="U663" i="1"/>
  <c r="D10" i="168"/>
  <c r="U665" i="1"/>
  <c r="C13" i="193" s="1" a="1"/>
  <c r="C13" i="193" s="1"/>
  <c r="Y11" i="119"/>
  <c r="P662" i="1"/>
  <c r="I208" i="8" s="1"/>
  <c r="Y55" i="119"/>
  <c r="Y54" i="119"/>
  <c r="X41" i="119"/>
  <c r="H41" i="119"/>
  <c r="AH41" i="119" a="1"/>
  <c r="AH41" i="119" s="1"/>
  <c r="AI41" i="119" a="1"/>
  <c r="AI41" i="119" s="1"/>
  <c r="D41" i="119"/>
  <c r="G41" i="119"/>
  <c r="I41" i="119"/>
  <c r="L41" i="119"/>
  <c r="S41" i="119"/>
  <c r="T41" i="119"/>
  <c r="Z41" i="119" a="1"/>
  <c r="Z41" i="119" s="1"/>
  <c r="J41" i="119"/>
  <c r="K41" i="119"/>
  <c r="O41" i="119"/>
  <c r="AJ41" i="119" a="1"/>
  <c r="AJ41" i="119" s="1"/>
  <c r="U41" i="119"/>
  <c r="W41" i="119"/>
  <c r="AA41" i="119"/>
  <c r="R41" i="119"/>
  <c r="AB41" i="119"/>
  <c r="N41" i="119"/>
  <c r="AE41" i="119"/>
  <c r="F41" i="119"/>
  <c r="AC41" i="119"/>
  <c r="M41" i="119"/>
  <c r="AD41" i="119"/>
  <c r="C41" i="119"/>
  <c r="V41" i="119"/>
  <c r="AF41" i="119"/>
  <c r="P41" i="119"/>
  <c r="Q41" i="119"/>
  <c r="E41" i="119"/>
  <c r="Y42" i="119"/>
  <c r="Y41" i="119"/>
  <c r="AD54" i="119"/>
  <c r="N54" i="119"/>
  <c r="Z54" i="119" a="1"/>
  <c r="Z54" i="119" s="1"/>
  <c r="M54" i="119"/>
  <c r="AE54" i="119"/>
  <c r="O54" i="119"/>
  <c r="T54" i="119"/>
  <c r="D54" i="119"/>
  <c r="I54" i="119"/>
  <c r="AF54" i="119"/>
  <c r="P54" i="119"/>
  <c r="Q54" i="119"/>
  <c r="U54" i="119"/>
  <c r="H54" i="119"/>
  <c r="J54" i="119"/>
  <c r="AH54" i="119" a="1"/>
  <c r="AH54" i="119" s="1"/>
  <c r="AI54" i="119" a="1"/>
  <c r="AI54" i="119" s="1"/>
  <c r="R54" i="119"/>
  <c r="E54" i="119"/>
  <c r="AJ54" i="119" a="1"/>
  <c r="AJ54" i="119" s="1"/>
  <c r="S54" i="119"/>
  <c r="C54" i="119"/>
  <c r="W54" i="119"/>
  <c r="X54" i="119"/>
  <c r="AA54" i="119"/>
  <c r="K54" i="119"/>
  <c r="AB54" i="119"/>
  <c r="AC54" i="119"/>
  <c r="V54" i="119"/>
  <c r="F54" i="119"/>
  <c r="G54" i="119"/>
  <c r="L54" i="119"/>
  <c r="Y62" i="119"/>
  <c r="Y61" i="119"/>
  <c r="T46" i="119"/>
  <c r="D46" i="119"/>
  <c r="AA46" i="119"/>
  <c r="K46" i="119"/>
  <c r="M46" i="119"/>
  <c r="AF46" i="119"/>
  <c r="U46" i="119"/>
  <c r="E46" i="119"/>
  <c r="J46" i="119"/>
  <c r="Q46" i="119"/>
  <c r="V46" i="119"/>
  <c r="F46" i="119"/>
  <c r="H46" i="119"/>
  <c r="N46" i="119"/>
  <c r="AE46" i="119"/>
  <c r="R46" i="119"/>
  <c r="W46" i="119"/>
  <c r="G46" i="119"/>
  <c r="Z46" i="119" a="1"/>
  <c r="Z46" i="119" s="1"/>
  <c r="AD46" i="119"/>
  <c r="X46" i="119"/>
  <c r="O46" i="119"/>
  <c r="I46" i="119"/>
  <c r="AC46" i="119"/>
  <c r="P46" i="119"/>
  <c r="AH46" i="119" a="1"/>
  <c r="AH46" i="119" s="1"/>
  <c r="S46" i="119"/>
  <c r="C46" i="119"/>
  <c r="AB46" i="119"/>
  <c r="L46" i="119"/>
  <c r="AI46" i="119" a="1"/>
  <c r="AI46" i="119" s="1"/>
  <c r="AJ46" i="119" a="1"/>
  <c r="AJ46" i="119" s="1"/>
  <c r="Y47" i="119"/>
  <c r="Y46" i="119"/>
  <c r="Y37" i="119"/>
  <c r="Y36" i="119"/>
  <c r="I61" i="119"/>
  <c r="M61" i="119"/>
  <c r="S61" i="119"/>
  <c r="V61" i="119"/>
  <c r="Z61" i="119" a="1"/>
  <c r="Z61" i="119" s="1"/>
  <c r="J61" i="119"/>
  <c r="AF61" i="119"/>
  <c r="F61" i="119"/>
  <c r="X61" i="119"/>
  <c r="AA61" i="119"/>
  <c r="K61" i="119"/>
  <c r="L61" i="119"/>
  <c r="R61" i="119"/>
  <c r="AJ61" i="119" a="1"/>
  <c r="AJ61" i="119" s="1"/>
  <c r="W61" i="119"/>
  <c r="AB61" i="119"/>
  <c r="P61" i="119"/>
  <c r="AC61" i="119"/>
  <c r="AI61" i="119" a="1"/>
  <c r="AI61" i="119" s="1"/>
  <c r="D61" i="119"/>
  <c r="U61" i="119"/>
  <c r="H61" i="119"/>
  <c r="AD61" i="119"/>
  <c r="N61" i="119"/>
  <c r="AE61" i="119"/>
  <c r="O61" i="119"/>
  <c r="C61" i="119"/>
  <c r="AH61" i="119" a="1"/>
  <c r="AH61" i="119" s="1"/>
  <c r="Q61" i="119"/>
  <c r="T61" i="119"/>
  <c r="E61" i="119"/>
  <c r="G61" i="119"/>
  <c r="AB36" i="119"/>
  <c r="L36" i="119"/>
  <c r="O36" i="119"/>
  <c r="R36" i="119"/>
  <c r="C36" i="119"/>
  <c r="F36" i="119"/>
  <c r="I36" i="119"/>
  <c r="AC36" i="119"/>
  <c r="M36" i="119"/>
  <c r="H36" i="119"/>
  <c r="J36" i="119"/>
  <c r="K36" i="119"/>
  <c r="AD36" i="119"/>
  <c r="N36" i="119"/>
  <c r="U36" i="119"/>
  <c r="V36" i="119"/>
  <c r="W36" i="119"/>
  <c r="AE36" i="119"/>
  <c r="P36" i="119"/>
  <c r="AA36" i="119"/>
  <c r="AF36" i="119"/>
  <c r="S36" i="119"/>
  <c r="D36" i="119"/>
  <c r="AH36" i="119" a="1"/>
  <c r="AH36" i="119" s="1"/>
  <c r="Q36" i="119"/>
  <c r="AI36" i="119" a="1"/>
  <c r="AI36" i="119" s="1"/>
  <c r="AJ36" i="119" a="1"/>
  <c r="AJ36" i="119" s="1"/>
  <c r="E36" i="119"/>
  <c r="G36" i="119"/>
  <c r="X36" i="119"/>
  <c r="Z36" i="119" a="1"/>
  <c r="Z36" i="119" s="1"/>
  <c r="T36" i="119"/>
  <c r="Y13" i="119"/>
  <c r="AH13" i="119" a="1"/>
  <c r="AH13" i="119" s="1"/>
  <c r="AI13" i="119" a="1"/>
  <c r="AI13" i="119" s="1"/>
  <c r="AB13" i="119"/>
  <c r="AA13" i="119"/>
  <c r="T13" i="119"/>
  <c r="AC13" i="119"/>
  <c r="P13" i="119"/>
  <c r="O13" i="119"/>
  <c r="AJ13" i="119" a="1"/>
  <c r="AJ13" i="119" s="1"/>
  <c r="Z13" i="119" a="1"/>
  <c r="Z13" i="119" s="1"/>
  <c r="J13" i="119"/>
  <c r="I13" i="119"/>
  <c r="X13" i="119"/>
  <c r="H13" i="119"/>
  <c r="E13" i="119"/>
  <c r="AD13" i="119"/>
  <c r="L13" i="119"/>
  <c r="V13" i="119"/>
  <c r="M13" i="119"/>
  <c r="K13" i="119"/>
  <c r="D13" i="119"/>
  <c r="Q13" i="119"/>
  <c r="W13" i="119"/>
  <c r="U13" i="119"/>
  <c r="R13" i="119"/>
  <c r="F13" i="119"/>
  <c r="G13" i="119"/>
  <c r="AF13" i="119"/>
  <c r="C13" i="119"/>
  <c r="N13" i="119"/>
  <c r="AF48" i="119"/>
  <c r="AC48" i="119"/>
  <c r="W48" i="119"/>
  <c r="T48" i="119"/>
  <c r="Q48" i="119"/>
  <c r="N48" i="119"/>
  <c r="K48" i="119"/>
  <c r="H48" i="119"/>
  <c r="E48" i="119"/>
  <c r="P48" i="119"/>
  <c r="O48" i="119"/>
  <c r="AD48" i="119"/>
  <c r="AI48" i="119" a="1"/>
  <c r="AI48" i="119" s="1"/>
  <c r="AE48" i="119"/>
  <c r="J48" i="119"/>
  <c r="AJ48" i="119" a="1"/>
  <c r="AJ48" i="119" s="1"/>
  <c r="AA48" i="119"/>
  <c r="Z48" i="119" a="1"/>
  <c r="Z48" i="119" s="1"/>
  <c r="X48" i="119"/>
  <c r="U48" i="119"/>
  <c r="R48" i="119"/>
  <c r="M48" i="119"/>
  <c r="F48" i="119"/>
  <c r="AB48" i="119"/>
  <c r="V48" i="119"/>
  <c r="S48" i="119"/>
  <c r="L48" i="119"/>
  <c r="C48" i="119"/>
  <c r="I48" i="119"/>
  <c r="G48" i="119"/>
  <c r="D48" i="119"/>
  <c r="AE56" i="119"/>
  <c r="AB56" i="119"/>
  <c r="V56" i="119"/>
  <c r="S56" i="119"/>
  <c r="P56" i="119"/>
  <c r="M56" i="119"/>
  <c r="J56" i="119"/>
  <c r="G56" i="119"/>
  <c r="D56" i="119"/>
  <c r="I56" i="119"/>
  <c r="H56" i="119"/>
  <c r="AH56" i="119" a="1"/>
  <c r="AH56" i="119" s="1"/>
  <c r="AD56" i="119"/>
  <c r="AC56" i="119"/>
  <c r="AI56" i="119" a="1"/>
  <c r="AI56" i="119" s="1"/>
  <c r="AA56" i="119"/>
  <c r="T56" i="119"/>
  <c r="R56" i="119"/>
  <c r="O56" i="119"/>
  <c r="C56" i="119"/>
  <c r="Z56" i="119" a="1"/>
  <c r="Z56" i="119" s="1"/>
  <c r="AJ56" i="119" a="1"/>
  <c r="AJ56" i="119" s="1"/>
  <c r="AF56" i="119"/>
  <c r="N56" i="119"/>
  <c r="Q56" i="119"/>
  <c r="K56" i="119"/>
  <c r="W56" i="119"/>
  <c r="X56" i="119"/>
  <c r="U56" i="119"/>
  <c r="F56" i="119"/>
  <c r="E56" i="119"/>
  <c r="L56" i="119"/>
  <c r="Y56" i="119"/>
  <c r="AH48" i="119" a="1"/>
  <c r="AH48" i="119" s="1"/>
  <c r="Y48" i="119"/>
  <c r="AF47" i="119"/>
  <c r="AC47" i="119"/>
  <c r="W47" i="119"/>
  <c r="T47" i="119"/>
  <c r="Q47" i="119"/>
  <c r="N47" i="119"/>
  <c r="K47" i="119"/>
  <c r="H47" i="119"/>
  <c r="E47" i="119"/>
  <c r="Z47" i="119" a="1"/>
  <c r="Z47" i="119" s="1"/>
  <c r="AJ47" i="119" a="1"/>
  <c r="AJ47" i="119" s="1"/>
  <c r="M47" i="119"/>
  <c r="L47" i="119"/>
  <c r="X47" i="119"/>
  <c r="AI47" i="119" a="1"/>
  <c r="AI47" i="119" s="1"/>
  <c r="AE47" i="119"/>
  <c r="P47" i="119"/>
  <c r="J47" i="119"/>
  <c r="U47" i="119"/>
  <c r="S47" i="119"/>
  <c r="R47" i="119"/>
  <c r="I47" i="119"/>
  <c r="G47" i="119"/>
  <c r="F47" i="119"/>
  <c r="D47" i="119"/>
  <c r="C47" i="119"/>
  <c r="AH47" i="119" a="1"/>
  <c r="AH47" i="119" s="1"/>
  <c r="AD47" i="119"/>
  <c r="AB47" i="119"/>
  <c r="V47" i="119"/>
  <c r="AA47" i="119"/>
  <c r="O47" i="119"/>
  <c r="AH37" i="119" a="1"/>
  <c r="AH37" i="119" s="1"/>
  <c r="AJ37" i="119" a="1"/>
  <c r="AJ37" i="119" s="1"/>
  <c r="AB37" i="119"/>
  <c r="AA37" i="119"/>
  <c r="T37" i="119"/>
  <c r="AI37" i="119" a="1"/>
  <c r="AI37" i="119" s="1"/>
  <c r="AC37" i="119"/>
  <c r="P37" i="119"/>
  <c r="O37" i="119"/>
  <c r="J37" i="119"/>
  <c r="I37" i="119"/>
  <c r="X37" i="119"/>
  <c r="H37" i="119"/>
  <c r="E37" i="119"/>
  <c r="AD37" i="119"/>
  <c r="L37" i="119"/>
  <c r="V37" i="119"/>
  <c r="M37" i="119"/>
  <c r="Z37" i="119" a="1"/>
  <c r="Z37" i="119" s="1"/>
  <c r="K37" i="119"/>
  <c r="D37" i="119"/>
  <c r="Q37" i="119"/>
  <c r="W37" i="119"/>
  <c r="U37" i="119"/>
  <c r="R37" i="119"/>
  <c r="F37" i="119"/>
  <c r="AE37" i="119"/>
  <c r="S37" i="119"/>
  <c r="G37" i="119"/>
  <c r="AF37" i="119"/>
  <c r="C37" i="119"/>
  <c r="N37" i="119"/>
  <c r="AE55" i="119"/>
  <c r="AB55" i="119"/>
  <c r="V55" i="119"/>
  <c r="S55" i="119"/>
  <c r="P55" i="119"/>
  <c r="M55" i="119"/>
  <c r="J55" i="119"/>
  <c r="G55" i="119"/>
  <c r="D55" i="119"/>
  <c r="X55" i="119"/>
  <c r="W55" i="119"/>
  <c r="F55" i="119"/>
  <c r="E55" i="119"/>
  <c r="AI55" i="119" a="1"/>
  <c r="AI55" i="119" s="1"/>
  <c r="R55" i="119"/>
  <c r="Q55" i="119"/>
  <c r="U55" i="119"/>
  <c r="AH55" i="119" a="1"/>
  <c r="AH55" i="119" s="1"/>
  <c r="AF55" i="119"/>
  <c r="AC55" i="119"/>
  <c r="T55" i="119"/>
  <c r="N55" i="119"/>
  <c r="H55" i="119"/>
  <c r="C55" i="119"/>
  <c r="AJ55" i="119" a="1"/>
  <c r="AJ55" i="119" s="1"/>
  <c r="K55" i="119"/>
  <c r="L55" i="119"/>
  <c r="AD55" i="119"/>
  <c r="O55" i="119"/>
  <c r="Z55" i="119" a="1"/>
  <c r="Z55" i="119" s="1"/>
  <c r="AA55" i="119"/>
  <c r="I55" i="119"/>
  <c r="AF11" i="119"/>
  <c r="AC11" i="119"/>
  <c r="W11" i="119"/>
  <c r="T11" i="119"/>
  <c r="Q11" i="119"/>
  <c r="N11" i="119"/>
  <c r="K11" i="119"/>
  <c r="H11" i="119"/>
  <c r="E11" i="119"/>
  <c r="Z11" i="119" a="1"/>
  <c r="Z11" i="119" s="1"/>
  <c r="M11" i="119"/>
  <c r="L11" i="119"/>
  <c r="AH11" i="119" a="1"/>
  <c r="AH11" i="119" s="1"/>
  <c r="X11" i="119"/>
  <c r="AJ11" i="119" a="1"/>
  <c r="AJ11" i="119" s="1"/>
  <c r="AE11" i="119"/>
  <c r="U11" i="119"/>
  <c r="S11" i="119"/>
  <c r="R11" i="119"/>
  <c r="AI11" i="119" a="1"/>
  <c r="AI11" i="119" s="1"/>
  <c r="G11" i="119"/>
  <c r="F11" i="119"/>
  <c r="D11" i="119"/>
  <c r="C11" i="119"/>
  <c r="O11" i="119"/>
  <c r="I11" i="119"/>
  <c r="AA11" i="119"/>
  <c r="AD11" i="119"/>
  <c r="AB11" i="119"/>
  <c r="J11" i="119"/>
  <c r="V11" i="119"/>
  <c r="P11" i="119"/>
  <c r="AE62" i="119"/>
  <c r="AB62" i="119"/>
  <c r="V62" i="119"/>
  <c r="S62" i="119"/>
  <c r="P62" i="119"/>
  <c r="M62" i="119"/>
  <c r="J62" i="119"/>
  <c r="G62" i="119"/>
  <c r="D62" i="119"/>
  <c r="AJ62" i="119" a="1"/>
  <c r="AJ62" i="119" s="1"/>
  <c r="R62" i="119"/>
  <c r="Q62" i="119"/>
  <c r="AA62" i="119"/>
  <c r="AI62" i="119" a="1"/>
  <c r="AI62" i="119" s="1"/>
  <c r="AF62" i="119"/>
  <c r="AD62" i="119"/>
  <c r="Z62" i="119" a="1"/>
  <c r="Z62" i="119" s="1"/>
  <c r="L62" i="119"/>
  <c r="W62" i="119"/>
  <c r="U62" i="119"/>
  <c r="O62" i="119"/>
  <c r="I62" i="119"/>
  <c r="E62" i="119"/>
  <c r="X62" i="119"/>
  <c r="F62" i="119"/>
  <c r="AC62" i="119"/>
  <c r="T62" i="119"/>
  <c r="H62" i="119"/>
  <c r="C62" i="119"/>
  <c r="N62" i="119"/>
  <c r="AH62" i="119" a="1"/>
  <c r="AH62" i="119" s="1"/>
  <c r="K62" i="119"/>
  <c r="AH42" i="119" a="1"/>
  <c r="AH42" i="119" s="1"/>
  <c r="AF42" i="119"/>
  <c r="AC42" i="119"/>
  <c r="W42" i="119"/>
  <c r="T42" i="119"/>
  <c r="Q42" i="119"/>
  <c r="N42" i="119"/>
  <c r="K42" i="119"/>
  <c r="H42" i="119"/>
  <c r="E42" i="119"/>
  <c r="X42" i="119"/>
  <c r="AB42" i="119"/>
  <c r="AA42" i="119"/>
  <c r="U42" i="119"/>
  <c r="S42" i="119"/>
  <c r="R42" i="119"/>
  <c r="AJ42" i="119" a="1"/>
  <c r="AJ42" i="119" s="1"/>
  <c r="Z42" i="119" a="1"/>
  <c r="Z42" i="119" s="1"/>
  <c r="V42" i="119"/>
  <c r="M42" i="119"/>
  <c r="AI42" i="119" a="1"/>
  <c r="AI42" i="119" s="1"/>
  <c r="J42" i="119"/>
  <c r="AE42" i="119"/>
  <c r="G42" i="119"/>
  <c r="C42" i="119"/>
  <c r="L42" i="119"/>
  <c r="D42" i="119"/>
  <c r="AD42" i="119"/>
  <c r="O42" i="119"/>
  <c r="F42" i="119"/>
  <c r="P42" i="119"/>
  <c r="I42" i="119"/>
  <c r="J661" i="1"/>
  <c r="Y10" i="119" s="1"/>
  <c r="I661" i="1"/>
  <c r="C10" i="193" s="1" a="1"/>
  <c r="C10" i="193" s="1"/>
  <c r="H661" i="1"/>
  <c r="F661" i="1"/>
  <c r="U661" i="1" s="1"/>
  <c r="J660" i="1"/>
  <c r="Y9" i="119" s="1"/>
  <c r="I660" i="1"/>
  <c r="H660" i="1"/>
  <c r="F660" i="1"/>
  <c r="U660" i="1" s="1"/>
  <c r="J659" i="1"/>
  <c r="I659" i="1"/>
  <c r="H659" i="1"/>
  <c r="F659" i="1"/>
  <c r="U659" i="1" s="1"/>
  <c r="O658" i="1"/>
  <c r="H207" i="8" s="1"/>
  <c r="J658" i="1"/>
  <c r="G207" i="8" s="1"/>
  <c r="I658" i="1"/>
  <c r="H658" i="1"/>
  <c r="F658" i="1"/>
  <c r="O657" i="1"/>
  <c r="H206" i="8" s="1"/>
  <c r="F657" i="1"/>
  <c r="C9" i="193" l="1" a="1"/>
  <c r="C9" i="193" s="1"/>
  <c r="C7" i="200"/>
  <c r="D7" i="200"/>
  <c r="E7" i="200"/>
  <c r="F7" i="200"/>
  <c r="C8" i="200"/>
  <c r="D8" i="200"/>
  <c r="E8" i="200"/>
  <c r="F8" i="200"/>
  <c r="G7" i="200"/>
  <c r="G8" i="200"/>
  <c r="S13" i="119"/>
  <c r="F10" i="200"/>
  <c r="F13" i="200"/>
  <c r="E10" i="200"/>
  <c r="E13" i="200"/>
  <c r="D10" i="200"/>
  <c r="D13" i="200"/>
  <c r="C13" i="200"/>
  <c r="F9" i="200"/>
  <c r="D11" i="200"/>
  <c r="F12" i="200"/>
  <c r="E9" i="200"/>
  <c r="E12" i="200"/>
  <c r="D9" i="200"/>
  <c r="D12" i="200"/>
  <c r="C9" i="200"/>
  <c r="C12" i="200"/>
  <c r="F11" i="200"/>
  <c r="G10" i="200"/>
  <c r="G12" i="200"/>
  <c r="G11" i="200"/>
  <c r="G13" i="200"/>
  <c r="G9" i="200"/>
  <c r="U658" i="1"/>
  <c r="C8" i="193" s="1" a="1"/>
  <c r="C8" i="193" s="1"/>
  <c r="F207" i="8"/>
  <c r="C19" i="193" a="1"/>
  <c r="C19" i="193" s="1"/>
  <c r="G8" i="187" a="1"/>
  <c r="G8" i="187" s="1"/>
  <c r="K8" i="187" a="1"/>
  <c r="K8" i="187" s="1"/>
  <c r="E8" i="187" a="1"/>
  <c r="E8" i="187" s="1"/>
  <c r="I25" i="195"/>
  <c r="F25" i="195"/>
  <c r="C25" i="195"/>
  <c r="H25" i="195"/>
  <c r="E25" i="195"/>
  <c r="D25" i="195"/>
  <c r="G25" i="195"/>
  <c r="E207" i="8"/>
  <c r="H23" i="195"/>
  <c r="E26" i="195"/>
  <c r="C24" i="195"/>
  <c r="C26" i="195"/>
  <c r="I26" i="195"/>
  <c r="E24" i="195"/>
  <c r="G24" i="195"/>
  <c r="C22" i="195"/>
  <c r="E22" i="195"/>
  <c r="I24" i="195"/>
  <c r="G22" i="195"/>
  <c r="F26" i="195"/>
  <c r="F23" i="195"/>
  <c r="D23" i="195"/>
  <c r="D24" i="195"/>
  <c r="I22" i="195"/>
  <c r="G23" i="195"/>
  <c r="H26" i="195"/>
  <c r="F24" i="195"/>
  <c r="H24" i="195"/>
  <c r="D22" i="195"/>
  <c r="F22" i="195"/>
  <c r="E23" i="195"/>
  <c r="H22" i="195"/>
  <c r="D26" i="195"/>
  <c r="C23" i="195"/>
  <c r="G26" i="195"/>
  <c r="I23" i="195"/>
  <c r="C9" i="185"/>
  <c r="D9" i="188"/>
  <c r="C9" i="186"/>
  <c r="D7" i="189"/>
  <c r="D10" i="189" s="1"/>
  <c r="C11" i="188"/>
  <c r="C11" i="186"/>
  <c r="C11" i="185"/>
  <c r="C13" i="186"/>
  <c r="C13" i="188"/>
  <c r="C13" i="185"/>
  <c r="C10" i="186"/>
  <c r="D10" i="188"/>
  <c r="C10" i="185"/>
  <c r="P664" i="1"/>
  <c r="I210" i="8" s="1"/>
  <c r="P663" i="1"/>
  <c r="I209" i="8" s="1"/>
  <c r="G10" i="168"/>
  <c r="H10" i="168"/>
  <c r="H8" i="168"/>
  <c r="G8" i="168"/>
  <c r="D7" i="168"/>
  <c r="U657" i="1"/>
  <c r="H9" i="168"/>
  <c r="G9" i="168"/>
  <c r="D81" i="156" a="1"/>
  <c r="D81" i="156" s="1"/>
  <c r="E81" i="156" a="1"/>
  <c r="E81" i="156" s="1"/>
  <c r="F81" i="156" a="1"/>
  <c r="F81" i="156" s="1"/>
  <c r="C81" i="156" a="1"/>
  <c r="C81" i="156" s="1"/>
  <c r="F80" i="156" a="1"/>
  <c r="F80" i="156" s="1"/>
  <c r="E83" i="156" a="1"/>
  <c r="E83" i="156" s="1"/>
  <c r="F83" i="156" a="1"/>
  <c r="F83" i="156" s="1"/>
  <c r="F78" i="156" a="1"/>
  <c r="F78" i="156" s="1"/>
  <c r="D78" i="156" a="1"/>
  <c r="D78" i="156" s="1"/>
  <c r="C78" i="156" a="1"/>
  <c r="C78" i="156" s="1"/>
  <c r="E78" i="156" a="1"/>
  <c r="E78" i="156" s="1"/>
  <c r="F87" i="156" a="1"/>
  <c r="F87" i="156" s="1"/>
  <c r="D87" i="156" a="1"/>
  <c r="D87" i="156" s="1"/>
  <c r="C87" i="156" a="1"/>
  <c r="C87" i="156" s="1"/>
  <c r="E87" i="156" a="1"/>
  <c r="E87" i="156" s="1"/>
  <c r="D91" i="156" a="1"/>
  <c r="D91" i="156" s="1"/>
  <c r="E91" i="156" a="1"/>
  <c r="E91" i="156" s="1"/>
  <c r="C91" i="156" a="1"/>
  <c r="C91" i="156" s="1"/>
  <c r="F91" i="156" a="1"/>
  <c r="F91" i="156" s="1"/>
  <c r="F90" i="156" a="1"/>
  <c r="F90" i="156" s="1"/>
  <c r="C88" i="156" a="1"/>
  <c r="C88" i="156" s="1"/>
  <c r="C82" i="156" a="1"/>
  <c r="C82" i="156" s="1"/>
  <c r="C84" i="156" a="1"/>
  <c r="C84" i="156" s="1"/>
  <c r="D84" i="156" a="1"/>
  <c r="D84" i="156" s="1"/>
  <c r="E84" i="156" a="1"/>
  <c r="E84" i="156" s="1"/>
  <c r="F84" i="156" a="1"/>
  <c r="F84" i="156" s="1"/>
  <c r="C85" i="156" a="1"/>
  <c r="C85" i="156" s="1"/>
  <c r="D88" i="156" a="1"/>
  <c r="D88" i="156" s="1"/>
  <c r="E88" i="156" a="1"/>
  <c r="E88" i="156" s="1"/>
  <c r="F88" i="156" a="1"/>
  <c r="F88" i="156" s="1"/>
  <c r="C79" i="156" a="1"/>
  <c r="C79" i="156" s="1"/>
  <c r="D82" i="156" a="1"/>
  <c r="D82" i="156" s="1"/>
  <c r="D85" i="156" a="1"/>
  <c r="D85" i="156" s="1"/>
  <c r="C89" i="156" a="1"/>
  <c r="C89" i="156" s="1"/>
  <c r="F82" i="156" a="1"/>
  <c r="F82" i="156" s="1"/>
  <c r="F85" i="156" a="1"/>
  <c r="F85" i="156" s="1"/>
  <c r="E89" i="156" a="1"/>
  <c r="E89" i="156" s="1"/>
  <c r="D79" i="156" a="1"/>
  <c r="D79" i="156" s="1"/>
  <c r="E82" i="156" a="1"/>
  <c r="E82" i="156" s="1"/>
  <c r="E85" i="156" a="1"/>
  <c r="E85" i="156" s="1"/>
  <c r="D89" i="156" a="1"/>
  <c r="D89" i="156" s="1"/>
  <c r="E79" i="156" a="1"/>
  <c r="E79" i="156" s="1"/>
  <c r="F79" i="156" a="1"/>
  <c r="F79" i="156" s="1"/>
  <c r="C86" i="156" a="1"/>
  <c r="C86" i="156" s="1"/>
  <c r="F89" i="156" a="1"/>
  <c r="F89" i="156" s="1"/>
  <c r="D90" i="156" a="1"/>
  <c r="D90" i="156" s="1"/>
  <c r="C80" i="156" a="1"/>
  <c r="C80" i="156" s="1"/>
  <c r="C83" i="156" a="1"/>
  <c r="C83" i="156" s="1"/>
  <c r="D86" i="156" a="1"/>
  <c r="D86" i="156" s="1"/>
  <c r="C90" i="156" a="1"/>
  <c r="C90" i="156" s="1"/>
  <c r="D80" i="156" a="1"/>
  <c r="D80" i="156" s="1"/>
  <c r="E86" i="156" a="1"/>
  <c r="E86" i="156" s="1"/>
  <c r="E80" i="156" a="1"/>
  <c r="E80" i="156" s="1"/>
  <c r="D83" i="156" a="1"/>
  <c r="D83" i="156" s="1"/>
  <c r="F86" i="156" a="1"/>
  <c r="F86" i="156" s="1"/>
  <c r="E90" i="156" a="1"/>
  <c r="E90" i="156" s="1"/>
  <c r="Y7" i="119"/>
  <c r="AE13" i="119"/>
  <c r="F75" i="156" a="1"/>
  <c r="F75" i="156" s="1"/>
  <c r="F72" i="156" a="1"/>
  <c r="F72" i="156" s="1"/>
  <c r="F69" i="156" a="1"/>
  <c r="F69" i="156" s="1"/>
  <c r="F66" i="156" a="1"/>
  <c r="F66" i="156" s="1"/>
  <c r="F63" i="156" a="1"/>
  <c r="F63" i="156" s="1"/>
  <c r="F60" i="156" a="1"/>
  <c r="F60" i="156" s="1"/>
  <c r="F57" i="156" a="1"/>
  <c r="F57" i="156" s="1"/>
  <c r="E75" i="156" a="1"/>
  <c r="E75" i="156" s="1"/>
  <c r="D75" i="156" a="1"/>
  <c r="D75" i="156" s="1"/>
  <c r="D72" i="156" a="1"/>
  <c r="D72" i="156" s="1"/>
  <c r="D69" i="156" a="1"/>
  <c r="D69" i="156" s="1"/>
  <c r="D66" i="156" a="1"/>
  <c r="D66" i="156" s="1"/>
  <c r="D63" i="156" a="1"/>
  <c r="D63" i="156" s="1"/>
  <c r="D60" i="156" a="1"/>
  <c r="D60" i="156" s="1"/>
  <c r="D57" i="156" a="1"/>
  <c r="D57" i="156" s="1"/>
  <c r="D54" i="156" a="1"/>
  <c r="D54" i="156" s="1"/>
  <c r="E51" i="156" a="1"/>
  <c r="E51" i="156" s="1"/>
  <c r="E48" i="156" a="1"/>
  <c r="E48" i="156" s="1"/>
  <c r="E45" i="156" a="1"/>
  <c r="E45" i="156" s="1"/>
  <c r="E42" i="156" a="1"/>
  <c r="E42" i="156" s="1"/>
  <c r="E39" i="156" a="1"/>
  <c r="E39" i="156" s="1"/>
  <c r="E36" i="156" a="1"/>
  <c r="E36" i="156" s="1"/>
  <c r="F77" i="156" a="1"/>
  <c r="F77" i="156" s="1"/>
  <c r="F74" i="156" a="1"/>
  <c r="F74" i="156" s="1"/>
  <c r="F71" i="156" a="1"/>
  <c r="F71" i="156" s="1"/>
  <c r="F68" i="156" a="1"/>
  <c r="F68" i="156" s="1"/>
  <c r="F65" i="156" a="1"/>
  <c r="F65" i="156" s="1"/>
  <c r="F62" i="156" a="1"/>
  <c r="F62" i="156" s="1"/>
  <c r="F59" i="156" a="1"/>
  <c r="F59" i="156" s="1"/>
  <c r="F56" i="156" a="1"/>
  <c r="F56" i="156" s="1"/>
  <c r="F53" i="156" a="1"/>
  <c r="F53" i="156" s="1"/>
  <c r="C51" i="156" a="1"/>
  <c r="C51" i="156" s="1"/>
  <c r="C48" i="156" a="1"/>
  <c r="C48" i="156" s="1"/>
  <c r="C45" i="156" a="1"/>
  <c r="C45" i="156" s="1"/>
  <c r="C42" i="156" a="1"/>
  <c r="C42" i="156" s="1"/>
  <c r="C39" i="156" a="1"/>
  <c r="C39" i="156" s="1"/>
  <c r="C36" i="156" a="1"/>
  <c r="C36" i="156" s="1"/>
  <c r="C33" i="156" a="1"/>
  <c r="C33" i="156" s="1"/>
  <c r="D27" i="156" a="1"/>
  <c r="D27" i="156" s="1"/>
  <c r="D24" i="156" a="1"/>
  <c r="D24" i="156" s="1"/>
  <c r="D21" i="156" a="1"/>
  <c r="D21" i="156" s="1"/>
  <c r="D18" i="156" a="1"/>
  <c r="D18" i="156" s="1"/>
  <c r="D15" i="156" a="1"/>
  <c r="D15" i="156" s="1"/>
  <c r="D12" i="156" a="1"/>
  <c r="D12" i="156" s="1"/>
  <c r="D9" i="156" a="1"/>
  <c r="D9" i="156" s="1"/>
  <c r="F50" i="156" a="1"/>
  <c r="F50" i="156" s="1"/>
  <c r="C18" i="156" a="1"/>
  <c r="C18" i="156" s="1"/>
  <c r="C12" i="156" a="1"/>
  <c r="C12" i="156" s="1"/>
  <c r="E77" i="156" a="1"/>
  <c r="E77" i="156" s="1"/>
  <c r="E74" i="156" a="1"/>
  <c r="E74" i="156" s="1"/>
  <c r="E71" i="156" a="1"/>
  <c r="E71" i="156" s="1"/>
  <c r="E68" i="156" a="1"/>
  <c r="E68" i="156" s="1"/>
  <c r="E65" i="156" a="1"/>
  <c r="E65" i="156" s="1"/>
  <c r="E62" i="156" a="1"/>
  <c r="E62" i="156" s="1"/>
  <c r="E59" i="156" a="1"/>
  <c r="E59" i="156" s="1"/>
  <c r="E56" i="156" a="1"/>
  <c r="E56" i="156" s="1"/>
  <c r="E53" i="156" a="1"/>
  <c r="E53" i="156" s="1"/>
  <c r="F47" i="156" a="1"/>
  <c r="F47" i="156" s="1"/>
  <c r="F44" i="156" a="1"/>
  <c r="F44" i="156" s="1"/>
  <c r="F41" i="156" a="1"/>
  <c r="F41" i="156" s="1"/>
  <c r="F38" i="156" a="1"/>
  <c r="F38" i="156" s="1"/>
  <c r="F35" i="156" a="1"/>
  <c r="F35" i="156" s="1"/>
  <c r="F32" i="156" a="1"/>
  <c r="F32" i="156" s="1"/>
  <c r="C30" i="156" a="1"/>
  <c r="C30" i="156" s="1"/>
  <c r="C27" i="156" a="1"/>
  <c r="C27" i="156" s="1"/>
  <c r="C24" i="156" a="1"/>
  <c r="C24" i="156" s="1"/>
  <c r="C21" i="156" a="1"/>
  <c r="C21" i="156" s="1"/>
  <c r="C15" i="156" a="1"/>
  <c r="C15" i="156" s="1"/>
  <c r="C9" i="156" a="1"/>
  <c r="C9" i="156" s="1"/>
  <c r="D76" i="156" a="1"/>
  <c r="D76" i="156" s="1"/>
  <c r="C71" i="156" a="1"/>
  <c r="C71" i="156" s="1"/>
  <c r="C67" i="156" a="1"/>
  <c r="C67" i="156" s="1"/>
  <c r="C62" i="156" a="1"/>
  <c r="C62" i="156" s="1"/>
  <c r="C58" i="156" a="1"/>
  <c r="C58" i="156" s="1"/>
  <c r="D53" i="156" a="1"/>
  <c r="D53" i="156" s="1"/>
  <c r="F49" i="156" a="1"/>
  <c r="F49" i="156" s="1"/>
  <c r="C46" i="156" a="1"/>
  <c r="C46" i="156" s="1"/>
  <c r="E41" i="156" a="1"/>
  <c r="E41" i="156" s="1"/>
  <c r="F37" i="156" a="1"/>
  <c r="F37" i="156" s="1"/>
  <c r="C34" i="156" a="1"/>
  <c r="C34" i="156" s="1"/>
  <c r="E30" i="156" a="1"/>
  <c r="E30" i="156" s="1"/>
  <c r="F26" i="156" a="1"/>
  <c r="F26" i="156" s="1"/>
  <c r="D23" i="156" a="1"/>
  <c r="D23" i="156" s="1"/>
  <c r="F19" i="156" a="1"/>
  <c r="F19" i="156" s="1"/>
  <c r="D16" i="156" a="1"/>
  <c r="D16" i="156" s="1"/>
  <c r="F12" i="156" a="1"/>
  <c r="F12" i="156" s="1"/>
  <c r="F8" i="156" a="1"/>
  <c r="F8" i="156" s="1"/>
  <c r="F33" i="156" a="1"/>
  <c r="F33" i="156" s="1"/>
  <c r="D30" i="156" a="1"/>
  <c r="D30" i="156" s="1"/>
  <c r="E26" i="156" a="1"/>
  <c r="E26" i="156" s="1"/>
  <c r="C76" i="156" a="1"/>
  <c r="C76" i="156" s="1"/>
  <c r="F70" i="156" a="1"/>
  <c r="F70" i="156" s="1"/>
  <c r="E66" i="156" a="1"/>
  <c r="E66" i="156" s="1"/>
  <c r="F61" i="156" a="1"/>
  <c r="F61" i="156" s="1"/>
  <c r="E57" i="156" a="1"/>
  <c r="E57" i="156" s="1"/>
  <c r="C53" i="156" a="1"/>
  <c r="C53" i="156" s="1"/>
  <c r="E49" i="156" a="1"/>
  <c r="E49" i="156" s="1"/>
  <c r="F45" i="156" a="1"/>
  <c r="F45" i="156" s="1"/>
  <c r="D41" i="156" a="1"/>
  <c r="D41" i="156" s="1"/>
  <c r="E37" i="156" a="1"/>
  <c r="E37" i="156" s="1"/>
  <c r="C23" i="156" a="1"/>
  <c r="C23" i="156" s="1"/>
  <c r="E19" i="156" a="1"/>
  <c r="E19" i="156" s="1"/>
  <c r="C16" i="156" a="1"/>
  <c r="C16" i="156" s="1"/>
  <c r="E12" i="156" a="1"/>
  <c r="E12" i="156" s="1"/>
  <c r="E8" i="156" a="1"/>
  <c r="E8" i="156" s="1"/>
  <c r="C75" i="156" a="1"/>
  <c r="C75" i="156" s="1"/>
  <c r="E70" i="156" a="1"/>
  <c r="E70" i="156" s="1"/>
  <c r="C66" i="156" a="1"/>
  <c r="C66" i="156" s="1"/>
  <c r="E61" i="156" a="1"/>
  <c r="E61" i="156" s="1"/>
  <c r="C57" i="156" a="1"/>
  <c r="C57" i="156" s="1"/>
  <c r="F52" i="156" a="1"/>
  <c r="F52" i="156" s="1"/>
  <c r="D49" i="156" a="1"/>
  <c r="D49" i="156" s="1"/>
  <c r="D45" i="156" a="1"/>
  <c r="D45" i="156" s="1"/>
  <c r="C41" i="156" a="1"/>
  <c r="C41" i="156" s="1"/>
  <c r="D37" i="156" a="1"/>
  <c r="D37" i="156" s="1"/>
  <c r="E33" i="156" a="1"/>
  <c r="E33" i="156" s="1"/>
  <c r="F29" i="156" a="1"/>
  <c r="F29" i="156" s="1"/>
  <c r="D26" i="156" a="1"/>
  <c r="D26" i="156" s="1"/>
  <c r="F22" i="156" a="1"/>
  <c r="F22" i="156" s="1"/>
  <c r="D19" i="156" a="1"/>
  <c r="D19" i="156" s="1"/>
  <c r="F15" i="156" a="1"/>
  <c r="F15" i="156" s="1"/>
  <c r="F11" i="156" a="1"/>
  <c r="F11" i="156" s="1"/>
  <c r="D8" i="156" a="1"/>
  <c r="D8" i="156" s="1"/>
  <c r="D74" i="156" a="1"/>
  <c r="D74" i="156" s="1"/>
  <c r="D70" i="156" a="1"/>
  <c r="D70" i="156" s="1"/>
  <c r="D65" i="156" a="1"/>
  <c r="D65" i="156" s="1"/>
  <c r="D61" i="156" a="1"/>
  <c r="D61" i="156" s="1"/>
  <c r="D56" i="156" a="1"/>
  <c r="D56" i="156" s="1"/>
  <c r="E52" i="156" a="1"/>
  <c r="E52" i="156" s="1"/>
  <c r="C49" i="156" a="1"/>
  <c r="C49" i="156" s="1"/>
  <c r="E44" i="156" a="1"/>
  <c r="E44" i="156" s="1"/>
  <c r="F40" i="156" a="1"/>
  <c r="F40" i="156" s="1"/>
  <c r="C37" i="156" a="1"/>
  <c r="C37" i="156" s="1"/>
  <c r="D33" i="156" a="1"/>
  <c r="D33" i="156" s="1"/>
  <c r="E29" i="156" a="1"/>
  <c r="E29" i="156" s="1"/>
  <c r="C26" i="156" a="1"/>
  <c r="C26" i="156" s="1"/>
  <c r="E22" i="156" a="1"/>
  <c r="E22" i="156" s="1"/>
  <c r="C19" i="156" a="1"/>
  <c r="C19" i="156" s="1"/>
  <c r="E15" i="156" a="1"/>
  <c r="E15" i="156" s="1"/>
  <c r="E11" i="156" a="1"/>
  <c r="E11" i="156" s="1"/>
  <c r="C8" i="156" a="1"/>
  <c r="C8" i="156" s="1"/>
  <c r="C74" i="156" a="1"/>
  <c r="C74" i="156" s="1"/>
  <c r="C70" i="156" a="1"/>
  <c r="C70" i="156" s="1"/>
  <c r="C65" i="156" a="1"/>
  <c r="C65" i="156" s="1"/>
  <c r="C61" i="156" a="1"/>
  <c r="C61" i="156" s="1"/>
  <c r="C56" i="156" a="1"/>
  <c r="C56" i="156" s="1"/>
  <c r="D52" i="156" a="1"/>
  <c r="D52" i="156" s="1"/>
  <c r="F48" i="156" a="1"/>
  <c r="F48" i="156" s="1"/>
  <c r="D44" i="156" a="1"/>
  <c r="D44" i="156" s="1"/>
  <c r="E40" i="156" a="1"/>
  <c r="E40" i="156" s="1"/>
  <c r="F36" i="156" a="1"/>
  <c r="F36" i="156" s="1"/>
  <c r="E32" i="156" a="1"/>
  <c r="E32" i="156" s="1"/>
  <c r="D29" i="156" a="1"/>
  <c r="D29" i="156" s="1"/>
  <c r="F25" i="156" a="1"/>
  <c r="F25" i="156" s="1"/>
  <c r="D22" i="156" a="1"/>
  <c r="D22" i="156" s="1"/>
  <c r="F18" i="156" a="1"/>
  <c r="F18" i="156" s="1"/>
  <c r="F14" i="156" a="1"/>
  <c r="F14" i="156" s="1"/>
  <c r="D11" i="156" a="1"/>
  <c r="D11" i="156" s="1"/>
  <c r="F7" i="156" a="1"/>
  <c r="F7" i="156" s="1"/>
  <c r="D14" i="156" a="1"/>
  <c r="D14" i="156" s="1"/>
  <c r="F10" i="156" a="1"/>
  <c r="F10" i="156" s="1"/>
  <c r="D7" i="156" a="1"/>
  <c r="D7" i="156" s="1"/>
  <c r="C7" i="156" a="1"/>
  <c r="C7" i="156" s="1"/>
  <c r="F73" i="156" a="1"/>
  <c r="F73" i="156" s="1"/>
  <c r="E69" i="156" a="1"/>
  <c r="E69" i="156" s="1"/>
  <c r="F64" i="156" a="1"/>
  <c r="F64" i="156" s="1"/>
  <c r="E60" i="156" a="1"/>
  <c r="E60" i="156" s="1"/>
  <c r="F55" i="156" a="1"/>
  <c r="F55" i="156" s="1"/>
  <c r="D48" i="156" a="1"/>
  <c r="D48" i="156" s="1"/>
  <c r="C44" i="156" a="1"/>
  <c r="C44" i="156" s="1"/>
  <c r="D40" i="156" a="1"/>
  <c r="D40" i="156" s="1"/>
  <c r="D36" i="156" a="1"/>
  <c r="D36" i="156" s="1"/>
  <c r="D32" i="156" a="1"/>
  <c r="D32" i="156" s="1"/>
  <c r="C29" i="156" a="1"/>
  <c r="C29" i="156" s="1"/>
  <c r="E25" i="156" a="1"/>
  <c r="E25" i="156" s="1"/>
  <c r="C22" i="156" a="1"/>
  <c r="C22" i="156" s="1"/>
  <c r="E18" i="156" a="1"/>
  <c r="E18" i="156" s="1"/>
  <c r="E14" i="156" a="1"/>
  <c r="E14" i="156" s="1"/>
  <c r="C11" i="156" a="1"/>
  <c r="C11" i="156" s="1"/>
  <c r="E73" i="156" a="1"/>
  <c r="E73" i="156" s="1"/>
  <c r="C69" i="156" a="1"/>
  <c r="C69" i="156" s="1"/>
  <c r="E64" i="156" a="1"/>
  <c r="E64" i="156" s="1"/>
  <c r="C60" i="156" a="1"/>
  <c r="C60" i="156" s="1"/>
  <c r="E55" i="156" a="1"/>
  <c r="E55" i="156" s="1"/>
  <c r="C52" i="156" a="1"/>
  <c r="C52" i="156" s="1"/>
  <c r="E47" i="156" a="1"/>
  <c r="E47" i="156" s="1"/>
  <c r="F43" i="156" a="1"/>
  <c r="F43" i="156" s="1"/>
  <c r="C40" i="156" a="1"/>
  <c r="C40" i="156" s="1"/>
  <c r="E35" i="156" a="1"/>
  <c r="E35" i="156" s="1"/>
  <c r="C32" i="156" a="1"/>
  <c r="C32" i="156" s="1"/>
  <c r="F28" i="156" a="1"/>
  <c r="F28" i="156" s="1"/>
  <c r="D25" i="156" a="1"/>
  <c r="D25" i="156" s="1"/>
  <c r="F21" i="156" a="1"/>
  <c r="F21" i="156" s="1"/>
  <c r="F17" i="156" a="1"/>
  <c r="F17" i="156" s="1"/>
  <c r="D73" i="156" a="1"/>
  <c r="D73" i="156" s="1"/>
  <c r="D68" i="156" a="1"/>
  <c r="D68" i="156" s="1"/>
  <c r="D64" i="156" a="1"/>
  <c r="D64" i="156" s="1"/>
  <c r="D59" i="156" a="1"/>
  <c r="D59" i="156" s="1"/>
  <c r="D55" i="156" a="1"/>
  <c r="D55" i="156" s="1"/>
  <c r="F51" i="156" a="1"/>
  <c r="F51" i="156" s="1"/>
  <c r="D47" i="156" a="1"/>
  <c r="D47" i="156" s="1"/>
  <c r="E43" i="156" a="1"/>
  <c r="E43" i="156" s="1"/>
  <c r="F39" i="156" a="1"/>
  <c r="F39" i="156" s="1"/>
  <c r="D35" i="156" a="1"/>
  <c r="D35" i="156" s="1"/>
  <c r="F31" i="156" a="1"/>
  <c r="F31" i="156" s="1"/>
  <c r="E28" i="156" a="1"/>
  <c r="E28" i="156" s="1"/>
  <c r="C25" i="156" a="1"/>
  <c r="C25" i="156" s="1"/>
  <c r="E21" i="156" a="1"/>
  <c r="E21" i="156" s="1"/>
  <c r="E17" i="156" a="1"/>
  <c r="E17" i="156" s="1"/>
  <c r="C14" i="156" a="1"/>
  <c r="C14" i="156" s="1"/>
  <c r="E10" i="156" a="1"/>
  <c r="E10" i="156" s="1"/>
  <c r="D77" i="156" a="1"/>
  <c r="D77" i="156" s="1"/>
  <c r="C73" i="156" a="1"/>
  <c r="C73" i="156" s="1"/>
  <c r="C68" i="156" a="1"/>
  <c r="C68" i="156" s="1"/>
  <c r="C64" i="156" a="1"/>
  <c r="C64" i="156" s="1"/>
  <c r="C59" i="156" a="1"/>
  <c r="C59" i="156" s="1"/>
  <c r="C55" i="156" a="1"/>
  <c r="C55" i="156" s="1"/>
  <c r="D51" i="156" a="1"/>
  <c r="D51" i="156" s="1"/>
  <c r="C47" i="156" a="1"/>
  <c r="C47" i="156" s="1"/>
  <c r="D43" i="156" a="1"/>
  <c r="D43" i="156" s="1"/>
  <c r="D39" i="156" a="1"/>
  <c r="D39" i="156" s="1"/>
  <c r="C35" i="156" a="1"/>
  <c r="C35" i="156" s="1"/>
  <c r="E31" i="156" a="1"/>
  <c r="E31" i="156" s="1"/>
  <c r="D28" i="156" a="1"/>
  <c r="D28" i="156" s="1"/>
  <c r="F24" i="156" a="1"/>
  <c r="F24" i="156" s="1"/>
  <c r="F20" i="156" a="1"/>
  <c r="F20" i="156" s="1"/>
  <c r="D17" i="156" a="1"/>
  <c r="D17" i="156" s="1"/>
  <c r="F13" i="156" a="1"/>
  <c r="F13" i="156" s="1"/>
  <c r="D10" i="156" a="1"/>
  <c r="D10" i="156" s="1"/>
  <c r="F46" i="156" a="1"/>
  <c r="F46" i="156" s="1"/>
  <c r="C43" i="156" a="1"/>
  <c r="C43" i="156" s="1"/>
  <c r="E38" i="156" a="1"/>
  <c r="E38" i="156" s="1"/>
  <c r="D31" i="156" a="1"/>
  <c r="D31" i="156" s="1"/>
  <c r="E24" i="156" a="1"/>
  <c r="E24" i="156" s="1"/>
  <c r="C77" i="156" a="1"/>
  <c r="C77" i="156" s="1"/>
  <c r="E72" i="156" a="1"/>
  <c r="E72" i="156" s="1"/>
  <c r="F67" i="156" a="1"/>
  <c r="F67" i="156" s="1"/>
  <c r="E63" i="156" a="1"/>
  <c r="E63" i="156" s="1"/>
  <c r="F58" i="156" a="1"/>
  <c r="F58" i="156" s="1"/>
  <c r="F54" i="156" a="1"/>
  <c r="F54" i="156" s="1"/>
  <c r="E50" i="156" a="1"/>
  <c r="E50" i="156" s="1"/>
  <c r="F34" i="156" a="1"/>
  <c r="F34" i="156" s="1"/>
  <c r="C28" i="156" a="1"/>
  <c r="C28" i="156" s="1"/>
  <c r="E20" i="156" a="1"/>
  <c r="E20" i="156" s="1"/>
  <c r="C17" i="156" a="1"/>
  <c r="C17" i="156" s="1"/>
  <c r="E13" i="156" a="1"/>
  <c r="E13" i="156" s="1"/>
  <c r="C10" i="156" a="1"/>
  <c r="C10" i="156" s="1"/>
  <c r="D20" i="156" a="1"/>
  <c r="D20" i="156" s="1"/>
  <c r="D13" i="156" a="1"/>
  <c r="D13" i="156" s="1"/>
  <c r="F76" i="156" a="1"/>
  <c r="F76" i="156" s="1"/>
  <c r="C72" i="156" a="1"/>
  <c r="C72" i="156" s="1"/>
  <c r="E67" i="156" a="1"/>
  <c r="E67" i="156" s="1"/>
  <c r="C63" i="156" a="1"/>
  <c r="C63" i="156" s="1"/>
  <c r="E58" i="156" a="1"/>
  <c r="E58" i="156" s="1"/>
  <c r="E54" i="156" a="1"/>
  <c r="E54" i="156" s="1"/>
  <c r="D50" i="156" a="1"/>
  <c r="D50" i="156" s="1"/>
  <c r="E46" i="156" a="1"/>
  <c r="E46" i="156" s="1"/>
  <c r="F42" i="156" a="1"/>
  <c r="F42" i="156" s="1"/>
  <c r="D38" i="156" a="1"/>
  <c r="D38" i="156" s="1"/>
  <c r="E34" i="156" a="1"/>
  <c r="E34" i="156" s="1"/>
  <c r="C31" i="156" a="1"/>
  <c r="C31" i="156" s="1"/>
  <c r="F27" i="156" a="1"/>
  <c r="F27" i="156" s="1"/>
  <c r="F23" i="156" a="1"/>
  <c r="F23" i="156" s="1"/>
  <c r="F16" i="156" a="1"/>
  <c r="F16" i="156" s="1"/>
  <c r="F9" i="156" a="1"/>
  <c r="F9" i="156" s="1"/>
  <c r="E76" i="156" a="1"/>
  <c r="E76" i="156" s="1"/>
  <c r="D71" i="156" a="1"/>
  <c r="D71" i="156" s="1"/>
  <c r="D67" i="156" a="1"/>
  <c r="D67" i="156" s="1"/>
  <c r="D62" i="156" a="1"/>
  <c r="D62" i="156" s="1"/>
  <c r="D58" i="156" a="1"/>
  <c r="D58" i="156" s="1"/>
  <c r="C54" i="156" a="1"/>
  <c r="C54" i="156" s="1"/>
  <c r="C50" i="156" a="1"/>
  <c r="C50" i="156" s="1"/>
  <c r="D46" i="156" a="1"/>
  <c r="D46" i="156" s="1"/>
  <c r="D42" i="156" a="1"/>
  <c r="D42" i="156" s="1"/>
  <c r="C38" i="156" a="1"/>
  <c r="C38" i="156" s="1"/>
  <c r="D34" i="156" a="1"/>
  <c r="D34" i="156" s="1"/>
  <c r="F30" i="156" a="1"/>
  <c r="F30" i="156" s="1"/>
  <c r="E27" i="156" a="1"/>
  <c r="E27" i="156" s="1"/>
  <c r="E23" i="156" a="1"/>
  <c r="E23" i="156" s="1"/>
  <c r="C20" i="156" a="1"/>
  <c r="C20" i="156" s="1"/>
  <c r="E16" i="156" a="1"/>
  <c r="E16" i="156" s="1"/>
  <c r="C13" i="156" a="1"/>
  <c r="C13" i="156" s="1"/>
  <c r="E9" i="156" a="1"/>
  <c r="E9" i="156" s="1"/>
  <c r="C9" i="121"/>
  <c r="P658" i="1"/>
  <c r="I207" i="8" s="1"/>
  <c r="AJ9" i="119" a="1"/>
  <c r="AJ9" i="119" s="1"/>
  <c r="Z9" i="119" a="1"/>
  <c r="Z9" i="119" s="1"/>
  <c r="L9" i="119"/>
  <c r="N9" i="119"/>
  <c r="J9" i="119"/>
  <c r="V9" i="119"/>
  <c r="AF9" i="119"/>
  <c r="AC9" i="119"/>
  <c r="P9" i="119"/>
  <c r="AA9" i="119"/>
  <c r="Q9" i="119"/>
  <c r="W9" i="119"/>
  <c r="O9" i="119"/>
  <c r="I9" i="119"/>
  <c r="AD9" i="119"/>
  <c r="U9" i="119"/>
  <c r="E9" i="119"/>
  <c r="R9" i="119"/>
  <c r="F9" i="119"/>
  <c r="X9" i="119"/>
  <c r="AE9" i="119"/>
  <c r="AB9" i="119"/>
  <c r="S9" i="119"/>
  <c r="G9" i="119"/>
  <c r="AH9" i="119" a="1"/>
  <c r="AH9" i="119" s="1"/>
  <c r="T9" i="119"/>
  <c r="H9" i="119"/>
  <c r="C9" i="119"/>
  <c r="K9" i="119"/>
  <c r="D9" i="119"/>
  <c r="M9" i="119"/>
  <c r="AI9" i="119" a="1"/>
  <c r="AI9" i="119" s="1"/>
  <c r="AF7" i="119"/>
  <c r="AC7" i="119"/>
  <c r="Z7" i="119" a="1"/>
  <c r="Z7" i="119" s="1"/>
  <c r="W7" i="119"/>
  <c r="T7" i="119"/>
  <c r="Q7" i="119"/>
  <c r="N7" i="119"/>
  <c r="K7" i="119"/>
  <c r="H7" i="119"/>
  <c r="E7" i="119"/>
  <c r="AI7" i="119" a="1"/>
  <c r="AI7" i="119" s="1"/>
  <c r="J7" i="119"/>
  <c r="L7" i="119"/>
  <c r="AJ7" i="119" a="1"/>
  <c r="AJ7" i="119" s="1"/>
  <c r="AE7" i="119"/>
  <c r="X7" i="119"/>
  <c r="U7" i="119"/>
  <c r="G7" i="119"/>
  <c r="D7" i="119"/>
  <c r="P7" i="119"/>
  <c r="C7" i="119"/>
  <c r="AB7" i="119"/>
  <c r="V7" i="119"/>
  <c r="S7" i="119"/>
  <c r="F7" i="119"/>
  <c r="AH7" i="119" a="1"/>
  <c r="AH7" i="119" s="1"/>
  <c r="I7" i="119"/>
  <c r="M7" i="119"/>
  <c r="AA7" i="119"/>
  <c r="AD7" i="119"/>
  <c r="R7" i="119"/>
  <c r="AH10" i="119" a="1"/>
  <c r="AH10" i="119" s="1"/>
  <c r="AD10" i="119"/>
  <c r="AA10" i="119"/>
  <c r="X10" i="119"/>
  <c r="U10" i="119"/>
  <c r="R10" i="119"/>
  <c r="O10" i="119"/>
  <c r="L10" i="119"/>
  <c r="I10" i="119"/>
  <c r="F10" i="119"/>
  <c r="C10" i="119"/>
  <c r="AI10" i="119" a="1"/>
  <c r="AI10" i="119" s="1"/>
  <c r="Q10" i="119"/>
  <c r="M10" i="119"/>
  <c r="AJ10" i="119" a="1"/>
  <c r="AJ10" i="119" s="1"/>
  <c r="Z10" i="119" a="1"/>
  <c r="Z10" i="119" s="1"/>
  <c r="AF10" i="119"/>
  <c r="AC10" i="119"/>
  <c r="P10" i="119"/>
  <c r="J10" i="119"/>
  <c r="V10" i="119"/>
  <c r="AB10" i="119"/>
  <c r="T10" i="119"/>
  <c r="W10" i="119"/>
  <c r="E10" i="119"/>
  <c r="AE10" i="119"/>
  <c r="H10" i="119"/>
  <c r="S10" i="119"/>
  <c r="N10" i="119"/>
  <c r="D10" i="119"/>
  <c r="G10" i="119"/>
  <c r="K10" i="119"/>
  <c r="Y8" i="119"/>
  <c r="AJ8" i="119" a="1"/>
  <c r="AJ8" i="119" s="1"/>
  <c r="AE8" i="119"/>
  <c r="AB8" i="119"/>
  <c r="V8" i="119"/>
  <c r="S8" i="119"/>
  <c r="P8" i="119"/>
  <c r="M8" i="119"/>
  <c r="J8" i="119"/>
  <c r="G8" i="119"/>
  <c r="D8" i="119"/>
  <c r="N8" i="119"/>
  <c r="AH8" i="119" a="1"/>
  <c r="AH8" i="119" s="1"/>
  <c r="I8" i="119"/>
  <c r="U8" i="119"/>
  <c r="H8" i="119"/>
  <c r="E8" i="119"/>
  <c r="L8" i="119"/>
  <c r="AD8" i="119"/>
  <c r="AA8" i="119"/>
  <c r="R8" i="119"/>
  <c r="F8" i="119"/>
  <c r="X8" i="119"/>
  <c r="K8" i="119"/>
  <c r="W8" i="119"/>
  <c r="Q8" i="119"/>
  <c r="C8" i="119"/>
  <c r="AI8" i="119" a="1"/>
  <c r="AI8" i="119" s="1"/>
  <c r="AC8" i="119"/>
  <c r="O8" i="119"/>
  <c r="T8" i="119"/>
  <c r="Z8" i="119" a="1"/>
  <c r="Z8" i="119" s="1"/>
  <c r="AF8" i="119"/>
  <c r="J613" i="1"/>
  <c r="I613" i="1"/>
  <c r="H613" i="1"/>
  <c r="J612" i="1"/>
  <c r="I612" i="1"/>
  <c r="H612" i="1"/>
  <c r="J611" i="1"/>
  <c r="I611" i="1"/>
  <c r="H611" i="1"/>
  <c r="F610" i="1"/>
  <c r="U610" i="1" s="1"/>
  <c r="F611" i="1"/>
  <c r="U611" i="1" s="1"/>
  <c r="F612" i="1"/>
  <c r="U612" i="1" s="1"/>
  <c r="F613" i="1"/>
  <c r="U613" i="1" s="1"/>
  <c r="J609" i="1"/>
  <c r="I609" i="1"/>
  <c r="H609" i="1"/>
  <c r="F609" i="1"/>
  <c r="U609" i="1" s="1"/>
  <c r="O608" i="1"/>
  <c r="H325" i="8" s="1"/>
  <c r="J608" i="1"/>
  <c r="G325" i="8" s="1"/>
  <c r="H608" i="1"/>
  <c r="E325" i="8" s="1"/>
  <c r="F608" i="1"/>
  <c r="U608" i="1" s="1"/>
  <c r="G7" i="189" l="1"/>
  <c r="G10" i="189" s="1"/>
  <c r="C8" i="186"/>
  <c r="C8" i="185"/>
  <c r="F8" i="188"/>
  <c r="F93" i="188" s="1"/>
  <c r="E15" i="200"/>
  <c r="J23" i="195"/>
  <c r="G15" i="200"/>
  <c r="C15" i="200"/>
  <c r="D15" i="200"/>
  <c r="F15" i="200"/>
  <c r="J26" i="195"/>
  <c r="C93" i="188"/>
  <c r="J25" i="195"/>
  <c r="J22" i="195"/>
  <c r="D7" i="188"/>
  <c r="D93" i="188" s="1"/>
  <c r="C7" i="189"/>
  <c r="C10" i="189" s="1"/>
  <c r="C7" i="186"/>
  <c r="C8" i="187"/>
  <c r="E9" i="187" s="1"/>
  <c r="C7" i="193" a="1"/>
  <c r="C7" i="193" s="1"/>
  <c r="C93" i="193" s="1"/>
  <c r="E7" i="189"/>
  <c r="E10" i="189" s="1"/>
  <c r="C7" i="185"/>
  <c r="I8" i="187" a="1"/>
  <c r="I8" i="187" s="1"/>
  <c r="I9" i="187" s="1"/>
  <c r="J24" i="195"/>
  <c r="D93" i="156"/>
  <c r="C93" i="156"/>
  <c r="F93" i="156"/>
  <c r="I9" i="168"/>
  <c r="I8" i="168"/>
  <c r="G7" i="168"/>
  <c r="H7" i="168"/>
  <c r="I10" i="168"/>
  <c r="R92" i="119"/>
  <c r="AD92" i="119"/>
  <c r="AA92" i="119"/>
  <c r="M92" i="119"/>
  <c r="I92" i="119"/>
  <c r="AH92" i="119"/>
  <c r="F92" i="119"/>
  <c r="S92" i="119"/>
  <c r="V92" i="119"/>
  <c r="AB92" i="119"/>
  <c r="C92" i="119"/>
  <c r="P92" i="119"/>
  <c r="D92" i="119"/>
  <c r="G92" i="119"/>
  <c r="U92" i="119"/>
  <c r="X92" i="119"/>
  <c r="AE92" i="119"/>
  <c r="AJ92" i="119"/>
  <c r="L92" i="119"/>
  <c r="J92" i="119"/>
  <c r="AI92" i="119"/>
  <c r="E92" i="119"/>
  <c r="H92" i="119"/>
  <c r="K92" i="119"/>
  <c r="N92" i="119"/>
  <c r="Q92" i="119"/>
  <c r="T92" i="119"/>
  <c r="W92" i="119"/>
  <c r="Z92" i="119"/>
  <c r="AC92" i="119"/>
  <c r="AF92" i="119"/>
  <c r="Y92" i="119"/>
  <c r="D59" i="135"/>
  <c r="P608" i="1"/>
  <c r="I325" i="8" s="1"/>
  <c r="E7" i="156" a="1"/>
  <c r="E7" i="156" s="1"/>
  <c r="E93" i="156" s="1"/>
  <c r="P657" i="1"/>
  <c r="I206" i="8" s="1"/>
  <c r="O7" i="119"/>
  <c r="O92" i="119" s="1"/>
  <c r="J607" i="1"/>
  <c r="Y70" i="118" s="1"/>
  <c r="I607" i="1"/>
  <c r="H607" i="1"/>
  <c r="F607" i="1"/>
  <c r="U607" i="1" s="1"/>
  <c r="O606" i="1"/>
  <c r="H324" i="8" s="1"/>
  <c r="J606" i="1"/>
  <c r="G324" i="8" s="1"/>
  <c r="I606" i="1"/>
  <c r="F324" i="8" s="1"/>
  <c r="H606" i="1"/>
  <c r="E324" i="8" s="1"/>
  <c r="F606" i="1"/>
  <c r="U606" i="1" s="1"/>
  <c r="J605" i="1"/>
  <c r="I605" i="1"/>
  <c r="H605" i="1"/>
  <c r="F605" i="1"/>
  <c r="U605" i="1" s="1"/>
  <c r="J604" i="1"/>
  <c r="I604" i="1"/>
  <c r="H604" i="1"/>
  <c r="F604" i="1"/>
  <c r="U604" i="1" s="1"/>
  <c r="O603" i="1"/>
  <c r="H197" i="8" s="1"/>
  <c r="J603" i="1"/>
  <c r="G197" i="8" s="1"/>
  <c r="I603" i="1"/>
  <c r="H603" i="1"/>
  <c r="E197" i="8" s="1"/>
  <c r="F603" i="1"/>
  <c r="U603" i="1" s="1"/>
  <c r="J598" i="1"/>
  <c r="I598" i="1"/>
  <c r="H598" i="1"/>
  <c r="J602" i="1"/>
  <c r="I602" i="1"/>
  <c r="H602" i="1"/>
  <c r="J601" i="1"/>
  <c r="I601" i="1"/>
  <c r="H601" i="1"/>
  <c r="J600" i="1"/>
  <c r="I600" i="1"/>
  <c r="H600" i="1"/>
  <c r="J599" i="1"/>
  <c r="I599" i="1"/>
  <c r="H599" i="1"/>
  <c r="F597" i="1"/>
  <c r="U597" i="1" s="1"/>
  <c r="F598" i="1"/>
  <c r="U598" i="1" s="1"/>
  <c r="F599" i="1"/>
  <c r="U599" i="1" s="1"/>
  <c r="F600" i="1"/>
  <c r="U600" i="1" s="1"/>
  <c r="F601" i="1"/>
  <c r="F602" i="1"/>
  <c r="U602" i="1" s="1"/>
  <c r="J596" i="1"/>
  <c r="I596" i="1"/>
  <c r="H596" i="1"/>
  <c r="F596" i="1"/>
  <c r="U596" i="1" s="1"/>
  <c r="F595" i="1"/>
  <c r="U595" i="1" s="1"/>
  <c r="O595" i="1"/>
  <c r="H196" i="8" s="1"/>
  <c r="J595" i="1"/>
  <c r="G196" i="8" s="1"/>
  <c r="I595" i="1"/>
  <c r="H595" i="1"/>
  <c r="E196" i="8" s="1"/>
  <c r="J594" i="1"/>
  <c r="I594" i="1"/>
  <c r="H594" i="1"/>
  <c r="F594" i="1"/>
  <c r="U594" i="1" s="1"/>
  <c r="J593" i="1"/>
  <c r="I593" i="1"/>
  <c r="H593" i="1"/>
  <c r="F593" i="1"/>
  <c r="U593" i="1" s="1"/>
  <c r="J592" i="1"/>
  <c r="I592" i="1"/>
  <c r="H592" i="1"/>
  <c r="F592" i="1"/>
  <c r="U592" i="1" s="1"/>
  <c r="O591" i="1"/>
  <c r="H195" i="8" s="1"/>
  <c r="J591" i="1"/>
  <c r="G195" i="8" s="1"/>
  <c r="I591" i="1"/>
  <c r="F195" i="8" s="1"/>
  <c r="H591" i="1"/>
  <c r="E195" i="8" s="1"/>
  <c r="F591" i="1"/>
  <c r="U591" i="1" s="1"/>
  <c r="O590" i="1"/>
  <c r="H323" i="8" s="1"/>
  <c r="J590" i="1"/>
  <c r="G323" i="8" s="1"/>
  <c r="I590" i="1"/>
  <c r="F323" i="8" s="1"/>
  <c r="H590" i="1"/>
  <c r="E323" i="8" s="1"/>
  <c r="F590" i="1"/>
  <c r="U590" i="1" s="1"/>
  <c r="J589" i="1"/>
  <c r="I589" i="1"/>
  <c r="H589" i="1"/>
  <c r="F589" i="1"/>
  <c r="U589" i="1" s="1"/>
  <c r="J588" i="1"/>
  <c r="I588" i="1"/>
  <c r="H588" i="1"/>
  <c r="J587" i="1"/>
  <c r="I587" i="1"/>
  <c r="H587" i="1"/>
  <c r="J586" i="1"/>
  <c r="I586" i="1"/>
  <c r="H586" i="1"/>
  <c r="F585" i="1"/>
  <c r="U585" i="1" s="1"/>
  <c r="F586" i="1"/>
  <c r="U586" i="1" s="1"/>
  <c r="F587" i="1"/>
  <c r="U587" i="1" s="1"/>
  <c r="F588" i="1"/>
  <c r="U588" i="1" s="1"/>
  <c r="J584" i="1"/>
  <c r="I584" i="1"/>
  <c r="H584" i="1"/>
  <c r="J583" i="1"/>
  <c r="I583" i="1"/>
  <c r="H583" i="1"/>
  <c r="J582" i="1"/>
  <c r="I582" i="1"/>
  <c r="H582" i="1"/>
  <c r="J581" i="1"/>
  <c r="I581" i="1"/>
  <c r="H581" i="1"/>
  <c r="J580" i="1"/>
  <c r="I580" i="1"/>
  <c r="H580" i="1"/>
  <c r="F579" i="1"/>
  <c r="U579" i="1" s="1"/>
  <c r="F580" i="1"/>
  <c r="U580" i="1" s="1"/>
  <c r="F581" i="1"/>
  <c r="U581" i="1" s="1"/>
  <c r="F582" i="1"/>
  <c r="U582" i="1" s="1"/>
  <c r="F583" i="1"/>
  <c r="U583" i="1" s="1"/>
  <c r="F584" i="1"/>
  <c r="U584" i="1" s="1"/>
  <c r="J578" i="1"/>
  <c r="I578" i="1"/>
  <c r="H578" i="1"/>
  <c r="J577" i="1"/>
  <c r="I577" i="1"/>
  <c r="H577" i="1"/>
  <c r="F578" i="1"/>
  <c r="U578" i="1" s="1"/>
  <c r="F577" i="1"/>
  <c r="U577" i="1" s="1"/>
  <c r="F576" i="1"/>
  <c r="U576" i="1" s="1"/>
  <c r="J575" i="1"/>
  <c r="I575" i="1"/>
  <c r="H575" i="1"/>
  <c r="E194" i="8" s="1"/>
  <c r="F575" i="1"/>
  <c r="U575" i="1" s="1"/>
  <c r="P575" i="1" s="1"/>
  <c r="I194" i="8" s="1"/>
  <c r="J574" i="1"/>
  <c r="Y64" i="118" s="1"/>
  <c r="I574" i="1"/>
  <c r="H574" i="1"/>
  <c r="F574" i="1"/>
  <c r="U574" i="1" s="1"/>
  <c r="O567" i="1"/>
  <c r="H321" i="8" s="1"/>
  <c r="J567" i="1"/>
  <c r="G321" i="8" s="1"/>
  <c r="I567" i="1"/>
  <c r="H567" i="1"/>
  <c r="E321" i="8" s="1"/>
  <c r="F567" i="1"/>
  <c r="U567" i="1" s="1"/>
  <c r="J564" i="1"/>
  <c r="I564" i="1"/>
  <c r="H564" i="1"/>
  <c r="F564" i="1"/>
  <c r="U564" i="1" s="1"/>
  <c r="O563" i="1"/>
  <c r="H189" i="8" s="1"/>
  <c r="J563" i="1"/>
  <c r="G189" i="8" s="1"/>
  <c r="I563" i="1"/>
  <c r="F189" i="8" s="1"/>
  <c r="H563" i="1"/>
  <c r="E189" i="8" s="1"/>
  <c r="F563" i="1"/>
  <c r="U563" i="1" s="1"/>
  <c r="O562" i="1"/>
  <c r="H188" i="8" s="1"/>
  <c r="J562" i="1"/>
  <c r="G188" i="8" s="1"/>
  <c r="I562" i="1"/>
  <c r="H562" i="1"/>
  <c r="E188" i="8" s="1"/>
  <c r="J561" i="1"/>
  <c r="G320" i="8" s="1"/>
  <c r="I561" i="1"/>
  <c r="F320" i="8" s="1"/>
  <c r="H561" i="1"/>
  <c r="E320" i="8" s="1"/>
  <c r="F562" i="1"/>
  <c r="U562" i="1" s="1"/>
  <c r="O561" i="1"/>
  <c r="H320" i="8" s="1"/>
  <c r="F561" i="1"/>
  <c r="U561" i="1" s="1"/>
  <c r="O551" i="1"/>
  <c r="H183" i="8" s="1"/>
  <c r="J551" i="1"/>
  <c r="G183" i="8" s="1"/>
  <c r="I551" i="1"/>
  <c r="F183" i="8" s="1"/>
  <c r="H551" i="1"/>
  <c r="E183" i="8" s="1"/>
  <c r="F551" i="1"/>
  <c r="U551" i="1" s="1"/>
  <c r="J546" i="1"/>
  <c r="I546" i="1"/>
  <c r="H546" i="1"/>
  <c r="J545" i="1"/>
  <c r="I545" i="1"/>
  <c r="H545" i="1"/>
  <c r="F545" i="1"/>
  <c r="U545" i="1" s="1"/>
  <c r="F546" i="1"/>
  <c r="U546" i="1" s="1"/>
  <c r="F544" i="1"/>
  <c r="U544" i="1" s="1"/>
  <c r="J543" i="1"/>
  <c r="I543" i="1"/>
  <c r="H543" i="1"/>
  <c r="J542" i="1"/>
  <c r="I542" i="1"/>
  <c r="H542" i="1"/>
  <c r="F542" i="1"/>
  <c r="U542" i="1" s="1"/>
  <c r="F543" i="1"/>
  <c r="U543" i="1" s="1"/>
  <c r="F541" i="1"/>
  <c r="U541" i="1" s="1"/>
  <c r="C93" i="185" l="1"/>
  <c r="C65" i="181" a="1"/>
  <c r="C65" i="181" s="1"/>
  <c r="C65" i="194" a="1"/>
  <c r="C65" i="194" s="1"/>
  <c r="C65" i="192" a="1"/>
  <c r="C65" i="192" s="1"/>
  <c r="U601" i="1"/>
  <c r="D20" i="195"/>
  <c r="D41" i="195" s="1"/>
  <c r="C20" i="195"/>
  <c r="I20" i="195"/>
  <c r="I41" i="195" s="1"/>
  <c r="H20" i="195"/>
  <c r="H41" i="195" s="1"/>
  <c r="G20" i="195"/>
  <c r="G41" i="195" s="1"/>
  <c r="E20" i="195"/>
  <c r="E41" i="195" s="1"/>
  <c r="F20" i="195"/>
  <c r="F41" i="195" s="1"/>
  <c r="F7" i="186"/>
  <c r="C94" i="186"/>
  <c r="G9" i="187"/>
  <c r="K9" i="187"/>
  <c r="C67" i="181" a="1"/>
  <c r="C67" i="181" s="1"/>
  <c r="C67" i="194" a="1"/>
  <c r="C67" i="194" s="1"/>
  <c r="D67" i="181" a="1"/>
  <c r="D67" i="181" s="1"/>
  <c r="C67" i="192" a="1"/>
  <c r="C67" i="192" s="1"/>
  <c r="C66" i="194" a="1"/>
  <c r="C66" i="194" s="1"/>
  <c r="C66" i="192" a="1"/>
  <c r="C66" i="192" s="1"/>
  <c r="C66" i="181" a="1"/>
  <c r="C66" i="181" s="1"/>
  <c r="D66" i="181" a="1"/>
  <c r="D66" i="181" s="1"/>
  <c r="C69" i="181" a="1"/>
  <c r="C69" i="181" s="1"/>
  <c r="D69" i="181" a="1"/>
  <c r="D69" i="181" s="1"/>
  <c r="C69" i="194" a="1"/>
  <c r="C69" i="194" s="1"/>
  <c r="C69" i="192" a="1"/>
  <c r="C69" i="192" s="1"/>
  <c r="C64" i="192" a="1"/>
  <c r="C64" i="192" s="1"/>
  <c r="C64" i="181" a="1"/>
  <c r="C64" i="181" s="1"/>
  <c r="D64" i="181" a="1"/>
  <c r="D64" i="181" s="1"/>
  <c r="C64" i="194" a="1"/>
  <c r="C64" i="194" s="1"/>
  <c r="C54" i="181" a="1"/>
  <c r="C54" i="181" s="1"/>
  <c r="C54" i="192" a="1"/>
  <c r="C54" i="192" s="1"/>
  <c r="C54" i="194" a="1"/>
  <c r="C54" i="194" s="1"/>
  <c r="D54" i="181" a="1"/>
  <c r="D54" i="181" s="1"/>
  <c r="F196" i="8"/>
  <c r="D68" i="181" a="1"/>
  <c r="D68" i="181" s="1"/>
  <c r="C68" i="181" a="1"/>
  <c r="C68" i="181" s="1"/>
  <c r="C68" i="192" a="1"/>
  <c r="C68" i="192" s="1"/>
  <c r="C68" i="194" a="1"/>
  <c r="C68" i="194" s="1"/>
  <c r="C58" i="194" a="1"/>
  <c r="C58" i="194" s="1"/>
  <c r="C58" i="181" a="1"/>
  <c r="C58" i="181" s="1"/>
  <c r="D58" i="181" a="1"/>
  <c r="D58" i="181" s="1"/>
  <c r="C58" i="192" a="1"/>
  <c r="C58" i="192" s="1"/>
  <c r="C70" i="181" a="1"/>
  <c r="C70" i="181" s="1"/>
  <c r="C70" i="192" a="1"/>
  <c r="C70" i="192" s="1"/>
  <c r="D70" i="181" a="1"/>
  <c r="D70" i="181" s="1"/>
  <c r="F197" i="8"/>
  <c r="F69" i="125" a="1"/>
  <c r="F69" i="125" s="1"/>
  <c r="D69" i="125" a="1"/>
  <c r="D69" i="125" s="1"/>
  <c r="F194" i="8"/>
  <c r="F65" i="125" a="1"/>
  <c r="F65" i="125" s="1"/>
  <c r="E70" i="125" a="1"/>
  <c r="E70" i="125" s="1"/>
  <c r="C70" i="125" a="1"/>
  <c r="C70" i="125" s="1"/>
  <c r="F70" i="125" a="1"/>
  <c r="F70" i="125" s="1"/>
  <c r="D70" i="125" a="1"/>
  <c r="D70" i="125" s="1"/>
  <c r="F321" i="8"/>
  <c r="C54" i="125" a="1"/>
  <c r="C54" i="125" s="1"/>
  <c r="F54" i="125" a="1"/>
  <c r="F54" i="125" s="1"/>
  <c r="D54" i="125" a="1"/>
  <c r="D54" i="125" s="1"/>
  <c r="E54" i="125" a="1"/>
  <c r="E54" i="125" s="1"/>
  <c r="F188" i="8"/>
  <c r="E58" i="125" a="1"/>
  <c r="E58" i="125" s="1"/>
  <c r="C58" i="125" a="1"/>
  <c r="C58" i="125" s="1"/>
  <c r="F58" i="125" a="1"/>
  <c r="F58" i="125" s="1"/>
  <c r="D58" i="125" a="1"/>
  <c r="D58" i="125" s="1"/>
  <c r="D64" i="125" a="1"/>
  <c r="D64" i="125" s="1"/>
  <c r="C64" i="125" a="1"/>
  <c r="C64" i="125" s="1"/>
  <c r="D67" i="125" a="1"/>
  <c r="D67" i="125" s="1"/>
  <c r="F67" i="125" a="1"/>
  <c r="F67" i="125" s="1"/>
  <c r="C67" i="125" a="1"/>
  <c r="C67" i="125" s="1"/>
  <c r="E67" i="125" a="1"/>
  <c r="E67" i="125" s="1"/>
  <c r="C66" i="125" a="1"/>
  <c r="C66" i="125" s="1"/>
  <c r="F66" i="125" a="1"/>
  <c r="F66" i="125" s="1"/>
  <c r="D66" i="125" a="1"/>
  <c r="D66" i="125" s="1"/>
  <c r="I7" i="168"/>
  <c r="O8" i="168" s="1"/>
  <c r="Y65" i="118"/>
  <c r="G194" i="8"/>
  <c r="H59" i="135"/>
  <c r="M25" i="135" s="1"/>
  <c r="G59" i="135"/>
  <c r="L25" i="135" s="1"/>
  <c r="D47" i="135"/>
  <c r="D50" i="135"/>
  <c r="P567" i="1"/>
  <c r="I321" i="8" s="1"/>
  <c r="D54" i="135"/>
  <c r="P590" i="1"/>
  <c r="I323" i="8" s="1"/>
  <c r="D49" i="135"/>
  <c r="P561" i="1"/>
  <c r="I320" i="8" s="1"/>
  <c r="D56" i="135"/>
  <c r="P595" i="1"/>
  <c r="I196" i="8" s="1"/>
  <c r="D58" i="135"/>
  <c r="P606" i="1"/>
  <c r="I324" i="8" s="1"/>
  <c r="D55" i="135"/>
  <c r="D44" i="135"/>
  <c r="D43" i="135"/>
  <c r="D57" i="135"/>
  <c r="D53" i="135"/>
  <c r="Y58" i="118"/>
  <c r="Y69" i="118"/>
  <c r="Y54" i="118"/>
  <c r="Y68" i="118"/>
  <c r="Y67" i="118"/>
  <c r="AH67" i="118" a="1"/>
  <c r="AH67" i="118" s="1"/>
  <c r="AF67" i="118"/>
  <c r="AC67" i="118"/>
  <c r="AJ67" i="118" a="1"/>
  <c r="AJ67" i="118" s="1"/>
  <c r="AE67" i="118"/>
  <c r="AB67" i="118"/>
  <c r="X67" i="118"/>
  <c r="S67" i="118"/>
  <c r="R67" i="118"/>
  <c r="V67" i="118"/>
  <c r="T67" i="118"/>
  <c r="AA67" i="118"/>
  <c r="Z67" i="118" a="1"/>
  <c r="Z67" i="118" s="1"/>
  <c r="U67" i="118"/>
  <c r="Q67" i="118"/>
  <c r="F67" i="118"/>
  <c r="P67" i="118"/>
  <c r="N67" i="118"/>
  <c r="I67" i="118"/>
  <c r="AD67" i="118"/>
  <c r="G67" i="118"/>
  <c r="L67" i="118"/>
  <c r="E67" i="118"/>
  <c r="W67" i="118"/>
  <c r="O67" i="118"/>
  <c r="H67" i="118"/>
  <c r="M67" i="118"/>
  <c r="K67" i="118"/>
  <c r="C67" i="118"/>
  <c r="J67" i="118"/>
  <c r="D67" i="118"/>
  <c r="AH70" i="118" a="1"/>
  <c r="AH70" i="118" s="1"/>
  <c r="X70" i="118"/>
  <c r="U70" i="118"/>
  <c r="R70" i="118"/>
  <c r="O70" i="118"/>
  <c r="L70" i="118"/>
  <c r="I70" i="118"/>
  <c r="AF70" i="118"/>
  <c r="AJ70" i="118" a="1"/>
  <c r="AJ70" i="118" s="1"/>
  <c r="AD70" i="118"/>
  <c r="Z70" i="118" a="1"/>
  <c r="Z70" i="118" s="1"/>
  <c r="AE70" i="118"/>
  <c r="AC70" i="118"/>
  <c r="AB70" i="118"/>
  <c r="S70" i="118"/>
  <c r="P70" i="118"/>
  <c r="M70" i="118"/>
  <c r="J70" i="118"/>
  <c r="G70" i="118"/>
  <c r="F70" i="118"/>
  <c r="C70" i="118"/>
  <c r="V70" i="118"/>
  <c r="AA70" i="118"/>
  <c r="W70" i="118"/>
  <c r="Q70" i="118"/>
  <c r="K70" i="118"/>
  <c r="D70" i="118"/>
  <c r="N70" i="118"/>
  <c r="T70" i="118"/>
  <c r="E70" i="118"/>
  <c r="H70" i="118"/>
  <c r="AH64" i="118" a="1"/>
  <c r="AH64" i="118" s="1"/>
  <c r="AJ64" i="118" a="1"/>
  <c r="AJ64" i="118" s="1"/>
  <c r="AA64" i="118"/>
  <c r="T64" i="118"/>
  <c r="AF64" i="118"/>
  <c r="W64" i="118"/>
  <c r="Z64" i="118" a="1"/>
  <c r="Z64" i="118" s="1"/>
  <c r="AC64" i="118"/>
  <c r="AB64" i="118"/>
  <c r="X64" i="118"/>
  <c r="N64" i="118"/>
  <c r="G64" i="118"/>
  <c r="L64" i="118"/>
  <c r="AD64" i="118"/>
  <c r="E64" i="118"/>
  <c r="J64" i="118"/>
  <c r="O64" i="118"/>
  <c r="C64" i="118"/>
  <c r="AE64" i="118"/>
  <c r="S64" i="118"/>
  <c r="K64" i="118"/>
  <c r="F64" i="118"/>
  <c r="Q64" i="118"/>
  <c r="I64" i="118"/>
  <c r="M64" i="118"/>
  <c r="R64" i="118"/>
  <c r="P64" i="118"/>
  <c r="D64" i="118"/>
  <c r="H64" i="118"/>
  <c r="U64" i="118"/>
  <c r="V64" i="118"/>
  <c r="AJ65" i="118" a="1"/>
  <c r="AJ65" i="118" s="1"/>
  <c r="E65" i="118"/>
  <c r="AE65" i="118"/>
  <c r="AC65" i="118"/>
  <c r="V65" i="118"/>
  <c r="T65" i="118"/>
  <c r="AA65" i="118"/>
  <c r="AF65" i="118"/>
  <c r="W65" i="118"/>
  <c r="AD65" i="118"/>
  <c r="AB65" i="118"/>
  <c r="U65" i="118"/>
  <c r="P65" i="118"/>
  <c r="I65" i="118"/>
  <c r="N65" i="118"/>
  <c r="G65" i="118"/>
  <c r="L65" i="118"/>
  <c r="AH65" i="118" a="1"/>
  <c r="AH65" i="118" s="1"/>
  <c r="X65" i="118"/>
  <c r="J65" i="118"/>
  <c r="Z65" i="118" a="1"/>
  <c r="Z65" i="118" s="1"/>
  <c r="O65" i="118"/>
  <c r="R65" i="118"/>
  <c r="M65" i="118"/>
  <c r="S65" i="118"/>
  <c r="K65" i="118"/>
  <c r="F65" i="118"/>
  <c r="C65" i="118"/>
  <c r="H65" i="118"/>
  <c r="D65" i="118"/>
  <c r="Q65" i="118"/>
  <c r="AJ68" i="118" a="1"/>
  <c r="AJ68" i="118" s="1"/>
  <c r="AF68" i="118"/>
  <c r="AH68" i="118" a="1"/>
  <c r="AH68" i="118" s="1"/>
  <c r="AE68" i="118"/>
  <c r="AB68" i="118"/>
  <c r="X68" i="118"/>
  <c r="Q68" i="118"/>
  <c r="V68" i="118"/>
  <c r="T68" i="118"/>
  <c r="Z68" i="118" a="1"/>
  <c r="Z68" i="118" s="1"/>
  <c r="K68" i="118"/>
  <c r="D68" i="118"/>
  <c r="F68" i="118"/>
  <c r="U68" i="118"/>
  <c r="P68" i="118"/>
  <c r="N68" i="118"/>
  <c r="I68" i="118"/>
  <c r="AC68" i="118"/>
  <c r="G68" i="118"/>
  <c r="AD68" i="118"/>
  <c r="J68" i="118"/>
  <c r="O68" i="118"/>
  <c r="H68" i="118"/>
  <c r="S68" i="118"/>
  <c r="R68" i="118"/>
  <c r="W68" i="118"/>
  <c r="AA68" i="118"/>
  <c r="M68" i="118"/>
  <c r="C68" i="118"/>
  <c r="E68" i="118"/>
  <c r="L68" i="118"/>
  <c r="W66" i="118"/>
  <c r="T66" i="118"/>
  <c r="Q66" i="118"/>
  <c r="N66" i="118"/>
  <c r="K66" i="118"/>
  <c r="H66" i="118"/>
  <c r="S66" i="118"/>
  <c r="V66" i="118"/>
  <c r="AA66" i="118"/>
  <c r="AD66" i="118"/>
  <c r="AB66" i="118"/>
  <c r="U66" i="118"/>
  <c r="P66" i="118"/>
  <c r="I66" i="118"/>
  <c r="AJ66" i="118" a="1"/>
  <c r="AJ66" i="118" s="1"/>
  <c r="AC66" i="118"/>
  <c r="G66" i="118"/>
  <c r="L66" i="118"/>
  <c r="E66" i="118"/>
  <c r="AH66" i="118" a="1"/>
  <c r="AH66" i="118" s="1"/>
  <c r="X66" i="118"/>
  <c r="R66" i="118"/>
  <c r="M66" i="118"/>
  <c r="AE66" i="118"/>
  <c r="F66" i="118"/>
  <c r="C66" i="118"/>
  <c r="Z66" i="118" a="1"/>
  <c r="Z66" i="118" s="1"/>
  <c r="AF66" i="118"/>
  <c r="J66" i="118"/>
  <c r="O66" i="118"/>
  <c r="D66" i="118"/>
  <c r="Y66" i="118"/>
  <c r="AJ69" i="118" a="1"/>
  <c r="AJ69" i="118" s="1"/>
  <c r="AE69" i="118"/>
  <c r="AD69" i="118"/>
  <c r="F69" i="118"/>
  <c r="AC69" i="118"/>
  <c r="AH69" i="118" a="1"/>
  <c r="AH69" i="118" s="1"/>
  <c r="AB69" i="118"/>
  <c r="X69" i="118"/>
  <c r="S69" i="118"/>
  <c r="R69" i="118"/>
  <c r="V69" i="118"/>
  <c r="T69" i="118"/>
  <c r="AF69" i="118"/>
  <c r="AA69" i="118"/>
  <c r="M69" i="118"/>
  <c r="Q69" i="118"/>
  <c r="K69" i="118"/>
  <c r="D69" i="118"/>
  <c r="U69" i="118"/>
  <c r="P69" i="118"/>
  <c r="N69" i="118"/>
  <c r="I69" i="118"/>
  <c r="Z69" i="118" a="1"/>
  <c r="Z69" i="118" s="1"/>
  <c r="W69" i="118"/>
  <c r="J69" i="118"/>
  <c r="O69" i="118"/>
  <c r="H69" i="118"/>
  <c r="E69" i="118"/>
  <c r="G69" i="118"/>
  <c r="C69" i="118"/>
  <c r="L69" i="118"/>
  <c r="AH54" i="118" a="1"/>
  <c r="AH54" i="118" s="1"/>
  <c r="AF54" i="118"/>
  <c r="W54" i="118"/>
  <c r="T54" i="118"/>
  <c r="Q54" i="118"/>
  <c r="N54" i="118"/>
  <c r="K54" i="118"/>
  <c r="H54" i="118"/>
  <c r="AJ54" i="118" a="1"/>
  <c r="AJ54" i="118" s="1"/>
  <c r="AD54" i="118"/>
  <c r="AC54" i="118"/>
  <c r="Z54" i="118" a="1"/>
  <c r="Z54" i="118" s="1"/>
  <c r="X54" i="118"/>
  <c r="S54" i="118"/>
  <c r="R54" i="118"/>
  <c r="AB54" i="118"/>
  <c r="AE54" i="118"/>
  <c r="V54" i="118"/>
  <c r="D54" i="118"/>
  <c r="F54" i="118"/>
  <c r="I54" i="118"/>
  <c r="P54" i="118"/>
  <c r="G54" i="118"/>
  <c r="U54" i="118"/>
  <c r="J54" i="118"/>
  <c r="O54" i="118"/>
  <c r="AA54" i="118"/>
  <c r="L54" i="118"/>
  <c r="M54" i="118"/>
  <c r="E54" i="118"/>
  <c r="C54" i="118"/>
  <c r="AH58" i="118" a="1"/>
  <c r="AH58" i="118" s="1"/>
  <c r="AC58" i="118"/>
  <c r="X58" i="118"/>
  <c r="U58" i="118"/>
  <c r="R58" i="118"/>
  <c r="O58" i="118"/>
  <c r="L58" i="118"/>
  <c r="I58" i="118"/>
  <c r="AF58" i="118"/>
  <c r="AB58" i="118"/>
  <c r="Z58" i="118" a="1"/>
  <c r="Z58" i="118" s="1"/>
  <c r="AD58" i="118"/>
  <c r="Q58" i="118"/>
  <c r="N58" i="118"/>
  <c r="K58" i="118"/>
  <c r="H58" i="118"/>
  <c r="E58" i="118"/>
  <c r="C58" i="118"/>
  <c r="P58" i="118"/>
  <c r="S58" i="118"/>
  <c r="AJ58" i="118" a="1"/>
  <c r="AJ58" i="118" s="1"/>
  <c r="T58" i="118"/>
  <c r="M58" i="118"/>
  <c r="AE58" i="118"/>
  <c r="F58" i="118"/>
  <c r="W58" i="118"/>
  <c r="D58" i="118"/>
  <c r="G58" i="118"/>
  <c r="AA58" i="118"/>
  <c r="J58" i="118"/>
  <c r="V58" i="118"/>
  <c r="P591" i="1"/>
  <c r="I195" i="8" s="1"/>
  <c r="P562" i="1"/>
  <c r="I188" i="8" s="1"/>
  <c r="P603" i="1"/>
  <c r="I197" i="8" s="1"/>
  <c r="P551" i="1"/>
  <c r="I183" i="8" s="1"/>
  <c r="P563" i="1"/>
  <c r="I189" i="8" s="1"/>
  <c r="O573" i="1"/>
  <c r="H322" i="8" s="1"/>
  <c r="F573" i="1"/>
  <c r="U573" i="1" s="1"/>
  <c r="J572" i="1"/>
  <c r="I572" i="1"/>
  <c r="H572" i="1"/>
  <c r="F572" i="1"/>
  <c r="U572" i="1" s="1"/>
  <c r="O571" i="1"/>
  <c r="H193" i="8" s="1"/>
  <c r="J571" i="1"/>
  <c r="G193" i="8" s="1"/>
  <c r="I571" i="1"/>
  <c r="H571" i="1"/>
  <c r="E193" i="8" s="1"/>
  <c r="F571" i="1"/>
  <c r="U571" i="1" s="1"/>
  <c r="J570" i="1"/>
  <c r="I570" i="1"/>
  <c r="H570" i="1"/>
  <c r="F570" i="1"/>
  <c r="U570" i="1" s="1"/>
  <c r="O569" i="1"/>
  <c r="H192" i="8" s="1"/>
  <c r="J569" i="1"/>
  <c r="G192" i="8" s="1"/>
  <c r="I569" i="1"/>
  <c r="H569" i="1"/>
  <c r="E192" i="8" s="1"/>
  <c r="F569" i="1"/>
  <c r="U569" i="1" s="1"/>
  <c r="J568" i="1"/>
  <c r="I568" i="1"/>
  <c r="F61" i="125" s="1" a="1"/>
  <c r="F61" i="125" s="1"/>
  <c r="H568" i="1"/>
  <c r="F568" i="1"/>
  <c r="U568" i="1" s="1"/>
  <c r="O566" i="1"/>
  <c r="H191" i="8" s="1"/>
  <c r="J566" i="1"/>
  <c r="G191" i="8" s="1"/>
  <c r="I566" i="1"/>
  <c r="F191" i="8" s="1"/>
  <c r="H566" i="1"/>
  <c r="E191" i="8" s="1"/>
  <c r="F566" i="1"/>
  <c r="U566" i="1" s="1"/>
  <c r="O565" i="1"/>
  <c r="H190" i="8" s="1"/>
  <c r="J565" i="1"/>
  <c r="G190" i="8" s="1"/>
  <c r="I565" i="1"/>
  <c r="H565" i="1"/>
  <c r="E190" i="8" s="1"/>
  <c r="F565" i="1"/>
  <c r="U565" i="1" s="1"/>
  <c r="J560" i="1"/>
  <c r="I560" i="1"/>
  <c r="H560" i="1"/>
  <c r="F560" i="1"/>
  <c r="U560" i="1" s="1"/>
  <c r="J559" i="1"/>
  <c r="I559" i="1"/>
  <c r="H559" i="1"/>
  <c r="F559" i="1"/>
  <c r="U559" i="1" s="1"/>
  <c r="O558" i="1"/>
  <c r="H187" i="8" s="1"/>
  <c r="J558" i="1"/>
  <c r="G187" i="8" s="1"/>
  <c r="I558" i="1"/>
  <c r="F187" i="8" s="1"/>
  <c r="H558" i="1"/>
  <c r="E187" i="8" s="1"/>
  <c r="F558" i="1"/>
  <c r="U558" i="1" s="1"/>
  <c r="O557" i="1"/>
  <c r="H186" i="8" s="1"/>
  <c r="J557" i="1"/>
  <c r="G186" i="8" s="1"/>
  <c r="I557" i="1"/>
  <c r="F186" i="8" s="1"/>
  <c r="H557" i="1"/>
  <c r="E186" i="8" s="1"/>
  <c r="F557" i="1"/>
  <c r="U557" i="1" s="1"/>
  <c r="O556" i="1"/>
  <c r="H185" i="8" s="1"/>
  <c r="J556" i="1"/>
  <c r="G185" i="8" s="1"/>
  <c r="I556" i="1"/>
  <c r="F185" i="8" s="1"/>
  <c r="H556" i="1"/>
  <c r="E185" i="8" s="1"/>
  <c r="F556" i="1"/>
  <c r="U556" i="1" s="1"/>
  <c r="O555" i="1"/>
  <c r="H184" i="8" s="1"/>
  <c r="J555" i="1"/>
  <c r="G184" i="8" s="1"/>
  <c r="I555" i="1"/>
  <c r="H555" i="1"/>
  <c r="E184" i="8" s="1"/>
  <c r="F555" i="1"/>
  <c r="U555" i="1" s="1"/>
  <c r="J554" i="1"/>
  <c r="I554" i="1"/>
  <c r="H554" i="1"/>
  <c r="J553" i="1"/>
  <c r="I553" i="1"/>
  <c r="H553" i="1"/>
  <c r="F553" i="1"/>
  <c r="U553" i="1" s="1"/>
  <c r="F554" i="1"/>
  <c r="U554" i="1" s="1"/>
  <c r="J552" i="1"/>
  <c r="I552" i="1"/>
  <c r="H552" i="1"/>
  <c r="F552" i="1"/>
  <c r="U552" i="1" s="1"/>
  <c r="O550" i="1"/>
  <c r="H319" i="8" s="1"/>
  <c r="J550" i="1"/>
  <c r="G319" i="8" s="1"/>
  <c r="I550" i="1"/>
  <c r="H550" i="1"/>
  <c r="E319" i="8" s="1"/>
  <c r="F550" i="1"/>
  <c r="U550" i="1" s="1"/>
  <c r="J549" i="1"/>
  <c r="I549" i="1"/>
  <c r="H549" i="1"/>
  <c r="F549" i="1"/>
  <c r="U549" i="1" s="1"/>
  <c r="J548" i="1"/>
  <c r="I548" i="1"/>
  <c r="H548" i="1"/>
  <c r="F548" i="1"/>
  <c r="U548" i="1" s="1"/>
  <c r="O547" i="1"/>
  <c r="H318" i="8" s="1"/>
  <c r="J547" i="1"/>
  <c r="G318" i="8" s="1"/>
  <c r="I547" i="1"/>
  <c r="H547" i="1"/>
  <c r="E318" i="8" s="1"/>
  <c r="F547" i="1"/>
  <c r="U547" i="1" s="1"/>
  <c r="J540" i="1"/>
  <c r="Y53" i="118" s="1"/>
  <c r="I540" i="1"/>
  <c r="H540" i="1"/>
  <c r="F540" i="1"/>
  <c r="U540" i="1" s="1"/>
  <c r="J539" i="1"/>
  <c r="I539" i="1"/>
  <c r="H539" i="1"/>
  <c r="J538" i="1"/>
  <c r="I538" i="1"/>
  <c r="H538" i="1"/>
  <c r="J537" i="1"/>
  <c r="I537" i="1"/>
  <c r="H537" i="1"/>
  <c r="J536" i="1"/>
  <c r="I536" i="1"/>
  <c r="H536" i="1"/>
  <c r="F539" i="1"/>
  <c r="U539" i="1" s="1"/>
  <c r="F538" i="1"/>
  <c r="U538" i="1" s="1"/>
  <c r="F537" i="1"/>
  <c r="U537" i="1" s="1"/>
  <c r="F536" i="1"/>
  <c r="U536" i="1" s="1"/>
  <c r="F535" i="1"/>
  <c r="U535" i="1" s="1"/>
  <c r="C55" i="192" l="1" a="1"/>
  <c r="C55" i="192" s="1"/>
  <c r="D55" i="181" a="1"/>
  <c r="D55" i="181" s="1"/>
  <c r="C55" i="194" a="1"/>
  <c r="C55" i="194" s="1"/>
  <c r="F319" i="8"/>
  <c r="C56" i="192" a="1"/>
  <c r="C56" i="192" s="1"/>
  <c r="C56" i="181" a="1"/>
  <c r="C56" i="181" s="1"/>
  <c r="C56" i="194" a="1"/>
  <c r="C56" i="194" s="1"/>
  <c r="D56" i="181" a="1"/>
  <c r="D56" i="181" s="1"/>
  <c r="C61" i="181" a="1"/>
  <c r="C61" i="181" s="1"/>
  <c r="D61" i="181" a="1"/>
  <c r="D61" i="181" s="1"/>
  <c r="C61" i="194" a="1"/>
  <c r="C61" i="194" s="1"/>
  <c r="C61" i="192" a="1"/>
  <c r="C61" i="192" s="1"/>
  <c r="C62" i="192" a="1"/>
  <c r="C62" i="192" s="1"/>
  <c r="C62" i="194" a="1"/>
  <c r="C62" i="194" s="1"/>
  <c r="C62" i="181" a="1"/>
  <c r="C62" i="181" s="1"/>
  <c r="D62" i="181" a="1"/>
  <c r="D62" i="181" s="1"/>
  <c r="C59" i="181" a="1"/>
  <c r="C59" i="181" s="1"/>
  <c r="C59" i="192" a="1"/>
  <c r="C59" i="192" s="1"/>
  <c r="D59" i="181" a="1"/>
  <c r="D59" i="181" s="1"/>
  <c r="C59" i="194" a="1"/>
  <c r="C59" i="194" s="1"/>
  <c r="J20" i="195"/>
  <c r="J41" i="195" s="1"/>
  <c r="C41" i="195"/>
  <c r="C53" i="192" a="1"/>
  <c r="C53" i="192" s="1"/>
  <c r="D53" i="181" a="1"/>
  <c r="D53" i="181" s="1"/>
  <c r="C53" i="194" a="1"/>
  <c r="C53" i="194" s="1"/>
  <c r="C53" i="181" a="1"/>
  <c r="C53" i="181" s="1"/>
  <c r="C57" i="194" a="1"/>
  <c r="C57" i="194" s="1"/>
  <c r="C57" i="181" a="1"/>
  <c r="C57" i="181" s="1"/>
  <c r="D57" i="181" a="1"/>
  <c r="D57" i="181" s="1"/>
  <c r="C57" i="192" a="1"/>
  <c r="C57" i="192" s="1"/>
  <c r="F53" i="125" a="1"/>
  <c r="F53" i="125" s="1"/>
  <c r="D53" i="125" a="1"/>
  <c r="D53" i="125" s="1"/>
  <c r="C61" i="125" a="1"/>
  <c r="C61" i="125" s="1"/>
  <c r="F318" i="8"/>
  <c r="F55" i="125" a="1"/>
  <c r="F55" i="125" s="1"/>
  <c r="C55" i="125" a="1"/>
  <c r="C55" i="125" s="1"/>
  <c r="E55" i="125" a="1"/>
  <c r="E55" i="125" s="1"/>
  <c r="D55" i="125" a="1"/>
  <c r="D55" i="125" s="1"/>
  <c r="F193" i="8"/>
  <c r="F190" i="8"/>
  <c r="D59" i="125" a="1"/>
  <c r="D59" i="125" s="1"/>
  <c r="E59" i="125" a="1"/>
  <c r="E59" i="125" s="1"/>
  <c r="F59" i="125" a="1"/>
  <c r="F59" i="125" s="1"/>
  <c r="C59" i="125" a="1"/>
  <c r="C59" i="125" s="1"/>
  <c r="F184" i="8"/>
  <c r="C57" i="125" a="1"/>
  <c r="C57" i="125" s="1"/>
  <c r="F57" i="125" a="1"/>
  <c r="F57" i="125" s="1"/>
  <c r="F192" i="8"/>
  <c r="C62" i="125" a="1"/>
  <c r="C62" i="125" s="1"/>
  <c r="F62" i="125" a="1"/>
  <c r="F62" i="125" s="1"/>
  <c r="E62" i="125" a="1"/>
  <c r="E62" i="125" s="1"/>
  <c r="D62" i="125" a="1"/>
  <c r="D62" i="125" s="1"/>
  <c r="AD61" i="118"/>
  <c r="Y61" i="118"/>
  <c r="H47" i="135"/>
  <c r="I59" i="135"/>
  <c r="N25" i="135" s="1"/>
  <c r="H49" i="135"/>
  <c r="H54" i="135"/>
  <c r="G47" i="135"/>
  <c r="G56" i="135"/>
  <c r="G54" i="135"/>
  <c r="G50" i="135"/>
  <c r="G49" i="135"/>
  <c r="G58" i="135"/>
  <c r="H56" i="135"/>
  <c r="H50" i="135"/>
  <c r="D45" i="135"/>
  <c r="P547" i="1"/>
  <c r="I318" i="8" s="1"/>
  <c r="D48" i="135"/>
  <c r="D51" i="135"/>
  <c r="D52" i="135"/>
  <c r="P573" i="1"/>
  <c r="I322" i="8" s="1"/>
  <c r="D46" i="135"/>
  <c r="Y59" i="118"/>
  <c r="H58" i="135"/>
  <c r="G43" i="135"/>
  <c r="H43" i="135"/>
  <c r="H57" i="135"/>
  <c r="G57" i="135"/>
  <c r="G53" i="135"/>
  <c r="H53" i="135"/>
  <c r="G55" i="135"/>
  <c r="H55" i="135"/>
  <c r="H44" i="135"/>
  <c r="G44" i="135"/>
  <c r="Q61" i="118"/>
  <c r="Z61" i="118" a="1"/>
  <c r="Z61" i="118" s="1"/>
  <c r="AA61" i="118"/>
  <c r="AH61" i="118" a="1"/>
  <c r="AH61" i="118" s="1"/>
  <c r="G61" i="118"/>
  <c r="K61" i="118"/>
  <c r="R61" i="118"/>
  <c r="D61" i="118"/>
  <c r="M61" i="118"/>
  <c r="AJ61" i="118" a="1"/>
  <c r="AJ61" i="118" s="1"/>
  <c r="T61" i="118"/>
  <c r="H61" i="118"/>
  <c r="X61" i="118"/>
  <c r="F61" i="118"/>
  <c r="J61" i="118"/>
  <c r="Y56" i="118"/>
  <c r="L61" i="118"/>
  <c r="AC61" i="118"/>
  <c r="C61" i="118"/>
  <c r="W61" i="118"/>
  <c r="AB61" i="118"/>
  <c r="AF61" i="118"/>
  <c r="Y57" i="118"/>
  <c r="AJ53" i="118" a="1"/>
  <c r="AJ53" i="118" s="1"/>
  <c r="Z53" i="118" a="1"/>
  <c r="Z53" i="118" s="1"/>
  <c r="E53" i="118"/>
  <c r="AE53" i="118"/>
  <c r="AC53" i="118"/>
  <c r="X53" i="118"/>
  <c r="S53" i="118"/>
  <c r="AH53" i="118" a="1"/>
  <c r="AH53" i="118" s="1"/>
  <c r="AB53" i="118"/>
  <c r="V53" i="118"/>
  <c r="T53" i="118"/>
  <c r="AA53" i="118"/>
  <c r="AF53" i="118"/>
  <c r="U53" i="118"/>
  <c r="AD53" i="118"/>
  <c r="K53" i="118"/>
  <c r="F53" i="118"/>
  <c r="W53" i="118"/>
  <c r="R53" i="118"/>
  <c r="I53" i="118"/>
  <c r="Q53" i="118"/>
  <c r="P53" i="118"/>
  <c r="N53" i="118"/>
  <c r="G53" i="118"/>
  <c r="L53" i="118"/>
  <c r="O53" i="118"/>
  <c r="H53" i="118"/>
  <c r="M53" i="118"/>
  <c r="D53" i="118"/>
  <c r="J53" i="118"/>
  <c r="C53" i="118"/>
  <c r="S61" i="118"/>
  <c r="O61" i="118"/>
  <c r="V61" i="118"/>
  <c r="E61" i="118"/>
  <c r="N61" i="118"/>
  <c r="AE61" i="118"/>
  <c r="AJ57" i="118" a="1"/>
  <c r="AJ57" i="118" s="1"/>
  <c r="F57" i="118"/>
  <c r="AD57" i="118"/>
  <c r="AH57" i="118" a="1"/>
  <c r="AH57" i="118" s="1"/>
  <c r="U57" i="118"/>
  <c r="AC57" i="118"/>
  <c r="X57" i="118"/>
  <c r="S57" i="118"/>
  <c r="R57" i="118"/>
  <c r="P57" i="118"/>
  <c r="O57" i="118"/>
  <c r="M57" i="118"/>
  <c r="L57" i="118"/>
  <c r="J57" i="118"/>
  <c r="I57" i="118"/>
  <c r="G57" i="118"/>
  <c r="AE57" i="118"/>
  <c r="AB57" i="118"/>
  <c r="AA57" i="118"/>
  <c r="H57" i="118"/>
  <c r="T57" i="118"/>
  <c r="Z57" i="118" a="1"/>
  <c r="Z57" i="118" s="1"/>
  <c r="W57" i="118"/>
  <c r="K57" i="118"/>
  <c r="V57" i="118"/>
  <c r="Q57" i="118"/>
  <c r="N57" i="118"/>
  <c r="AF57" i="118"/>
  <c r="D57" i="118"/>
  <c r="E57" i="118"/>
  <c r="C57" i="118"/>
  <c r="AF55" i="118"/>
  <c r="AC55" i="118"/>
  <c r="AH55" i="118" a="1"/>
  <c r="AH55" i="118" s="1"/>
  <c r="AJ55" i="118" a="1"/>
  <c r="AJ55" i="118" s="1"/>
  <c r="AD55" i="118"/>
  <c r="Q55" i="118"/>
  <c r="X55" i="118"/>
  <c r="AB55" i="118"/>
  <c r="Z55" i="118" a="1"/>
  <c r="Z55" i="118" s="1"/>
  <c r="AE55" i="118"/>
  <c r="V55" i="118"/>
  <c r="T55" i="118"/>
  <c r="M55" i="118"/>
  <c r="K55" i="118"/>
  <c r="D55" i="118"/>
  <c r="W55" i="118"/>
  <c r="F55" i="118"/>
  <c r="R55" i="118"/>
  <c r="S55" i="118"/>
  <c r="N55" i="118"/>
  <c r="I55" i="118"/>
  <c r="P55" i="118"/>
  <c r="AA55" i="118"/>
  <c r="U55" i="118"/>
  <c r="J55" i="118"/>
  <c r="O55" i="118"/>
  <c r="H55" i="118"/>
  <c r="G55" i="118"/>
  <c r="L55" i="118"/>
  <c r="E55" i="118"/>
  <c r="C55" i="118"/>
  <c r="AH62" i="118" a="1"/>
  <c r="AH62" i="118" s="1"/>
  <c r="V62" i="118"/>
  <c r="S62" i="118"/>
  <c r="P62" i="118"/>
  <c r="M62" i="118"/>
  <c r="J62" i="118"/>
  <c r="G62" i="118"/>
  <c r="AE62" i="118"/>
  <c r="AJ62" i="118" a="1"/>
  <c r="AJ62" i="118" s="1"/>
  <c r="T62" i="118"/>
  <c r="AA62" i="118"/>
  <c r="AF62" i="118"/>
  <c r="Z62" i="118" a="1"/>
  <c r="Z62" i="118" s="1"/>
  <c r="W62" i="118"/>
  <c r="AD62" i="118"/>
  <c r="U62" i="118"/>
  <c r="AB62" i="118"/>
  <c r="X62" i="118"/>
  <c r="L62" i="118"/>
  <c r="E62" i="118"/>
  <c r="AC62" i="118"/>
  <c r="O62" i="118"/>
  <c r="H62" i="118"/>
  <c r="R62" i="118"/>
  <c r="Q62" i="118"/>
  <c r="I62" i="118"/>
  <c r="N62" i="118"/>
  <c r="K62" i="118"/>
  <c r="D62" i="118"/>
  <c r="C62" i="118"/>
  <c r="F62" i="118"/>
  <c r="P61" i="118"/>
  <c r="U61" i="118"/>
  <c r="AD59" i="118"/>
  <c r="AA59" i="118"/>
  <c r="AB59" i="118"/>
  <c r="W59" i="118"/>
  <c r="U59" i="118"/>
  <c r="AH59" i="118" a="1"/>
  <c r="AH59" i="118" s="1"/>
  <c r="AC59" i="118"/>
  <c r="D59" i="118"/>
  <c r="R59" i="118"/>
  <c r="Q59" i="118"/>
  <c r="X59" i="118"/>
  <c r="Z59" i="118" a="1"/>
  <c r="Z59" i="118" s="1"/>
  <c r="AJ59" i="118" a="1"/>
  <c r="AJ59" i="118" s="1"/>
  <c r="T59" i="118"/>
  <c r="O59" i="118"/>
  <c r="J59" i="118"/>
  <c r="C59" i="118"/>
  <c r="H59" i="118"/>
  <c r="M59" i="118"/>
  <c r="AE59" i="118"/>
  <c r="K59" i="118"/>
  <c r="F59" i="118"/>
  <c r="S59" i="118"/>
  <c r="V59" i="118"/>
  <c r="AF59" i="118"/>
  <c r="L59" i="118"/>
  <c r="G59" i="118"/>
  <c r="E59" i="118"/>
  <c r="P59" i="118"/>
  <c r="I59" i="118"/>
  <c r="N59" i="118"/>
  <c r="Y55" i="118"/>
  <c r="AE56" i="118"/>
  <c r="AD56" i="118"/>
  <c r="AJ56" i="118" a="1"/>
  <c r="AJ56" i="118" s="1"/>
  <c r="AF56" i="118"/>
  <c r="AH56" i="118" a="1"/>
  <c r="AH56" i="118" s="1"/>
  <c r="U56" i="118"/>
  <c r="AC56" i="118"/>
  <c r="X56" i="118"/>
  <c r="S56" i="118"/>
  <c r="R56" i="118"/>
  <c r="AB56" i="118"/>
  <c r="F56" i="118"/>
  <c r="Z56" i="118" a="1"/>
  <c r="Z56" i="118" s="1"/>
  <c r="V56" i="118"/>
  <c r="AA56" i="118"/>
  <c r="W56" i="118"/>
  <c r="T56" i="118"/>
  <c r="M56" i="118"/>
  <c r="K56" i="118"/>
  <c r="D56" i="118"/>
  <c r="Q56" i="118"/>
  <c r="N56" i="118"/>
  <c r="I56" i="118"/>
  <c r="P56" i="118"/>
  <c r="L56" i="118"/>
  <c r="J56" i="118"/>
  <c r="G56" i="118"/>
  <c r="C56" i="118"/>
  <c r="O56" i="118"/>
  <c r="H56" i="118"/>
  <c r="E56" i="118"/>
  <c r="Y62" i="118"/>
  <c r="I61" i="118"/>
  <c r="P558" i="1"/>
  <c r="I187" i="8" s="1"/>
  <c r="P571" i="1"/>
  <c r="I193" i="8" s="1"/>
  <c r="P565" i="1"/>
  <c r="I190" i="8" s="1"/>
  <c r="P556" i="1"/>
  <c r="I185" i="8" s="1"/>
  <c r="P557" i="1"/>
  <c r="I186" i="8" s="1"/>
  <c r="P550" i="1"/>
  <c r="I319" i="8" s="1"/>
  <c r="P555" i="1"/>
  <c r="I184" i="8" s="1"/>
  <c r="P569" i="1"/>
  <c r="I192" i="8" s="1"/>
  <c r="P566" i="1"/>
  <c r="I191" i="8" s="1"/>
  <c r="J534" i="1"/>
  <c r="I534" i="1"/>
  <c r="H534" i="1"/>
  <c r="F534" i="1"/>
  <c r="U534" i="1" s="1"/>
  <c r="J533" i="1"/>
  <c r="I533" i="1"/>
  <c r="H533" i="1"/>
  <c r="F533" i="1"/>
  <c r="U533" i="1" s="1"/>
  <c r="J532" i="1"/>
  <c r="I532" i="1"/>
  <c r="H532" i="1"/>
  <c r="F532" i="1"/>
  <c r="U532" i="1" s="1"/>
  <c r="O531" i="1"/>
  <c r="H182" i="8" s="1"/>
  <c r="J531" i="1"/>
  <c r="G182" i="8" s="1"/>
  <c r="I531" i="1"/>
  <c r="H531" i="1"/>
  <c r="E182" i="8" s="1"/>
  <c r="F531" i="1"/>
  <c r="U531" i="1" s="1"/>
  <c r="J530" i="1"/>
  <c r="Y50" i="118" s="1"/>
  <c r="I530" i="1"/>
  <c r="H530" i="1"/>
  <c r="F530" i="1"/>
  <c r="U530" i="1" s="1"/>
  <c r="O529" i="1"/>
  <c r="H181" i="8" s="1"/>
  <c r="J529" i="1"/>
  <c r="G181" i="8" s="1"/>
  <c r="I529" i="1"/>
  <c r="F181" i="8" s="1"/>
  <c r="H529" i="1"/>
  <c r="E181" i="8" s="1"/>
  <c r="F529" i="1"/>
  <c r="U529" i="1" s="1"/>
  <c r="O528" i="1"/>
  <c r="H180" i="8" s="1"/>
  <c r="J528" i="1"/>
  <c r="G180" i="8" s="1"/>
  <c r="I528" i="1"/>
  <c r="F180" i="8" s="1"/>
  <c r="H528" i="1"/>
  <c r="E180" i="8" s="1"/>
  <c r="F528" i="1"/>
  <c r="U528" i="1" s="1"/>
  <c r="J527" i="1"/>
  <c r="I527" i="1"/>
  <c r="H527" i="1"/>
  <c r="F527" i="1"/>
  <c r="U527" i="1" s="1"/>
  <c r="O526" i="1"/>
  <c r="H179" i="8" s="1"/>
  <c r="F526" i="1"/>
  <c r="U526" i="1" s="1"/>
  <c r="J526" i="1"/>
  <c r="G179" i="8" s="1"/>
  <c r="I526" i="1"/>
  <c r="H526" i="1"/>
  <c r="E179" i="8" s="1"/>
  <c r="J525" i="1"/>
  <c r="I525" i="1"/>
  <c r="H525" i="1"/>
  <c r="F525" i="1"/>
  <c r="U525" i="1" s="1"/>
  <c r="J524" i="1"/>
  <c r="I524" i="1"/>
  <c r="H524" i="1"/>
  <c r="J523" i="1"/>
  <c r="I523" i="1"/>
  <c r="H523" i="1"/>
  <c r="J522" i="1"/>
  <c r="I522" i="1"/>
  <c r="H522" i="1"/>
  <c r="F524" i="1"/>
  <c r="U524" i="1" s="1"/>
  <c r="F523" i="1"/>
  <c r="U523" i="1" s="1"/>
  <c r="F522" i="1"/>
  <c r="U522" i="1" s="1"/>
  <c r="F521" i="1"/>
  <c r="U521" i="1" s="1"/>
  <c r="O520" i="1"/>
  <c r="H317" i="8" s="1"/>
  <c r="J520" i="1"/>
  <c r="G317" i="8" s="1"/>
  <c r="I520" i="1"/>
  <c r="F317" i="8" s="1"/>
  <c r="H520" i="1"/>
  <c r="E317" i="8" s="1"/>
  <c r="F520" i="1"/>
  <c r="U520" i="1" s="1"/>
  <c r="O519" i="1"/>
  <c r="H316" i="8" s="1"/>
  <c r="J519" i="1"/>
  <c r="G316" i="8" s="1"/>
  <c r="I519" i="1"/>
  <c r="H519" i="1"/>
  <c r="E316" i="8" s="1"/>
  <c r="F519" i="1"/>
  <c r="U519" i="1" s="1"/>
  <c r="O518" i="1"/>
  <c r="H315" i="8" s="1"/>
  <c r="J518" i="1"/>
  <c r="G315" i="8" s="1"/>
  <c r="I518" i="1"/>
  <c r="F315" i="8" s="1"/>
  <c r="H518" i="1"/>
  <c r="E315" i="8" s="1"/>
  <c r="F518" i="1"/>
  <c r="U518" i="1" s="1"/>
  <c r="O517" i="1"/>
  <c r="H314" i="8" s="1"/>
  <c r="J517" i="1"/>
  <c r="G314" i="8" s="1"/>
  <c r="I517" i="1"/>
  <c r="H517" i="1"/>
  <c r="E314" i="8" s="1"/>
  <c r="F517" i="1"/>
  <c r="U517" i="1" s="1"/>
  <c r="J516" i="1"/>
  <c r="I516" i="1"/>
  <c r="H516" i="1"/>
  <c r="F516" i="1"/>
  <c r="U516" i="1" s="1"/>
  <c r="O515" i="1"/>
  <c r="H313" i="8" s="1"/>
  <c r="J515" i="1"/>
  <c r="G313" i="8" s="1"/>
  <c r="I515" i="1"/>
  <c r="H515" i="1"/>
  <c r="E313" i="8" s="1"/>
  <c r="F515" i="1"/>
  <c r="U515" i="1" s="1"/>
  <c r="J514" i="1"/>
  <c r="I514" i="1"/>
  <c r="H514" i="1"/>
  <c r="F514" i="1"/>
  <c r="U514" i="1" s="1"/>
  <c r="J513" i="1"/>
  <c r="I513" i="1"/>
  <c r="H513" i="1"/>
  <c r="F513" i="1"/>
  <c r="U513" i="1" s="1"/>
  <c r="O512" i="1"/>
  <c r="H178" i="8" s="1"/>
  <c r="J512" i="1"/>
  <c r="G178" i="8" s="1"/>
  <c r="I512" i="1"/>
  <c r="H512" i="1"/>
  <c r="E178" i="8" s="1"/>
  <c r="F512" i="1"/>
  <c r="U512" i="1" s="1"/>
  <c r="O511" i="1"/>
  <c r="H177" i="8" s="1"/>
  <c r="F511" i="1"/>
  <c r="U511" i="1" s="1"/>
  <c r="J511" i="1"/>
  <c r="G177" i="8" s="1"/>
  <c r="I511" i="1"/>
  <c r="F177" i="8" s="1"/>
  <c r="H511" i="1"/>
  <c r="E177" i="8" s="1"/>
  <c r="J510" i="1"/>
  <c r="I510" i="1"/>
  <c r="H510" i="1"/>
  <c r="J509" i="1"/>
  <c r="I509" i="1"/>
  <c r="H509" i="1"/>
  <c r="J508" i="1"/>
  <c r="I508" i="1"/>
  <c r="H508" i="1"/>
  <c r="J507" i="1"/>
  <c r="I507" i="1"/>
  <c r="H507" i="1"/>
  <c r="F510" i="1"/>
  <c r="U510" i="1" s="1"/>
  <c r="F509" i="1"/>
  <c r="U509" i="1" s="1"/>
  <c r="F508" i="1"/>
  <c r="U508" i="1" s="1"/>
  <c r="F507" i="1"/>
  <c r="U507" i="1" s="1"/>
  <c r="F506" i="1"/>
  <c r="U506" i="1" s="1"/>
  <c r="O505" i="1"/>
  <c r="H312" i="8" s="1"/>
  <c r="J505" i="1"/>
  <c r="G312" i="8" s="1"/>
  <c r="I505" i="1"/>
  <c r="F312" i="8" s="1"/>
  <c r="H505" i="1"/>
  <c r="E312" i="8" s="1"/>
  <c r="F505" i="1"/>
  <c r="U505" i="1" s="1"/>
  <c r="O504" i="1"/>
  <c r="H176" i="8" s="1"/>
  <c r="J504" i="1"/>
  <c r="G176" i="8" s="1"/>
  <c r="I504" i="1"/>
  <c r="H504" i="1"/>
  <c r="E176" i="8" s="1"/>
  <c r="F504" i="1"/>
  <c r="U504" i="1" s="1"/>
  <c r="O503" i="1"/>
  <c r="H175" i="8" s="1"/>
  <c r="J503" i="1"/>
  <c r="G175" i="8" s="1"/>
  <c r="I503" i="1"/>
  <c r="F175" i="8" s="1"/>
  <c r="H503" i="1"/>
  <c r="E175" i="8" s="1"/>
  <c r="F503" i="1"/>
  <c r="U503" i="1" s="1"/>
  <c r="O480" i="1"/>
  <c r="H169" i="8" s="1"/>
  <c r="J480" i="1"/>
  <c r="G169" i="8" s="1"/>
  <c r="I480" i="1"/>
  <c r="F169" i="8" s="1"/>
  <c r="H480" i="1"/>
  <c r="E169" i="8" s="1"/>
  <c r="F480" i="1"/>
  <c r="U480" i="1" s="1"/>
  <c r="O479" i="1"/>
  <c r="H309" i="8" s="1"/>
  <c r="J479" i="1"/>
  <c r="G309" i="8" s="1"/>
  <c r="I479" i="1"/>
  <c r="F309" i="8" s="1"/>
  <c r="H479" i="1"/>
  <c r="E309" i="8" s="1"/>
  <c r="F479" i="1"/>
  <c r="U479" i="1" s="1"/>
  <c r="O477" i="1"/>
  <c r="H308" i="8" s="1"/>
  <c r="J477" i="1"/>
  <c r="G308" i="8" s="1"/>
  <c r="I477" i="1"/>
  <c r="F308" i="8" s="1"/>
  <c r="H477" i="1"/>
  <c r="E308" i="8" s="1"/>
  <c r="F477" i="1"/>
  <c r="U477" i="1" s="1"/>
  <c r="O476" i="1"/>
  <c r="H307" i="8" s="1"/>
  <c r="J476" i="1"/>
  <c r="G307" i="8" s="1"/>
  <c r="I476" i="1"/>
  <c r="H476" i="1"/>
  <c r="E307" i="8" s="1"/>
  <c r="F476" i="1"/>
  <c r="U476" i="1" s="1"/>
  <c r="O475" i="1"/>
  <c r="H168" i="8" s="1"/>
  <c r="J475" i="1"/>
  <c r="G168" i="8" s="1"/>
  <c r="I475" i="1"/>
  <c r="H475" i="1"/>
  <c r="E168" i="8" s="1"/>
  <c r="F475" i="1"/>
  <c r="U475" i="1" s="1"/>
  <c r="O474" i="1"/>
  <c r="H306" i="8" s="1"/>
  <c r="J474" i="1"/>
  <c r="G306" i="8" s="1"/>
  <c r="I474" i="1"/>
  <c r="F306" i="8" s="1"/>
  <c r="H474" i="1"/>
  <c r="E306" i="8" s="1"/>
  <c r="F474" i="1"/>
  <c r="U474" i="1" s="1"/>
  <c r="F176" i="8" l="1"/>
  <c r="C44" i="194" a="1"/>
  <c r="C44" i="194" s="1"/>
  <c r="C44" i="181" a="1"/>
  <c r="C44" i="181" s="1"/>
  <c r="D44" i="181" a="1"/>
  <c r="D44" i="181" s="1"/>
  <c r="C44" i="192" a="1"/>
  <c r="C44" i="192" s="1"/>
  <c r="D45" i="181" a="1"/>
  <c r="D45" i="181" s="1"/>
  <c r="C45" i="192" a="1"/>
  <c r="C45" i="192" s="1"/>
  <c r="C45" i="181" a="1"/>
  <c r="C45" i="181" s="1"/>
  <c r="C45" i="194" a="1"/>
  <c r="C45" i="194" s="1"/>
  <c r="F316" i="8"/>
  <c r="D48" i="181" a="1"/>
  <c r="D48" i="181" s="1"/>
  <c r="C48" i="194" a="1"/>
  <c r="C48" i="194" s="1"/>
  <c r="C48" i="181" a="1"/>
  <c r="C48" i="181" s="1"/>
  <c r="C48" i="192" a="1"/>
  <c r="C48" i="192" s="1"/>
  <c r="C51" i="192" a="1"/>
  <c r="C51" i="192" s="1"/>
  <c r="C51" i="181" a="1"/>
  <c r="C51" i="181" s="1"/>
  <c r="C51" i="194" a="1"/>
  <c r="C51" i="194" s="1"/>
  <c r="C32" i="181" a="1"/>
  <c r="C32" i="181" s="1"/>
  <c r="C32" i="194" a="1"/>
  <c r="C32" i="194" s="1"/>
  <c r="D32" i="181" a="1"/>
  <c r="D32" i="181" s="1"/>
  <c r="C32" i="192" a="1"/>
  <c r="C32" i="192" s="1"/>
  <c r="C77" i="182" a="1"/>
  <c r="C77" i="182" s="1"/>
  <c r="E73" i="182" a="1"/>
  <c r="E73" i="182" s="1"/>
  <c r="C70" i="182" a="1"/>
  <c r="C70" i="182" s="1"/>
  <c r="D66" i="182" a="1"/>
  <c r="D66" i="182" s="1"/>
  <c r="F62" i="182" a="1"/>
  <c r="F62" i="182" s="1"/>
  <c r="D59" i="182" a="1"/>
  <c r="D59" i="182" s="1"/>
  <c r="F55" i="182" a="1"/>
  <c r="F55" i="182" s="1"/>
  <c r="E48" i="182" a="1"/>
  <c r="E48" i="182" s="1"/>
  <c r="C45" i="182" a="1"/>
  <c r="C45" i="182" s="1"/>
  <c r="E41" i="182" a="1"/>
  <c r="E41" i="182" s="1"/>
  <c r="E37" i="182" a="1"/>
  <c r="E37" i="182" s="1"/>
  <c r="E33" i="182" a="1"/>
  <c r="E33" i="182" s="1"/>
  <c r="E29" i="182" a="1"/>
  <c r="E29" i="182" s="1"/>
  <c r="F76" i="182" a="1"/>
  <c r="F76" i="182" s="1"/>
  <c r="D73" i="182" a="1"/>
  <c r="D73" i="182" s="1"/>
  <c r="F69" i="182" a="1"/>
  <c r="F69" i="182" s="1"/>
  <c r="E62" i="182" a="1"/>
  <c r="E62" i="182" s="1"/>
  <c r="C59" i="182" a="1"/>
  <c r="C59" i="182" s="1"/>
  <c r="E55" i="182" a="1"/>
  <c r="E55" i="182" s="1"/>
  <c r="C52" i="182" a="1"/>
  <c r="C52" i="182" s="1"/>
  <c r="D48" i="182" a="1"/>
  <c r="D48" i="182" s="1"/>
  <c r="F44" i="182" a="1"/>
  <c r="F44" i="182" s="1"/>
  <c r="D41" i="182" a="1"/>
  <c r="D41" i="182" s="1"/>
  <c r="D37" i="182" a="1"/>
  <c r="D37" i="182" s="1"/>
  <c r="D33" i="182" a="1"/>
  <c r="D33" i="182" s="1"/>
  <c r="D29" i="182" a="1"/>
  <c r="D29" i="182" s="1"/>
  <c r="D25" i="182" a="1"/>
  <c r="D25" i="182" s="1"/>
  <c r="D21" i="182" a="1"/>
  <c r="D21" i="182" s="1"/>
  <c r="D17" i="182" a="1"/>
  <c r="D17" i="182" s="1"/>
  <c r="D13" i="182" a="1"/>
  <c r="D13" i="182" s="1"/>
  <c r="D9" i="182" a="1"/>
  <c r="D9" i="182" s="1"/>
  <c r="E76" i="182" a="1"/>
  <c r="E76" i="182" s="1"/>
  <c r="C73" i="182" a="1"/>
  <c r="C73" i="182" s="1"/>
  <c r="E69" i="182" a="1"/>
  <c r="E69" i="182" s="1"/>
  <c r="C66" i="182" a="1"/>
  <c r="C66" i="182" s="1"/>
  <c r="D62" i="182" a="1"/>
  <c r="D62" i="182" s="1"/>
  <c r="F58" i="182" a="1"/>
  <c r="F58" i="182" s="1"/>
  <c r="D55" i="182" a="1"/>
  <c r="D55" i="182" s="1"/>
  <c r="F51" i="182" a="1"/>
  <c r="F51" i="182" s="1"/>
  <c r="E44" i="182" a="1"/>
  <c r="E44" i="182" s="1"/>
  <c r="C41" i="182" a="1"/>
  <c r="C41" i="182" s="1"/>
  <c r="C37" i="182" a="1"/>
  <c r="C37" i="182" s="1"/>
  <c r="C33" i="182" a="1"/>
  <c r="C33" i="182" s="1"/>
  <c r="C29" i="182" a="1"/>
  <c r="C29" i="182" s="1"/>
  <c r="C25" i="182" a="1"/>
  <c r="C25" i="182" s="1"/>
  <c r="C21" i="182" a="1"/>
  <c r="C21" i="182" s="1"/>
  <c r="C17" i="182" a="1"/>
  <c r="C17" i="182" s="1"/>
  <c r="C13" i="182" a="1"/>
  <c r="C13" i="182" s="1"/>
  <c r="C9" i="182" a="1"/>
  <c r="C9" i="182" s="1"/>
  <c r="D76" i="182" a="1"/>
  <c r="D76" i="182" s="1"/>
  <c r="F72" i="182" a="1"/>
  <c r="F72" i="182" s="1"/>
  <c r="D69" i="182" a="1"/>
  <c r="D69" i="182" s="1"/>
  <c r="F65" i="182" a="1"/>
  <c r="F65" i="182" s="1"/>
  <c r="E58" i="182" a="1"/>
  <c r="E58" i="182" s="1"/>
  <c r="C55" i="182" a="1"/>
  <c r="C55" i="182" s="1"/>
  <c r="E51" i="182" a="1"/>
  <c r="E51" i="182" s="1"/>
  <c r="F79" i="182" a="1"/>
  <c r="F79" i="182" s="1"/>
  <c r="E72" i="182" a="1"/>
  <c r="E72" i="182" s="1"/>
  <c r="C69" i="182" a="1"/>
  <c r="C69" i="182" s="1"/>
  <c r="E65" i="182" a="1"/>
  <c r="E65" i="182" s="1"/>
  <c r="C62" i="182" a="1"/>
  <c r="C62" i="182" s="1"/>
  <c r="D58" i="182" a="1"/>
  <c r="D58" i="182" s="1"/>
  <c r="F54" i="182" a="1"/>
  <c r="F54" i="182" s="1"/>
  <c r="D51" i="182" a="1"/>
  <c r="D51" i="182" s="1"/>
  <c r="F47" i="182" a="1"/>
  <c r="F47" i="182" s="1"/>
  <c r="E40" i="182" a="1"/>
  <c r="E40" i="182" s="1"/>
  <c r="E36" i="182" a="1"/>
  <c r="E36" i="182" s="1"/>
  <c r="E32" i="182" a="1"/>
  <c r="E32" i="182" s="1"/>
  <c r="E28" i="182" a="1"/>
  <c r="E28" i="182" s="1"/>
  <c r="E24" i="182" a="1"/>
  <c r="E24" i="182" s="1"/>
  <c r="E20" i="182" a="1"/>
  <c r="E20" i="182" s="1"/>
  <c r="E16" i="182" a="1"/>
  <c r="E16" i="182" s="1"/>
  <c r="E79" i="182" a="1"/>
  <c r="E79" i="182" s="1"/>
  <c r="C76" i="182" a="1"/>
  <c r="C76" i="182" s="1"/>
  <c r="D72" i="182" a="1"/>
  <c r="D72" i="182" s="1"/>
  <c r="F68" i="182" a="1"/>
  <c r="F68" i="182" s="1"/>
  <c r="D65" i="182" a="1"/>
  <c r="D65" i="182" s="1"/>
  <c r="F61" i="182" a="1"/>
  <c r="F61" i="182" s="1"/>
  <c r="E54" i="182" a="1"/>
  <c r="E54" i="182" s="1"/>
  <c r="C51" i="182" a="1"/>
  <c r="C51" i="182" s="1"/>
  <c r="E47" i="182" a="1"/>
  <c r="E47" i="182" s="1"/>
  <c r="C44" i="182" a="1"/>
  <c r="C44" i="182" s="1"/>
  <c r="D40" i="182" a="1"/>
  <c r="D40" i="182" s="1"/>
  <c r="D36" i="182" a="1"/>
  <c r="D36" i="182" s="1"/>
  <c r="D32" i="182" a="1"/>
  <c r="D32" i="182" s="1"/>
  <c r="D28" i="182" a="1"/>
  <c r="D28" i="182" s="1"/>
  <c r="D24" i="182" a="1"/>
  <c r="D24" i="182" s="1"/>
  <c r="D20" i="182" a="1"/>
  <c r="D20" i="182" s="1"/>
  <c r="D16" i="182" a="1"/>
  <c r="D16" i="182" s="1"/>
  <c r="D79" i="182" a="1"/>
  <c r="D79" i="182" s="1"/>
  <c r="F75" i="182" a="1"/>
  <c r="F75" i="182" s="1"/>
  <c r="E68" i="182" a="1"/>
  <c r="E68" i="182" s="1"/>
  <c r="C65" i="182" a="1"/>
  <c r="C65" i="182" s="1"/>
  <c r="E61" i="182" a="1"/>
  <c r="E61" i="182" s="1"/>
  <c r="C58" i="182" a="1"/>
  <c r="C58" i="182" s="1"/>
  <c r="D54" i="182" a="1"/>
  <c r="D54" i="182" s="1"/>
  <c r="F50" i="182" a="1"/>
  <c r="F50" i="182" s="1"/>
  <c r="D47" i="182" a="1"/>
  <c r="D47" i="182" s="1"/>
  <c r="F43" i="182" a="1"/>
  <c r="F43" i="182" s="1"/>
  <c r="C40" i="182" a="1"/>
  <c r="C40" i="182" s="1"/>
  <c r="C36" i="182" a="1"/>
  <c r="C36" i="182" s="1"/>
  <c r="C32" i="182" a="1"/>
  <c r="C32" i="182" s="1"/>
  <c r="C28" i="182" a="1"/>
  <c r="C28" i="182" s="1"/>
  <c r="C24" i="182" a="1"/>
  <c r="C24" i="182" s="1"/>
  <c r="C20" i="182" a="1"/>
  <c r="C20" i="182" s="1"/>
  <c r="C16" i="182" a="1"/>
  <c r="C16" i="182" s="1"/>
  <c r="C12" i="182" a="1"/>
  <c r="C12" i="182" s="1"/>
  <c r="C8" i="182" a="1"/>
  <c r="C8" i="182" s="1"/>
  <c r="F78" i="182" a="1"/>
  <c r="F78" i="182" s="1"/>
  <c r="D75" i="182" a="1"/>
  <c r="D75" i="182" s="1"/>
  <c r="F71" i="182" a="1"/>
  <c r="F71" i="182" s="1"/>
  <c r="E64" i="182" a="1"/>
  <c r="E64" i="182" s="1"/>
  <c r="C61" i="182" a="1"/>
  <c r="C61" i="182" s="1"/>
  <c r="E57" i="182" a="1"/>
  <c r="E57" i="182" s="1"/>
  <c r="C54" i="182" a="1"/>
  <c r="C54" i="182" s="1"/>
  <c r="D50" i="182" a="1"/>
  <c r="D50" i="182" s="1"/>
  <c r="F46" i="182" a="1"/>
  <c r="F46" i="182" s="1"/>
  <c r="D43" i="182" a="1"/>
  <c r="D43" i="182" s="1"/>
  <c r="E78" i="182" a="1"/>
  <c r="E78" i="182" s="1"/>
  <c r="C75" i="182" a="1"/>
  <c r="C75" i="182" s="1"/>
  <c r="E71" i="182" a="1"/>
  <c r="E71" i="182" s="1"/>
  <c r="C68" i="182" a="1"/>
  <c r="C68" i="182" s="1"/>
  <c r="D64" i="182" a="1"/>
  <c r="D64" i="182" s="1"/>
  <c r="F60" i="182" a="1"/>
  <c r="F60" i="182" s="1"/>
  <c r="D57" i="182" a="1"/>
  <c r="D57" i="182" s="1"/>
  <c r="F53" i="182" a="1"/>
  <c r="F53" i="182" s="1"/>
  <c r="E46" i="182" a="1"/>
  <c r="E46" i="182" s="1"/>
  <c r="C43" i="182" a="1"/>
  <c r="C43" i="182" s="1"/>
  <c r="D39" i="182" a="1"/>
  <c r="D39" i="182" s="1"/>
  <c r="D35" i="182" a="1"/>
  <c r="D35" i="182" s="1"/>
  <c r="D31" i="182" a="1"/>
  <c r="D31" i="182" s="1"/>
  <c r="D27" i="182" a="1"/>
  <c r="D27" i="182" s="1"/>
  <c r="D23" i="182" a="1"/>
  <c r="D23" i="182" s="1"/>
  <c r="D19" i="182" a="1"/>
  <c r="D19" i="182" s="1"/>
  <c r="D15" i="182" a="1"/>
  <c r="D15" i="182" s="1"/>
  <c r="D11" i="182" a="1"/>
  <c r="D11" i="182" s="1"/>
  <c r="D7" i="182" a="1"/>
  <c r="D7" i="182" s="1"/>
  <c r="D78" i="182" a="1"/>
  <c r="D78" i="182" s="1"/>
  <c r="F74" i="182" a="1"/>
  <c r="F74" i="182" s="1"/>
  <c r="D71" i="182" a="1"/>
  <c r="D71" i="182" s="1"/>
  <c r="F67" i="182" a="1"/>
  <c r="F67" i="182" s="1"/>
  <c r="E60" i="182" a="1"/>
  <c r="E60" i="182" s="1"/>
  <c r="C57" i="182" a="1"/>
  <c r="C57" i="182" s="1"/>
  <c r="E53" i="182" a="1"/>
  <c r="E53" i="182" s="1"/>
  <c r="C50" i="182" a="1"/>
  <c r="C50" i="182" s="1"/>
  <c r="D46" i="182" a="1"/>
  <c r="D46" i="182" s="1"/>
  <c r="F42" i="182" a="1"/>
  <c r="F42" i="182" s="1"/>
  <c r="C39" i="182" a="1"/>
  <c r="C39" i="182" s="1"/>
  <c r="C35" i="182" a="1"/>
  <c r="C35" i="182" s="1"/>
  <c r="C31" i="182" a="1"/>
  <c r="C31" i="182" s="1"/>
  <c r="C27" i="182" a="1"/>
  <c r="C27" i="182" s="1"/>
  <c r="C23" i="182" a="1"/>
  <c r="C23" i="182" s="1"/>
  <c r="C19" i="182" a="1"/>
  <c r="C19" i="182" s="1"/>
  <c r="C15" i="182" a="1"/>
  <c r="C15" i="182" s="1"/>
  <c r="C11" i="182" a="1"/>
  <c r="C11" i="182" s="1"/>
  <c r="C7" i="182" a="1"/>
  <c r="C7" i="182" s="1"/>
  <c r="F77" i="182" a="1"/>
  <c r="F77" i="182" s="1"/>
  <c r="E70" i="182" a="1"/>
  <c r="E70" i="182" s="1"/>
  <c r="C67" i="182" a="1"/>
  <c r="C67" i="182" s="1"/>
  <c r="E63" i="182" a="1"/>
  <c r="E63" i="182" s="1"/>
  <c r="C60" i="182" a="1"/>
  <c r="C60" i="182" s="1"/>
  <c r="D56" i="182" a="1"/>
  <c r="D56" i="182" s="1"/>
  <c r="F52" i="182" a="1"/>
  <c r="F52" i="182" s="1"/>
  <c r="D49" i="182" a="1"/>
  <c r="D49" i="182" s="1"/>
  <c r="F45" i="182" a="1"/>
  <c r="F45" i="182" s="1"/>
  <c r="D38" i="182" a="1"/>
  <c r="D38" i="182" s="1"/>
  <c r="C79" i="182" a="1"/>
  <c r="C79" i="182" s="1"/>
  <c r="E67" i="182" a="1"/>
  <c r="E67" i="182" s="1"/>
  <c r="E56" i="182" a="1"/>
  <c r="E56" i="182" s="1"/>
  <c r="C46" i="182" a="1"/>
  <c r="C46" i="182" s="1"/>
  <c r="F36" i="182" a="1"/>
  <c r="F36" i="182" s="1"/>
  <c r="F28" i="182" a="1"/>
  <c r="F28" i="182" s="1"/>
  <c r="F21" i="182" a="1"/>
  <c r="F21" i="182" s="1"/>
  <c r="D14" i="182" a="1"/>
  <c r="D14" i="182" s="1"/>
  <c r="E8" i="182" a="1"/>
  <c r="E8" i="182" s="1"/>
  <c r="E17" i="182" a="1"/>
  <c r="E17" i="182" s="1"/>
  <c r="D67" i="182" a="1"/>
  <c r="D67" i="182" s="1"/>
  <c r="E45" i="182" a="1"/>
  <c r="E45" i="182" s="1"/>
  <c r="F35" i="182" a="1"/>
  <c r="F35" i="182" s="1"/>
  <c r="F27" i="182" a="1"/>
  <c r="F27" i="182" s="1"/>
  <c r="E21" i="182" a="1"/>
  <c r="E21" i="182" s="1"/>
  <c r="C14" i="182" a="1"/>
  <c r="C14" i="182" s="1"/>
  <c r="D8" i="182" a="1"/>
  <c r="D8" i="182" s="1"/>
  <c r="D60" i="182" a="1"/>
  <c r="D60" i="182" s="1"/>
  <c r="C78" i="182" a="1"/>
  <c r="C78" i="182" s="1"/>
  <c r="F66" i="182" a="1"/>
  <c r="F66" i="182" s="1"/>
  <c r="C56" i="182" a="1"/>
  <c r="C56" i="182" s="1"/>
  <c r="D45" i="182" a="1"/>
  <c r="D45" i="182" s="1"/>
  <c r="E35" i="182" a="1"/>
  <c r="E35" i="182" s="1"/>
  <c r="E27" i="182" a="1"/>
  <c r="E27" i="182" s="1"/>
  <c r="F20" i="182" a="1"/>
  <c r="F20" i="182" s="1"/>
  <c r="F13" i="182" a="1"/>
  <c r="F13" i="182" s="1"/>
  <c r="F7" i="182" a="1"/>
  <c r="F7" i="182" s="1"/>
  <c r="E77" i="182" a="1"/>
  <c r="E77" i="182" s="1"/>
  <c r="E66" i="182" a="1"/>
  <c r="E66" i="182" s="1"/>
  <c r="D44" i="182" a="1"/>
  <c r="D44" i="182" s="1"/>
  <c r="F34" i="182" a="1"/>
  <c r="F34" i="182" s="1"/>
  <c r="F26" i="182" a="1"/>
  <c r="F26" i="182" s="1"/>
  <c r="F19" i="182" a="1"/>
  <c r="F19" i="182" s="1"/>
  <c r="E13" i="182" a="1"/>
  <c r="E13" i="182" s="1"/>
  <c r="E7" i="182" a="1"/>
  <c r="E7" i="182" s="1"/>
  <c r="F39" i="182" a="1"/>
  <c r="F39" i="182" s="1"/>
  <c r="D77" i="182" a="1"/>
  <c r="D77" i="182" s="1"/>
  <c r="F64" i="182" a="1"/>
  <c r="F64" i="182" s="1"/>
  <c r="D53" i="182" a="1"/>
  <c r="D53" i="182" s="1"/>
  <c r="E43" i="182" a="1"/>
  <c r="E43" i="182" s="1"/>
  <c r="E34" i="182" a="1"/>
  <c r="E34" i="182" s="1"/>
  <c r="E26" i="182" a="1"/>
  <c r="E26" i="182" s="1"/>
  <c r="E19" i="182" a="1"/>
  <c r="E19" i="182" s="1"/>
  <c r="F12" i="182" a="1"/>
  <c r="F12" i="182" s="1"/>
  <c r="E31" i="182" a="1"/>
  <c r="E31" i="182" s="1"/>
  <c r="E75" i="182" a="1"/>
  <c r="E75" i="182" s="1"/>
  <c r="C64" i="182" a="1"/>
  <c r="C64" i="182" s="1"/>
  <c r="C53" i="182" a="1"/>
  <c r="C53" i="182" s="1"/>
  <c r="E42" i="182" a="1"/>
  <c r="E42" i="182" s="1"/>
  <c r="D34" i="182" a="1"/>
  <c r="D34" i="182" s="1"/>
  <c r="D26" i="182" a="1"/>
  <c r="D26" i="182" s="1"/>
  <c r="F18" i="182" a="1"/>
  <c r="F18" i="182" s="1"/>
  <c r="E12" i="182" a="1"/>
  <c r="E12" i="182" s="1"/>
  <c r="E74" i="182" a="1"/>
  <c r="E74" i="182" s="1"/>
  <c r="F63" i="182" a="1"/>
  <c r="F63" i="182" s="1"/>
  <c r="E52" i="182" a="1"/>
  <c r="E52" i="182" s="1"/>
  <c r="D42" i="182" a="1"/>
  <c r="D42" i="182" s="1"/>
  <c r="C34" i="182" a="1"/>
  <c r="C34" i="182" s="1"/>
  <c r="C26" i="182" a="1"/>
  <c r="C26" i="182" s="1"/>
  <c r="E18" i="182" a="1"/>
  <c r="E18" i="182" s="1"/>
  <c r="D12" i="182" a="1"/>
  <c r="D12" i="182" s="1"/>
  <c r="E49" i="182" a="1"/>
  <c r="E49" i="182" s="1"/>
  <c r="D74" i="182" a="1"/>
  <c r="D74" i="182" s="1"/>
  <c r="D63" i="182" a="1"/>
  <c r="D63" i="182" s="1"/>
  <c r="D52" i="182" a="1"/>
  <c r="D52" i="182" s="1"/>
  <c r="C42" i="182" a="1"/>
  <c r="C42" i="182" s="1"/>
  <c r="F33" i="182" a="1"/>
  <c r="F33" i="182" s="1"/>
  <c r="F25" i="182" a="1"/>
  <c r="F25" i="182" s="1"/>
  <c r="D18" i="182" a="1"/>
  <c r="D18" i="182" s="1"/>
  <c r="F11" i="182" a="1"/>
  <c r="F11" i="182" s="1"/>
  <c r="F23" i="182" a="1"/>
  <c r="F23" i="182" s="1"/>
  <c r="C74" i="182" a="1"/>
  <c r="C74" i="182" s="1"/>
  <c r="C63" i="182" a="1"/>
  <c r="C63" i="182" s="1"/>
  <c r="E50" i="182" a="1"/>
  <c r="E50" i="182" s="1"/>
  <c r="F41" i="182" a="1"/>
  <c r="F41" i="182" s="1"/>
  <c r="F32" i="182" a="1"/>
  <c r="F32" i="182" s="1"/>
  <c r="E25" i="182" a="1"/>
  <c r="E25" i="182" s="1"/>
  <c r="C18" i="182" a="1"/>
  <c r="C18" i="182" s="1"/>
  <c r="E11" i="182" a="1"/>
  <c r="E11" i="182" s="1"/>
  <c r="F73" i="182" a="1"/>
  <c r="F73" i="182" s="1"/>
  <c r="D61" i="182" a="1"/>
  <c r="D61" i="182" s="1"/>
  <c r="F49" i="182" a="1"/>
  <c r="F49" i="182" s="1"/>
  <c r="F40" i="182" a="1"/>
  <c r="F40" i="182" s="1"/>
  <c r="F31" i="182" a="1"/>
  <c r="F31" i="182" s="1"/>
  <c r="F24" i="182" a="1"/>
  <c r="F24" i="182" s="1"/>
  <c r="F17" i="182" a="1"/>
  <c r="F17" i="182" s="1"/>
  <c r="F10" i="182" a="1"/>
  <c r="F10" i="182" s="1"/>
  <c r="C72" i="182" a="1"/>
  <c r="C72" i="182" s="1"/>
  <c r="E10" i="182" a="1"/>
  <c r="E10" i="182" s="1"/>
  <c r="C71" i="182" a="1"/>
  <c r="C71" i="182" s="1"/>
  <c r="C49" i="182" a="1"/>
  <c r="C49" i="182" s="1"/>
  <c r="E39" i="182" a="1"/>
  <c r="E39" i="182" s="1"/>
  <c r="F30" i="182" a="1"/>
  <c r="F30" i="182" s="1"/>
  <c r="E23" i="182" a="1"/>
  <c r="E23" i="182" s="1"/>
  <c r="F16" i="182" a="1"/>
  <c r="F16" i="182" s="1"/>
  <c r="D10" i="182" a="1"/>
  <c r="D10" i="182" s="1"/>
  <c r="D22" i="182" a="1"/>
  <c r="D22" i="182" s="1"/>
  <c r="F70" i="182" a="1"/>
  <c r="F70" i="182" s="1"/>
  <c r="F59" i="182" a="1"/>
  <c r="F59" i="182" s="1"/>
  <c r="F48" i="182" a="1"/>
  <c r="F48" i="182" s="1"/>
  <c r="F38" i="182" a="1"/>
  <c r="F38" i="182" s="1"/>
  <c r="E30" i="182" a="1"/>
  <c r="E30" i="182" s="1"/>
  <c r="F22" i="182" a="1"/>
  <c r="F22" i="182" s="1"/>
  <c r="F15" i="182" a="1"/>
  <c r="F15" i="182" s="1"/>
  <c r="C10" i="182" a="1"/>
  <c r="C10" i="182" s="1"/>
  <c r="C30" i="182" a="1"/>
  <c r="C30" i="182" s="1"/>
  <c r="D70" i="182" a="1"/>
  <c r="D70" i="182" s="1"/>
  <c r="E59" i="182" a="1"/>
  <c r="E59" i="182" s="1"/>
  <c r="C48" i="182" a="1"/>
  <c r="C48" i="182" s="1"/>
  <c r="E38" i="182" a="1"/>
  <c r="E38" i="182" s="1"/>
  <c r="D30" i="182" a="1"/>
  <c r="D30" i="182" s="1"/>
  <c r="E22" i="182" a="1"/>
  <c r="E22" i="182" s="1"/>
  <c r="E15" i="182" a="1"/>
  <c r="E15" i="182" s="1"/>
  <c r="F9" i="182" a="1"/>
  <c r="F9" i="182" s="1"/>
  <c r="C47" i="182" a="1"/>
  <c r="C47" i="182" s="1"/>
  <c r="E9" i="182" a="1"/>
  <c r="E9" i="182" s="1"/>
  <c r="F57" i="182" a="1"/>
  <c r="F57" i="182" s="1"/>
  <c r="C38" i="182" a="1"/>
  <c r="C38" i="182" s="1"/>
  <c r="F14" i="182" a="1"/>
  <c r="F14" i="182" s="1"/>
  <c r="D68" i="182" a="1"/>
  <c r="D68" i="182" s="1"/>
  <c r="F56" i="182" a="1"/>
  <c r="F56" i="182" s="1"/>
  <c r="F37" i="182" a="1"/>
  <c r="F37" i="182" s="1"/>
  <c r="F29" i="182" a="1"/>
  <c r="F29" i="182" s="1"/>
  <c r="C22" i="182" a="1"/>
  <c r="C22" i="182" s="1"/>
  <c r="E14" i="182" a="1"/>
  <c r="E14" i="182" s="1"/>
  <c r="F8" i="182" a="1"/>
  <c r="F8" i="182" s="1"/>
  <c r="C50" i="194" a="1"/>
  <c r="C50" i="194" s="1"/>
  <c r="C50" i="192" a="1"/>
  <c r="C50" i="192" s="1"/>
  <c r="C50" i="181" a="1"/>
  <c r="C50" i="181" s="1"/>
  <c r="D50" i="181" a="1"/>
  <c r="D50" i="181" s="1"/>
  <c r="C33" i="192" a="1"/>
  <c r="C33" i="192" s="1"/>
  <c r="D33" i="181" a="1"/>
  <c r="D33" i="181" s="1"/>
  <c r="C33" i="194" a="1"/>
  <c r="C33" i="194" s="1"/>
  <c r="C33" i="181" a="1"/>
  <c r="C33" i="181" s="1"/>
  <c r="C49" i="194" a="1"/>
  <c r="C49" i="194" s="1"/>
  <c r="D49" i="181" a="1"/>
  <c r="D49" i="181" s="1"/>
  <c r="C49" i="181" a="1"/>
  <c r="C49" i="181" s="1"/>
  <c r="C49" i="192" a="1"/>
  <c r="C49" i="192" s="1"/>
  <c r="C52" i="194" a="1"/>
  <c r="C52" i="194" s="1"/>
  <c r="C52" i="181" a="1"/>
  <c r="C52" i="181" s="1"/>
  <c r="C52" i="192" a="1"/>
  <c r="C52" i="192" s="1"/>
  <c r="D52" i="181" a="1"/>
  <c r="D52" i="181" s="1"/>
  <c r="C46" i="192" a="1"/>
  <c r="C46" i="192" s="1"/>
  <c r="C46" i="194" a="1"/>
  <c r="C46" i="194" s="1"/>
  <c r="C46" i="181" a="1"/>
  <c r="C46" i="181" s="1"/>
  <c r="D46" i="181" a="1"/>
  <c r="D46" i="181" s="1"/>
  <c r="D47" i="181" a="1"/>
  <c r="D47" i="181" s="1"/>
  <c r="C47" i="181" a="1"/>
  <c r="C47" i="181" s="1"/>
  <c r="C47" i="194" a="1"/>
  <c r="C47" i="194" s="1"/>
  <c r="C47" i="192" a="1"/>
  <c r="C47" i="192" s="1"/>
  <c r="F168" i="8"/>
  <c r="E32" i="125" a="1"/>
  <c r="E32" i="125" s="1"/>
  <c r="F314" i="8"/>
  <c r="F47" i="125" a="1"/>
  <c r="F47" i="125" s="1"/>
  <c r="C47" i="125" a="1"/>
  <c r="C47" i="125" s="1"/>
  <c r="E47" i="125" a="1"/>
  <c r="E47" i="125" s="1"/>
  <c r="D47" i="125" a="1"/>
  <c r="D47" i="125" s="1"/>
  <c r="F182" i="8"/>
  <c r="F51" i="125" a="1"/>
  <c r="F51" i="125" s="1"/>
  <c r="C51" i="125" a="1"/>
  <c r="C51" i="125" s="1"/>
  <c r="E51" i="125" a="1"/>
  <c r="E51" i="125" s="1"/>
  <c r="D51" i="125" a="1"/>
  <c r="D51" i="125" s="1"/>
  <c r="F307" i="8"/>
  <c r="F33" i="125" a="1"/>
  <c r="F33" i="125" s="1"/>
  <c r="E33" i="125" a="1"/>
  <c r="E33" i="125" s="1"/>
  <c r="M23" i="135"/>
  <c r="F179" i="8"/>
  <c r="D49" i="125" a="1"/>
  <c r="D49" i="125" s="1"/>
  <c r="F49" i="125" a="1"/>
  <c r="F49" i="125" s="1"/>
  <c r="F313" i="8"/>
  <c r="C46" i="125" a="1"/>
  <c r="C46" i="125" s="1"/>
  <c r="F46" i="125" a="1"/>
  <c r="F46" i="125" s="1"/>
  <c r="D46" i="125" a="1"/>
  <c r="D46" i="125" s="1"/>
  <c r="E46" i="125" a="1"/>
  <c r="E46" i="125" s="1"/>
  <c r="C50" i="125" a="1"/>
  <c r="C50" i="125" s="1"/>
  <c r="F50" i="125" a="1"/>
  <c r="F50" i="125" s="1"/>
  <c r="E50" i="125" a="1"/>
  <c r="E50" i="125" s="1"/>
  <c r="D50" i="125" a="1"/>
  <c r="D50" i="125" s="1"/>
  <c r="F178" i="8"/>
  <c r="F45" i="125" a="1"/>
  <c r="F45" i="125" s="1"/>
  <c r="D45" i="125" a="1"/>
  <c r="D45" i="125" s="1"/>
  <c r="L23" i="135"/>
  <c r="L24" i="135"/>
  <c r="M24" i="135"/>
  <c r="M20" i="135"/>
  <c r="L20" i="135"/>
  <c r="I47" i="135"/>
  <c r="I56" i="135"/>
  <c r="I54" i="135"/>
  <c r="I49" i="135"/>
  <c r="I58" i="135"/>
  <c r="I50" i="135"/>
  <c r="H51" i="135"/>
  <c r="H48" i="135"/>
  <c r="H45" i="135"/>
  <c r="G51" i="135"/>
  <c r="G45" i="135"/>
  <c r="G52" i="135"/>
  <c r="G48" i="135"/>
  <c r="G46" i="135"/>
  <c r="H46" i="135"/>
  <c r="H52" i="135"/>
  <c r="D25" i="135"/>
  <c r="P476" i="1"/>
  <c r="I307" i="8" s="1"/>
  <c r="D35" i="135"/>
  <c r="P505" i="1"/>
  <c r="I312" i="8" s="1"/>
  <c r="D38" i="135"/>
  <c r="P518" i="1"/>
  <c r="I315" i="8" s="1"/>
  <c r="D27" i="135"/>
  <c r="P479" i="1"/>
  <c r="I309" i="8" s="1"/>
  <c r="D34" i="135"/>
  <c r="P504" i="1"/>
  <c r="I176" i="8" s="1"/>
  <c r="D36" i="135"/>
  <c r="P515" i="1"/>
  <c r="I313" i="8" s="1"/>
  <c r="D37" i="135"/>
  <c r="P517" i="1"/>
  <c r="I314" i="8" s="1"/>
  <c r="D40" i="135"/>
  <c r="P520" i="1"/>
  <c r="I317" i="8" s="1"/>
  <c r="P529" i="1"/>
  <c r="I181" i="8" s="1"/>
  <c r="D24" i="135"/>
  <c r="P474" i="1"/>
  <c r="I306" i="8" s="1"/>
  <c r="D26" i="135"/>
  <c r="P477" i="1"/>
  <c r="I308" i="8" s="1"/>
  <c r="D39" i="135"/>
  <c r="P519" i="1"/>
  <c r="I316" i="8" s="1"/>
  <c r="D41" i="135"/>
  <c r="P526" i="1"/>
  <c r="I179" i="8" s="1"/>
  <c r="Y32" i="118"/>
  <c r="I43" i="135"/>
  <c r="I55" i="135"/>
  <c r="I57" i="135"/>
  <c r="I44" i="135"/>
  <c r="I53" i="135"/>
  <c r="D42" i="135"/>
  <c r="Y52" i="118"/>
  <c r="Y47" i="118"/>
  <c r="Y51" i="118"/>
  <c r="Y49" i="118"/>
  <c r="Y46" i="118"/>
  <c r="AH45" i="118" a="1"/>
  <c r="AH45" i="118" s="1"/>
  <c r="AJ45" i="118" a="1"/>
  <c r="AJ45" i="118" s="1"/>
  <c r="AC45" i="118"/>
  <c r="F45" i="118"/>
  <c r="AD45" i="118"/>
  <c r="AA45" i="118"/>
  <c r="W45" i="118"/>
  <c r="Z45" i="118" a="1"/>
  <c r="Z45" i="118" s="1"/>
  <c r="AF45" i="118"/>
  <c r="U45" i="118"/>
  <c r="Q45" i="118"/>
  <c r="N45" i="118"/>
  <c r="K45" i="118"/>
  <c r="H45" i="118"/>
  <c r="E45" i="118"/>
  <c r="S45" i="118"/>
  <c r="R45" i="118"/>
  <c r="P45" i="118"/>
  <c r="T45" i="118"/>
  <c r="J45" i="118"/>
  <c r="C45" i="118"/>
  <c r="AE45" i="118"/>
  <c r="O45" i="118"/>
  <c r="V45" i="118"/>
  <c r="M45" i="118"/>
  <c r="D45" i="118"/>
  <c r="G45" i="118"/>
  <c r="X45" i="118"/>
  <c r="L45" i="118"/>
  <c r="AB45" i="118"/>
  <c r="I45" i="118"/>
  <c r="Y45" i="118"/>
  <c r="AJ46" i="118" a="1"/>
  <c r="AJ46" i="118" s="1"/>
  <c r="AB46" i="118"/>
  <c r="AA46" i="118"/>
  <c r="X46" i="118"/>
  <c r="U46" i="118"/>
  <c r="R46" i="118"/>
  <c r="O46" i="118"/>
  <c r="L46" i="118"/>
  <c r="I46" i="118"/>
  <c r="AF46" i="118"/>
  <c r="W46" i="118"/>
  <c r="Z46" i="118" a="1"/>
  <c r="Z46" i="118" s="1"/>
  <c r="D46" i="118"/>
  <c r="C46" i="118"/>
  <c r="AD46" i="118"/>
  <c r="Q46" i="118"/>
  <c r="AH46" i="118" a="1"/>
  <c r="AH46" i="118" s="1"/>
  <c r="V46" i="118"/>
  <c r="J46" i="118"/>
  <c r="AE46" i="118"/>
  <c r="H46" i="118"/>
  <c r="M46" i="118"/>
  <c r="K46" i="118"/>
  <c r="F46" i="118"/>
  <c r="AC46" i="118"/>
  <c r="N46" i="118"/>
  <c r="P46" i="118"/>
  <c r="T46" i="118"/>
  <c r="G46" i="118"/>
  <c r="S46" i="118"/>
  <c r="E46" i="118"/>
  <c r="AD47" i="118"/>
  <c r="AA47" i="118"/>
  <c r="AJ47" i="118" a="1"/>
  <c r="AJ47" i="118" s="1"/>
  <c r="AH47" i="118" a="1"/>
  <c r="AH47" i="118" s="1"/>
  <c r="AE47" i="118"/>
  <c r="W47" i="118"/>
  <c r="AF47" i="118"/>
  <c r="Z47" i="118" a="1"/>
  <c r="Z47" i="118" s="1"/>
  <c r="U47" i="118"/>
  <c r="AB47" i="118"/>
  <c r="S47" i="118"/>
  <c r="E47" i="118"/>
  <c r="O47" i="118"/>
  <c r="J47" i="118"/>
  <c r="H47" i="118"/>
  <c r="V47" i="118"/>
  <c r="M47" i="118"/>
  <c r="I47" i="118"/>
  <c r="AC47" i="118"/>
  <c r="R47" i="118"/>
  <c r="N47" i="118"/>
  <c r="Q47" i="118"/>
  <c r="P47" i="118"/>
  <c r="C47" i="118"/>
  <c r="D47" i="118"/>
  <c r="G47" i="118"/>
  <c r="L47" i="118"/>
  <c r="T47" i="118"/>
  <c r="K47" i="118"/>
  <c r="F47" i="118"/>
  <c r="X47" i="118"/>
  <c r="Y33" i="118"/>
  <c r="AB33" i="118"/>
  <c r="AA33" i="118"/>
  <c r="F33" i="118"/>
  <c r="C33" i="118"/>
  <c r="AJ33" i="118" a="1"/>
  <c r="AJ33" i="118" s="1"/>
  <c r="AE33" i="118"/>
  <c r="W33" i="118"/>
  <c r="D33" i="118"/>
  <c r="Q33" i="118"/>
  <c r="U33" i="118"/>
  <c r="P33" i="118"/>
  <c r="AH33" i="118" a="1"/>
  <c r="AH33" i="118" s="1"/>
  <c r="AD33" i="118"/>
  <c r="AC33" i="118"/>
  <c r="X33" i="118"/>
  <c r="V33" i="118"/>
  <c r="L33" i="118"/>
  <c r="E33" i="118"/>
  <c r="J33" i="118"/>
  <c r="Z33" i="118" a="1"/>
  <c r="Z33" i="118" s="1"/>
  <c r="R33" i="118"/>
  <c r="AF33" i="118"/>
  <c r="O33" i="118"/>
  <c r="H33" i="118"/>
  <c r="M33" i="118"/>
  <c r="T33" i="118"/>
  <c r="S33" i="118"/>
  <c r="N33" i="118"/>
  <c r="I33" i="118"/>
  <c r="G33" i="118"/>
  <c r="K33" i="118"/>
  <c r="AJ44" i="118" a="1"/>
  <c r="AJ44" i="118" s="1"/>
  <c r="AF44" i="118"/>
  <c r="AB44" i="118"/>
  <c r="Z44" i="118" a="1"/>
  <c r="Z44" i="118" s="1"/>
  <c r="U44" i="118"/>
  <c r="AD44" i="118"/>
  <c r="S44" i="118"/>
  <c r="R44" i="118"/>
  <c r="P44" i="118"/>
  <c r="O44" i="118"/>
  <c r="M44" i="118"/>
  <c r="L44" i="118"/>
  <c r="J44" i="118"/>
  <c r="I44" i="118"/>
  <c r="G44" i="118"/>
  <c r="AC44" i="118"/>
  <c r="X44" i="118"/>
  <c r="AE44" i="118"/>
  <c r="H44" i="118"/>
  <c r="V44" i="118"/>
  <c r="K44" i="118"/>
  <c r="F44" i="118"/>
  <c r="D44" i="118"/>
  <c r="AA44" i="118"/>
  <c r="T44" i="118"/>
  <c r="Q44" i="118"/>
  <c r="E44" i="118"/>
  <c r="N44" i="118"/>
  <c r="AH44" i="118" a="1"/>
  <c r="AH44" i="118" s="1"/>
  <c r="W44" i="118"/>
  <c r="C44" i="118"/>
  <c r="Y44" i="118"/>
  <c r="AJ50" i="118" a="1"/>
  <c r="AJ50" i="118" s="1"/>
  <c r="V50" i="118"/>
  <c r="S50" i="118"/>
  <c r="P50" i="118"/>
  <c r="M50" i="118"/>
  <c r="J50" i="118"/>
  <c r="G50" i="118"/>
  <c r="AE50" i="118"/>
  <c r="Z50" i="118" a="1"/>
  <c r="Z50" i="118" s="1"/>
  <c r="X50" i="118"/>
  <c r="W50" i="118"/>
  <c r="U50" i="118"/>
  <c r="T50" i="118"/>
  <c r="AA50" i="118"/>
  <c r="AD50" i="118"/>
  <c r="R50" i="118"/>
  <c r="Q50" i="118"/>
  <c r="AH50" i="118" a="1"/>
  <c r="AH50" i="118" s="1"/>
  <c r="N50" i="118"/>
  <c r="L50" i="118"/>
  <c r="E50" i="118"/>
  <c r="C50" i="118"/>
  <c r="O50" i="118"/>
  <c r="AF50" i="118"/>
  <c r="AB50" i="118"/>
  <c r="K50" i="118"/>
  <c r="F50" i="118"/>
  <c r="AC50" i="118"/>
  <c r="H50" i="118"/>
  <c r="D50" i="118"/>
  <c r="I50" i="118"/>
  <c r="AE51" i="118"/>
  <c r="AB51" i="118"/>
  <c r="AC51" i="118"/>
  <c r="AA51" i="118"/>
  <c r="AJ51" i="118" a="1"/>
  <c r="AJ51" i="118" s="1"/>
  <c r="V51" i="118"/>
  <c r="T51" i="118"/>
  <c r="W51" i="118"/>
  <c r="AD51" i="118"/>
  <c r="Z51" i="118" a="1"/>
  <c r="Z51" i="118" s="1"/>
  <c r="X51" i="118"/>
  <c r="R51" i="118"/>
  <c r="I51" i="118"/>
  <c r="AH51" i="118" a="1"/>
  <c r="AH51" i="118" s="1"/>
  <c r="Q51" i="118"/>
  <c r="P51" i="118"/>
  <c r="N51" i="118"/>
  <c r="S51" i="118"/>
  <c r="G51" i="118"/>
  <c r="L51" i="118"/>
  <c r="E51" i="118"/>
  <c r="J51" i="118"/>
  <c r="C51" i="118"/>
  <c r="O51" i="118"/>
  <c r="U51" i="118"/>
  <c r="M51" i="118"/>
  <c r="K51" i="118"/>
  <c r="F51" i="118"/>
  <c r="AF51" i="118"/>
  <c r="H51" i="118"/>
  <c r="D51" i="118"/>
  <c r="AH52" i="118" a="1"/>
  <c r="AH52" i="118" s="1"/>
  <c r="AB52" i="118"/>
  <c r="V52" i="118"/>
  <c r="AE52" i="118"/>
  <c r="T52" i="118"/>
  <c r="AA52" i="118"/>
  <c r="AJ52" i="118" a="1"/>
  <c r="AJ52" i="118" s="1"/>
  <c r="AF52" i="118"/>
  <c r="W52" i="118"/>
  <c r="Z52" i="118" a="1"/>
  <c r="Z52" i="118" s="1"/>
  <c r="X52" i="118"/>
  <c r="R52" i="118"/>
  <c r="I52" i="118"/>
  <c r="Q52" i="118"/>
  <c r="P52" i="118"/>
  <c r="N52" i="118"/>
  <c r="S52" i="118"/>
  <c r="G52" i="118"/>
  <c r="L52" i="118"/>
  <c r="E52" i="118"/>
  <c r="H52" i="118"/>
  <c r="M52" i="118"/>
  <c r="J52" i="118"/>
  <c r="U52" i="118"/>
  <c r="O52" i="118"/>
  <c r="C52" i="118"/>
  <c r="D52" i="118"/>
  <c r="AC52" i="118"/>
  <c r="AD52" i="118"/>
  <c r="K52" i="118"/>
  <c r="F52" i="118"/>
  <c r="AC32" i="118"/>
  <c r="AJ32" i="118" a="1"/>
  <c r="AJ32" i="118" s="1"/>
  <c r="AF32" i="118"/>
  <c r="AE32" i="118"/>
  <c r="W32" i="118"/>
  <c r="AA32" i="118"/>
  <c r="U32" i="118"/>
  <c r="Q32" i="118"/>
  <c r="P32" i="118"/>
  <c r="N32" i="118"/>
  <c r="M32" i="118"/>
  <c r="K32" i="118"/>
  <c r="J32" i="118"/>
  <c r="H32" i="118"/>
  <c r="G32" i="118"/>
  <c r="E32" i="118"/>
  <c r="S32" i="118"/>
  <c r="R32" i="118"/>
  <c r="AB32" i="118"/>
  <c r="Z32" i="118" a="1"/>
  <c r="Z32" i="118" s="1"/>
  <c r="O32" i="118"/>
  <c r="T32" i="118"/>
  <c r="AD32" i="118"/>
  <c r="AH32" i="118" a="1"/>
  <c r="AH32" i="118" s="1"/>
  <c r="I32" i="118"/>
  <c r="V32" i="118"/>
  <c r="D32" i="118"/>
  <c r="C32" i="118"/>
  <c r="F32" i="118"/>
  <c r="L32" i="118"/>
  <c r="X32" i="118"/>
  <c r="AJ49" i="118" a="1"/>
  <c r="AJ49" i="118" s="1"/>
  <c r="D49" i="118"/>
  <c r="V49" i="118"/>
  <c r="AE49" i="118"/>
  <c r="T49" i="118"/>
  <c r="AA49" i="118"/>
  <c r="W49" i="118"/>
  <c r="AF49" i="118"/>
  <c r="AH49" i="118" a="1"/>
  <c r="AH49" i="118" s="1"/>
  <c r="AC49" i="118"/>
  <c r="X49" i="118"/>
  <c r="S49" i="118"/>
  <c r="Q49" i="118"/>
  <c r="P49" i="118"/>
  <c r="L49" i="118"/>
  <c r="G49" i="118"/>
  <c r="E49" i="118"/>
  <c r="O49" i="118"/>
  <c r="J49" i="118"/>
  <c r="H49" i="118"/>
  <c r="U49" i="118"/>
  <c r="AB49" i="118"/>
  <c r="K49" i="118"/>
  <c r="F49" i="118"/>
  <c r="AD49" i="118"/>
  <c r="I49" i="118"/>
  <c r="R49" i="118"/>
  <c r="C49" i="118"/>
  <c r="M49" i="118"/>
  <c r="Z49" i="118" a="1"/>
  <c r="Z49" i="118" s="1"/>
  <c r="N49" i="118"/>
  <c r="AJ48" i="118" a="1"/>
  <c r="AJ48" i="118" s="1"/>
  <c r="AE48" i="118"/>
  <c r="AH48" i="118" a="1"/>
  <c r="AH48" i="118" s="1"/>
  <c r="T48" i="118"/>
  <c r="AA48" i="118"/>
  <c r="W48" i="118"/>
  <c r="AF48" i="118"/>
  <c r="U48" i="118"/>
  <c r="Z48" i="118" a="1"/>
  <c r="Z48" i="118" s="1"/>
  <c r="AC48" i="118"/>
  <c r="X48" i="118"/>
  <c r="AB48" i="118"/>
  <c r="L48" i="118"/>
  <c r="G48" i="118"/>
  <c r="S48" i="118"/>
  <c r="E48" i="118"/>
  <c r="O48" i="118"/>
  <c r="J48" i="118"/>
  <c r="H48" i="118"/>
  <c r="V48" i="118"/>
  <c r="M48" i="118"/>
  <c r="AD48" i="118"/>
  <c r="I48" i="118"/>
  <c r="R48" i="118"/>
  <c r="N48" i="118"/>
  <c r="C48" i="118"/>
  <c r="P48" i="118"/>
  <c r="F48" i="118"/>
  <c r="K48" i="118"/>
  <c r="Q48" i="118"/>
  <c r="D48" i="118"/>
  <c r="Y48" i="118"/>
  <c r="P528" i="1"/>
  <c r="I180" i="8" s="1"/>
  <c r="P475" i="1"/>
  <c r="I168" i="8" s="1"/>
  <c r="P503" i="1"/>
  <c r="I175" i="8" s="1"/>
  <c r="P531" i="1"/>
  <c r="I182" i="8" s="1"/>
  <c r="P480" i="1"/>
  <c r="I169" i="8" s="1"/>
  <c r="P511" i="1"/>
  <c r="I177" i="8" s="1"/>
  <c r="P512" i="1"/>
  <c r="I178" i="8" s="1"/>
  <c r="O502" i="1"/>
  <c r="H174" i="8" s="1"/>
  <c r="J502" i="1"/>
  <c r="G174" i="8" s="1"/>
  <c r="I502" i="1"/>
  <c r="H502" i="1"/>
  <c r="E174" i="8" s="1"/>
  <c r="F502" i="1"/>
  <c r="U502" i="1" s="1"/>
  <c r="J501" i="1"/>
  <c r="G173" i="8" s="1"/>
  <c r="I501" i="1"/>
  <c r="F173" i="8" s="1"/>
  <c r="H501" i="1"/>
  <c r="E173" i="8" s="1"/>
  <c r="F501" i="1"/>
  <c r="U501" i="1" s="1"/>
  <c r="P501" i="1" s="1"/>
  <c r="I173" i="8" s="1"/>
  <c r="J500" i="1"/>
  <c r="I500" i="1"/>
  <c r="H500" i="1"/>
  <c r="J499" i="1"/>
  <c r="I499" i="1"/>
  <c r="H499" i="1"/>
  <c r="F500" i="1"/>
  <c r="U500" i="1" s="1"/>
  <c r="F499" i="1"/>
  <c r="U499" i="1" s="1"/>
  <c r="F498" i="1"/>
  <c r="U498" i="1" s="1"/>
  <c r="J497" i="1"/>
  <c r="I497" i="1"/>
  <c r="H497" i="1"/>
  <c r="F497" i="1"/>
  <c r="U497" i="1" s="1"/>
  <c r="J496" i="1"/>
  <c r="G172" i="8" s="1"/>
  <c r="I496" i="1"/>
  <c r="H496" i="1"/>
  <c r="E172" i="8" s="1"/>
  <c r="O496" i="1"/>
  <c r="H172" i="8" s="1"/>
  <c r="F496" i="1"/>
  <c r="U496" i="1" s="1"/>
  <c r="O495" i="1"/>
  <c r="H171" i="8" s="1"/>
  <c r="J495" i="1"/>
  <c r="G171" i="8" s="1"/>
  <c r="I495" i="1"/>
  <c r="F171" i="8" s="1"/>
  <c r="H495" i="1"/>
  <c r="E171" i="8" s="1"/>
  <c r="F495" i="1"/>
  <c r="U495" i="1" s="1"/>
  <c r="O494" i="1"/>
  <c r="H311" i="8" s="1"/>
  <c r="J494" i="1"/>
  <c r="G311" i="8" s="1"/>
  <c r="I494" i="1"/>
  <c r="F311" i="8" s="1"/>
  <c r="H494" i="1"/>
  <c r="E311" i="8" s="1"/>
  <c r="F494" i="1"/>
  <c r="U494" i="1" s="1"/>
  <c r="O493" i="1"/>
  <c r="H170" i="8" s="1"/>
  <c r="J493" i="1"/>
  <c r="G170" i="8" s="1"/>
  <c r="I493" i="1"/>
  <c r="H493" i="1"/>
  <c r="E170" i="8" s="1"/>
  <c r="F493" i="1"/>
  <c r="U493" i="1" s="1"/>
  <c r="J492" i="1"/>
  <c r="I492" i="1"/>
  <c r="H492" i="1"/>
  <c r="F492" i="1"/>
  <c r="U492" i="1" s="1"/>
  <c r="J491" i="1"/>
  <c r="I491" i="1"/>
  <c r="H491" i="1"/>
  <c r="F491" i="1"/>
  <c r="U491" i="1" s="1"/>
  <c r="F490" i="1"/>
  <c r="U490" i="1" s="1"/>
  <c r="J490" i="1"/>
  <c r="Y39" i="118" s="1"/>
  <c r="I490" i="1"/>
  <c r="H490" i="1"/>
  <c r="J489" i="1"/>
  <c r="I489" i="1"/>
  <c r="H489" i="1"/>
  <c r="F489" i="1"/>
  <c r="U489" i="1" s="1"/>
  <c r="J488" i="1"/>
  <c r="I488" i="1"/>
  <c r="H488" i="1"/>
  <c r="F488" i="1"/>
  <c r="U488" i="1" s="1"/>
  <c r="J487" i="1"/>
  <c r="I487" i="1"/>
  <c r="H487" i="1"/>
  <c r="F487" i="1"/>
  <c r="U487" i="1" s="1"/>
  <c r="J486" i="1"/>
  <c r="I486" i="1"/>
  <c r="H486" i="1"/>
  <c r="F486" i="1"/>
  <c r="U486" i="1" s="1"/>
  <c r="J485" i="1"/>
  <c r="I485" i="1"/>
  <c r="H485" i="1"/>
  <c r="F485" i="1"/>
  <c r="U485" i="1" s="1"/>
  <c r="O484" i="1"/>
  <c r="H310" i="8" s="1"/>
  <c r="J484" i="1"/>
  <c r="G310" i="8" s="1"/>
  <c r="I484" i="1"/>
  <c r="H484" i="1"/>
  <c r="E310" i="8" s="1"/>
  <c r="F484" i="1"/>
  <c r="U484" i="1" s="1"/>
  <c r="J483" i="1"/>
  <c r="I483" i="1"/>
  <c r="H483" i="1"/>
  <c r="F483" i="1"/>
  <c r="U483" i="1" s="1"/>
  <c r="J482" i="1"/>
  <c r="I482" i="1"/>
  <c r="H482" i="1"/>
  <c r="F482" i="1"/>
  <c r="U482" i="1" s="1"/>
  <c r="J481" i="1"/>
  <c r="I481" i="1"/>
  <c r="H481" i="1"/>
  <c r="F481" i="1"/>
  <c r="U481" i="1" s="1"/>
  <c r="J478" i="1"/>
  <c r="Y34" i="118" s="1"/>
  <c r="I478" i="1"/>
  <c r="H478" i="1"/>
  <c r="F478" i="1"/>
  <c r="U478" i="1" s="1"/>
  <c r="D36" i="181" l="1" a="1"/>
  <c r="D36" i="181" s="1"/>
  <c r="C36" i="194" a="1"/>
  <c r="C36" i="194" s="1"/>
  <c r="C36" i="181" a="1"/>
  <c r="C36" i="181" s="1"/>
  <c r="C36" i="192" a="1"/>
  <c r="C36" i="192" s="1"/>
  <c r="E81" i="182"/>
  <c r="D81" i="182"/>
  <c r="C37" i="181" a="1"/>
  <c r="C37" i="181" s="1"/>
  <c r="C37" i="192" a="1"/>
  <c r="C37" i="192" s="1"/>
  <c r="C37" i="194" a="1"/>
  <c r="C37" i="194" s="1"/>
  <c r="D37" i="181" a="1"/>
  <c r="D37" i="181" s="1"/>
  <c r="D43" i="181" a="1"/>
  <c r="D43" i="181" s="1"/>
  <c r="C43" i="192" a="1"/>
  <c r="C43" i="192" s="1"/>
  <c r="C43" i="194" a="1"/>
  <c r="C43" i="194" s="1"/>
  <c r="D39" i="181" a="1"/>
  <c r="D39" i="181" s="1"/>
  <c r="C39" i="194" a="1"/>
  <c r="C39" i="194" s="1"/>
  <c r="C39" i="181" a="1"/>
  <c r="C39" i="181" s="1"/>
  <c r="C39" i="192" a="1"/>
  <c r="C39" i="192" s="1"/>
  <c r="C40" i="192" a="1"/>
  <c r="C40" i="192" s="1"/>
  <c r="D40" i="181" a="1"/>
  <c r="D40" i="181" s="1"/>
  <c r="C40" i="194" a="1"/>
  <c r="C40" i="194" s="1"/>
  <c r="F81" i="182"/>
  <c r="D34" i="181" a="1"/>
  <c r="D34" i="181" s="1"/>
  <c r="C34" i="192" a="1"/>
  <c r="C34" i="192" s="1"/>
  <c r="C34" i="181" a="1"/>
  <c r="C34" i="181" s="1"/>
  <c r="C34" i="194" a="1"/>
  <c r="C34" i="194" s="1"/>
  <c r="C35" i="194" a="1"/>
  <c r="C35" i="194" s="1"/>
  <c r="D35" i="181" a="1"/>
  <c r="D35" i="181" s="1"/>
  <c r="C35" i="181" a="1"/>
  <c r="C35" i="181" s="1"/>
  <c r="C35" i="192" a="1"/>
  <c r="C35" i="192" s="1"/>
  <c r="D41" i="181" a="1"/>
  <c r="D41" i="181" s="1"/>
  <c r="C41" i="181" a="1"/>
  <c r="C41" i="181" s="1"/>
  <c r="C41" i="192" a="1"/>
  <c r="C41" i="192" s="1"/>
  <c r="C41" i="194" a="1"/>
  <c r="C41" i="194" s="1"/>
  <c r="C42" i="192" a="1"/>
  <c r="C42" i="192" s="1"/>
  <c r="C42" i="194" a="1"/>
  <c r="C42" i="194" s="1"/>
  <c r="C42" i="181" a="1"/>
  <c r="C42" i="181" s="1"/>
  <c r="D42" i="181" a="1"/>
  <c r="D42" i="181" s="1"/>
  <c r="C81" i="182"/>
  <c r="N23" i="135"/>
  <c r="F40" i="125" a="1"/>
  <c r="F40" i="125" s="1"/>
  <c r="F34" i="125" a="1"/>
  <c r="F34" i="125" s="1"/>
  <c r="D34" i="125" a="1"/>
  <c r="D34" i="125" s="1"/>
  <c r="E34" i="125" a="1"/>
  <c r="E34" i="125" s="1"/>
  <c r="C34" i="125" a="1"/>
  <c r="C34" i="125" s="1"/>
  <c r="F310" i="8"/>
  <c r="C36" i="125" a="1"/>
  <c r="C36" i="125" s="1"/>
  <c r="F35" i="125" a="1"/>
  <c r="F35" i="125" s="1"/>
  <c r="C35" i="125" a="1"/>
  <c r="C35" i="125" s="1"/>
  <c r="D35" i="125" a="1"/>
  <c r="D35" i="125" s="1"/>
  <c r="E35" i="125" a="1"/>
  <c r="E35" i="125" s="1"/>
  <c r="F170" i="8"/>
  <c r="E41" i="125" a="1"/>
  <c r="E41" i="125" s="1"/>
  <c r="F41" i="125" a="1"/>
  <c r="F41" i="125" s="1"/>
  <c r="D41" i="125" a="1"/>
  <c r="D41" i="125" s="1"/>
  <c r="F172" i="8"/>
  <c r="E42" i="125" a="1"/>
  <c r="E42" i="125" s="1"/>
  <c r="F42" i="125" a="1"/>
  <c r="F42" i="125" s="1"/>
  <c r="D42" i="125" a="1"/>
  <c r="D42" i="125" s="1"/>
  <c r="C42" i="125" a="1"/>
  <c r="C42" i="125" s="1"/>
  <c r="F39" i="125" a="1"/>
  <c r="F39" i="125" s="1"/>
  <c r="C39" i="125" a="1"/>
  <c r="C39" i="125" s="1"/>
  <c r="E39" i="125" a="1"/>
  <c r="E39" i="125" s="1"/>
  <c r="D39" i="125" a="1"/>
  <c r="D39" i="125" s="1"/>
  <c r="F174" i="8"/>
  <c r="E43" i="125" a="1"/>
  <c r="E43" i="125" s="1"/>
  <c r="F43" i="125" a="1"/>
  <c r="F43" i="125" s="1"/>
  <c r="C43" i="125" a="1"/>
  <c r="C43" i="125" s="1"/>
  <c r="D43" i="125" a="1"/>
  <c r="D43" i="125" s="1"/>
  <c r="C37" i="125" a="1"/>
  <c r="C37" i="125" s="1"/>
  <c r="F37" i="125" a="1"/>
  <c r="F37" i="125" s="1"/>
  <c r="N24" i="135"/>
  <c r="N20" i="135"/>
  <c r="L21" i="135"/>
  <c r="L22" i="135"/>
  <c r="M21" i="135"/>
  <c r="M22" i="135"/>
  <c r="H34" i="135"/>
  <c r="I51" i="135"/>
  <c r="I48" i="135"/>
  <c r="I45" i="135"/>
  <c r="I52" i="135"/>
  <c r="I46" i="135"/>
  <c r="H38" i="135"/>
  <c r="H25" i="135"/>
  <c r="H41" i="135"/>
  <c r="H35" i="135"/>
  <c r="G40" i="135"/>
  <c r="G36" i="135"/>
  <c r="G27" i="135"/>
  <c r="G37" i="135"/>
  <c r="G25" i="135"/>
  <c r="G35" i="135"/>
  <c r="G39" i="135"/>
  <c r="G26" i="135"/>
  <c r="G24" i="135"/>
  <c r="G34" i="135"/>
  <c r="G38" i="135"/>
  <c r="G41" i="135"/>
  <c r="H27" i="135"/>
  <c r="H24" i="135"/>
  <c r="H39" i="135"/>
  <c r="H37" i="135"/>
  <c r="H36" i="135"/>
  <c r="H40" i="135"/>
  <c r="H26" i="135"/>
  <c r="D28" i="135"/>
  <c r="P484" i="1"/>
  <c r="I310" i="8" s="1"/>
  <c r="D30" i="135"/>
  <c r="P494" i="1"/>
  <c r="I311" i="8" s="1"/>
  <c r="D32" i="135"/>
  <c r="P496" i="1"/>
  <c r="I172" i="8" s="1"/>
  <c r="D31" i="135"/>
  <c r="P495" i="1"/>
  <c r="I171" i="8" s="1"/>
  <c r="Y43" i="118"/>
  <c r="D33" i="135"/>
  <c r="D29" i="135"/>
  <c r="H42" i="135"/>
  <c r="G42" i="135"/>
  <c r="Y42" i="118"/>
  <c r="Y40" i="118"/>
  <c r="Y37" i="118"/>
  <c r="X34" i="118"/>
  <c r="U34" i="118"/>
  <c r="R34" i="118"/>
  <c r="O34" i="118"/>
  <c r="L34" i="118"/>
  <c r="I34" i="118"/>
  <c r="AJ34" i="118" a="1"/>
  <c r="AJ34" i="118" s="1"/>
  <c r="AE34" i="118"/>
  <c r="AH34" i="118" a="1"/>
  <c r="AH34" i="118" s="1"/>
  <c r="T34" i="118"/>
  <c r="AA34" i="118"/>
  <c r="W34" i="118"/>
  <c r="C34" i="118"/>
  <c r="AF34" i="118"/>
  <c r="AD34" i="118"/>
  <c r="AC34" i="118"/>
  <c r="Z34" i="118" a="1"/>
  <c r="Z34" i="118" s="1"/>
  <c r="E34" i="118"/>
  <c r="Q34" i="118"/>
  <c r="J34" i="118"/>
  <c r="AB34" i="118"/>
  <c r="H34" i="118"/>
  <c r="S34" i="118"/>
  <c r="M34" i="118"/>
  <c r="V34" i="118"/>
  <c r="N34" i="118"/>
  <c r="D34" i="118"/>
  <c r="P34" i="118"/>
  <c r="K34" i="118"/>
  <c r="F34" i="118"/>
  <c r="G34" i="118"/>
  <c r="AJ35" i="118" a="1"/>
  <c r="AJ35" i="118" s="1"/>
  <c r="AD35" i="118"/>
  <c r="AA35" i="118"/>
  <c r="T35" i="118"/>
  <c r="AE35" i="118"/>
  <c r="W35" i="118"/>
  <c r="AH35" i="118" a="1"/>
  <c r="AH35" i="118" s="1"/>
  <c r="AF35" i="118"/>
  <c r="X35" i="118"/>
  <c r="U35" i="118"/>
  <c r="P35" i="118"/>
  <c r="G35" i="118"/>
  <c r="L35" i="118"/>
  <c r="E35" i="118"/>
  <c r="Z35" i="118" a="1"/>
  <c r="Z35" i="118" s="1"/>
  <c r="R35" i="118"/>
  <c r="Q35" i="118"/>
  <c r="J35" i="118"/>
  <c r="AB35" i="118"/>
  <c r="O35" i="118"/>
  <c r="M35" i="118"/>
  <c r="AC35" i="118"/>
  <c r="H35" i="118"/>
  <c r="K35" i="118"/>
  <c r="F35" i="118"/>
  <c r="I35" i="118"/>
  <c r="V35" i="118"/>
  <c r="D35" i="118"/>
  <c r="S35" i="118"/>
  <c r="C35" i="118"/>
  <c r="N35" i="118"/>
  <c r="Y36" i="118"/>
  <c r="AH41" i="118" a="1"/>
  <c r="AH41" i="118" s="1"/>
  <c r="AF41" i="118"/>
  <c r="E41" i="118"/>
  <c r="S41" i="118"/>
  <c r="R41" i="118"/>
  <c r="Q41" i="118"/>
  <c r="AJ41" i="118" a="1"/>
  <c r="AJ41" i="118" s="1"/>
  <c r="X41" i="118"/>
  <c r="AD41" i="118"/>
  <c r="AC41" i="118"/>
  <c r="AB41" i="118"/>
  <c r="V41" i="118"/>
  <c r="AA41" i="118"/>
  <c r="W41" i="118"/>
  <c r="AE41" i="118"/>
  <c r="M41" i="118"/>
  <c r="D41" i="118"/>
  <c r="K41" i="118"/>
  <c r="F41" i="118"/>
  <c r="U41" i="118"/>
  <c r="I41" i="118"/>
  <c r="N41" i="118"/>
  <c r="P41" i="118"/>
  <c r="J41" i="118"/>
  <c r="O41" i="118"/>
  <c r="L41" i="118"/>
  <c r="G41" i="118"/>
  <c r="T41" i="118"/>
  <c r="H41" i="118"/>
  <c r="Z41" i="118" a="1"/>
  <c r="Z41" i="118" s="1"/>
  <c r="C41" i="118"/>
  <c r="Y41" i="118"/>
  <c r="AF43" i="118"/>
  <c r="AC43" i="118"/>
  <c r="AE43" i="118"/>
  <c r="AD43" i="118"/>
  <c r="AJ43" i="118" a="1"/>
  <c r="AJ43" i="118" s="1"/>
  <c r="U43" i="118"/>
  <c r="S43" i="118"/>
  <c r="R43" i="118"/>
  <c r="X43" i="118"/>
  <c r="F43" i="118"/>
  <c r="AH43" i="118" a="1"/>
  <c r="AH43" i="118" s="1"/>
  <c r="O43" i="118"/>
  <c r="H43" i="118"/>
  <c r="V43" i="118"/>
  <c r="M43" i="118"/>
  <c r="K43" i="118"/>
  <c r="AB43" i="118"/>
  <c r="N43" i="118"/>
  <c r="AA43" i="118"/>
  <c r="Z43" i="118" a="1"/>
  <c r="Z43" i="118" s="1"/>
  <c r="T43" i="118"/>
  <c r="Q43" i="118"/>
  <c r="P43" i="118"/>
  <c r="G43" i="118"/>
  <c r="L43" i="118"/>
  <c r="W43" i="118"/>
  <c r="J43" i="118"/>
  <c r="E43" i="118"/>
  <c r="D43" i="118"/>
  <c r="I43" i="118"/>
  <c r="C43" i="118"/>
  <c r="AJ36" i="118" a="1"/>
  <c r="AJ36" i="118" s="1"/>
  <c r="AE36" i="118"/>
  <c r="AF36" i="118"/>
  <c r="AB36" i="118"/>
  <c r="V36" i="118"/>
  <c r="T36" i="118"/>
  <c r="AA36" i="118"/>
  <c r="W36" i="118"/>
  <c r="S36" i="118"/>
  <c r="N36" i="118"/>
  <c r="U36" i="118"/>
  <c r="P36" i="118"/>
  <c r="G36" i="118"/>
  <c r="L36" i="118"/>
  <c r="E36" i="118"/>
  <c r="Z36" i="118" a="1"/>
  <c r="Z36" i="118" s="1"/>
  <c r="R36" i="118"/>
  <c r="Q36" i="118"/>
  <c r="J36" i="118"/>
  <c r="AD36" i="118"/>
  <c r="AC36" i="118"/>
  <c r="O36" i="118"/>
  <c r="AH36" i="118" a="1"/>
  <c r="AH36" i="118" s="1"/>
  <c r="X36" i="118"/>
  <c r="K36" i="118"/>
  <c r="F36" i="118"/>
  <c r="M36" i="118"/>
  <c r="D36" i="118"/>
  <c r="C36" i="118"/>
  <c r="I36" i="118"/>
  <c r="H36" i="118"/>
  <c r="Y35" i="118"/>
  <c r="AJ40" i="118" a="1"/>
  <c r="AJ40" i="118" s="1"/>
  <c r="AF40" i="118"/>
  <c r="S40" i="118"/>
  <c r="X40" i="118"/>
  <c r="AH40" i="118" a="1"/>
  <c r="AH40" i="118" s="1"/>
  <c r="AD40" i="118"/>
  <c r="AC40" i="118"/>
  <c r="AB40" i="118"/>
  <c r="V40" i="118"/>
  <c r="T40" i="118"/>
  <c r="D40" i="118"/>
  <c r="K40" i="118"/>
  <c r="F40" i="118"/>
  <c r="U40" i="118"/>
  <c r="I40" i="118"/>
  <c r="AA40" i="118"/>
  <c r="N40" i="118"/>
  <c r="G40" i="118"/>
  <c r="Z40" i="118" a="1"/>
  <c r="Z40" i="118" s="1"/>
  <c r="L40" i="118"/>
  <c r="P40" i="118"/>
  <c r="J40" i="118"/>
  <c r="W40" i="118"/>
  <c r="O40" i="118"/>
  <c r="H40" i="118"/>
  <c r="E40" i="118"/>
  <c r="Q40" i="118"/>
  <c r="M40" i="118"/>
  <c r="AE40" i="118"/>
  <c r="C40" i="118"/>
  <c r="R40" i="118"/>
  <c r="AJ42" i="118" a="1"/>
  <c r="AJ42" i="118" s="1"/>
  <c r="W42" i="118"/>
  <c r="T42" i="118"/>
  <c r="Q42" i="118"/>
  <c r="N42" i="118"/>
  <c r="K42" i="118"/>
  <c r="H42" i="118"/>
  <c r="AD42" i="118"/>
  <c r="U42" i="118"/>
  <c r="AF42" i="118"/>
  <c r="X42" i="118"/>
  <c r="AH42" i="118" a="1"/>
  <c r="AH42" i="118" s="1"/>
  <c r="AC42" i="118"/>
  <c r="AB42" i="118"/>
  <c r="V42" i="118"/>
  <c r="AE42" i="118"/>
  <c r="AA42" i="118"/>
  <c r="Z42" i="118" a="1"/>
  <c r="Z42" i="118" s="1"/>
  <c r="M42" i="118"/>
  <c r="D42" i="118"/>
  <c r="F42" i="118"/>
  <c r="I42" i="118"/>
  <c r="R42" i="118"/>
  <c r="L42" i="118"/>
  <c r="E42" i="118"/>
  <c r="S42" i="118"/>
  <c r="J42" i="118"/>
  <c r="P42" i="118"/>
  <c r="O42" i="118"/>
  <c r="C42" i="118"/>
  <c r="G42" i="118"/>
  <c r="AJ39" i="118" a="1"/>
  <c r="AJ39" i="118" s="1"/>
  <c r="AH39" i="118" a="1"/>
  <c r="AH39" i="118" s="1"/>
  <c r="AE39" i="118"/>
  <c r="AB39" i="118"/>
  <c r="AF39" i="118"/>
  <c r="X39" i="118"/>
  <c r="AD39" i="118"/>
  <c r="AC39" i="118"/>
  <c r="V39" i="118"/>
  <c r="Z39" i="118" a="1"/>
  <c r="Z39" i="118" s="1"/>
  <c r="T39" i="118"/>
  <c r="U39" i="118"/>
  <c r="K39" i="118"/>
  <c r="F39" i="118"/>
  <c r="I39" i="118"/>
  <c r="AA39" i="118"/>
  <c r="N39" i="118"/>
  <c r="P39" i="118"/>
  <c r="G39" i="118"/>
  <c r="R39" i="118"/>
  <c r="Q39" i="118"/>
  <c r="L39" i="118"/>
  <c r="W39" i="118"/>
  <c r="O39" i="118"/>
  <c r="S39" i="118"/>
  <c r="H39" i="118"/>
  <c r="M39" i="118"/>
  <c r="E39" i="118"/>
  <c r="D39" i="118"/>
  <c r="J39" i="118"/>
  <c r="C39" i="118"/>
  <c r="D37" i="118"/>
  <c r="AC37" i="118"/>
  <c r="AA37" i="118"/>
  <c r="X37" i="118"/>
  <c r="W37" i="118"/>
  <c r="V37" i="118"/>
  <c r="U37" i="118"/>
  <c r="T37" i="118"/>
  <c r="S37" i="118"/>
  <c r="AJ37" i="118" a="1"/>
  <c r="AJ37" i="118" s="1"/>
  <c r="AH37" i="118" a="1"/>
  <c r="AH37" i="118" s="1"/>
  <c r="AB37" i="118"/>
  <c r="Z37" i="118" a="1"/>
  <c r="Z37" i="118" s="1"/>
  <c r="AE37" i="118"/>
  <c r="R37" i="118"/>
  <c r="Q37" i="118"/>
  <c r="I37" i="118"/>
  <c r="N37" i="118"/>
  <c r="P37" i="118"/>
  <c r="G37" i="118"/>
  <c r="L37" i="118"/>
  <c r="AF37" i="118"/>
  <c r="E37" i="118"/>
  <c r="C37" i="118"/>
  <c r="J37" i="118"/>
  <c r="O37" i="118"/>
  <c r="M37" i="118"/>
  <c r="K37" i="118"/>
  <c r="F37" i="118"/>
  <c r="AD37" i="118"/>
  <c r="H37" i="118"/>
  <c r="P502" i="1"/>
  <c r="I174" i="8" s="1"/>
  <c r="P493" i="1"/>
  <c r="I170" i="8" s="1"/>
  <c r="J473" i="1"/>
  <c r="I473" i="1"/>
  <c r="H473" i="1"/>
  <c r="F473" i="1"/>
  <c r="U473" i="1" s="1"/>
  <c r="J472" i="1"/>
  <c r="I472" i="1"/>
  <c r="H472" i="1"/>
  <c r="F472" i="1"/>
  <c r="U472" i="1" s="1"/>
  <c r="L17" i="135" l="1"/>
  <c r="M18" i="135"/>
  <c r="L19" i="135"/>
  <c r="L18" i="135"/>
  <c r="M19" i="135"/>
  <c r="N21" i="135"/>
  <c r="N22" i="135"/>
  <c r="M17" i="135"/>
  <c r="I35" i="135"/>
  <c r="I38" i="135"/>
  <c r="I41" i="135"/>
  <c r="I34" i="135"/>
  <c r="I40" i="135"/>
  <c r="I39" i="135"/>
  <c r="I36" i="135"/>
  <c r="I37" i="135"/>
  <c r="I27" i="135"/>
  <c r="H31" i="135"/>
  <c r="H28" i="135"/>
  <c r="M14" i="135" s="1"/>
  <c r="I24" i="135"/>
  <c r="H30" i="135"/>
  <c r="H32" i="135"/>
  <c r="G31" i="135"/>
  <c r="G30" i="135"/>
  <c r="G32" i="135"/>
  <c r="G28" i="135"/>
  <c r="L14" i="135" s="1"/>
  <c r="I25" i="135"/>
  <c r="I26" i="135"/>
  <c r="G29" i="135"/>
  <c r="L15" i="135" s="1"/>
  <c r="H29" i="135"/>
  <c r="M15" i="135" s="1"/>
  <c r="H33" i="135"/>
  <c r="G33" i="135"/>
  <c r="I42" i="135"/>
  <c r="O471" i="1"/>
  <c r="H305" i="8" s="1"/>
  <c r="J471" i="1"/>
  <c r="G305" i="8" s="1"/>
  <c r="I471" i="1"/>
  <c r="H471" i="1"/>
  <c r="E305" i="8" s="1"/>
  <c r="F471" i="1"/>
  <c r="U471" i="1" s="1"/>
  <c r="J470" i="1"/>
  <c r="Y30" i="118" s="1"/>
  <c r="I470" i="1"/>
  <c r="H470" i="1"/>
  <c r="F470" i="1"/>
  <c r="U470" i="1" s="1"/>
  <c r="J469" i="1"/>
  <c r="I469" i="1"/>
  <c r="H469" i="1"/>
  <c r="F469" i="1"/>
  <c r="U469" i="1" s="1"/>
  <c r="J468" i="1"/>
  <c r="I468" i="1"/>
  <c r="H468" i="1"/>
  <c r="J467" i="1"/>
  <c r="I467" i="1"/>
  <c r="H467" i="1"/>
  <c r="F468" i="1"/>
  <c r="U468" i="1" s="1"/>
  <c r="F467" i="1"/>
  <c r="U467" i="1" s="1"/>
  <c r="F466" i="1"/>
  <c r="U466" i="1" s="1"/>
  <c r="J448" i="1"/>
  <c r="G303" i="8" s="1"/>
  <c r="I448" i="1"/>
  <c r="F303" i="8" s="1"/>
  <c r="H448" i="1"/>
  <c r="E303" i="8" s="1"/>
  <c r="F448" i="1"/>
  <c r="J436" i="1"/>
  <c r="G162" i="8" s="1"/>
  <c r="I436" i="1"/>
  <c r="H436" i="1"/>
  <c r="E162" i="8" s="1"/>
  <c r="J427" i="1"/>
  <c r="Y10" i="118" s="1"/>
  <c r="I427" i="1"/>
  <c r="H427" i="1"/>
  <c r="F465" i="1"/>
  <c r="U465" i="1" s="1"/>
  <c r="J464" i="1"/>
  <c r="I464" i="1"/>
  <c r="H464" i="1"/>
  <c r="F464" i="1"/>
  <c r="U464" i="1" s="1"/>
  <c r="J463" i="1"/>
  <c r="I463" i="1"/>
  <c r="H463" i="1"/>
  <c r="F463" i="1"/>
  <c r="U463" i="1" s="1"/>
  <c r="J462" i="1"/>
  <c r="I462" i="1"/>
  <c r="H462" i="1"/>
  <c r="J461" i="1"/>
  <c r="I461" i="1"/>
  <c r="H461" i="1"/>
  <c r="F462" i="1"/>
  <c r="U462" i="1" s="1"/>
  <c r="F461" i="1"/>
  <c r="U448" i="1" l="1"/>
  <c r="P448" i="1" s="1"/>
  <c r="I303" i="8" s="1"/>
  <c r="U461" i="1"/>
  <c r="F9" i="199"/>
  <c r="F12" i="199"/>
  <c r="F7" i="199"/>
  <c r="F13" i="199"/>
  <c r="F8" i="199"/>
  <c r="F10" i="199"/>
  <c r="F11" i="199"/>
  <c r="C10" i="192" a="1"/>
  <c r="C10" i="192" s="1"/>
  <c r="D10" i="181" a="1"/>
  <c r="D10" i="181" s="1"/>
  <c r="C10" i="194" a="1"/>
  <c r="C10" i="194" s="1"/>
  <c r="C10" i="181" a="1"/>
  <c r="C10" i="181" s="1"/>
  <c r="F162" i="8"/>
  <c r="C16" i="181" a="1"/>
  <c r="C16" i="181" s="1"/>
  <c r="C16" i="194" a="1"/>
  <c r="C16" i="194" s="1"/>
  <c r="C16" i="192" a="1"/>
  <c r="C16" i="192" s="1"/>
  <c r="C30" i="194" a="1"/>
  <c r="C30" i="194" s="1"/>
  <c r="C30" i="192" a="1"/>
  <c r="C30" i="192" s="1"/>
  <c r="C30" i="181" a="1"/>
  <c r="C30" i="181" s="1"/>
  <c r="D30" i="181" a="1"/>
  <c r="D30" i="181" s="1"/>
  <c r="D27" i="181" a="1"/>
  <c r="D27" i="181" s="1"/>
  <c r="C27" i="192" a="1"/>
  <c r="C27" i="192" s="1"/>
  <c r="C27" i="181" a="1"/>
  <c r="C27" i="181" s="1"/>
  <c r="C27" i="194" a="1"/>
  <c r="C27" i="194" s="1"/>
  <c r="C31" i="181" a="1"/>
  <c r="C31" i="181" s="1"/>
  <c r="C31" i="192" a="1"/>
  <c r="C31" i="192" s="1"/>
  <c r="C31" i="194" a="1"/>
  <c r="C31" i="194" s="1"/>
  <c r="C29" i="192" a="1"/>
  <c r="C29" i="192" s="1"/>
  <c r="C29" i="181" a="1"/>
  <c r="C29" i="181" s="1"/>
  <c r="D29" i="181" a="1"/>
  <c r="D29" i="181" s="1"/>
  <c r="C29" i="194" a="1"/>
  <c r="C29" i="194" s="1"/>
  <c r="E29" i="125" a="1"/>
  <c r="E29" i="125" s="1"/>
  <c r="E10" i="125" a="1"/>
  <c r="E10" i="125" s="1"/>
  <c r="C10" i="125" a="1"/>
  <c r="C10" i="125" s="1"/>
  <c r="F10" i="125" a="1"/>
  <c r="F10" i="125" s="1"/>
  <c r="D10" i="125" a="1"/>
  <c r="D10" i="125" s="1"/>
  <c r="D30" i="125" a="1"/>
  <c r="D30" i="125" s="1"/>
  <c r="C30" i="125" a="1"/>
  <c r="C30" i="125" s="1"/>
  <c r="E30" i="125" a="1"/>
  <c r="E30" i="125" s="1"/>
  <c r="F30" i="125" a="1"/>
  <c r="F30" i="125" s="1"/>
  <c r="F27" i="125" a="1"/>
  <c r="F27" i="125" s="1"/>
  <c r="C27" i="125" a="1"/>
  <c r="C27" i="125" s="1"/>
  <c r="D27" i="125" a="1"/>
  <c r="D27" i="125" s="1"/>
  <c r="E27" i="125" a="1"/>
  <c r="E27" i="125" s="1"/>
  <c r="F305" i="8"/>
  <c r="E31" i="125" a="1"/>
  <c r="E31" i="125" s="1"/>
  <c r="F31" i="125" a="1"/>
  <c r="F31" i="125" s="1"/>
  <c r="C31" i="125" a="1"/>
  <c r="C31" i="125" s="1"/>
  <c r="D31" i="125" a="1"/>
  <c r="D31" i="125" s="1"/>
  <c r="N17" i="135"/>
  <c r="L16" i="135"/>
  <c r="M16" i="135"/>
  <c r="N18" i="135"/>
  <c r="N19" i="135"/>
  <c r="I32" i="135"/>
  <c r="I31" i="135"/>
  <c r="I30" i="135"/>
  <c r="I28" i="135"/>
  <c r="N14" i="135" s="1"/>
  <c r="D23" i="135"/>
  <c r="P471" i="1"/>
  <c r="I305" i="8" s="1"/>
  <c r="D17" i="135"/>
  <c r="Y31" i="118"/>
  <c r="Y16" i="118"/>
  <c r="I33" i="135"/>
  <c r="D20" i="135"/>
  <c r="D21" i="135"/>
  <c r="D22" i="135"/>
  <c r="I29" i="135"/>
  <c r="N15" i="135" s="1"/>
  <c r="D7" i="135"/>
  <c r="Y29" i="118"/>
  <c r="Y27" i="118"/>
  <c r="AJ10" i="118" a="1"/>
  <c r="AJ10" i="118" s="1"/>
  <c r="X10" i="118"/>
  <c r="U10" i="118"/>
  <c r="R10" i="118"/>
  <c r="O10" i="118"/>
  <c r="L10" i="118"/>
  <c r="I10" i="118"/>
  <c r="AH10" i="118" a="1"/>
  <c r="AH10" i="118" s="1"/>
  <c r="AE10" i="118"/>
  <c r="AC10" i="118"/>
  <c r="Z10" i="118" a="1"/>
  <c r="Z10" i="118" s="1"/>
  <c r="V10" i="118"/>
  <c r="T10" i="118"/>
  <c r="AB10" i="118"/>
  <c r="AF10" i="118"/>
  <c r="AD10" i="118"/>
  <c r="Q10" i="118"/>
  <c r="N10" i="118"/>
  <c r="G10" i="118"/>
  <c r="AA10" i="118"/>
  <c r="P10" i="118"/>
  <c r="J10" i="118"/>
  <c r="E10" i="118"/>
  <c r="C10" i="118"/>
  <c r="M10" i="118"/>
  <c r="S10" i="118"/>
  <c r="K10" i="118"/>
  <c r="W10" i="118"/>
  <c r="D10" i="118"/>
  <c r="H10" i="118"/>
  <c r="F10" i="118"/>
  <c r="AJ30" i="118" a="1"/>
  <c r="AJ30" i="118" s="1"/>
  <c r="AE30" i="118"/>
  <c r="AD30" i="118"/>
  <c r="W30" i="118"/>
  <c r="T30" i="118"/>
  <c r="Q30" i="118"/>
  <c r="N30" i="118"/>
  <c r="K30" i="118"/>
  <c r="H30" i="118"/>
  <c r="AH30" i="118" a="1"/>
  <c r="AH30" i="118" s="1"/>
  <c r="AB30" i="118"/>
  <c r="AA30" i="118"/>
  <c r="U30" i="118"/>
  <c r="Z30" i="118" a="1"/>
  <c r="Z30" i="118" s="1"/>
  <c r="S30" i="118"/>
  <c r="R30" i="118"/>
  <c r="F30" i="118"/>
  <c r="X30" i="118"/>
  <c r="O30" i="118"/>
  <c r="AF30" i="118"/>
  <c r="M30" i="118"/>
  <c r="AC30" i="118"/>
  <c r="D30" i="118"/>
  <c r="G30" i="118"/>
  <c r="P30" i="118"/>
  <c r="L30" i="118"/>
  <c r="E30" i="118"/>
  <c r="V30" i="118"/>
  <c r="C30" i="118"/>
  <c r="J30" i="118"/>
  <c r="I30" i="118"/>
  <c r="AH16" i="118" a="1"/>
  <c r="AH16" i="118" s="1"/>
  <c r="AJ16" i="118" a="1"/>
  <c r="AJ16" i="118" s="1"/>
  <c r="AD16" i="118"/>
  <c r="AB16" i="118"/>
  <c r="AA16" i="118"/>
  <c r="U16" i="118"/>
  <c r="R16" i="118"/>
  <c r="Q16" i="118"/>
  <c r="AE16" i="118"/>
  <c r="S16" i="118"/>
  <c r="X16" i="118"/>
  <c r="V16" i="118"/>
  <c r="AF16" i="118"/>
  <c r="Z16" i="118" a="1"/>
  <c r="Z16" i="118" s="1"/>
  <c r="O16" i="118"/>
  <c r="M16" i="118"/>
  <c r="H16" i="118"/>
  <c r="K16" i="118"/>
  <c r="D16" i="118"/>
  <c r="F16" i="118"/>
  <c r="T16" i="118"/>
  <c r="AC16" i="118"/>
  <c r="P16" i="118"/>
  <c r="L16" i="118"/>
  <c r="J16" i="118"/>
  <c r="W16" i="118"/>
  <c r="G16" i="118"/>
  <c r="I16" i="118"/>
  <c r="E16" i="118"/>
  <c r="C16" i="118"/>
  <c r="N16" i="118"/>
  <c r="AJ29" i="118" a="1"/>
  <c r="AJ29" i="118" s="1"/>
  <c r="E29" i="118"/>
  <c r="AH29" i="118" a="1"/>
  <c r="AH29" i="118" s="1"/>
  <c r="AF29" i="118"/>
  <c r="Z29" i="118" a="1"/>
  <c r="Z29" i="118" s="1"/>
  <c r="U29" i="118"/>
  <c r="S29" i="118"/>
  <c r="X29" i="118"/>
  <c r="V29" i="118"/>
  <c r="O29" i="118"/>
  <c r="AA29" i="118"/>
  <c r="R29" i="118"/>
  <c r="Q29" i="118"/>
  <c r="M29" i="118"/>
  <c r="H29" i="118"/>
  <c r="AB29" i="118"/>
  <c r="AC29" i="118"/>
  <c r="T29" i="118"/>
  <c r="AD29" i="118"/>
  <c r="K29" i="118"/>
  <c r="F29" i="118"/>
  <c r="W29" i="118"/>
  <c r="P29" i="118"/>
  <c r="AE29" i="118"/>
  <c r="L29" i="118"/>
  <c r="J29" i="118"/>
  <c r="C29" i="118"/>
  <c r="D29" i="118"/>
  <c r="N29" i="118"/>
  <c r="I29" i="118"/>
  <c r="G29" i="118"/>
  <c r="AJ31" i="118" a="1"/>
  <c r="AJ31" i="118" s="1"/>
  <c r="AH31" i="118" a="1"/>
  <c r="AH31" i="118" s="1"/>
  <c r="AF31" i="118"/>
  <c r="AC31" i="118"/>
  <c r="Z31" i="118" a="1"/>
  <c r="Z31" i="118" s="1"/>
  <c r="AD31" i="118"/>
  <c r="AE31" i="118"/>
  <c r="W31" i="118"/>
  <c r="AA31" i="118"/>
  <c r="U31" i="118"/>
  <c r="Q31" i="118"/>
  <c r="S31" i="118"/>
  <c r="R31" i="118"/>
  <c r="O31" i="118"/>
  <c r="L31" i="118"/>
  <c r="I31" i="118"/>
  <c r="AB31" i="118"/>
  <c r="T31" i="118"/>
  <c r="J31" i="118"/>
  <c r="C31" i="118"/>
  <c r="H31" i="118"/>
  <c r="M31" i="118"/>
  <c r="K31" i="118"/>
  <c r="F31" i="118"/>
  <c r="D31" i="118"/>
  <c r="X31" i="118"/>
  <c r="V31" i="118"/>
  <c r="N31" i="118"/>
  <c r="G31" i="118"/>
  <c r="P31" i="118"/>
  <c r="E31" i="118"/>
  <c r="AE27" i="118"/>
  <c r="AB27" i="118"/>
  <c r="S27" i="118"/>
  <c r="X27" i="118"/>
  <c r="V27" i="118"/>
  <c r="AH27" i="118" a="1"/>
  <c r="AH27" i="118" s="1"/>
  <c r="AC27" i="118"/>
  <c r="AF27" i="118"/>
  <c r="AD27" i="118"/>
  <c r="AA27" i="118"/>
  <c r="W27" i="118"/>
  <c r="Z27" i="118" a="1"/>
  <c r="Z27" i="118" s="1"/>
  <c r="R27" i="118"/>
  <c r="Q27" i="118"/>
  <c r="T27" i="118"/>
  <c r="D27" i="118"/>
  <c r="K27" i="118"/>
  <c r="F27" i="118"/>
  <c r="I27" i="118"/>
  <c r="N27" i="118"/>
  <c r="G27" i="118"/>
  <c r="P27" i="118"/>
  <c r="AJ27" i="118" a="1"/>
  <c r="AJ27" i="118" s="1"/>
  <c r="J27" i="118"/>
  <c r="E27" i="118"/>
  <c r="O27" i="118"/>
  <c r="U27" i="118"/>
  <c r="L27" i="118"/>
  <c r="C27" i="118"/>
  <c r="M27" i="118"/>
  <c r="H27" i="118"/>
  <c r="J460" i="1"/>
  <c r="I460" i="1"/>
  <c r="H460" i="1"/>
  <c r="F460" i="1"/>
  <c r="U460" i="1" s="1"/>
  <c r="O459" i="1"/>
  <c r="H167" i="8" s="1"/>
  <c r="J459" i="1"/>
  <c r="G167" i="8" s="1"/>
  <c r="I459" i="1"/>
  <c r="F167" i="8" s="1"/>
  <c r="H459" i="1"/>
  <c r="E167" i="8" s="1"/>
  <c r="F459" i="1"/>
  <c r="U459" i="1" s="1"/>
  <c r="J458" i="1"/>
  <c r="I458" i="1"/>
  <c r="H458" i="1"/>
  <c r="F458" i="1"/>
  <c r="U458" i="1" s="1"/>
  <c r="J457" i="1"/>
  <c r="I457" i="1"/>
  <c r="H457" i="1"/>
  <c r="F457" i="1"/>
  <c r="U457" i="1" s="1"/>
  <c r="J456" i="1"/>
  <c r="I456" i="1"/>
  <c r="H456" i="1"/>
  <c r="F456" i="1"/>
  <c r="U456" i="1" s="1"/>
  <c r="J455" i="1"/>
  <c r="I455" i="1"/>
  <c r="H455" i="1"/>
  <c r="F455" i="1"/>
  <c r="U455" i="1" s="1"/>
  <c r="J454" i="1"/>
  <c r="I454" i="1"/>
  <c r="H454" i="1"/>
  <c r="J453" i="1"/>
  <c r="I453" i="1"/>
  <c r="H453" i="1"/>
  <c r="F452" i="1"/>
  <c r="U452" i="1" s="1"/>
  <c r="F453" i="1"/>
  <c r="F454" i="1"/>
  <c r="U454" i="1" s="1"/>
  <c r="J451" i="1"/>
  <c r="I451" i="1"/>
  <c r="H451" i="1"/>
  <c r="F451" i="1"/>
  <c r="U451" i="1" s="1"/>
  <c r="J450" i="1"/>
  <c r="G166" i="8" s="1"/>
  <c r="I450" i="1"/>
  <c r="H450" i="1"/>
  <c r="E166" i="8" s="1"/>
  <c r="F450" i="1"/>
  <c r="J449" i="1"/>
  <c r="G304" i="8" s="1"/>
  <c r="I449" i="1"/>
  <c r="F304" i="8" s="1"/>
  <c r="H449" i="1"/>
  <c r="E304" i="8" s="1"/>
  <c r="F449" i="1"/>
  <c r="U449" i="1" s="1"/>
  <c r="P449" i="1" s="1"/>
  <c r="I304" i="8" s="1"/>
  <c r="G12" i="199" l="1"/>
  <c r="G10" i="199"/>
  <c r="G7" i="199"/>
  <c r="G9" i="199"/>
  <c r="D11" i="199"/>
  <c r="U450" i="1"/>
  <c r="P450" i="1" s="1"/>
  <c r="I166" i="8" s="1"/>
  <c r="C10" i="199"/>
  <c r="C7" i="199"/>
  <c r="C13" i="199"/>
  <c r="C8" i="199"/>
  <c r="C11" i="199"/>
  <c r="C12" i="199"/>
  <c r="C9" i="199"/>
  <c r="D13" i="199"/>
  <c r="D10" i="199"/>
  <c r="G11" i="199"/>
  <c r="D7" i="199"/>
  <c r="D12" i="199"/>
  <c r="U453" i="1"/>
  <c r="E11" i="199"/>
  <c r="E7" i="199"/>
  <c r="E8" i="199"/>
  <c r="E9" i="199"/>
  <c r="E12" i="199"/>
  <c r="E10" i="199"/>
  <c r="E13" i="199"/>
  <c r="D9" i="199"/>
  <c r="G13" i="199"/>
  <c r="F15" i="199"/>
  <c r="D8" i="199"/>
  <c r="G8" i="199"/>
  <c r="F166" i="8"/>
  <c r="C24" i="181" a="1"/>
  <c r="C24" i="181" s="1"/>
  <c r="C24" i="194" a="1"/>
  <c r="C24" i="194" s="1"/>
  <c r="D24" i="181" a="1"/>
  <c r="D24" i="181" s="1"/>
  <c r="C24" i="192" a="1"/>
  <c r="C24" i="192" s="1"/>
  <c r="C25" i="194" a="1"/>
  <c r="C25" i="194" s="1"/>
  <c r="D25" i="181" a="1"/>
  <c r="D25" i="181" s="1"/>
  <c r="C25" i="192" a="1"/>
  <c r="C25" i="192" s="1"/>
  <c r="C25" i="181" a="1"/>
  <c r="C25" i="181" s="1"/>
  <c r="F25" i="125" a="1"/>
  <c r="F25" i="125" s="1"/>
  <c r="E25" i="125" a="1"/>
  <c r="E25" i="125" s="1"/>
  <c r="N16" i="135"/>
  <c r="H17" i="135"/>
  <c r="H23" i="135"/>
  <c r="M13" i="135" s="1"/>
  <c r="G17" i="135"/>
  <c r="G23" i="135"/>
  <c r="L13" i="135" s="1"/>
  <c r="D18" i="135"/>
  <c r="D19" i="135"/>
  <c r="P459" i="1"/>
  <c r="I167" i="8" s="1"/>
  <c r="Y24" i="118"/>
  <c r="H22" i="135"/>
  <c r="G22" i="135"/>
  <c r="G21" i="135"/>
  <c r="H21" i="135"/>
  <c r="H20" i="135"/>
  <c r="G20" i="135"/>
  <c r="G7" i="135"/>
  <c r="Y25" i="118"/>
  <c r="AJ24" i="118" a="1"/>
  <c r="AJ24" i="118" s="1"/>
  <c r="AH24" i="118" a="1"/>
  <c r="AH24" i="118" s="1"/>
  <c r="Z24" i="118" a="1"/>
  <c r="Z24" i="118" s="1"/>
  <c r="AE24" i="118"/>
  <c r="X24" i="118"/>
  <c r="W24" i="118"/>
  <c r="U24" i="118"/>
  <c r="T24" i="118"/>
  <c r="AC24" i="118"/>
  <c r="V24" i="118"/>
  <c r="AF24" i="118"/>
  <c r="AD24" i="118"/>
  <c r="AB24" i="118"/>
  <c r="R24" i="118"/>
  <c r="Q24" i="118"/>
  <c r="I24" i="118"/>
  <c r="N24" i="118"/>
  <c r="G24" i="118"/>
  <c r="S24" i="118"/>
  <c r="P24" i="118"/>
  <c r="L24" i="118"/>
  <c r="J24" i="118"/>
  <c r="E24" i="118"/>
  <c r="C24" i="118"/>
  <c r="M24" i="118"/>
  <c r="H24" i="118"/>
  <c r="AA24" i="118"/>
  <c r="K24" i="118"/>
  <c r="F24" i="118"/>
  <c r="D24" i="118"/>
  <c r="O24" i="118"/>
  <c r="AH25" i="118" a="1"/>
  <c r="AH25" i="118" s="1"/>
  <c r="D25" i="118"/>
  <c r="V25" i="118"/>
  <c r="S25" i="118"/>
  <c r="X25" i="118"/>
  <c r="AC25" i="118"/>
  <c r="AF25" i="118"/>
  <c r="AD25" i="118"/>
  <c r="AB25" i="118"/>
  <c r="T25" i="118"/>
  <c r="AJ25" i="118" a="1"/>
  <c r="AJ25" i="118" s="1"/>
  <c r="AE25" i="118"/>
  <c r="Z25" i="118" a="1"/>
  <c r="Z25" i="118" s="1"/>
  <c r="U25" i="118"/>
  <c r="K25" i="118"/>
  <c r="F25" i="118"/>
  <c r="I25" i="118"/>
  <c r="W25" i="118"/>
  <c r="N25" i="118"/>
  <c r="G25" i="118"/>
  <c r="P25" i="118"/>
  <c r="L25" i="118"/>
  <c r="O25" i="118"/>
  <c r="M25" i="118"/>
  <c r="H25" i="118"/>
  <c r="AA25" i="118"/>
  <c r="R25" i="118"/>
  <c r="Q25" i="118"/>
  <c r="J25" i="118"/>
  <c r="E25" i="118"/>
  <c r="C25" i="118"/>
  <c r="J447" i="1"/>
  <c r="G165" i="8" s="1"/>
  <c r="I447" i="1"/>
  <c r="H447" i="1"/>
  <c r="E165" i="8" s="1"/>
  <c r="C15" i="199" l="1"/>
  <c r="D15" i="199"/>
  <c r="E15" i="199"/>
  <c r="G15" i="199"/>
  <c r="C23" i="192" a="1"/>
  <c r="C23" i="192" s="1"/>
  <c r="C23" i="181" a="1"/>
  <c r="C23" i="181" s="1"/>
  <c r="D23" i="181" a="1"/>
  <c r="D23" i="181" s="1"/>
  <c r="C23" i="194" a="1"/>
  <c r="C23" i="194" s="1"/>
  <c r="F165" i="8"/>
  <c r="E23" i="125" a="1"/>
  <c r="E23" i="125" s="1"/>
  <c r="C23" i="125" a="1"/>
  <c r="C23" i="125" s="1"/>
  <c r="D23" i="125" a="1"/>
  <c r="D23" i="125" s="1"/>
  <c r="F23" i="125" a="1"/>
  <c r="F23" i="125" s="1"/>
  <c r="L12" i="135"/>
  <c r="M12" i="135"/>
  <c r="I23" i="135"/>
  <c r="N13" i="135" s="1"/>
  <c r="I17" i="135"/>
  <c r="G19" i="135"/>
  <c r="L11" i="135" s="1"/>
  <c r="G18" i="135"/>
  <c r="H18" i="135"/>
  <c r="H19" i="135"/>
  <c r="M11" i="135" s="1"/>
  <c r="D16" i="135"/>
  <c r="Y23" i="118"/>
  <c r="I20" i="135"/>
  <c r="I21" i="135"/>
  <c r="I22" i="135"/>
  <c r="AD23" i="118"/>
  <c r="AA23" i="118"/>
  <c r="AJ23" i="118" a="1"/>
  <c r="AJ23" i="118" s="1"/>
  <c r="AC23" i="118"/>
  <c r="AH23" i="118" a="1"/>
  <c r="AH23" i="118" s="1"/>
  <c r="V23" i="118"/>
  <c r="AF23" i="118"/>
  <c r="AB23" i="118"/>
  <c r="T23" i="118"/>
  <c r="Z23" i="118" a="1"/>
  <c r="Z23" i="118" s="1"/>
  <c r="S23" i="118"/>
  <c r="I23" i="118"/>
  <c r="N23" i="118"/>
  <c r="G23" i="118"/>
  <c r="W23" i="118"/>
  <c r="P23" i="118"/>
  <c r="L23" i="118"/>
  <c r="X23" i="118"/>
  <c r="J23" i="118"/>
  <c r="E23" i="118"/>
  <c r="C23" i="118"/>
  <c r="AE23" i="118"/>
  <c r="O23" i="118"/>
  <c r="U23" i="118"/>
  <c r="R23" i="118"/>
  <c r="Q23" i="118"/>
  <c r="K23" i="118"/>
  <c r="F23" i="118"/>
  <c r="M23" i="118"/>
  <c r="H23" i="118"/>
  <c r="D23" i="118"/>
  <c r="J446" i="1"/>
  <c r="Y21" i="118" s="1"/>
  <c r="I446" i="1"/>
  <c r="H446" i="1"/>
  <c r="J445" i="1"/>
  <c r="Y20" i="118" s="1"/>
  <c r="I445" i="1"/>
  <c r="H445" i="1"/>
  <c r="J444" i="1"/>
  <c r="G302" i="8" s="1"/>
  <c r="I444" i="1"/>
  <c r="F302" i="8" s="1"/>
  <c r="H444" i="1"/>
  <c r="E302" i="8" s="1"/>
  <c r="J443" i="1"/>
  <c r="I443" i="1"/>
  <c r="H443" i="1"/>
  <c r="J442" i="1"/>
  <c r="G164" i="8" s="1"/>
  <c r="I442" i="1"/>
  <c r="F164" i="8" s="1"/>
  <c r="H442" i="1"/>
  <c r="E164" i="8" s="1"/>
  <c r="J441" i="1"/>
  <c r="G163" i="8" s="1"/>
  <c r="I441" i="1"/>
  <c r="F163" i="8" s="1"/>
  <c r="H441" i="1"/>
  <c r="E163" i="8" s="1"/>
  <c r="J440" i="1"/>
  <c r="G301" i="8" s="1"/>
  <c r="I440" i="1"/>
  <c r="F301" i="8" s="1"/>
  <c r="H440" i="1"/>
  <c r="E301" i="8" s="1"/>
  <c r="J439" i="1"/>
  <c r="I439" i="1"/>
  <c r="H439" i="1"/>
  <c r="J438" i="1"/>
  <c r="I438" i="1"/>
  <c r="H438" i="1"/>
  <c r="J437" i="1"/>
  <c r="I437" i="1"/>
  <c r="H437" i="1"/>
  <c r="J435" i="1"/>
  <c r="G300" i="8" s="1"/>
  <c r="I435" i="1"/>
  <c r="F300" i="8" s="1"/>
  <c r="H435" i="1"/>
  <c r="E300" i="8" s="1"/>
  <c r="J434" i="1"/>
  <c r="I434" i="1"/>
  <c r="H434" i="1"/>
  <c r="J433" i="1"/>
  <c r="G299" i="8" s="1"/>
  <c r="I433" i="1"/>
  <c r="F299" i="8" s="1"/>
  <c r="H433" i="1"/>
  <c r="E299" i="8" s="1"/>
  <c r="J432" i="1"/>
  <c r="I432" i="1"/>
  <c r="H432" i="1"/>
  <c r="J431" i="1"/>
  <c r="G298" i="8" s="1"/>
  <c r="I431" i="1"/>
  <c r="F298" i="8" s="1"/>
  <c r="H431" i="1"/>
  <c r="E298" i="8" s="1"/>
  <c r="J430" i="1"/>
  <c r="G161" i="8" s="1"/>
  <c r="I430" i="1"/>
  <c r="F161" i="8" s="1"/>
  <c r="H430" i="1"/>
  <c r="E161" i="8" s="1"/>
  <c r="J429" i="1"/>
  <c r="G160" i="8" s="1"/>
  <c r="I429" i="1"/>
  <c r="H429" i="1"/>
  <c r="E160" i="8" s="1"/>
  <c r="H7" i="135"/>
  <c r="J428" i="1"/>
  <c r="G297" i="8" s="1"/>
  <c r="I428" i="1"/>
  <c r="H428" i="1"/>
  <c r="E297" i="8" s="1"/>
  <c r="J426" i="1"/>
  <c r="Y8" i="118" s="1"/>
  <c r="I426" i="1"/>
  <c r="H426" i="1"/>
  <c r="E7" i="43"/>
  <c r="C75" i="181" l="1" a="1"/>
  <c r="C75" i="181" s="1"/>
  <c r="C77" i="192" a="1"/>
  <c r="C77" i="192" s="1"/>
  <c r="C76" i="192" a="1"/>
  <c r="C76" i="192" s="1"/>
  <c r="C79" i="192" a="1"/>
  <c r="C79" i="192" s="1"/>
  <c r="C38" i="194" a="1"/>
  <c r="C38" i="194" s="1"/>
  <c r="C7" i="181" a="1"/>
  <c r="C7" i="181" s="1"/>
  <c r="C73" i="181" a="1"/>
  <c r="C73" i="181" s="1"/>
  <c r="C78" i="181" a="1"/>
  <c r="C78" i="181" s="1"/>
  <c r="C19" i="192" a="1"/>
  <c r="C19" i="192" s="1"/>
  <c r="C19" i="194" a="1"/>
  <c r="C19" i="194" s="1"/>
  <c r="C19" i="181" a="1"/>
  <c r="C19" i="181" s="1"/>
  <c r="D20" i="125" a="1"/>
  <c r="D20" i="125" s="1"/>
  <c r="D20" i="181" a="1"/>
  <c r="D20" i="181" s="1"/>
  <c r="C20" i="181" a="1"/>
  <c r="C20" i="181" s="1"/>
  <c r="C20" i="192" a="1"/>
  <c r="C20" i="192" s="1"/>
  <c r="C20" i="194" a="1"/>
  <c r="C20" i="194" s="1"/>
  <c r="C12" i="181" a="1"/>
  <c r="C12" i="181" s="1"/>
  <c r="C12" i="192" a="1"/>
  <c r="C12" i="192" s="1"/>
  <c r="C12" i="194" a="1"/>
  <c r="C12" i="194" s="1"/>
  <c r="D12" i="181" a="1"/>
  <c r="D12" i="181" s="1"/>
  <c r="C15" i="192" a="1"/>
  <c r="C15" i="192" s="1"/>
  <c r="D15" i="181" a="1"/>
  <c r="D15" i="181" s="1"/>
  <c r="C15" i="181" a="1"/>
  <c r="C15" i="181" s="1"/>
  <c r="C15" i="194" a="1"/>
  <c r="C15" i="194" s="1"/>
  <c r="C13" i="194" a="1"/>
  <c r="C13" i="194" s="1"/>
  <c r="D13" i="181" a="1"/>
  <c r="D13" i="181" s="1"/>
  <c r="C13" i="181" a="1"/>
  <c r="C13" i="181" s="1"/>
  <c r="C13" i="192" a="1"/>
  <c r="C13" i="192" s="1"/>
  <c r="C21" i="194" a="1"/>
  <c r="C21" i="194" s="1"/>
  <c r="C21" i="192" a="1"/>
  <c r="C21" i="192" s="1"/>
  <c r="C21" i="181" a="1"/>
  <c r="C21" i="181" s="1"/>
  <c r="D21" i="181" a="1"/>
  <c r="D21" i="181" s="1"/>
  <c r="I15" i="195"/>
  <c r="I36" i="195" s="1"/>
  <c r="F15" i="195"/>
  <c r="F36" i="195" s="1"/>
  <c r="H19" i="195"/>
  <c r="H40" i="195" s="1"/>
  <c r="C16" i="195"/>
  <c r="F17" i="195"/>
  <c r="F38" i="195" s="1"/>
  <c r="F16" i="195"/>
  <c r="F37" i="195" s="1"/>
  <c r="C19" i="195"/>
  <c r="H16" i="195"/>
  <c r="H37" i="195" s="1"/>
  <c r="E19" i="195"/>
  <c r="E40" i="195" s="1"/>
  <c r="C17" i="195"/>
  <c r="I17" i="195"/>
  <c r="I38" i="195" s="1"/>
  <c r="I19" i="195"/>
  <c r="I40" i="195" s="1"/>
  <c r="E16" i="195"/>
  <c r="E37" i="195" s="1"/>
  <c r="H15" i="195"/>
  <c r="H36" i="195" s="1"/>
  <c r="E15" i="195"/>
  <c r="E36" i="195" s="1"/>
  <c r="E17" i="195"/>
  <c r="E38" i="195" s="1"/>
  <c r="C15" i="195"/>
  <c r="I16" i="195"/>
  <c r="I37" i="195" s="1"/>
  <c r="H17" i="195"/>
  <c r="H38" i="195" s="1"/>
  <c r="F19" i="195"/>
  <c r="F40" i="195" s="1"/>
  <c r="C17" i="192" a="1"/>
  <c r="C17" i="192" s="1"/>
  <c r="C17" i="194" a="1"/>
  <c r="C17" i="194" s="1"/>
  <c r="C17" i="181" a="1"/>
  <c r="C17" i="181" s="1"/>
  <c r="D17" i="181" a="1"/>
  <c r="D17" i="181" s="1"/>
  <c r="C55" i="181" a="1"/>
  <c r="C55" i="181" s="1"/>
  <c r="D31" i="181" a="1"/>
  <c r="D31" i="181" s="1"/>
  <c r="C8" i="181" a="1"/>
  <c r="C8" i="181" s="1"/>
  <c r="D76" i="181" a="1"/>
  <c r="D76" i="181" s="1"/>
  <c r="D65" i="181" a="1"/>
  <c r="D65" i="181" s="1"/>
  <c r="C43" i="181" a="1"/>
  <c r="C43" i="181" s="1"/>
  <c r="D19" i="181" a="1"/>
  <c r="D19" i="181" s="1"/>
  <c r="D74" i="181" a="1"/>
  <c r="D74" i="181" s="1"/>
  <c r="C40" i="181" a="1"/>
  <c r="C40" i="181" s="1"/>
  <c r="D51" i="181" a="1"/>
  <c r="D51" i="181" s="1"/>
  <c r="D16" i="181" a="1"/>
  <c r="D16" i="181" s="1"/>
  <c r="D8" i="181" a="1"/>
  <c r="D8" i="181" s="1"/>
  <c r="C8" i="192" a="1"/>
  <c r="C8" i="192" s="1"/>
  <c r="C8" i="194" a="1"/>
  <c r="C8" i="194" s="1"/>
  <c r="F18" i="195"/>
  <c r="F39" i="195" s="1"/>
  <c r="C18" i="195"/>
  <c r="H18" i="195"/>
  <c r="H39" i="195" s="1"/>
  <c r="E18" i="195"/>
  <c r="E39" i="195" s="1"/>
  <c r="I18" i="195"/>
  <c r="I39" i="195" s="1"/>
  <c r="C14" i="192" a="1"/>
  <c r="C14" i="192" s="1"/>
  <c r="C14" i="194" a="1"/>
  <c r="C14" i="194" s="1"/>
  <c r="C14" i="181" a="1"/>
  <c r="C14" i="181" s="1"/>
  <c r="D14" i="181" a="1"/>
  <c r="D14" i="181" s="1"/>
  <c r="F17" i="125" a="1"/>
  <c r="F17" i="125" s="1"/>
  <c r="E38" i="125" a="1"/>
  <c r="E38" i="125" s="1"/>
  <c r="D22" i="125" a="1"/>
  <c r="D22" i="125" s="1"/>
  <c r="C11" i="125" a="1"/>
  <c r="C11" i="125" s="1"/>
  <c r="C71" i="125" a="1"/>
  <c r="C71" i="125" s="1"/>
  <c r="C79" i="125" a="1"/>
  <c r="C79" i="125" s="1"/>
  <c r="F76" i="125" a="1"/>
  <c r="F76" i="125" s="1"/>
  <c r="D18" i="125" a="1"/>
  <c r="D18" i="125" s="1"/>
  <c r="C75" i="125" a="1"/>
  <c r="C75" i="125" s="1"/>
  <c r="E77" i="125" a="1"/>
  <c r="E77" i="125" s="1"/>
  <c r="C73" i="125" a="1"/>
  <c r="C73" i="125" s="1"/>
  <c r="D26" i="125" a="1"/>
  <c r="D26" i="125" s="1"/>
  <c r="E71" i="125" a="1"/>
  <c r="E71" i="125" s="1"/>
  <c r="E73" i="125" a="1"/>
  <c r="E73" i="125" s="1"/>
  <c r="D38" i="125" a="1"/>
  <c r="D38" i="125" s="1"/>
  <c r="D11" i="125" a="1"/>
  <c r="D11" i="125" s="1"/>
  <c r="F9" i="125" a="1"/>
  <c r="F9" i="125" s="1"/>
  <c r="D74" i="125" a="1"/>
  <c r="D74" i="125" s="1"/>
  <c r="D71" i="125" a="1"/>
  <c r="D71" i="125" s="1"/>
  <c r="F73" i="125" a="1"/>
  <c r="F73" i="125" s="1"/>
  <c r="D78" i="125" a="1"/>
  <c r="D78" i="125" s="1"/>
  <c r="D75" i="125" a="1"/>
  <c r="D75" i="125" s="1"/>
  <c r="F77" i="125" a="1"/>
  <c r="F77" i="125" s="1"/>
  <c r="E18" i="125" a="1"/>
  <c r="E18" i="125" s="1"/>
  <c r="D79" i="125" a="1"/>
  <c r="D79" i="125" s="1"/>
  <c r="E74" i="125" a="1"/>
  <c r="E74" i="125" s="1"/>
  <c r="E22" i="125" a="1"/>
  <c r="E22" i="125" s="1"/>
  <c r="E11" i="125" a="1"/>
  <c r="E11" i="125" s="1"/>
  <c r="C18" i="125" a="1"/>
  <c r="C18" i="125" s="1"/>
  <c r="F18" i="125" a="1"/>
  <c r="F18" i="125" s="1"/>
  <c r="F11" i="125" a="1"/>
  <c r="F11" i="125" s="1"/>
  <c r="C22" i="125" a="1"/>
  <c r="C22" i="125" s="1"/>
  <c r="F22" i="125" a="1"/>
  <c r="F22" i="125" s="1"/>
  <c r="F71" i="125" a="1"/>
  <c r="F71" i="125" s="1"/>
  <c r="C26" i="125" a="1"/>
  <c r="C26" i="125" s="1"/>
  <c r="F26" i="125" a="1"/>
  <c r="F26" i="125" s="1"/>
  <c r="F75" i="125" a="1"/>
  <c r="F75" i="125" s="1"/>
  <c r="C38" i="125" a="1"/>
  <c r="C38" i="125" s="1"/>
  <c r="F38" i="125" a="1"/>
  <c r="F38" i="125" s="1"/>
  <c r="F79" i="125" a="1"/>
  <c r="F79" i="125" s="1"/>
  <c r="C74" i="125" a="1"/>
  <c r="C74" i="125" s="1"/>
  <c r="F74" i="125" a="1"/>
  <c r="F74" i="125" s="1"/>
  <c r="E60" i="125" a="1"/>
  <c r="E60" i="125" s="1"/>
  <c r="C78" i="125" a="1"/>
  <c r="C78" i="125" s="1"/>
  <c r="F78" i="125" a="1"/>
  <c r="F78" i="125" s="1"/>
  <c r="E26" i="125" a="1"/>
  <c r="E26" i="125" s="1"/>
  <c r="AI73" i="118" a="1"/>
  <c r="AI73" i="118" s="1"/>
  <c r="C8" i="125" a="1"/>
  <c r="C8" i="125" s="1"/>
  <c r="C72" i="125" a="1"/>
  <c r="C72" i="125" s="1"/>
  <c r="E16" i="125" a="1"/>
  <c r="E16" i="125" s="1"/>
  <c r="F48" i="125" a="1"/>
  <c r="F48" i="125" s="1"/>
  <c r="C9" i="125" a="1"/>
  <c r="C9" i="125" s="1"/>
  <c r="E53" i="125" a="1"/>
  <c r="E53" i="125" s="1"/>
  <c r="D57" i="125" a="1"/>
  <c r="D57" i="125" s="1"/>
  <c r="E49" i="125" a="1"/>
  <c r="E49" i="125" s="1"/>
  <c r="C12" i="125" a="1"/>
  <c r="C12" i="125" s="1"/>
  <c r="C76" i="125" a="1"/>
  <c r="C76" i="125" s="1"/>
  <c r="D32" i="125" a="1"/>
  <c r="D32" i="125" s="1"/>
  <c r="F52" i="125" a="1"/>
  <c r="F52" i="125" s="1"/>
  <c r="C13" i="125" a="1"/>
  <c r="C13" i="125" s="1"/>
  <c r="E65" i="125" a="1"/>
  <c r="E65" i="125" s="1"/>
  <c r="D61" i="125" a="1"/>
  <c r="D61" i="125" s="1"/>
  <c r="E69" i="125" a="1"/>
  <c r="E69" i="125" s="1"/>
  <c r="C16" i="125" a="1"/>
  <c r="C16" i="125" s="1"/>
  <c r="D52" i="125" a="1"/>
  <c r="D52" i="125" s="1"/>
  <c r="D36" i="125" a="1"/>
  <c r="D36" i="125" s="1"/>
  <c r="E40" i="125" a="1"/>
  <c r="E40" i="125" s="1"/>
  <c r="F56" i="125" a="1"/>
  <c r="F56" i="125" s="1"/>
  <c r="C17" i="125" a="1"/>
  <c r="C17" i="125" s="1"/>
  <c r="E66" i="125" a="1"/>
  <c r="E66" i="125" s="1"/>
  <c r="D65" i="125" a="1"/>
  <c r="D65" i="125" s="1"/>
  <c r="C20" i="125" a="1"/>
  <c r="C20" i="125" s="1"/>
  <c r="D60" i="125" a="1"/>
  <c r="D60" i="125" s="1"/>
  <c r="D40" i="125" a="1"/>
  <c r="D40" i="125" s="1"/>
  <c r="E52" i="125" a="1"/>
  <c r="E52" i="125" s="1"/>
  <c r="F60" i="125" a="1"/>
  <c r="F60" i="125" s="1"/>
  <c r="C21" i="125" a="1"/>
  <c r="C21" i="125" s="1"/>
  <c r="E79" i="125" a="1"/>
  <c r="E79" i="125" s="1"/>
  <c r="E8" i="125" a="1"/>
  <c r="E8" i="125" s="1"/>
  <c r="C24" i="125" a="1"/>
  <c r="C24" i="125" s="1"/>
  <c r="D68" i="125" a="1"/>
  <c r="D68" i="125" s="1"/>
  <c r="D44" i="125" a="1"/>
  <c r="D44" i="125" s="1"/>
  <c r="E68" i="125" a="1"/>
  <c r="E68" i="125" s="1"/>
  <c r="F64" i="125" a="1"/>
  <c r="F64" i="125" s="1"/>
  <c r="C25" i="125" a="1"/>
  <c r="C25" i="125" s="1"/>
  <c r="D9" i="125" a="1"/>
  <c r="D9" i="125" s="1"/>
  <c r="D73" i="125" a="1"/>
  <c r="D73" i="125" s="1"/>
  <c r="D72" i="125" a="1"/>
  <c r="D72" i="125" s="1"/>
  <c r="D48" i="125" a="1"/>
  <c r="D48" i="125" s="1"/>
  <c r="E75" i="125" a="1"/>
  <c r="E75" i="125" s="1"/>
  <c r="F68" i="125" a="1"/>
  <c r="F68" i="125" s="1"/>
  <c r="C29" i="125" a="1"/>
  <c r="C29" i="125" s="1"/>
  <c r="D13" i="125" a="1"/>
  <c r="D13" i="125" s="1"/>
  <c r="C32" i="125" a="1"/>
  <c r="C32" i="125" s="1"/>
  <c r="E20" i="125" a="1"/>
  <c r="E20" i="125" s="1"/>
  <c r="D56" i="125" a="1"/>
  <c r="D56" i="125" s="1"/>
  <c r="F8" i="125" a="1"/>
  <c r="F8" i="125" s="1"/>
  <c r="F72" i="125" a="1"/>
  <c r="F72" i="125" s="1"/>
  <c r="C33" i="125" a="1"/>
  <c r="C33" i="125" s="1"/>
  <c r="D17" i="125" a="1"/>
  <c r="D17" i="125" s="1"/>
  <c r="E57" i="125" a="1"/>
  <c r="E57" i="125" s="1"/>
  <c r="C40" i="125" a="1"/>
  <c r="C40" i="125" s="1"/>
  <c r="E44" i="125" a="1"/>
  <c r="E44" i="125" s="1"/>
  <c r="D76" i="125" a="1"/>
  <c r="D76" i="125" s="1"/>
  <c r="F16" i="125" a="1"/>
  <c r="F16" i="125" s="1"/>
  <c r="C65" i="125" a="1"/>
  <c r="C65" i="125" s="1"/>
  <c r="C41" i="125" a="1"/>
  <c r="C41" i="125" s="1"/>
  <c r="D25" i="125" a="1"/>
  <c r="D25" i="125" s="1"/>
  <c r="E78" i="125" a="1"/>
  <c r="E78" i="125" s="1"/>
  <c r="F29" i="125" a="1"/>
  <c r="F29" i="125" s="1"/>
  <c r="C44" i="125" a="1"/>
  <c r="C44" i="125" s="1"/>
  <c r="E56" i="125" a="1"/>
  <c r="E56" i="125" s="1"/>
  <c r="E24" i="125" a="1"/>
  <c r="E24" i="125" s="1"/>
  <c r="F20" i="125" a="1"/>
  <c r="F20" i="125" s="1"/>
  <c r="C69" i="125" a="1"/>
  <c r="C69" i="125" s="1"/>
  <c r="C45" i="125" a="1"/>
  <c r="C45" i="125" s="1"/>
  <c r="D29" i="125" a="1"/>
  <c r="D29" i="125" s="1"/>
  <c r="E9" i="125" a="1"/>
  <c r="E9" i="125" s="1"/>
  <c r="C48" i="125" a="1"/>
  <c r="C48" i="125" s="1"/>
  <c r="E72" i="125" a="1"/>
  <c r="E72" i="125" s="1"/>
  <c r="E36" i="125" a="1"/>
  <c r="E36" i="125" s="1"/>
  <c r="F24" i="125" a="1"/>
  <c r="F24" i="125" s="1"/>
  <c r="C77" i="125" a="1"/>
  <c r="C77" i="125" s="1"/>
  <c r="C49" i="125" a="1"/>
  <c r="C49" i="125" s="1"/>
  <c r="D33" i="125" a="1"/>
  <c r="D33" i="125" s="1"/>
  <c r="E13" i="125" a="1"/>
  <c r="E13" i="125" s="1"/>
  <c r="C52" i="125" a="1"/>
  <c r="C52" i="125" s="1"/>
  <c r="D8" i="125" a="1"/>
  <c r="D8" i="125" s="1"/>
  <c r="E48" i="125" a="1"/>
  <c r="E48" i="125" s="1"/>
  <c r="D77" i="125" a="1"/>
  <c r="D77" i="125" s="1"/>
  <c r="C53" i="125" a="1"/>
  <c r="C53" i="125" s="1"/>
  <c r="D37" i="125" a="1"/>
  <c r="D37" i="125" s="1"/>
  <c r="E17" i="125" a="1"/>
  <c r="E17" i="125" s="1"/>
  <c r="C56" i="125" a="1"/>
  <c r="C56" i="125" s="1"/>
  <c r="D12" i="125" a="1"/>
  <c r="D12" i="125" s="1"/>
  <c r="E64" i="125" a="1"/>
  <c r="E64" i="125" s="1"/>
  <c r="F32" i="125" a="1"/>
  <c r="F32" i="125" s="1"/>
  <c r="E45" i="125" a="1"/>
  <c r="E45" i="125" s="1"/>
  <c r="C60" i="125" a="1"/>
  <c r="C60" i="125" s="1"/>
  <c r="D16" i="125" a="1"/>
  <c r="D16" i="125" s="1"/>
  <c r="E76" i="125" a="1"/>
  <c r="E76" i="125" s="1"/>
  <c r="F36" i="125" a="1"/>
  <c r="F36" i="125" s="1"/>
  <c r="E61" i="125" a="1"/>
  <c r="E61" i="125" s="1"/>
  <c r="C68" i="125" a="1"/>
  <c r="C68" i="125" s="1"/>
  <c r="D24" i="125" a="1"/>
  <c r="D24" i="125" s="1"/>
  <c r="E12" i="125" a="1"/>
  <c r="E12" i="125" s="1"/>
  <c r="F44" i="125" a="1"/>
  <c r="F44" i="125" s="1"/>
  <c r="E37" i="125" a="1"/>
  <c r="E37" i="125" s="1"/>
  <c r="E14" i="125" a="1"/>
  <c r="E14" i="125" s="1"/>
  <c r="C14" i="125" a="1"/>
  <c r="C14" i="125" s="1"/>
  <c r="F14" i="125" a="1"/>
  <c r="F14" i="125" s="1"/>
  <c r="D14" i="125" a="1"/>
  <c r="D14" i="125" s="1"/>
  <c r="C19" i="125" a="1"/>
  <c r="C19" i="125" s="1"/>
  <c r="F19" i="125" a="1"/>
  <c r="F19" i="125" s="1"/>
  <c r="D19" i="125" a="1"/>
  <c r="D19" i="125" s="1"/>
  <c r="E19" i="125" a="1"/>
  <c r="E19" i="125" s="1"/>
  <c r="F297" i="8"/>
  <c r="F12" i="125" a="1"/>
  <c r="F12" i="125" s="1"/>
  <c r="D15" i="125" a="1"/>
  <c r="D15" i="125" s="1"/>
  <c r="E15" i="125" a="1"/>
  <c r="E15" i="125" s="1"/>
  <c r="F15" i="125" a="1"/>
  <c r="F15" i="125" s="1"/>
  <c r="C15" i="125" a="1"/>
  <c r="C15" i="125" s="1"/>
  <c r="F160" i="8"/>
  <c r="F13" i="125" a="1"/>
  <c r="F13" i="125" s="1"/>
  <c r="F21" i="125" a="1"/>
  <c r="F21" i="125" s="1"/>
  <c r="D21" i="125" a="1"/>
  <c r="D21" i="125" s="1"/>
  <c r="E21" i="125" a="1"/>
  <c r="E21" i="125" s="1"/>
  <c r="AI74" i="118" a="1"/>
  <c r="AI74" i="118" s="1"/>
  <c r="AI72" i="118" a="1"/>
  <c r="AI72" i="118" s="1"/>
  <c r="AI71" i="118" a="1"/>
  <c r="AI71" i="118" s="1"/>
  <c r="AI79" i="118" a="1"/>
  <c r="AI79" i="118" s="1"/>
  <c r="AI78" i="118" a="1"/>
  <c r="AI78" i="118" s="1"/>
  <c r="AI77" i="118" a="1"/>
  <c r="AI77" i="118" s="1"/>
  <c r="AI76" i="118" a="1"/>
  <c r="AI76" i="118" s="1"/>
  <c r="I7" i="135"/>
  <c r="N12" i="135"/>
  <c r="I19" i="135"/>
  <c r="N11" i="135" s="1"/>
  <c r="I18" i="135"/>
  <c r="H16" i="135"/>
  <c r="M10" i="135" s="1"/>
  <c r="G16" i="135"/>
  <c r="L10" i="135" s="1"/>
  <c r="D14" i="135"/>
  <c r="D9" i="135"/>
  <c r="D15" i="135"/>
  <c r="D11" i="135"/>
  <c r="D12" i="135"/>
  <c r="D13" i="135"/>
  <c r="J9" i="121"/>
  <c r="D8" i="135"/>
  <c r="D10" i="135"/>
  <c r="Y12" i="118"/>
  <c r="Y7" i="118"/>
  <c r="Y14" i="118"/>
  <c r="Y13" i="118"/>
  <c r="Y15" i="118"/>
  <c r="AE15" i="118"/>
  <c r="AB15" i="118"/>
  <c r="Z15" i="118" a="1"/>
  <c r="Z15" i="118" s="1"/>
  <c r="AF15" i="118"/>
  <c r="AJ15" i="118" a="1"/>
  <c r="AJ15" i="118" s="1"/>
  <c r="U15" i="118"/>
  <c r="S15" i="118"/>
  <c r="X15" i="118"/>
  <c r="V15" i="118"/>
  <c r="AD15" i="118"/>
  <c r="M15" i="118"/>
  <c r="H15" i="118"/>
  <c r="K15" i="118"/>
  <c r="D15" i="118"/>
  <c r="R15" i="118"/>
  <c r="Q15" i="118"/>
  <c r="F15" i="118"/>
  <c r="I15" i="118"/>
  <c r="AA15" i="118"/>
  <c r="N15" i="118"/>
  <c r="AC15" i="118"/>
  <c r="P15" i="118"/>
  <c r="L15" i="118"/>
  <c r="J15" i="118"/>
  <c r="W15" i="118"/>
  <c r="E15" i="118"/>
  <c r="O15" i="118"/>
  <c r="C15" i="118"/>
  <c r="G15" i="118"/>
  <c r="T15" i="118"/>
  <c r="AH15" i="118" a="1"/>
  <c r="AH15" i="118" s="1"/>
  <c r="AH14" i="118" a="1"/>
  <c r="AH14" i="118" s="1"/>
  <c r="V14" i="118"/>
  <c r="S14" i="118"/>
  <c r="P14" i="118"/>
  <c r="M14" i="118"/>
  <c r="J14" i="118"/>
  <c r="G14" i="118"/>
  <c r="AJ14" i="118" a="1"/>
  <c r="AJ14" i="118" s="1"/>
  <c r="AF14" i="118"/>
  <c r="AD14" i="118"/>
  <c r="AE14" i="118"/>
  <c r="X14" i="118"/>
  <c r="AC14" i="118"/>
  <c r="AB14" i="118"/>
  <c r="W14" i="118"/>
  <c r="K14" i="118"/>
  <c r="D14" i="118"/>
  <c r="R14" i="118"/>
  <c r="Q14" i="118"/>
  <c r="F14" i="118"/>
  <c r="Z14" i="118" a="1"/>
  <c r="Z14" i="118" s="1"/>
  <c r="I14" i="118"/>
  <c r="T14" i="118"/>
  <c r="AA14" i="118"/>
  <c r="U14" i="118"/>
  <c r="N14" i="118"/>
  <c r="E14" i="118"/>
  <c r="O14" i="118"/>
  <c r="C14" i="118"/>
  <c r="H14" i="118"/>
  <c r="L14" i="118"/>
  <c r="AH8" i="118" a="1"/>
  <c r="AH8" i="118" s="1"/>
  <c r="AA8" i="118"/>
  <c r="AE8" i="118"/>
  <c r="AC8" i="118"/>
  <c r="T8" i="118"/>
  <c r="AB8" i="118"/>
  <c r="AF8" i="118"/>
  <c r="AD8" i="118"/>
  <c r="W8" i="118"/>
  <c r="C8" i="118"/>
  <c r="P8" i="118"/>
  <c r="Q8" i="118"/>
  <c r="Z8" i="118" a="1"/>
  <c r="Z8" i="118" s="1"/>
  <c r="AJ8" i="118" a="1"/>
  <c r="AJ8" i="118" s="1"/>
  <c r="G8" i="118"/>
  <c r="U8" i="118"/>
  <c r="L8" i="118"/>
  <c r="J8" i="118"/>
  <c r="E8" i="118"/>
  <c r="O8" i="118"/>
  <c r="H8" i="118"/>
  <c r="M8" i="118"/>
  <c r="K8" i="118"/>
  <c r="F8" i="118"/>
  <c r="X8" i="118"/>
  <c r="V8" i="118"/>
  <c r="D8" i="118"/>
  <c r="I8" i="118"/>
  <c r="R8" i="118"/>
  <c r="S8" i="118"/>
  <c r="N8" i="118"/>
  <c r="Y19" i="118"/>
  <c r="AF19" i="118"/>
  <c r="AC19" i="118"/>
  <c r="AJ19" i="118" a="1"/>
  <c r="AJ19" i="118" s="1"/>
  <c r="AH19" i="118" a="1"/>
  <c r="AH19" i="118" s="1"/>
  <c r="Z19" i="118" a="1"/>
  <c r="Z19" i="118" s="1"/>
  <c r="W19" i="118"/>
  <c r="AA19" i="118"/>
  <c r="AE19" i="118"/>
  <c r="U19" i="118"/>
  <c r="R19" i="118"/>
  <c r="Q19" i="118"/>
  <c r="O19" i="118"/>
  <c r="N19" i="118"/>
  <c r="L19" i="118"/>
  <c r="K19" i="118"/>
  <c r="I19" i="118"/>
  <c r="H19" i="118"/>
  <c r="E19" i="118"/>
  <c r="S19" i="118"/>
  <c r="AD19" i="118"/>
  <c r="P19" i="118"/>
  <c r="J19" i="118"/>
  <c r="X19" i="118"/>
  <c r="V19" i="118"/>
  <c r="M19" i="118"/>
  <c r="AB19" i="118"/>
  <c r="T19" i="118"/>
  <c r="G19" i="118"/>
  <c r="C19" i="118"/>
  <c r="D19" i="118"/>
  <c r="F19" i="118"/>
  <c r="AF12" i="118"/>
  <c r="AD12" i="118"/>
  <c r="X12" i="118"/>
  <c r="W12" i="118"/>
  <c r="V12" i="118"/>
  <c r="U12" i="118"/>
  <c r="T12" i="118"/>
  <c r="S12" i="118"/>
  <c r="Z12" i="118" a="1"/>
  <c r="Z12" i="118" s="1"/>
  <c r="AC12" i="118"/>
  <c r="AJ12" i="118" a="1"/>
  <c r="AJ12" i="118" s="1"/>
  <c r="AH12" i="118" a="1"/>
  <c r="AH12" i="118" s="1"/>
  <c r="AA12" i="118"/>
  <c r="R12" i="118"/>
  <c r="Q12" i="118"/>
  <c r="K12" i="118"/>
  <c r="F12" i="118"/>
  <c r="D12" i="118"/>
  <c r="I12" i="118"/>
  <c r="AE12" i="118"/>
  <c r="N12" i="118"/>
  <c r="G12" i="118"/>
  <c r="P12" i="118"/>
  <c r="L12" i="118"/>
  <c r="O12" i="118"/>
  <c r="H12" i="118"/>
  <c r="M12" i="118"/>
  <c r="C12" i="118"/>
  <c r="J12" i="118"/>
  <c r="E12" i="118"/>
  <c r="AB12" i="118"/>
  <c r="AJ17" i="118" a="1"/>
  <c r="AJ17" i="118" s="1"/>
  <c r="AE17" i="118"/>
  <c r="AD17" i="118"/>
  <c r="Z17" i="118" a="1"/>
  <c r="Z17" i="118" s="1"/>
  <c r="E17" i="118"/>
  <c r="AF17" i="118"/>
  <c r="W17" i="118"/>
  <c r="AA17" i="118"/>
  <c r="U17" i="118"/>
  <c r="S17" i="118"/>
  <c r="F17" i="118"/>
  <c r="X17" i="118"/>
  <c r="AH17" i="118" a="1"/>
  <c r="AH17" i="118" s="1"/>
  <c r="AC17" i="118"/>
  <c r="AB17" i="118"/>
  <c r="T17" i="118"/>
  <c r="C17" i="118"/>
  <c r="V17" i="118"/>
  <c r="O17" i="118"/>
  <c r="M17" i="118"/>
  <c r="H17" i="118"/>
  <c r="R17" i="118"/>
  <c r="Q17" i="118"/>
  <c r="K17" i="118"/>
  <c r="D17" i="118"/>
  <c r="N17" i="118"/>
  <c r="G17" i="118"/>
  <c r="P17" i="118"/>
  <c r="L17" i="118"/>
  <c r="J17" i="118"/>
  <c r="I17" i="118"/>
  <c r="Y17" i="118"/>
  <c r="AJ20" i="118" a="1"/>
  <c r="AJ20" i="118" s="1"/>
  <c r="AB20" i="118"/>
  <c r="AA20" i="118"/>
  <c r="AE20" i="118"/>
  <c r="T20" i="118"/>
  <c r="Z20" i="118" a="1"/>
  <c r="Z20" i="118" s="1"/>
  <c r="W20" i="118"/>
  <c r="P20" i="118"/>
  <c r="M20" i="118"/>
  <c r="J20" i="118"/>
  <c r="G20" i="118"/>
  <c r="D20" i="118"/>
  <c r="C20" i="118"/>
  <c r="R20" i="118"/>
  <c r="Q20" i="118"/>
  <c r="U20" i="118"/>
  <c r="X20" i="118"/>
  <c r="V20" i="118"/>
  <c r="S20" i="118"/>
  <c r="L20" i="118"/>
  <c r="AD20" i="118"/>
  <c r="E20" i="118"/>
  <c r="AH20" i="118" a="1"/>
  <c r="AH20" i="118" s="1"/>
  <c r="O20" i="118"/>
  <c r="H20" i="118"/>
  <c r="F20" i="118"/>
  <c r="I20" i="118"/>
  <c r="AF20" i="118"/>
  <c r="N20" i="118"/>
  <c r="AC20" i="118"/>
  <c r="K20" i="118"/>
  <c r="AH21" i="118" a="1"/>
  <c r="AH21" i="118" s="1"/>
  <c r="F21" i="118"/>
  <c r="C21" i="118"/>
  <c r="AJ21" i="118" a="1"/>
  <c r="AJ21" i="118" s="1"/>
  <c r="AD21" i="118"/>
  <c r="AB21" i="118"/>
  <c r="T21" i="118"/>
  <c r="Z21" i="118" a="1"/>
  <c r="Z21" i="118" s="1"/>
  <c r="AA21" i="118"/>
  <c r="W21" i="118"/>
  <c r="P21" i="118"/>
  <c r="AE21" i="118"/>
  <c r="X21" i="118"/>
  <c r="AC21" i="118"/>
  <c r="S21" i="118"/>
  <c r="L21" i="118"/>
  <c r="J21" i="118"/>
  <c r="E21" i="118"/>
  <c r="V21" i="118"/>
  <c r="O21" i="118"/>
  <c r="M21" i="118"/>
  <c r="H21" i="118"/>
  <c r="K21" i="118"/>
  <c r="I21" i="118"/>
  <c r="N21" i="118"/>
  <c r="G21" i="118"/>
  <c r="Q21" i="118"/>
  <c r="R21" i="118"/>
  <c r="D21" i="118"/>
  <c r="AF21" i="118"/>
  <c r="U21" i="118"/>
  <c r="AH7" i="118" a="1"/>
  <c r="AH7" i="118" s="1"/>
  <c r="AD7" i="118"/>
  <c r="AA7" i="118"/>
  <c r="AC7" i="118"/>
  <c r="U7" i="118"/>
  <c r="AJ7" i="118" a="1"/>
  <c r="AJ7" i="118" s="1"/>
  <c r="Z7" i="118" a="1"/>
  <c r="Z7" i="118" s="1"/>
  <c r="AE7" i="118"/>
  <c r="X7" i="118"/>
  <c r="AB7" i="118"/>
  <c r="R7" i="118"/>
  <c r="Q7" i="118"/>
  <c r="O7" i="118"/>
  <c r="N7" i="118"/>
  <c r="L7" i="118"/>
  <c r="K7" i="118"/>
  <c r="I7" i="118"/>
  <c r="H7" i="118"/>
  <c r="E7" i="118"/>
  <c r="S7" i="118"/>
  <c r="P7" i="118"/>
  <c r="AF7" i="118"/>
  <c r="V7" i="118"/>
  <c r="M7" i="118"/>
  <c r="F7" i="118"/>
  <c r="T7" i="118"/>
  <c r="W7" i="118"/>
  <c r="J7" i="118"/>
  <c r="D7" i="118"/>
  <c r="C7" i="118"/>
  <c r="G7" i="118"/>
  <c r="AJ13" i="118" a="1"/>
  <c r="AJ13" i="118" s="1"/>
  <c r="D13" i="118"/>
  <c r="AH13" i="118" a="1"/>
  <c r="AH13" i="118" s="1"/>
  <c r="AE13" i="118"/>
  <c r="S13" i="118"/>
  <c r="X13" i="118"/>
  <c r="V13" i="118"/>
  <c r="AC13" i="118"/>
  <c r="Z13" i="118" a="1"/>
  <c r="Z13" i="118" s="1"/>
  <c r="T13" i="118"/>
  <c r="AA13" i="118"/>
  <c r="K13" i="118"/>
  <c r="R13" i="118"/>
  <c r="Q13" i="118"/>
  <c r="F13" i="118"/>
  <c r="I13" i="118"/>
  <c r="U13" i="118"/>
  <c r="N13" i="118"/>
  <c r="L13" i="118"/>
  <c r="G13" i="118"/>
  <c r="AF13" i="118"/>
  <c r="AB13" i="118"/>
  <c r="J13" i="118"/>
  <c r="E13" i="118"/>
  <c r="W13" i="118"/>
  <c r="O13" i="118"/>
  <c r="AD13" i="118"/>
  <c r="H13" i="118"/>
  <c r="M13" i="118"/>
  <c r="C13" i="118"/>
  <c r="P13" i="118"/>
  <c r="C37" i="195" l="1"/>
  <c r="C36" i="195"/>
  <c r="C39" i="195"/>
  <c r="C38" i="195"/>
  <c r="C40" i="195"/>
  <c r="H8" i="135"/>
  <c r="M7" i="135" s="1"/>
  <c r="H12" i="135"/>
  <c r="H15" i="135"/>
  <c r="H9" i="135"/>
  <c r="H10" i="135"/>
  <c r="H13" i="135"/>
  <c r="I16" i="135"/>
  <c r="N10" i="135" s="1"/>
  <c r="H11" i="135"/>
  <c r="G10" i="135"/>
  <c r="G9" i="135"/>
  <c r="G15" i="135"/>
  <c r="G13" i="135"/>
  <c r="G12" i="135"/>
  <c r="G14" i="135"/>
  <c r="G8" i="135"/>
  <c r="L7" i="135" s="1"/>
  <c r="G11" i="135"/>
  <c r="H14" i="135"/>
  <c r="C8" i="121"/>
  <c r="D7" i="8"/>
  <c r="C7" i="8"/>
  <c r="M9" i="135" l="1"/>
  <c r="J8" i="121"/>
  <c r="C11" i="121"/>
  <c r="L9" i="135"/>
  <c r="L8" i="135"/>
  <c r="M8" i="135"/>
  <c r="I10" i="135"/>
  <c r="I9" i="135"/>
  <c r="I8" i="135"/>
  <c r="N7" i="135" s="1"/>
  <c r="I12" i="135"/>
  <c r="I15" i="135"/>
  <c r="I13" i="135"/>
  <c r="I11" i="135"/>
  <c r="I14" i="135"/>
  <c r="N9" i="135" s="1"/>
  <c r="H72" i="112" a="1"/>
  <c r="H72" i="112" s="1"/>
  <c r="C7" i="112"/>
  <c r="N8" i="135" l="1"/>
  <c r="H11" i="112" a="1"/>
  <c r="H11" i="112" s="1"/>
  <c r="E11" i="112"/>
  <c r="E12" i="112"/>
  <c r="E14" i="112"/>
  <c r="E16" i="112"/>
  <c r="E17" i="112"/>
  <c r="E18" i="112"/>
  <c r="E20" i="112"/>
  <c r="E22" i="112"/>
  <c r="E23" i="112"/>
  <c r="E34" i="112"/>
  <c r="E35" i="112"/>
  <c r="E36" i="112"/>
  <c r="E37" i="112"/>
  <c r="E39" i="112"/>
  <c r="E40" i="112"/>
  <c r="E41" i="112"/>
  <c r="E42" i="112"/>
  <c r="E44" i="112"/>
  <c r="E45" i="112"/>
  <c r="E46" i="112"/>
  <c r="E47" i="112"/>
  <c r="E48" i="112"/>
  <c r="E49" i="112"/>
  <c r="E51" i="112"/>
  <c r="E52" i="112"/>
  <c r="E53" i="112"/>
  <c r="E54" i="112"/>
  <c r="E55" i="112"/>
  <c r="E56" i="112"/>
  <c r="E57" i="112"/>
  <c r="E58" i="112"/>
  <c r="E59" i="112"/>
  <c r="E60" i="112"/>
  <c r="E61" i="112"/>
  <c r="E63" i="112"/>
  <c r="E64" i="112"/>
  <c r="E65" i="112"/>
  <c r="E66" i="112"/>
  <c r="E67" i="112"/>
  <c r="E15" i="112"/>
  <c r="H117" i="98"/>
  <c r="H109" i="98"/>
  <c r="H110" i="98"/>
  <c r="H114" i="98"/>
  <c r="H115" i="98"/>
  <c r="C115" i="98"/>
  <c r="C116" i="98"/>
  <c r="C117" i="98"/>
  <c r="H7" i="98" l="1"/>
  <c r="C68" i="43" l="1"/>
  <c r="D68" i="43"/>
  <c r="E68" i="43"/>
  <c r="F68" i="43"/>
  <c r="G68" i="43"/>
  <c r="H68" i="43"/>
  <c r="I68" i="43"/>
  <c r="J68" i="43"/>
  <c r="K68" i="43"/>
  <c r="L68" i="43"/>
  <c r="M68" i="43"/>
  <c r="N68" i="43"/>
  <c r="O68" i="43"/>
  <c r="P68" i="43"/>
  <c r="Q68" i="43"/>
  <c r="R68" i="43"/>
  <c r="S68" i="43"/>
  <c r="T68" i="43"/>
  <c r="U68" i="43"/>
  <c r="V68" i="43"/>
  <c r="W68" i="43"/>
  <c r="X68" i="43"/>
  <c r="Y68" i="43"/>
  <c r="Z68" i="43" a="1"/>
  <c r="Z68" i="43" s="1"/>
  <c r="AA68" i="43"/>
  <c r="AB68" i="43"/>
  <c r="AC68" i="43"/>
  <c r="AD68" i="43"/>
  <c r="AE68" i="43"/>
  <c r="AF68" i="43"/>
  <c r="AH68" i="43" a="1"/>
  <c r="AH68" i="43" s="1"/>
  <c r="AJ68" i="43" a="1"/>
  <c r="AJ68" i="43" s="1"/>
  <c r="C69" i="43"/>
  <c r="D69" i="43"/>
  <c r="E69" i="43"/>
  <c r="F69" i="43"/>
  <c r="G69" i="43"/>
  <c r="H69" i="43"/>
  <c r="I69" i="43"/>
  <c r="J69" i="43"/>
  <c r="K69" i="43"/>
  <c r="L69" i="43"/>
  <c r="M69" i="43"/>
  <c r="N69" i="43"/>
  <c r="O69" i="43"/>
  <c r="P69" i="43"/>
  <c r="Q69" i="43"/>
  <c r="R69" i="43"/>
  <c r="S69" i="43"/>
  <c r="T69" i="43"/>
  <c r="U69" i="43"/>
  <c r="V69" i="43"/>
  <c r="W69" i="43"/>
  <c r="X69" i="43"/>
  <c r="Y69" i="43"/>
  <c r="Z69" i="43" a="1"/>
  <c r="Z69" i="43" s="1"/>
  <c r="AA69" i="43"/>
  <c r="AB69" i="43"/>
  <c r="AC69" i="43"/>
  <c r="AD69" i="43"/>
  <c r="AE69" i="43"/>
  <c r="AF69" i="43"/>
  <c r="AH69" i="43" a="1"/>
  <c r="AH69" i="43" s="1"/>
  <c r="AJ69" i="43" a="1"/>
  <c r="AJ69" i="43" s="1"/>
  <c r="C70" i="43"/>
  <c r="D70" i="43"/>
  <c r="E70" i="43"/>
  <c r="F70" i="43"/>
  <c r="G70" i="43"/>
  <c r="H70" i="43"/>
  <c r="I70" i="43"/>
  <c r="J70" i="43"/>
  <c r="K70" i="43"/>
  <c r="L70" i="43"/>
  <c r="M70" i="43"/>
  <c r="N70" i="43"/>
  <c r="O70" i="43"/>
  <c r="P70" i="43"/>
  <c r="Q70" i="43"/>
  <c r="R70" i="43"/>
  <c r="S70" i="43"/>
  <c r="T70" i="43"/>
  <c r="U70" i="43"/>
  <c r="V70" i="43"/>
  <c r="W70" i="43"/>
  <c r="X70" i="43"/>
  <c r="Y70" i="43"/>
  <c r="Z70" i="43" a="1"/>
  <c r="Z70" i="43" s="1"/>
  <c r="AA70" i="43"/>
  <c r="AB70" i="43"/>
  <c r="AC70" i="43"/>
  <c r="AD70" i="43"/>
  <c r="AE70" i="43"/>
  <c r="AF70" i="43"/>
  <c r="AH70" i="43" a="1"/>
  <c r="AH70" i="43" s="1"/>
  <c r="AJ70" i="43" a="1"/>
  <c r="AJ70" i="43" s="1"/>
  <c r="C62" i="43"/>
  <c r="D62" i="43"/>
  <c r="E62" i="43"/>
  <c r="F62" i="43"/>
  <c r="G62" i="43"/>
  <c r="H62" i="43"/>
  <c r="I62" i="43"/>
  <c r="J62" i="43"/>
  <c r="K62" i="43"/>
  <c r="L62" i="43"/>
  <c r="M62" i="43"/>
  <c r="N62" i="43"/>
  <c r="O62" i="43"/>
  <c r="P62" i="43"/>
  <c r="Q62" i="43"/>
  <c r="R62" i="43"/>
  <c r="S62" i="43"/>
  <c r="T62" i="43"/>
  <c r="U62" i="43"/>
  <c r="V62" i="43"/>
  <c r="W62" i="43"/>
  <c r="X62" i="43"/>
  <c r="Y62" i="43"/>
  <c r="Z62" i="43" a="1"/>
  <c r="Z62" i="43" s="1"/>
  <c r="AA62" i="43"/>
  <c r="AB62" i="43"/>
  <c r="AC62" i="43"/>
  <c r="AD62" i="43"/>
  <c r="AE62" i="43"/>
  <c r="AF62" i="43"/>
  <c r="AH62" i="43" a="1"/>
  <c r="AH62" i="43" s="1"/>
  <c r="AJ62" i="43" a="1"/>
  <c r="AJ62" i="43" s="1"/>
  <c r="C111" i="98" l="1"/>
  <c r="C112" i="98"/>
  <c r="C113" i="98"/>
  <c r="C114" i="98"/>
  <c r="Y67" i="43" l="1"/>
  <c r="Y66" i="43"/>
  <c r="C66" i="43"/>
  <c r="D66" i="43"/>
  <c r="E66" i="43"/>
  <c r="F66" i="43"/>
  <c r="G66" i="43"/>
  <c r="H66" i="43"/>
  <c r="I66" i="43"/>
  <c r="J66" i="43"/>
  <c r="K66" i="43"/>
  <c r="L66" i="43"/>
  <c r="M66" i="43"/>
  <c r="N66" i="43"/>
  <c r="O66" i="43"/>
  <c r="P66" i="43"/>
  <c r="Q66" i="43"/>
  <c r="R66" i="43"/>
  <c r="S66" i="43"/>
  <c r="T66" i="43"/>
  <c r="U66" i="43"/>
  <c r="V66" i="43"/>
  <c r="W66" i="43"/>
  <c r="X66" i="43"/>
  <c r="AA66" i="43"/>
  <c r="AB66" i="43"/>
  <c r="AC66" i="43"/>
  <c r="AD66" i="43"/>
  <c r="AE66" i="43"/>
  <c r="AF66" i="43"/>
  <c r="C67" i="43"/>
  <c r="D67" i="43"/>
  <c r="E67" i="43"/>
  <c r="F67" i="43"/>
  <c r="G67" i="43"/>
  <c r="H67" i="43"/>
  <c r="I67" i="43"/>
  <c r="J67" i="43"/>
  <c r="K67" i="43"/>
  <c r="L67" i="43"/>
  <c r="M67" i="43"/>
  <c r="N67" i="43"/>
  <c r="O67" i="43"/>
  <c r="P67" i="43"/>
  <c r="Q67" i="43"/>
  <c r="R67" i="43"/>
  <c r="S67" i="43"/>
  <c r="T67" i="43"/>
  <c r="U67" i="43"/>
  <c r="V67" i="43"/>
  <c r="W67" i="43"/>
  <c r="X67" i="43"/>
  <c r="AA67" i="43"/>
  <c r="AB67" i="43"/>
  <c r="AC67" i="43"/>
  <c r="AD67" i="43"/>
  <c r="AE67" i="43"/>
  <c r="AF67" i="43"/>
  <c r="Y65" i="43" l="1"/>
  <c r="C65" i="43"/>
  <c r="D65" i="43"/>
  <c r="E65" i="43"/>
  <c r="F65" i="43"/>
  <c r="G65" i="43"/>
  <c r="H65" i="43"/>
  <c r="I65" i="43"/>
  <c r="J65" i="43"/>
  <c r="K65" i="43"/>
  <c r="L65" i="43"/>
  <c r="M65" i="43"/>
  <c r="N65" i="43"/>
  <c r="O65" i="43"/>
  <c r="P65" i="43"/>
  <c r="Q65" i="43"/>
  <c r="R65" i="43"/>
  <c r="S65" i="43"/>
  <c r="T65" i="43"/>
  <c r="U65" i="43"/>
  <c r="V65" i="43"/>
  <c r="W65" i="43"/>
  <c r="X65" i="43"/>
  <c r="AA65" i="43"/>
  <c r="AB65" i="43"/>
  <c r="AC65" i="43"/>
  <c r="AD65" i="43"/>
  <c r="AE65" i="43"/>
  <c r="AF65" i="43"/>
  <c r="G117" i="98"/>
  <c r="I117" i="98" s="1"/>
  <c r="G115" i="98"/>
  <c r="I115" i="98" s="1"/>
  <c r="G114" i="98"/>
  <c r="I114" i="98" s="1"/>
  <c r="C110" i="98"/>
  <c r="H116" i="98" l="1"/>
  <c r="H113" i="98"/>
  <c r="G116" i="98"/>
  <c r="G113" i="98"/>
  <c r="Y63" i="43"/>
  <c r="C63" i="43"/>
  <c r="D63" i="43"/>
  <c r="E63" i="43"/>
  <c r="F63" i="43"/>
  <c r="G63" i="43"/>
  <c r="H63" i="43"/>
  <c r="I63" i="43"/>
  <c r="J63" i="43"/>
  <c r="K63" i="43"/>
  <c r="L63" i="43"/>
  <c r="M63" i="43"/>
  <c r="N63" i="43"/>
  <c r="O63" i="43"/>
  <c r="P63" i="43"/>
  <c r="Q63" i="43"/>
  <c r="R63" i="43"/>
  <c r="S63" i="43"/>
  <c r="T63" i="43"/>
  <c r="U63" i="43"/>
  <c r="V63" i="43"/>
  <c r="W63" i="43"/>
  <c r="X63" i="43"/>
  <c r="AA63" i="43"/>
  <c r="AB63" i="43"/>
  <c r="AC63" i="43"/>
  <c r="AD63" i="43"/>
  <c r="AE63" i="43"/>
  <c r="AF63" i="43"/>
  <c r="C64" i="43"/>
  <c r="D64" i="43"/>
  <c r="E64" i="43"/>
  <c r="F64" i="43"/>
  <c r="G64" i="43"/>
  <c r="H64" i="43"/>
  <c r="I64" i="43"/>
  <c r="J64" i="43"/>
  <c r="K64" i="43"/>
  <c r="L64" i="43"/>
  <c r="M64" i="43"/>
  <c r="N64" i="43"/>
  <c r="O64" i="43"/>
  <c r="P64" i="43"/>
  <c r="Q64" i="43"/>
  <c r="R64" i="43"/>
  <c r="S64" i="43"/>
  <c r="T64" i="43"/>
  <c r="U64" i="43"/>
  <c r="V64" i="43"/>
  <c r="W64" i="43"/>
  <c r="X64" i="43"/>
  <c r="AA64" i="43"/>
  <c r="AB64" i="43"/>
  <c r="AC64" i="43"/>
  <c r="AD64" i="43"/>
  <c r="AE64" i="43"/>
  <c r="AF64" i="43"/>
  <c r="Y64" i="43"/>
  <c r="AJ8" i="43" a="1"/>
  <c r="AJ8" i="43" s="1"/>
  <c r="AJ9" i="43" a="1"/>
  <c r="AJ9" i="43" s="1"/>
  <c r="AJ10" i="43" a="1"/>
  <c r="AJ10" i="43" s="1"/>
  <c r="AJ13" i="43" a="1"/>
  <c r="AJ13" i="43" s="1"/>
  <c r="AJ19" i="43" a="1"/>
  <c r="AJ19" i="43" s="1"/>
  <c r="AJ21" i="43" a="1"/>
  <c r="AJ21" i="43" s="1"/>
  <c r="AJ25" i="43" a="1"/>
  <c r="AJ25" i="43" s="1"/>
  <c r="AJ26" i="43" a="1"/>
  <c r="AJ26" i="43" s="1"/>
  <c r="AJ27" i="43" a="1"/>
  <c r="AJ27" i="43" s="1"/>
  <c r="AJ28" i="43" a="1"/>
  <c r="AJ28" i="43" s="1"/>
  <c r="AJ29" i="43" a="1"/>
  <c r="AJ29" i="43" s="1"/>
  <c r="AJ30" i="43" a="1"/>
  <c r="AJ30" i="43" s="1"/>
  <c r="AJ31" i="43" a="1"/>
  <c r="AJ31" i="43" s="1"/>
  <c r="AJ32" i="43" a="1"/>
  <c r="AJ32" i="43" s="1"/>
  <c r="AJ33" i="43" a="1"/>
  <c r="AJ33" i="43" s="1"/>
  <c r="AJ38" i="43" a="1"/>
  <c r="AJ38" i="43" s="1"/>
  <c r="AJ43" i="43" a="1"/>
  <c r="AJ43" i="43" s="1"/>
  <c r="AJ50" i="43" a="1"/>
  <c r="AJ50" i="43" s="1"/>
  <c r="AJ7" i="43" a="1"/>
  <c r="AJ7" i="43" s="1"/>
  <c r="AH8" i="43" a="1"/>
  <c r="AH8" i="43" s="1"/>
  <c r="AH9" i="43" a="1"/>
  <c r="AH9" i="43" s="1"/>
  <c r="AH10" i="43" a="1"/>
  <c r="AH10" i="43" s="1"/>
  <c r="AH13" i="43" a="1"/>
  <c r="AH13" i="43" s="1"/>
  <c r="AH19" i="43" a="1"/>
  <c r="AH19" i="43" s="1"/>
  <c r="AH21" i="43" a="1"/>
  <c r="AH21" i="43" s="1"/>
  <c r="AH25" i="43" a="1"/>
  <c r="AH25" i="43" s="1"/>
  <c r="AH26" i="43" a="1"/>
  <c r="AH26" i="43" s="1"/>
  <c r="AH27" i="43" a="1"/>
  <c r="AH27" i="43" s="1"/>
  <c r="AH28" i="43" a="1"/>
  <c r="AH28" i="43" s="1"/>
  <c r="AH29" i="43" a="1"/>
  <c r="AH29" i="43" s="1"/>
  <c r="AH30" i="43" a="1"/>
  <c r="AH30" i="43" s="1"/>
  <c r="AH31" i="43" a="1"/>
  <c r="AH31" i="43" s="1"/>
  <c r="AH32" i="43" a="1"/>
  <c r="AH32" i="43" s="1"/>
  <c r="AH33" i="43" a="1"/>
  <c r="AH33" i="43" s="1"/>
  <c r="AH38" i="43" a="1"/>
  <c r="AH38" i="43" s="1"/>
  <c r="AH43" i="43" a="1"/>
  <c r="AH43" i="43" s="1"/>
  <c r="AH50" i="43" a="1"/>
  <c r="AH50" i="43" s="1"/>
  <c r="AH7" i="43" a="1"/>
  <c r="AH7" i="43" s="1"/>
  <c r="AF8" i="43"/>
  <c r="AF9" i="43"/>
  <c r="AF10" i="43"/>
  <c r="AF13" i="43"/>
  <c r="AF19" i="43"/>
  <c r="AF21" i="43"/>
  <c r="AF25" i="43"/>
  <c r="AF26" i="43"/>
  <c r="AF27" i="43"/>
  <c r="AF28" i="43"/>
  <c r="AF29" i="43"/>
  <c r="AF30" i="43"/>
  <c r="AF31" i="43"/>
  <c r="AF32" i="43"/>
  <c r="AF33" i="43"/>
  <c r="AF38" i="43"/>
  <c r="AF43" i="43"/>
  <c r="AF50" i="43"/>
  <c r="AF7" i="43"/>
  <c r="AE8" i="43"/>
  <c r="AE9" i="43"/>
  <c r="AE10" i="43"/>
  <c r="AE13" i="43"/>
  <c r="AE19" i="43"/>
  <c r="AE21" i="43"/>
  <c r="AE25" i="43"/>
  <c r="AE26" i="43"/>
  <c r="AE27" i="43"/>
  <c r="AE28" i="43"/>
  <c r="AE29" i="43"/>
  <c r="AE30" i="43"/>
  <c r="AE31" i="43"/>
  <c r="AE32" i="43"/>
  <c r="AE33" i="43"/>
  <c r="AE38" i="43"/>
  <c r="AE43" i="43"/>
  <c r="AE50" i="43"/>
  <c r="AE7" i="43"/>
  <c r="AD8" i="43"/>
  <c r="AD9" i="43"/>
  <c r="AD10" i="43"/>
  <c r="AD13" i="43"/>
  <c r="AD19" i="43"/>
  <c r="AD21" i="43"/>
  <c r="AD25" i="43"/>
  <c r="AD26" i="43"/>
  <c r="AD27" i="43"/>
  <c r="AD28" i="43"/>
  <c r="AD29" i="43"/>
  <c r="AD30" i="43"/>
  <c r="AD31" i="43"/>
  <c r="AD32" i="43"/>
  <c r="AD33" i="43"/>
  <c r="AD38" i="43"/>
  <c r="AD43" i="43"/>
  <c r="AD50" i="43"/>
  <c r="AD7" i="43"/>
  <c r="AC8" i="43"/>
  <c r="AC9" i="43"/>
  <c r="AC10" i="43"/>
  <c r="AC13" i="43"/>
  <c r="AC19" i="43"/>
  <c r="AC21" i="43"/>
  <c r="AC25" i="43"/>
  <c r="AC26" i="43"/>
  <c r="AC27" i="43"/>
  <c r="AC28" i="43"/>
  <c r="AC29" i="43"/>
  <c r="AC30" i="43"/>
  <c r="AC31" i="43"/>
  <c r="AC32" i="43"/>
  <c r="AC33" i="43"/>
  <c r="AC38" i="43"/>
  <c r="AC43" i="43"/>
  <c r="AC50" i="43"/>
  <c r="AC7" i="43"/>
  <c r="AB8" i="43"/>
  <c r="AB9" i="43"/>
  <c r="AB10" i="43"/>
  <c r="AB13" i="43"/>
  <c r="AB19" i="43"/>
  <c r="AB21" i="43"/>
  <c r="AB25" i="43"/>
  <c r="AB26" i="43"/>
  <c r="AB27" i="43"/>
  <c r="AB28" i="43"/>
  <c r="AB29" i="43"/>
  <c r="AB30" i="43"/>
  <c r="AB31" i="43"/>
  <c r="AB32" i="43"/>
  <c r="AB33" i="43"/>
  <c r="AB38" i="43"/>
  <c r="AB43" i="43"/>
  <c r="AB50" i="43"/>
  <c r="AB7" i="43"/>
  <c r="AA8" i="43"/>
  <c r="AA9" i="43"/>
  <c r="AA10" i="43"/>
  <c r="AA13" i="43"/>
  <c r="AA19" i="43"/>
  <c r="AA21" i="43"/>
  <c r="AA25" i="43"/>
  <c r="AA26" i="43"/>
  <c r="AA27" i="43"/>
  <c r="AA28" i="43"/>
  <c r="AA29" i="43"/>
  <c r="AA30" i="43"/>
  <c r="AA31" i="43"/>
  <c r="AA32" i="43"/>
  <c r="AA33" i="43"/>
  <c r="AA38" i="43"/>
  <c r="AA43" i="43"/>
  <c r="AA50" i="43"/>
  <c r="AA7" i="43"/>
  <c r="Z8" i="43" a="1"/>
  <c r="Z8" i="43" s="1"/>
  <c r="Z9" i="43" a="1"/>
  <c r="Z9" i="43" s="1"/>
  <c r="Z10" i="43" a="1"/>
  <c r="Z10" i="43" s="1"/>
  <c r="Z13" i="43" a="1"/>
  <c r="Z13" i="43" s="1"/>
  <c r="Z19" i="43" a="1"/>
  <c r="Z19" i="43" s="1"/>
  <c r="Z21" i="43" a="1"/>
  <c r="Z21" i="43" s="1"/>
  <c r="Z25" i="43" a="1"/>
  <c r="Z25" i="43" s="1"/>
  <c r="Z26" i="43" a="1"/>
  <c r="Z26" i="43" s="1"/>
  <c r="Z27" i="43" a="1"/>
  <c r="Z27" i="43" s="1"/>
  <c r="Z28" i="43" a="1"/>
  <c r="Z28" i="43" s="1"/>
  <c r="Z29" i="43" a="1"/>
  <c r="Z29" i="43" s="1"/>
  <c r="Z30" i="43" a="1"/>
  <c r="Z30" i="43" s="1"/>
  <c r="Z31" i="43" a="1"/>
  <c r="Z31" i="43" s="1"/>
  <c r="Z32" i="43" a="1"/>
  <c r="Z32" i="43" s="1"/>
  <c r="Z33" i="43" a="1"/>
  <c r="Z33" i="43" s="1"/>
  <c r="Z38" i="43" a="1"/>
  <c r="Z38" i="43" s="1"/>
  <c r="Z43" i="43" a="1"/>
  <c r="Z43" i="43" s="1"/>
  <c r="Z50" i="43" a="1"/>
  <c r="Z50" i="43" s="1"/>
  <c r="Z7" i="43" a="1"/>
  <c r="Z7" i="43" s="1"/>
  <c r="Y8" i="43"/>
  <c r="Y9" i="43"/>
  <c r="Y10" i="43"/>
  <c r="Y13" i="43"/>
  <c r="Y19" i="43"/>
  <c r="Y21" i="43"/>
  <c r="Y25" i="43"/>
  <c r="Y26" i="43"/>
  <c r="Y27" i="43"/>
  <c r="Y28" i="43"/>
  <c r="Y29" i="43"/>
  <c r="Y30" i="43"/>
  <c r="Y31" i="43"/>
  <c r="Y32" i="43"/>
  <c r="Y33" i="43"/>
  <c r="Y38" i="43"/>
  <c r="Y43" i="43"/>
  <c r="Y50" i="43"/>
  <c r="Y7" i="43"/>
  <c r="X8" i="43"/>
  <c r="X9" i="43"/>
  <c r="X10" i="43"/>
  <c r="X13" i="43"/>
  <c r="X19" i="43"/>
  <c r="X21" i="43"/>
  <c r="X25" i="43"/>
  <c r="X26" i="43"/>
  <c r="X27" i="43"/>
  <c r="X28" i="43"/>
  <c r="X29" i="43"/>
  <c r="X30" i="43"/>
  <c r="X31" i="43"/>
  <c r="X32" i="43"/>
  <c r="X33" i="43"/>
  <c r="X38" i="43"/>
  <c r="X43" i="43"/>
  <c r="X50" i="43"/>
  <c r="X7" i="43"/>
  <c r="W8" i="43"/>
  <c r="W9" i="43"/>
  <c r="W10" i="43"/>
  <c r="W13" i="43"/>
  <c r="W19" i="43"/>
  <c r="W21" i="43"/>
  <c r="W25" i="43"/>
  <c r="W26" i="43"/>
  <c r="W27" i="43"/>
  <c r="W28" i="43"/>
  <c r="W29" i="43"/>
  <c r="W30" i="43"/>
  <c r="W31" i="43"/>
  <c r="W32" i="43"/>
  <c r="W33" i="43"/>
  <c r="W38" i="43"/>
  <c r="W43" i="43"/>
  <c r="W50" i="43"/>
  <c r="W7" i="43"/>
  <c r="V8" i="43"/>
  <c r="V9" i="43"/>
  <c r="V10" i="43"/>
  <c r="V13" i="43"/>
  <c r="V19" i="43"/>
  <c r="V21" i="43"/>
  <c r="V25" i="43"/>
  <c r="V26" i="43"/>
  <c r="V27" i="43"/>
  <c r="V28" i="43"/>
  <c r="V29" i="43"/>
  <c r="V30" i="43"/>
  <c r="V31" i="43"/>
  <c r="V32" i="43"/>
  <c r="V33" i="43"/>
  <c r="V38" i="43"/>
  <c r="V43" i="43"/>
  <c r="V50" i="43"/>
  <c r="V7" i="43"/>
  <c r="U8" i="43"/>
  <c r="U9" i="43"/>
  <c r="U10" i="43"/>
  <c r="U13" i="43"/>
  <c r="U19" i="43"/>
  <c r="U21" i="43"/>
  <c r="U25" i="43"/>
  <c r="U26" i="43"/>
  <c r="U27" i="43"/>
  <c r="U28" i="43"/>
  <c r="U29" i="43"/>
  <c r="U30" i="43"/>
  <c r="U31" i="43"/>
  <c r="U32" i="43"/>
  <c r="U33" i="43"/>
  <c r="U38" i="43"/>
  <c r="U43" i="43"/>
  <c r="U50" i="43"/>
  <c r="U7" i="43"/>
  <c r="T8" i="43"/>
  <c r="T9" i="43"/>
  <c r="T10" i="43"/>
  <c r="T13" i="43"/>
  <c r="T19" i="43"/>
  <c r="T21" i="43"/>
  <c r="T25" i="43"/>
  <c r="T26" i="43"/>
  <c r="T27" i="43"/>
  <c r="T28" i="43"/>
  <c r="T29" i="43"/>
  <c r="T30" i="43"/>
  <c r="T31" i="43"/>
  <c r="T32" i="43"/>
  <c r="T33" i="43"/>
  <c r="T38" i="43"/>
  <c r="T43" i="43"/>
  <c r="T50" i="43"/>
  <c r="T7" i="43"/>
  <c r="S8" i="43"/>
  <c r="S9" i="43"/>
  <c r="S10" i="43"/>
  <c r="S13" i="43"/>
  <c r="S19" i="43"/>
  <c r="S21" i="43"/>
  <c r="S25" i="43"/>
  <c r="S26" i="43"/>
  <c r="S27" i="43"/>
  <c r="S28" i="43"/>
  <c r="S29" i="43"/>
  <c r="S30" i="43"/>
  <c r="S31" i="43"/>
  <c r="S32" i="43"/>
  <c r="S33" i="43"/>
  <c r="S38" i="43"/>
  <c r="S43" i="43"/>
  <c r="S50" i="43"/>
  <c r="S7" i="43"/>
  <c r="R8" i="43"/>
  <c r="R9" i="43"/>
  <c r="R10" i="43"/>
  <c r="R13" i="43"/>
  <c r="R19" i="43"/>
  <c r="R21" i="43"/>
  <c r="R25" i="43"/>
  <c r="R26" i="43"/>
  <c r="R27" i="43"/>
  <c r="R28" i="43"/>
  <c r="R29" i="43"/>
  <c r="R30" i="43"/>
  <c r="R31" i="43"/>
  <c r="R32" i="43"/>
  <c r="R33" i="43"/>
  <c r="R38" i="43"/>
  <c r="R43" i="43"/>
  <c r="R50" i="43"/>
  <c r="R7" i="43"/>
  <c r="Q8" i="43"/>
  <c r="Q9" i="43"/>
  <c r="Q10" i="43"/>
  <c r="Q13" i="43"/>
  <c r="Q19" i="43"/>
  <c r="Q21" i="43"/>
  <c r="Q25" i="43"/>
  <c r="Q26" i="43"/>
  <c r="Q27" i="43"/>
  <c r="Q28" i="43"/>
  <c r="Q29" i="43"/>
  <c r="Q30" i="43"/>
  <c r="Q31" i="43"/>
  <c r="Q32" i="43"/>
  <c r="Q33" i="43"/>
  <c r="Q38" i="43"/>
  <c r="Q43" i="43"/>
  <c r="Q50" i="43"/>
  <c r="Q7" i="43"/>
  <c r="P8" i="43"/>
  <c r="P9" i="43"/>
  <c r="P10" i="43"/>
  <c r="P13" i="43"/>
  <c r="P19" i="43"/>
  <c r="P21" i="43"/>
  <c r="P25" i="43"/>
  <c r="P26" i="43"/>
  <c r="P27" i="43"/>
  <c r="P28" i="43"/>
  <c r="P29" i="43"/>
  <c r="P30" i="43"/>
  <c r="P31" i="43"/>
  <c r="P32" i="43"/>
  <c r="P33" i="43"/>
  <c r="P38" i="43"/>
  <c r="P43" i="43"/>
  <c r="P50" i="43"/>
  <c r="P7" i="43"/>
  <c r="O8" i="43"/>
  <c r="O9" i="43"/>
  <c r="O10" i="43"/>
  <c r="O13" i="43"/>
  <c r="O19" i="43"/>
  <c r="O21" i="43"/>
  <c r="O25" i="43"/>
  <c r="O26" i="43"/>
  <c r="O27" i="43"/>
  <c r="O28" i="43"/>
  <c r="O29" i="43"/>
  <c r="O30" i="43"/>
  <c r="O31" i="43"/>
  <c r="O32" i="43"/>
  <c r="O33" i="43"/>
  <c r="O38" i="43"/>
  <c r="O43" i="43"/>
  <c r="O50" i="43"/>
  <c r="O7" i="43"/>
  <c r="N8" i="43"/>
  <c r="N9" i="43"/>
  <c r="N10" i="43"/>
  <c r="N13" i="43"/>
  <c r="N19" i="43"/>
  <c r="N21" i="43"/>
  <c r="N25" i="43"/>
  <c r="N26" i="43"/>
  <c r="N27" i="43"/>
  <c r="N28" i="43"/>
  <c r="N29" i="43"/>
  <c r="N30" i="43"/>
  <c r="N31" i="43"/>
  <c r="N32" i="43"/>
  <c r="N33" i="43"/>
  <c r="N38" i="43"/>
  <c r="N43" i="43"/>
  <c r="N50" i="43"/>
  <c r="N7" i="43"/>
  <c r="M8" i="43"/>
  <c r="M9" i="43"/>
  <c r="M10" i="43"/>
  <c r="M13" i="43"/>
  <c r="M19" i="43"/>
  <c r="M21" i="43"/>
  <c r="M25" i="43"/>
  <c r="M26" i="43"/>
  <c r="M27" i="43"/>
  <c r="M28" i="43"/>
  <c r="M29" i="43"/>
  <c r="M30" i="43"/>
  <c r="M31" i="43"/>
  <c r="M32" i="43"/>
  <c r="M33" i="43"/>
  <c r="M38" i="43"/>
  <c r="M43" i="43"/>
  <c r="M50" i="43"/>
  <c r="M7" i="43"/>
  <c r="L8" i="43"/>
  <c r="L9" i="43"/>
  <c r="L10" i="43"/>
  <c r="L13" i="43"/>
  <c r="L19" i="43"/>
  <c r="L21" i="43"/>
  <c r="L25" i="43"/>
  <c r="L26" i="43"/>
  <c r="L27" i="43"/>
  <c r="L28" i="43"/>
  <c r="L29" i="43"/>
  <c r="L30" i="43"/>
  <c r="L31" i="43"/>
  <c r="L32" i="43"/>
  <c r="L33" i="43"/>
  <c r="L38" i="43"/>
  <c r="L43" i="43"/>
  <c r="L50" i="43"/>
  <c r="L7" i="43"/>
  <c r="K8" i="43"/>
  <c r="K9" i="43"/>
  <c r="K10" i="43"/>
  <c r="K13" i="43"/>
  <c r="K19" i="43"/>
  <c r="K21" i="43"/>
  <c r="K25" i="43"/>
  <c r="K26" i="43"/>
  <c r="K27" i="43"/>
  <c r="K28" i="43"/>
  <c r="K29" i="43"/>
  <c r="K30" i="43"/>
  <c r="K31" i="43"/>
  <c r="K32" i="43"/>
  <c r="K33" i="43"/>
  <c r="K38" i="43"/>
  <c r="K43" i="43"/>
  <c r="K50" i="43"/>
  <c r="K7" i="43"/>
  <c r="J8" i="43"/>
  <c r="J9" i="43"/>
  <c r="J10" i="43"/>
  <c r="J13" i="43"/>
  <c r="J19" i="43"/>
  <c r="J21" i="43"/>
  <c r="J25" i="43"/>
  <c r="J26" i="43"/>
  <c r="J27" i="43"/>
  <c r="J28" i="43"/>
  <c r="J29" i="43"/>
  <c r="J30" i="43"/>
  <c r="J31" i="43"/>
  <c r="J32" i="43"/>
  <c r="J33" i="43"/>
  <c r="J38" i="43"/>
  <c r="J43" i="43"/>
  <c r="J50" i="43"/>
  <c r="J7" i="43"/>
  <c r="I8" i="43"/>
  <c r="I9" i="43"/>
  <c r="I10" i="43"/>
  <c r="I13" i="43"/>
  <c r="I19" i="43"/>
  <c r="I21" i="43"/>
  <c r="I25" i="43"/>
  <c r="I26" i="43"/>
  <c r="I27" i="43"/>
  <c r="I28" i="43"/>
  <c r="I29" i="43"/>
  <c r="I30" i="43"/>
  <c r="I31" i="43"/>
  <c r="I32" i="43"/>
  <c r="I33" i="43"/>
  <c r="I38" i="43"/>
  <c r="I43" i="43"/>
  <c r="I50" i="43"/>
  <c r="I7" i="43"/>
  <c r="H8" i="43"/>
  <c r="H9" i="43"/>
  <c r="H10" i="43"/>
  <c r="H13" i="43"/>
  <c r="H19" i="43"/>
  <c r="H21" i="43"/>
  <c r="H25" i="43"/>
  <c r="H26" i="43"/>
  <c r="H27" i="43"/>
  <c r="H28" i="43"/>
  <c r="H29" i="43"/>
  <c r="H30" i="43"/>
  <c r="H31" i="43"/>
  <c r="H32" i="43"/>
  <c r="H33" i="43"/>
  <c r="H38" i="43"/>
  <c r="H43" i="43"/>
  <c r="H50" i="43"/>
  <c r="H7" i="43"/>
  <c r="G8" i="43"/>
  <c r="G9" i="43"/>
  <c r="G10" i="43"/>
  <c r="G13" i="43"/>
  <c r="G19" i="43"/>
  <c r="G21" i="43"/>
  <c r="G25" i="43"/>
  <c r="G26" i="43"/>
  <c r="G27" i="43"/>
  <c r="G28" i="43"/>
  <c r="G29" i="43"/>
  <c r="G30" i="43"/>
  <c r="G31" i="43"/>
  <c r="G32" i="43"/>
  <c r="G33" i="43"/>
  <c r="G38" i="43"/>
  <c r="G43" i="43"/>
  <c r="G50" i="43"/>
  <c r="G7" i="43"/>
  <c r="F8" i="43"/>
  <c r="F9" i="43"/>
  <c r="F10" i="43"/>
  <c r="F13" i="43"/>
  <c r="F19" i="43"/>
  <c r="F21" i="43"/>
  <c r="F25" i="43"/>
  <c r="F26" i="43"/>
  <c r="F27" i="43"/>
  <c r="F28" i="43"/>
  <c r="F29" i="43"/>
  <c r="F30" i="43"/>
  <c r="F31" i="43"/>
  <c r="F32" i="43"/>
  <c r="F33" i="43"/>
  <c r="F38" i="43"/>
  <c r="F43" i="43"/>
  <c r="F50" i="43"/>
  <c r="F7" i="43"/>
  <c r="E8" i="43"/>
  <c r="E9" i="43"/>
  <c r="E10" i="43"/>
  <c r="E13" i="43"/>
  <c r="E19" i="43"/>
  <c r="E21" i="43"/>
  <c r="E25" i="43"/>
  <c r="E26" i="43"/>
  <c r="E27" i="43"/>
  <c r="E28" i="43"/>
  <c r="E29" i="43"/>
  <c r="E30" i="43"/>
  <c r="E31" i="43"/>
  <c r="E32" i="43"/>
  <c r="E33" i="43"/>
  <c r="E38" i="43"/>
  <c r="E43" i="43"/>
  <c r="E50" i="43"/>
  <c r="D8" i="43"/>
  <c r="D9" i="43"/>
  <c r="D10" i="43"/>
  <c r="D13" i="43"/>
  <c r="D19" i="43"/>
  <c r="D21" i="43"/>
  <c r="D25" i="43"/>
  <c r="D26" i="43"/>
  <c r="D27" i="43"/>
  <c r="D28" i="43"/>
  <c r="D29" i="43"/>
  <c r="D30" i="43"/>
  <c r="D31" i="43"/>
  <c r="D32" i="43"/>
  <c r="D33" i="43"/>
  <c r="D38" i="43"/>
  <c r="D43" i="43"/>
  <c r="D50" i="43"/>
  <c r="D7" i="43"/>
  <c r="C8" i="43"/>
  <c r="C9" i="43"/>
  <c r="C10" i="43"/>
  <c r="C13" i="43"/>
  <c r="C19" i="43"/>
  <c r="C21" i="43"/>
  <c r="C25" i="43"/>
  <c r="C26" i="43"/>
  <c r="C27" i="43"/>
  <c r="C28" i="43"/>
  <c r="C29" i="43"/>
  <c r="C30" i="43"/>
  <c r="C31" i="43"/>
  <c r="C32" i="43"/>
  <c r="C33" i="43"/>
  <c r="C38" i="43"/>
  <c r="C43" i="43"/>
  <c r="C50" i="43"/>
  <c r="C7" i="43"/>
  <c r="I113" i="98" l="1"/>
  <c r="I116" i="98"/>
  <c r="H14" i="98" l="1"/>
  <c r="C19" i="98"/>
  <c r="C20" i="98"/>
  <c r="C21" i="98"/>
  <c r="C22" i="98"/>
  <c r="C23" i="98"/>
  <c r="C24" i="98"/>
  <c r="C25" i="98"/>
  <c r="C26" i="98"/>
  <c r="C27" i="98"/>
  <c r="C28" i="98"/>
  <c r="C29" i="98"/>
  <c r="C30" i="98"/>
  <c r="C31" i="98"/>
  <c r="C32" i="98"/>
  <c r="C33" i="98"/>
  <c r="C34" i="98"/>
  <c r="C35" i="98"/>
  <c r="C36" i="98"/>
  <c r="C37" i="98"/>
  <c r="C38" i="98"/>
  <c r="C39" i="98"/>
  <c r="C41" i="98"/>
  <c r="C42" i="98"/>
  <c r="C43" i="98"/>
  <c r="C44" i="98"/>
  <c r="C45" i="98"/>
  <c r="C46" i="98"/>
  <c r="C47" i="98"/>
  <c r="C48" i="98"/>
  <c r="C49" i="98"/>
  <c r="C50" i="98"/>
  <c r="C51" i="98"/>
  <c r="C52" i="98"/>
  <c r="C53" i="98"/>
  <c r="C54" i="98"/>
  <c r="C55" i="98"/>
  <c r="C56" i="98"/>
  <c r="C57" i="98"/>
  <c r="C58" i="98"/>
  <c r="C59" i="98"/>
  <c r="C60" i="98"/>
  <c r="C61" i="98"/>
  <c r="C62" i="98"/>
  <c r="C63" i="98"/>
  <c r="C64" i="98"/>
  <c r="C65" i="98"/>
  <c r="C66" i="98"/>
  <c r="C67" i="98"/>
  <c r="C68" i="98"/>
  <c r="C69" i="98"/>
  <c r="C70" i="98"/>
  <c r="C72" i="98"/>
  <c r="C73" i="98"/>
  <c r="C74" i="98"/>
  <c r="C75" i="98"/>
  <c r="C76" i="98"/>
  <c r="C77" i="98"/>
  <c r="C78" i="98"/>
  <c r="C79" i="98"/>
  <c r="C80" i="98"/>
  <c r="C81" i="98"/>
  <c r="C82" i="98"/>
  <c r="C83" i="98"/>
  <c r="C84" i="98"/>
  <c r="C85" i="98"/>
  <c r="C86" i="98"/>
  <c r="C87" i="98"/>
  <c r="C88" i="98"/>
  <c r="C89" i="98"/>
  <c r="C90" i="98"/>
  <c r="C91" i="98"/>
  <c r="C92" i="98"/>
  <c r="C93" i="98"/>
  <c r="C94" i="98"/>
  <c r="C95" i="98"/>
  <c r="C96" i="98"/>
  <c r="C97" i="98"/>
  <c r="C98" i="98"/>
  <c r="C99" i="98"/>
  <c r="C100" i="98"/>
  <c r="C101" i="98"/>
  <c r="C102" i="98"/>
  <c r="C103" i="98"/>
  <c r="C104" i="98"/>
  <c r="C105" i="98"/>
  <c r="C106" i="98"/>
  <c r="C107" i="98"/>
  <c r="C108" i="98"/>
  <c r="C109" i="98"/>
  <c r="L24" i="98" l="1"/>
  <c r="M24" i="98"/>
  <c r="N24" i="98"/>
  <c r="L25" i="98"/>
  <c r="M25" i="98"/>
  <c r="N25" i="98"/>
  <c r="L26" i="98"/>
  <c r="M26" i="98"/>
  <c r="N26" i="98"/>
  <c r="L27" i="98"/>
  <c r="M27" i="98"/>
  <c r="N27" i="98"/>
  <c r="N22" i="98"/>
  <c r="N23" i="98"/>
  <c r="M22" i="98"/>
  <c r="M23" i="98"/>
  <c r="L23" i="98"/>
  <c r="L22" i="98"/>
  <c r="H106" i="98"/>
  <c r="H103" i="98"/>
  <c r="H102" i="98"/>
  <c r="H101" i="98"/>
  <c r="H100" i="98"/>
  <c r="H99" i="98"/>
  <c r="H87" i="98"/>
  <c r="H86" i="98"/>
  <c r="H80" i="98"/>
  <c r="H77" i="98"/>
  <c r="H76" i="98"/>
  <c r="H73" i="98"/>
  <c r="H64" i="98"/>
  <c r="H63" i="98"/>
  <c r="H59" i="98"/>
  <c r="H58" i="98"/>
  <c r="H55" i="98"/>
  <c r="H54" i="98"/>
  <c r="H52" i="98"/>
  <c r="H49" i="98"/>
  <c r="H32" i="98"/>
  <c r="H29" i="98"/>
  <c r="H28" i="98"/>
  <c r="H27" i="98"/>
  <c r="H23" i="98"/>
  <c r="H22" i="98"/>
  <c r="M10" i="98" s="1"/>
  <c r="H21" i="98"/>
  <c r="H20" i="98"/>
  <c r="H19" i="98"/>
  <c r="H18" i="98"/>
  <c r="H12" i="98"/>
  <c r="H11" i="98"/>
  <c r="G109" i="98" l="1"/>
  <c r="G110" i="98"/>
  <c r="I110" i="98" s="1"/>
  <c r="I109" i="98" l="1"/>
  <c r="H111" i="98"/>
  <c r="H108" i="98"/>
  <c r="H112" i="98"/>
  <c r="G111" i="98"/>
  <c r="G112" i="98"/>
  <c r="G108" i="98"/>
  <c r="Y61" i="43"/>
  <c r="C61" i="43"/>
  <c r="D61" i="43"/>
  <c r="E61" i="43"/>
  <c r="F61" i="43"/>
  <c r="G61" i="43"/>
  <c r="H61" i="43"/>
  <c r="I61" i="43"/>
  <c r="J61" i="43"/>
  <c r="K61" i="43"/>
  <c r="L61" i="43"/>
  <c r="M61" i="43"/>
  <c r="N61" i="43"/>
  <c r="O61" i="43"/>
  <c r="P61" i="43"/>
  <c r="Q61" i="43"/>
  <c r="R61" i="43"/>
  <c r="S61" i="43"/>
  <c r="T61" i="43"/>
  <c r="U61" i="43"/>
  <c r="V61" i="43"/>
  <c r="W61" i="43"/>
  <c r="X61" i="43"/>
  <c r="AA61" i="43"/>
  <c r="AB61" i="43"/>
  <c r="AC61" i="43"/>
  <c r="AD61" i="43"/>
  <c r="AE61" i="43"/>
  <c r="AF61" i="43"/>
  <c r="L21" i="98" l="1"/>
  <c r="M21" i="98"/>
  <c r="I111" i="98"/>
  <c r="I112" i="98"/>
  <c r="I108" i="98"/>
  <c r="N21" i="98" l="1"/>
  <c r="G21" i="98" l="1"/>
  <c r="I21" i="98" s="1"/>
  <c r="G20" i="98"/>
  <c r="I20" i="98" s="1"/>
  <c r="G19" i="98"/>
  <c r="I19" i="98" s="1"/>
  <c r="G18" i="98"/>
  <c r="I18" i="98" s="1"/>
  <c r="G32" i="98"/>
  <c r="I32" i="98" s="1"/>
  <c r="G106" i="98"/>
  <c r="I106" i="98" s="1"/>
  <c r="H105" i="98" l="1"/>
  <c r="H107" i="98"/>
  <c r="G17" i="98"/>
  <c r="H17" i="98"/>
  <c r="G30" i="98"/>
  <c r="H30" i="98"/>
  <c r="G31" i="98"/>
  <c r="H31" i="98"/>
  <c r="G107" i="98"/>
  <c r="G105" i="98" l="1"/>
  <c r="I105" i="98" s="1"/>
  <c r="I107" i="98"/>
  <c r="I31" i="98"/>
  <c r="I30" i="98"/>
  <c r="I17" i="98"/>
  <c r="G23" i="98"/>
  <c r="I23" i="98" s="1"/>
  <c r="G22" i="98"/>
  <c r="L10" i="98" s="1"/>
  <c r="G76" i="98"/>
  <c r="I76" i="98" s="1"/>
  <c r="I22" i="98" l="1"/>
  <c r="N10" i="98" s="1"/>
  <c r="G16" i="98"/>
  <c r="H16" i="98"/>
  <c r="G62" i="98"/>
  <c r="H62" i="98"/>
  <c r="Y20" i="43"/>
  <c r="AF20" i="43"/>
  <c r="X20" i="43"/>
  <c r="L20" i="43"/>
  <c r="AH20" i="43" a="1"/>
  <c r="AH20" i="43" s="1"/>
  <c r="AB20" i="43"/>
  <c r="W20" i="43"/>
  <c r="R20" i="43"/>
  <c r="P20" i="43"/>
  <c r="AD20" i="43"/>
  <c r="Z20" i="43" a="1"/>
  <c r="Z20" i="43" s="1"/>
  <c r="V20" i="43"/>
  <c r="AA20" i="43"/>
  <c r="T20" i="43"/>
  <c r="AJ20" i="43" a="1"/>
  <c r="AJ20" i="43" s="1"/>
  <c r="AE20" i="43"/>
  <c r="D20" i="43"/>
  <c r="K20" i="43"/>
  <c r="AC20" i="43"/>
  <c r="M20" i="43"/>
  <c r="G20" i="43"/>
  <c r="E20" i="43"/>
  <c r="C20" i="43"/>
  <c r="I20" i="43"/>
  <c r="J20" i="43"/>
  <c r="H20" i="43"/>
  <c r="S20" i="43"/>
  <c r="N20" i="43"/>
  <c r="U20" i="43"/>
  <c r="O20" i="43"/>
  <c r="F20" i="43"/>
  <c r="Q20" i="43"/>
  <c r="I16" i="98" l="1"/>
  <c r="I62" i="98"/>
  <c r="G99" i="98" l="1"/>
  <c r="I99" i="98" s="1"/>
  <c r="G100" i="98"/>
  <c r="I100" i="98" s="1"/>
  <c r="G101" i="98"/>
  <c r="I101" i="98" s="1"/>
  <c r="G102" i="98"/>
  <c r="I102" i="98" s="1"/>
  <c r="G103" i="98"/>
  <c r="I103" i="98" s="1"/>
  <c r="H104" i="98" l="1"/>
  <c r="G104" i="98"/>
  <c r="Y60" i="43"/>
  <c r="C60" i="43"/>
  <c r="D60" i="43"/>
  <c r="E60" i="43"/>
  <c r="F60" i="43"/>
  <c r="G60" i="43"/>
  <c r="H60" i="43"/>
  <c r="I60" i="43"/>
  <c r="J60" i="43"/>
  <c r="K60" i="43"/>
  <c r="L60" i="43"/>
  <c r="M60" i="43"/>
  <c r="N60" i="43"/>
  <c r="O60" i="43"/>
  <c r="P60" i="43"/>
  <c r="Q60" i="43"/>
  <c r="R60" i="43"/>
  <c r="S60" i="43"/>
  <c r="T60" i="43"/>
  <c r="U60" i="43"/>
  <c r="V60" i="43"/>
  <c r="W60" i="43"/>
  <c r="X60" i="43"/>
  <c r="AA60" i="43"/>
  <c r="AB60" i="43"/>
  <c r="AC60" i="43"/>
  <c r="AD60" i="43"/>
  <c r="AE60" i="43"/>
  <c r="AF60" i="43"/>
  <c r="I104" i="98" l="1"/>
  <c r="H98" i="98" l="1"/>
  <c r="M20" i="98" s="1"/>
  <c r="G98" i="98"/>
  <c r="L20" i="98" s="1"/>
  <c r="Y59" i="43"/>
  <c r="AC59" i="43"/>
  <c r="U59" i="43"/>
  <c r="I59" i="43"/>
  <c r="AF59" i="43"/>
  <c r="AJ59" i="43" a="1"/>
  <c r="AJ59" i="43" s="1"/>
  <c r="AB59" i="43"/>
  <c r="X59" i="43"/>
  <c r="M59" i="43"/>
  <c r="W59" i="43"/>
  <c r="P59" i="43"/>
  <c r="V59" i="43"/>
  <c r="AE59" i="43"/>
  <c r="AH59" i="43" a="1"/>
  <c r="AH59" i="43" s="1"/>
  <c r="R59" i="43"/>
  <c r="O59" i="43"/>
  <c r="AA59" i="43"/>
  <c r="Z59" i="43" a="1"/>
  <c r="Z59" i="43" s="1"/>
  <c r="H59" i="43"/>
  <c r="L59" i="43"/>
  <c r="J59" i="43"/>
  <c r="N59" i="43"/>
  <c r="F59" i="43"/>
  <c r="G59" i="43"/>
  <c r="K59" i="43"/>
  <c r="D59" i="43"/>
  <c r="Q59" i="43"/>
  <c r="C59" i="43"/>
  <c r="AD59" i="43"/>
  <c r="T59" i="43"/>
  <c r="S59" i="43"/>
  <c r="E59" i="43"/>
  <c r="I98" i="98" l="1"/>
  <c r="N20" i="98" s="1"/>
  <c r="G28" i="98" l="1"/>
  <c r="I28" i="98" s="1"/>
  <c r="H15" i="98" l="1"/>
  <c r="M9" i="98" s="1"/>
  <c r="H13" i="98"/>
  <c r="H9" i="98"/>
  <c r="G12" i="98"/>
  <c r="I12" i="98" s="1"/>
  <c r="G13" i="98" l="1"/>
  <c r="I13" i="98" s="1"/>
  <c r="G11" i="98"/>
  <c r="I11" i="98" s="1"/>
  <c r="Y14" i="43"/>
  <c r="H96" i="98"/>
  <c r="H61" i="98"/>
  <c r="H84" i="98"/>
  <c r="H34" i="98"/>
  <c r="H36" i="98"/>
  <c r="H37" i="98"/>
  <c r="H56" i="98"/>
  <c r="H38" i="98"/>
  <c r="H46" i="98"/>
  <c r="H75" i="98"/>
  <c r="H50" i="98"/>
  <c r="H39" i="98"/>
  <c r="H45" i="98"/>
  <c r="H47" i="98"/>
  <c r="H40" i="98"/>
  <c r="H41" i="98"/>
  <c r="G10" i="98"/>
  <c r="L8" i="98" s="1"/>
  <c r="H10" i="98"/>
  <c r="M8" i="98" s="1"/>
  <c r="H42" i="98"/>
  <c r="H43" i="98"/>
  <c r="H44" i="98"/>
  <c r="Y15" i="43"/>
  <c r="R14" i="43"/>
  <c r="AA14" i="43"/>
  <c r="AJ14" i="43" a="1"/>
  <c r="AJ14" i="43" s="1"/>
  <c r="AD14" i="43"/>
  <c r="X14" i="43"/>
  <c r="AE14" i="43"/>
  <c r="U14" i="43"/>
  <c r="T14" i="43"/>
  <c r="AF14" i="43"/>
  <c r="K14" i="43"/>
  <c r="AC14" i="43"/>
  <c r="Q14" i="43"/>
  <c r="S14" i="43"/>
  <c r="AB14" i="43"/>
  <c r="W14" i="43"/>
  <c r="P14" i="43"/>
  <c r="J14" i="43"/>
  <c r="D14" i="43"/>
  <c r="M14" i="43"/>
  <c r="AH14" i="43" a="1"/>
  <c r="AH14" i="43" s="1"/>
  <c r="C14" i="43"/>
  <c r="N14" i="43"/>
  <c r="I14" i="43"/>
  <c r="O14" i="43"/>
  <c r="V14" i="43"/>
  <c r="F14" i="43"/>
  <c r="Z14" i="43" a="1"/>
  <c r="Z14" i="43" s="1"/>
  <c r="H14" i="43"/>
  <c r="E14" i="43"/>
  <c r="L14" i="43"/>
  <c r="G14" i="43"/>
  <c r="M15" i="43"/>
  <c r="AJ15" i="43" a="1"/>
  <c r="AJ15" i="43" s="1"/>
  <c r="AD15" i="43"/>
  <c r="AH15" i="43" a="1"/>
  <c r="AH15" i="43" s="1"/>
  <c r="O15" i="43"/>
  <c r="X15" i="43"/>
  <c r="U15" i="43"/>
  <c r="T15" i="43"/>
  <c r="AA15" i="43"/>
  <c r="AF15" i="43"/>
  <c r="AC15" i="43"/>
  <c r="S15" i="43"/>
  <c r="AE15" i="43"/>
  <c r="Z15" i="43" a="1"/>
  <c r="Z15" i="43" s="1"/>
  <c r="V15" i="43"/>
  <c r="E15" i="43"/>
  <c r="Q15" i="43"/>
  <c r="W15" i="43"/>
  <c r="P15" i="43"/>
  <c r="J15" i="43"/>
  <c r="K15" i="43"/>
  <c r="C15" i="43"/>
  <c r="L15" i="43"/>
  <c r="R15" i="43"/>
  <c r="N15" i="43"/>
  <c r="I15" i="43"/>
  <c r="AB15" i="43"/>
  <c r="D15" i="43"/>
  <c r="G15" i="43"/>
  <c r="F15" i="43"/>
  <c r="H15" i="43"/>
  <c r="I10" i="98" l="1"/>
  <c r="N8" i="98" s="1"/>
  <c r="H72" i="98"/>
  <c r="G27" i="98"/>
  <c r="I27" i="98" s="1"/>
  <c r="G25" i="98" l="1"/>
  <c r="H25" i="98"/>
  <c r="G24" i="98" l="1"/>
  <c r="H24" i="98"/>
  <c r="G26" i="98"/>
  <c r="H26" i="98"/>
  <c r="I25" i="98"/>
  <c r="I24" i="98" l="1"/>
  <c r="I26" i="98"/>
  <c r="E7" i="8"/>
  <c r="G14" i="98"/>
  <c r="G29" i="98"/>
  <c r="I29" i="98" l="1"/>
  <c r="G15" i="98"/>
  <c r="I14" i="98"/>
  <c r="G9" i="98"/>
  <c r="I9" i="98" s="1"/>
  <c r="F7" i="8"/>
  <c r="G7" i="8"/>
  <c r="Y22" i="43"/>
  <c r="Y18" i="43"/>
  <c r="Y23" i="43"/>
  <c r="Y16" i="43"/>
  <c r="Y12" i="43"/>
  <c r="AH16" i="43" a="1"/>
  <c r="AH16" i="43" s="1"/>
  <c r="AB16" i="43"/>
  <c r="T16" i="43"/>
  <c r="H16" i="43"/>
  <c r="AE16" i="43"/>
  <c r="AA16" i="43"/>
  <c r="Z16" i="43" a="1"/>
  <c r="Z16" i="43" s="1"/>
  <c r="AD16" i="43"/>
  <c r="V16" i="43"/>
  <c r="L16" i="43"/>
  <c r="X16" i="43"/>
  <c r="U16" i="43"/>
  <c r="AF16" i="43"/>
  <c r="AC16" i="43"/>
  <c r="Q16" i="43"/>
  <c r="N16" i="43"/>
  <c r="AJ16" i="43" a="1"/>
  <c r="AJ16" i="43" s="1"/>
  <c r="M16" i="43"/>
  <c r="G16" i="43"/>
  <c r="C16" i="43"/>
  <c r="E16" i="43"/>
  <c r="W16" i="43"/>
  <c r="P16" i="43"/>
  <c r="J16" i="43"/>
  <c r="K16" i="43"/>
  <c r="S16" i="43"/>
  <c r="I16" i="43"/>
  <c r="R16" i="43"/>
  <c r="F16" i="43"/>
  <c r="O16" i="43"/>
  <c r="D16" i="43"/>
  <c r="Z22" i="43" a="1"/>
  <c r="Z22" i="43" s="1"/>
  <c r="D22" i="43"/>
  <c r="V22" i="43"/>
  <c r="C22" i="43"/>
  <c r="N22" i="43"/>
  <c r="L22" i="43"/>
  <c r="G22" i="43"/>
  <c r="AJ22" i="43" a="1"/>
  <c r="AJ22" i="43" s="1"/>
  <c r="AA22" i="43"/>
  <c r="AF22" i="43"/>
  <c r="AB22" i="43"/>
  <c r="O22" i="43"/>
  <c r="AC22" i="43"/>
  <c r="X22" i="43"/>
  <c r="F22" i="43"/>
  <c r="P22" i="43"/>
  <c r="U22" i="43"/>
  <c r="M22" i="43"/>
  <c r="E22" i="43"/>
  <c r="AE22" i="43"/>
  <c r="R22" i="43"/>
  <c r="T22" i="43"/>
  <c r="S22" i="43"/>
  <c r="Q22" i="43"/>
  <c r="K22" i="43"/>
  <c r="I22" i="43"/>
  <c r="W22" i="43"/>
  <c r="H22" i="43"/>
  <c r="AH22" i="43" a="1"/>
  <c r="AH22" i="43" s="1"/>
  <c r="J22" i="43"/>
  <c r="AD22" i="43"/>
  <c r="Z12" i="43" a="1"/>
  <c r="Z12" i="43" s="1"/>
  <c r="P12" i="43"/>
  <c r="AJ12" i="43" a="1"/>
  <c r="AJ12" i="43" s="1"/>
  <c r="AD12" i="43"/>
  <c r="AH12" i="43" a="1"/>
  <c r="AH12" i="43" s="1"/>
  <c r="AC12" i="43"/>
  <c r="AA12" i="43"/>
  <c r="AF12" i="43"/>
  <c r="K12" i="43"/>
  <c r="Q12" i="43"/>
  <c r="S12" i="43"/>
  <c r="AE12" i="43"/>
  <c r="W12" i="43"/>
  <c r="U12" i="43"/>
  <c r="N12" i="43"/>
  <c r="I12" i="43"/>
  <c r="M12" i="43"/>
  <c r="R12" i="43"/>
  <c r="F12" i="43"/>
  <c r="L12" i="43"/>
  <c r="V12" i="43"/>
  <c r="AB12" i="43"/>
  <c r="X12" i="43"/>
  <c r="T12" i="43"/>
  <c r="H12" i="43"/>
  <c r="D12" i="43"/>
  <c r="C12" i="43"/>
  <c r="O12" i="43"/>
  <c r="E12" i="43"/>
  <c r="G12" i="43"/>
  <c r="J12" i="43"/>
  <c r="AD18" i="43"/>
  <c r="V18" i="43"/>
  <c r="J18" i="43"/>
  <c r="AE18" i="43"/>
  <c r="Z18" i="43" a="1"/>
  <c r="Z18" i="43" s="1"/>
  <c r="AF18" i="43"/>
  <c r="AB18" i="43"/>
  <c r="W18" i="43"/>
  <c r="R18" i="43"/>
  <c r="P18" i="43"/>
  <c r="AH18" i="43" a="1"/>
  <c r="AH18" i="43" s="1"/>
  <c r="O18" i="43"/>
  <c r="L18" i="43"/>
  <c r="AA18" i="43"/>
  <c r="T18" i="43"/>
  <c r="X18" i="43"/>
  <c r="U18" i="43"/>
  <c r="AJ18" i="43" a="1"/>
  <c r="AJ18" i="43" s="1"/>
  <c r="AC18" i="43"/>
  <c r="I18" i="43"/>
  <c r="M18" i="43"/>
  <c r="G18" i="43"/>
  <c r="Q18" i="43"/>
  <c r="E18" i="43"/>
  <c r="H18" i="43"/>
  <c r="K18" i="43"/>
  <c r="C18" i="43"/>
  <c r="S18" i="43"/>
  <c r="N18" i="43"/>
  <c r="F18" i="43"/>
  <c r="D18" i="43"/>
  <c r="AJ23" i="43" a="1"/>
  <c r="AJ23" i="43" s="1"/>
  <c r="AH23" i="43" a="1"/>
  <c r="AH23" i="43" s="1"/>
  <c r="AC23" i="43"/>
  <c r="U23" i="43"/>
  <c r="I23" i="43"/>
  <c r="AF23" i="43"/>
  <c r="AD23" i="43"/>
  <c r="Z23" i="43" a="1"/>
  <c r="Z23" i="43" s="1"/>
  <c r="Q23" i="43"/>
  <c r="AE23" i="43"/>
  <c r="S23" i="43"/>
  <c r="M23" i="43"/>
  <c r="AB23" i="43"/>
  <c r="W23" i="43"/>
  <c r="R23" i="43"/>
  <c r="P23" i="43"/>
  <c r="X23" i="43"/>
  <c r="T23" i="43"/>
  <c r="O23" i="43"/>
  <c r="L23" i="43"/>
  <c r="F23" i="43"/>
  <c r="H23" i="43"/>
  <c r="D23" i="43"/>
  <c r="C23" i="43"/>
  <c r="V23" i="43"/>
  <c r="AA23" i="43"/>
  <c r="G23" i="43"/>
  <c r="J23" i="43"/>
  <c r="E23" i="43"/>
  <c r="K23" i="43"/>
  <c r="N23" i="43"/>
  <c r="I15" i="98" l="1"/>
  <c r="N9" i="98" s="1"/>
  <c r="L9" i="98"/>
  <c r="G37" i="98"/>
  <c r="I37" i="98" s="1"/>
  <c r="G39" i="98"/>
  <c r="I39" i="98" s="1"/>
  <c r="G44" i="98"/>
  <c r="I44" i="98" s="1"/>
  <c r="G38" i="98"/>
  <c r="I38" i="98" s="1"/>
  <c r="G40" i="98"/>
  <c r="I40" i="98" s="1"/>
  <c r="G41" i="98"/>
  <c r="I41" i="98" s="1"/>
  <c r="G42" i="98"/>
  <c r="I42" i="98" s="1"/>
  <c r="G43" i="98"/>
  <c r="I43" i="98" s="1"/>
  <c r="G61" i="98" l="1"/>
  <c r="G34" i="98"/>
  <c r="I34" i="98" s="1"/>
  <c r="G36" i="98"/>
  <c r="I36" i="98" s="1"/>
  <c r="H67" i="98"/>
  <c r="H82" i="98"/>
  <c r="H83" i="98"/>
  <c r="H48" i="98"/>
  <c r="M12" i="98" s="1"/>
  <c r="H85" i="98"/>
  <c r="H90" i="98"/>
  <c r="H74" i="98"/>
  <c r="M17" i="98" s="1"/>
  <c r="H53" i="98"/>
  <c r="H95" i="98"/>
  <c r="H91" i="98"/>
  <c r="H51" i="98"/>
  <c r="M13" i="98" s="1"/>
  <c r="H81" i="98"/>
  <c r="H94" i="98"/>
  <c r="H92" i="98"/>
  <c r="H70" i="98"/>
  <c r="H68" i="98"/>
  <c r="H66" i="98"/>
  <c r="H33" i="98"/>
  <c r="H88" i="98"/>
  <c r="H97" i="98"/>
  <c r="G8" i="98"/>
  <c r="H8" i="98"/>
  <c r="M7" i="98" s="1"/>
  <c r="H93" i="98"/>
  <c r="H78" i="98"/>
  <c r="H69" i="98"/>
  <c r="H79" i="98"/>
  <c r="H71" i="98"/>
  <c r="G65" i="98"/>
  <c r="H65" i="98"/>
  <c r="M15" i="98" s="1"/>
  <c r="H57" i="98"/>
  <c r="G35" i="98"/>
  <c r="H35" i="98"/>
  <c r="H89" i="98"/>
  <c r="H60" i="98"/>
  <c r="Y17" i="43"/>
  <c r="Y44" i="43"/>
  <c r="AF44" i="43"/>
  <c r="X44" i="43"/>
  <c r="L44" i="43"/>
  <c r="AB44" i="43"/>
  <c r="AJ44" i="43" a="1"/>
  <c r="AJ44" i="43" s="1"/>
  <c r="AE44" i="43"/>
  <c r="W44" i="43"/>
  <c r="P44" i="43"/>
  <c r="AA44" i="43"/>
  <c r="V44" i="43"/>
  <c r="U44" i="43"/>
  <c r="R44" i="43"/>
  <c r="AC44" i="43"/>
  <c r="T44" i="43"/>
  <c r="AH44" i="43" a="1"/>
  <c r="AH44" i="43" s="1"/>
  <c r="Z44" i="43" a="1"/>
  <c r="Z44" i="43" s="1"/>
  <c r="S44" i="43"/>
  <c r="D44" i="43"/>
  <c r="M44" i="43"/>
  <c r="K44" i="43"/>
  <c r="N44" i="43"/>
  <c r="I44" i="43"/>
  <c r="J44" i="43"/>
  <c r="G44" i="43"/>
  <c r="E44" i="43"/>
  <c r="C44" i="43"/>
  <c r="AD44" i="43"/>
  <c r="Q44" i="43"/>
  <c r="O44" i="43"/>
  <c r="H44" i="43"/>
  <c r="F44" i="43"/>
  <c r="V17" i="43"/>
  <c r="F17" i="43"/>
  <c r="L17" i="43"/>
  <c r="T17" i="43"/>
  <c r="P17" i="43"/>
  <c r="X17" i="43"/>
  <c r="J17" i="43"/>
  <c r="AJ17" i="43" a="1"/>
  <c r="AJ17" i="43" s="1"/>
  <c r="G17" i="43"/>
  <c r="I17" i="43"/>
  <c r="U17" i="43"/>
  <c r="C17" i="43"/>
  <c r="AF17" i="43"/>
  <c r="AE17" i="43"/>
  <c r="O17" i="43"/>
  <c r="K17" i="43"/>
  <c r="R17" i="43"/>
  <c r="AD17" i="43"/>
  <c r="Z17" i="43" a="1"/>
  <c r="Z17" i="43" s="1"/>
  <c r="D17" i="43"/>
  <c r="Q17" i="43"/>
  <c r="AA17" i="43"/>
  <c r="AC17" i="43"/>
  <c r="S17" i="43"/>
  <c r="AB17" i="43"/>
  <c r="AH17" i="43" a="1"/>
  <c r="AH17" i="43" s="1"/>
  <c r="M17" i="43"/>
  <c r="N17" i="43"/>
  <c r="W17" i="43"/>
  <c r="E17" i="43"/>
  <c r="H17" i="43"/>
  <c r="G95" i="98"/>
  <c r="G89" i="98"/>
  <c r="G90" i="98"/>
  <c r="G86" i="98"/>
  <c r="I86" i="98" s="1"/>
  <c r="G87" i="98"/>
  <c r="I87" i="98" s="1"/>
  <c r="G80" i="98"/>
  <c r="I80" i="98" s="1"/>
  <c r="G81" i="98"/>
  <c r="G82" i="98"/>
  <c r="G77" i="98"/>
  <c r="I77" i="98" s="1"/>
  <c r="G73" i="98"/>
  <c r="I73" i="98" s="1"/>
  <c r="G71" i="98"/>
  <c r="G69" i="98"/>
  <c r="M18" i="98" l="1"/>
  <c r="M11" i="98"/>
  <c r="M16" i="98"/>
  <c r="M19" i="98"/>
  <c r="M14" i="98"/>
  <c r="I61" i="98"/>
  <c r="G72" i="98"/>
  <c r="I72" i="98" s="1"/>
  <c r="G84" i="98"/>
  <c r="I84" i="98" s="1"/>
  <c r="G96" i="98"/>
  <c r="I96" i="98" s="1"/>
  <c r="G83" i="98"/>
  <c r="I83" i="98" s="1"/>
  <c r="G79" i="98"/>
  <c r="I79" i="98" s="1"/>
  <c r="G93" i="98"/>
  <c r="I93" i="98" s="1"/>
  <c r="G88" i="98"/>
  <c r="I88" i="98" s="1"/>
  <c r="G94" i="98"/>
  <c r="G91" i="98"/>
  <c r="I91" i="98" s="1"/>
  <c r="G74" i="98"/>
  <c r="G75" i="98"/>
  <c r="I75" i="98" s="1"/>
  <c r="G85" i="98"/>
  <c r="I85" i="98" s="1"/>
  <c r="G78" i="98"/>
  <c r="G97" i="98"/>
  <c r="G92" i="98"/>
  <c r="I92" i="98" s="1"/>
  <c r="G70" i="98"/>
  <c r="I70" i="98" s="1"/>
  <c r="I82" i="98"/>
  <c r="Y51" i="43"/>
  <c r="Y55" i="43"/>
  <c r="I8" i="98"/>
  <c r="I65" i="98"/>
  <c r="I95" i="98"/>
  <c r="I71" i="98"/>
  <c r="I89" i="98"/>
  <c r="I69" i="98"/>
  <c r="I35" i="98"/>
  <c r="I81" i="98"/>
  <c r="I90" i="98"/>
  <c r="Y48" i="43"/>
  <c r="Y52" i="43"/>
  <c r="Y49" i="43"/>
  <c r="Y57" i="43"/>
  <c r="Y58" i="43"/>
  <c r="AH53" i="43" a="1"/>
  <c r="AH53" i="43" s="1"/>
  <c r="O53" i="43"/>
  <c r="AA53" i="43"/>
  <c r="AD53" i="43"/>
  <c r="T53" i="43"/>
  <c r="AE53" i="43"/>
  <c r="AB53" i="43"/>
  <c r="AJ53" i="43" a="1"/>
  <c r="AJ53" i="43" s="1"/>
  <c r="Z53" i="43" a="1"/>
  <c r="Z53" i="43" s="1"/>
  <c r="AF53" i="43"/>
  <c r="X53" i="43"/>
  <c r="W53" i="43"/>
  <c r="G53" i="43"/>
  <c r="M53" i="43"/>
  <c r="Q53" i="43"/>
  <c r="V53" i="43"/>
  <c r="J53" i="43"/>
  <c r="E53" i="43"/>
  <c r="S53" i="43"/>
  <c r="L53" i="43"/>
  <c r="I53" i="43"/>
  <c r="F53" i="43"/>
  <c r="K53" i="43"/>
  <c r="C53" i="43"/>
  <c r="N53" i="43"/>
  <c r="P53" i="43"/>
  <c r="H53" i="43"/>
  <c r="D53" i="43"/>
  <c r="U53" i="43"/>
  <c r="AC53" i="43"/>
  <c r="R53" i="43"/>
  <c r="Z58" i="43" a="1"/>
  <c r="Z58" i="43" s="1"/>
  <c r="N58" i="43"/>
  <c r="AJ58" i="43" a="1"/>
  <c r="AJ58" i="43" s="1"/>
  <c r="AC58" i="43"/>
  <c r="W58" i="43"/>
  <c r="V58" i="43"/>
  <c r="U58" i="43"/>
  <c r="AH58" i="43" a="1"/>
  <c r="AH58" i="43" s="1"/>
  <c r="AE58" i="43"/>
  <c r="T58" i="43"/>
  <c r="AB58" i="43"/>
  <c r="AD58" i="43"/>
  <c r="AF58" i="43"/>
  <c r="F58" i="43"/>
  <c r="K58" i="43"/>
  <c r="D58" i="43"/>
  <c r="R58" i="43"/>
  <c r="Q58" i="43"/>
  <c r="G58" i="43"/>
  <c r="O58" i="43"/>
  <c r="S58" i="43"/>
  <c r="C58" i="43"/>
  <c r="X58" i="43"/>
  <c r="L58" i="43"/>
  <c r="J58" i="43"/>
  <c r="E58" i="43"/>
  <c r="M58" i="43"/>
  <c r="I58" i="43"/>
  <c r="AA58" i="43"/>
  <c r="P58" i="43"/>
  <c r="H58" i="43"/>
  <c r="Y53" i="43"/>
  <c r="AJ54" i="43" a="1"/>
  <c r="AJ54" i="43" s="1"/>
  <c r="AD54" i="43"/>
  <c r="AC54" i="43"/>
  <c r="M54" i="43"/>
  <c r="D54" i="43"/>
  <c r="V54" i="43"/>
  <c r="Q54" i="43"/>
  <c r="H54" i="43"/>
  <c r="J54" i="43"/>
  <c r="W54" i="43"/>
  <c r="F54" i="43"/>
  <c r="AE54" i="43"/>
  <c r="G54" i="43"/>
  <c r="AF54" i="43"/>
  <c r="C54" i="43"/>
  <c r="AA54" i="43"/>
  <c r="P54" i="43"/>
  <c r="N54" i="43"/>
  <c r="R54" i="43"/>
  <c r="X54" i="43"/>
  <c r="K54" i="43"/>
  <c r="O54" i="43"/>
  <c r="Z54" i="43" a="1"/>
  <c r="Z54" i="43" s="1"/>
  <c r="L54" i="43"/>
  <c r="U54" i="43"/>
  <c r="AH54" i="43" a="1"/>
  <c r="AH54" i="43" s="1"/>
  <c r="E54" i="43"/>
  <c r="T54" i="43"/>
  <c r="S54" i="43"/>
  <c r="AB54" i="43"/>
  <c r="I54" i="43"/>
  <c r="Y54" i="43"/>
  <c r="P48" i="43"/>
  <c r="AC48" i="43"/>
  <c r="AF48" i="43"/>
  <c r="AD48" i="43"/>
  <c r="AJ48" i="43" a="1"/>
  <c r="AJ48" i="43" s="1"/>
  <c r="S48" i="43"/>
  <c r="Z48" i="43" a="1"/>
  <c r="Z48" i="43" s="1"/>
  <c r="M48" i="43"/>
  <c r="X48" i="43"/>
  <c r="AA48" i="43"/>
  <c r="W48" i="43"/>
  <c r="U48" i="43"/>
  <c r="AH48" i="43" a="1"/>
  <c r="AH48" i="43" s="1"/>
  <c r="AE48" i="43"/>
  <c r="G48" i="43"/>
  <c r="E48" i="43"/>
  <c r="H48" i="43"/>
  <c r="F48" i="43"/>
  <c r="AB48" i="43"/>
  <c r="T48" i="43"/>
  <c r="D48" i="43"/>
  <c r="V48" i="43"/>
  <c r="C48" i="43"/>
  <c r="R48" i="43"/>
  <c r="N48" i="43"/>
  <c r="K48" i="43"/>
  <c r="O48" i="43"/>
  <c r="Q48" i="43"/>
  <c r="J48" i="43"/>
  <c r="L48" i="43"/>
  <c r="I48" i="43"/>
  <c r="AE49" i="43"/>
  <c r="W49" i="43"/>
  <c r="K49" i="43"/>
  <c r="X49" i="43"/>
  <c r="Z49" i="43" a="1"/>
  <c r="Z49" i="43" s="1"/>
  <c r="AF49" i="43"/>
  <c r="AA49" i="43"/>
  <c r="U49" i="43"/>
  <c r="AB49" i="43"/>
  <c r="AD49" i="43"/>
  <c r="AJ49" i="43" a="1"/>
  <c r="AJ49" i="43" s="1"/>
  <c r="S49" i="43"/>
  <c r="Q49" i="43"/>
  <c r="AC49" i="43"/>
  <c r="O49" i="43"/>
  <c r="C49" i="43"/>
  <c r="I49" i="43"/>
  <c r="P49" i="43"/>
  <c r="J49" i="43"/>
  <c r="H49" i="43"/>
  <c r="F49" i="43"/>
  <c r="M49" i="43"/>
  <c r="D49" i="43"/>
  <c r="R49" i="43"/>
  <c r="T49" i="43"/>
  <c r="N49" i="43"/>
  <c r="G49" i="43"/>
  <c r="AH49" i="43" a="1"/>
  <c r="AH49" i="43" s="1"/>
  <c r="V49" i="43"/>
  <c r="E49" i="43"/>
  <c r="L49" i="43"/>
  <c r="AB52" i="43"/>
  <c r="T52" i="43"/>
  <c r="H52" i="43"/>
  <c r="AJ52" i="43" a="1"/>
  <c r="AJ52" i="43" s="1"/>
  <c r="AD52" i="43"/>
  <c r="AE52" i="43"/>
  <c r="AH52" i="43" a="1"/>
  <c r="AH52" i="43" s="1"/>
  <c r="N52" i="43"/>
  <c r="Z52" i="43" a="1"/>
  <c r="Z52" i="43" s="1"/>
  <c r="S52" i="43"/>
  <c r="Q52" i="43"/>
  <c r="M52" i="43"/>
  <c r="AF52" i="43"/>
  <c r="AA52" i="43"/>
  <c r="V52" i="43"/>
  <c r="J52" i="43"/>
  <c r="C52" i="43"/>
  <c r="U52" i="43"/>
  <c r="W52" i="43"/>
  <c r="X52" i="43"/>
  <c r="E52" i="43"/>
  <c r="L52" i="43"/>
  <c r="I52" i="43"/>
  <c r="AC52" i="43"/>
  <c r="O52" i="43"/>
  <c r="R52" i="43"/>
  <c r="G52" i="43"/>
  <c r="P52" i="43"/>
  <c r="F52" i="43"/>
  <c r="K52" i="43"/>
  <c r="D52" i="43"/>
  <c r="Q55" i="43"/>
  <c r="AH55" i="43" a="1"/>
  <c r="AH55" i="43" s="1"/>
  <c r="AB55" i="43"/>
  <c r="Z55" i="43" a="1"/>
  <c r="Z55" i="43" s="1"/>
  <c r="W55" i="43"/>
  <c r="R55" i="43"/>
  <c r="AE55" i="43"/>
  <c r="T55" i="43"/>
  <c r="AD55" i="43"/>
  <c r="N55" i="43"/>
  <c r="AA55" i="43"/>
  <c r="K55" i="43"/>
  <c r="V55" i="43"/>
  <c r="J55" i="43"/>
  <c r="G55" i="43"/>
  <c r="AC55" i="43"/>
  <c r="AJ55" i="43" a="1"/>
  <c r="AJ55" i="43" s="1"/>
  <c r="X55" i="43"/>
  <c r="C55" i="43"/>
  <c r="O55" i="43"/>
  <c r="L55" i="43"/>
  <c r="E55" i="43"/>
  <c r="I55" i="43"/>
  <c r="S55" i="43"/>
  <c r="AF55" i="43"/>
  <c r="D55" i="43"/>
  <c r="P55" i="43"/>
  <c r="M55" i="43"/>
  <c r="H55" i="43"/>
  <c r="F55" i="43"/>
  <c r="U55" i="43"/>
  <c r="AJ57" i="43" a="1"/>
  <c r="AJ57" i="43" s="1"/>
  <c r="AA57" i="43"/>
  <c r="S57" i="43"/>
  <c r="AB57" i="43"/>
  <c r="Z57" i="43" a="1"/>
  <c r="Z57" i="43" s="1"/>
  <c r="AE57" i="43"/>
  <c r="AF57" i="43"/>
  <c r="P57" i="43"/>
  <c r="AC57" i="43"/>
  <c r="V57" i="43"/>
  <c r="U57" i="43"/>
  <c r="AH57" i="43" a="1"/>
  <c r="AH57" i="43" s="1"/>
  <c r="L57" i="43"/>
  <c r="R57" i="43"/>
  <c r="T57" i="43"/>
  <c r="AD57" i="43"/>
  <c r="N57" i="43"/>
  <c r="I57" i="43"/>
  <c r="K57" i="43"/>
  <c r="D57" i="43"/>
  <c r="E57" i="43"/>
  <c r="Q57" i="43"/>
  <c r="W57" i="43"/>
  <c r="X57" i="43"/>
  <c r="J57" i="43"/>
  <c r="G57" i="43"/>
  <c r="F57" i="43"/>
  <c r="O57" i="43"/>
  <c r="C57" i="43"/>
  <c r="M57" i="43"/>
  <c r="H57" i="43"/>
  <c r="M51" i="43"/>
  <c r="AF51" i="43"/>
  <c r="F51" i="43"/>
  <c r="W51" i="43"/>
  <c r="X51" i="43"/>
  <c r="U51" i="43"/>
  <c r="AA51" i="43"/>
  <c r="E51" i="43"/>
  <c r="K51" i="43"/>
  <c r="R51" i="43"/>
  <c r="AJ51" i="43" a="1"/>
  <c r="AJ51" i="43" s="1"/>
  <c r="T51" i="43"/>
  <c r="H51" i="43"/>
  <c r="AC51" i="43"/>
  <c r="L51" i="43"/>
  <c r="N51" i="43"/>
  <c r="AH51" i="43" a="1"/>
  <c r="AH51" i="43" s="1"/>
  <c r="I51" i="43"/>
  <c r="V51" i="43"/>
  <c r="O51" i="43"/>
  <c r="Q51" i="43"/>
  <c r="AE51" i="43"/>
  <c r="C51" i="43"/>
  <c r="G51" i="43"/>
  <c r="AB51" i="43"/>
  <c r="D51" i="43"/>
  <c r="AD51" i="43"/>
  <c r="J51" i="43"/>
  <c r="P51" i="43"/>
  <c r="Z51" i="43" a="1"/>
  <c r="Z51" i="43" s="1"/>
  <c r="S51" i="43"/>
  <c r="AC47" i="43"/>
  <c r="U47" i="43"/>
  <c r="I47" i="43"/>
  <c r="AB47" i="43"/>
  <c r="X47" i="43"/>
  <c r="AD47" i="43"/>
  <c r="S47" i="43"/>
  <c r="Q47" i="43"/>
  <c r="Z47" i="43" a="1"/>
  <c r="Z47" i="43" s="1"/>
  <c r="AF47" i="43"/>
  <c r="AA47" i="43"/>
  <c r="W47" i="43"/>
  <c r="V47" i="43"/>
  <c r="R47" i="43"/>
  <c r="L47" i="43"/>
  <c r="AH47" i="43" a="1"/>
  <c r="AH47" i="43" s="1"/>
  <c r="AJ47" i="43" a="1"/>
  <c r="AJ47" i="43" s="1"/>
  <c r="G47" i="43"/>
  <c r="P47" i="43"/>
  <c r="H47" i="43"/>
  <c r="F47" i="43"/>
  <c r="D47" i="43"/>
  <c r="J47" i="43"/>
  <c r="C47" i="43"/>
  <c r="T47" i="43"/>
  <c r="M47" i="43"/>
  <c r="N47" i="43"/>
  <c r="K47" i="43"/>
  <c r="AE47" i="43"/>
  <c r="E47" i="43"/>
  <c r="O47" i="43"/>
  <c r="Y47" i="43"/>
  <c r="G63" i="98"/>
  <c r="G64" i="98"/>
  <c r="I64" i="98" s="1"/>
  <c r="G58" i="98"/>
  <c r="I58" i="98" s="1"/>
  <c r="G59" i="98"/>
  <c r="I59" i="98" s="1"/>
  <c r="G55" i="98"/>
  <c r="I55" i="98" s="1"/>
  <c r="G54" i="98"/>
  <c r="I54" i="98" s="1"/>
  <c r="G52" i="98"/>
  <c r="I52" i="98" s="1"/>
  <c r="G49" i="98"/>
  <c r="I63" i="98" l="1"/>
  <c r="I78" i="98"/>
  <c r="N18" i="98" s="1"/>
  <c r="L18" i="98"/>
  <c r="I74" i="98"/>
  <c r="N17" i="98" s="1"/>
  <c r="L17" i="98"/>
  <c r="I94" i="98"/>
  <c r="L19" i="98"/>
  <c r="I97" i="98"/>
  <c r="G46" i="98"/>
  <c r="I46" i="98" s="1"/>
  <c r="I49" i="98"/>
  <c r="G51" i="98"/>
  <c r="I51" i="98" s="1"/>
  <c r="G60" i="98"/>
  <c r="I60" i="98" s="1"/>
  <c r="G67" i="98"/>
  <c r="I67" i="98" s="1"/>
  <c r="G66" i="98"/>
  <c r="G45" i="98"/>
  <c r="G47" i="98"/>
  <c r="I47" i="98" s="1"/>
  <c r="G50" i="98"/>
  <c r="G53" i="98"/>
  <c r="G56" i="98"/>
  <c r="I56" i="98" s="1"/>
  <c r="G68" i="98"/>
  <c r="L16" i="98" s="1"/>
  <c r="G7" i="98"/>
  <c r="L7" i="98" s="1"/>
  <c r="G33" i="98"/>
  <c r="L11" i="98" s="1"/>
  <c r="G48" i="98"/>
  <c r="I48" i="98" s="1"/>
  <c r="G57" i="98"/>
  <c r="I57" i="98" s="1"/>
  <c r="Y34" i="43"/>
  <c r="Y56" i="43"/>
  <c r="Y11" i="43"/>
  <c r="Y24" i="43"/>
  <c r="AA46" i="43"/>
  <c r="Y46" i="43"/>
  <c r="AE46" i="43"/>
  <c r="Y36" i="43"/>
  <c r="Y37" i="43"/>
  <c r="Y41" i="43"/>
  <c r="Q46" i="43"/>
  <c r="M46" i="43"/>
  <c r="AJ46" i="43" a="1"/>
  <c r="AJ46" i="43" s="1"/>
  <c r="J46" i="43"/>
  <c r="Z46" i="43" a="1"/>
  <c r="Z46" i="43" s="1"/>
  <c r="Y40" i="43"/>
  <c r="AH45" i="43" a="1"/>
  <c r="AH45" i="43" s="1"/>
  <c r="AA45" i="43"/>
  <c r="S45" i="43"/>
  <c r="G45" i="43"/>
  <c r="AC45" i="43"/>
  <c r="X45" i="43"/>
  <c r="W45" i="43"/>
  <c r="AF45" i="43"/>
  <c r="V45" i="43"/>
  <c r="U45" i="43"/>
  <c r="R45" i="43"/>
  <c r="T45" i="43"/>
  <c r="AE45" i="43"/>
  <c r="AD45" i="43"/>
  <c r="AB45" i="43"/>
  <c r="P45" i="43"/>
  <c r="E45" i="43"/>
  <c r="F45" i="43"/>
  <c r="D45" i="43"/>
  <c r="M45" i="43"/>
  <c r="K45" i="43"/>
  <c r="N45" i="43"/>
  <c r="H45" i="43"/>
  <c r="J45" i="43"/>
  <c r="O45" i="43"/>
  <c r="Z45" i="43" a="1"/>
  <c r="Z45" i="43" s="1"/>
  <c r="Q45" i="43"/>
  <c r="L45" i="43"/>
  <c r="I45" i="43"/>
  <c r="C45" i="43"/>
  <c r="AJ45" i="43" a="1"/>
  <c r="AJ45" i="43" s="1"/>
  <c r="AD46" i="43"/>
  <c r="F46" i="43"/>
  <c r="AB46" i="43"/>
  <c r="AC35" i="43"/>
  <c r="U35" i="43"/>
  <c r="I35" i="43"/>
  <c r="AJ35" i="43" a="1"/>
  <c r="AJ35" i="43" s="1"/>
  <c r="AH35" i="43" a="1"/>
  <c r="AH35" i="43" s="1"/>
  <c r="AF35" i="43"/>
  <c r="AD35" i="43"/>
  <c r="Z35" i="43" a="1"/>
  <c r="Z35" i="43" s="1"/>
  <c r="Q35" i="43"/>
  <c r="AE35" i="43"/>
  <c r="S35" i="43"/>
  <c r="M35" i="43"/>
  <c r="AB35" i="43"/>
  <c r="X35" i="43"/>
  <c r="W35" i="43"/>
  <c r="R35" i="43"/>
  <c r="AA35" i="43"/>
  <c r="L35" i="43"/>
  <c r="O35" i="43"/>
  <c r="F35" i="43"/>
  <c r="V35" i="43"/>
  <c r="H35" i="43"/>
  <c r="D35" i="43"/>
  <c r="G35" i="43"/>
  <c r="C35" i="43"/>
  <c r="P35" i="43"/>
  <c r="N35" i="43"/>
  <c r="K35" i="43"/>
  <c r="J35" i="43"/>
  <c r="E35" i="43"/>
  <c r="T35" i="43"/>
  <c r="Y45" i="43"/>
  <c r="G46" i="43"/>
  <c r="H46" i="43"/>
  <c r="AH46" i="43" a="1"/>
  <c r="AH46" i="43" s="1"/>
  <c r="Y35" i="43"/>
  <c r="R46" i="43"/>
  <c r="O46" i="43"/>
  <c r="AF46" i="43"/>
  <c r="AI12" i="43" a="1"/>
  <c r="AI12" i="43" s="1"/>
  <c r="AI25" i="43" a="1"/>
  <c r="AI25" i="43" s="1"/>
  <c r="AI38" i="43" a="1"/>
  <c r="AI38" i="43" s="1"/>
  <c r="AI45" i="43" a="1"/>
  <c r="AI45" i="43" s="1"/>
  <c r="AI58" i="43" a="1"/>
  <c r="AI58" i="43" s="1"/>
  <c r="AI19" i="43" a="1"/>
  <c r="AI19" i="43" s="1"/>
  <c r="AI32" i="43" a="1"/>
  <c r="AI32" i="43" s="1"/>
  <c r="AI39" i="43" a="1"/>
  <c r="AI39" i="43" s="1"/>
  <c r="AI52" i="43" a="1"/>
  <c r="AI52" i="43" s="1"/>
  <c r="AI59" i="43" a="1"/>
  <c r="AI59" i="43" s="1"/>
  <c r="AI13" i="43" a="1"/>
  <c r="AI13" i="43" s="1"/>
  <c r="AI26" i="43" a="1"/>
  <c r="AI26" i="43" s="1"/>
  <c r="AI33" i="43" a="1"/>
  <c r="AI33" i="43" s="1"/>
  <c r="AI46" i="43" a="1"/>
  <c r="AI46" i="43" s="1"/>
  <c r="AI20" i="43" a="1"/>
  <c r="AI20" i="43" s="1"/>
  <c r="AI27" i="43" a="1"/>
  <c r="AI27" i="43" s="1"/>
  <c r="AI40" i="43" a="1"/>
  <c r="AI40" i="43" s="1"/>
  <c r="AI53" i="43" a="1"/>
  <c r="AI53" i="43" s="1"/>
  <c r="AI14" i="43" a="1"/>
  <c r="AI14" i="43" s="1"/>
  <c r="AI21" i="43" a="1"/>
  <c r="AI21" i="43" s="1"/>
  <c r="AI34" i="43" a="1"/>
  <c r="AI34" i="43" s="1"/>
  <c r="AI47" i="43" a="1"/>
  <c r="AI47" i="43" s="1"/>
  <c r="AI8" i="43" a="1"/>
  <c r="AI8" i="43" s="1"/>
  <c r="AI15" i="43" a="1"/>
  <c r="AI15" i="43" s="1"/>
  <c r="AI28" i="43" a="1"/>
  <c r="AI28" i="43" s="1"/>
  <c r="AI41" i="43" a="1"/>
  <c r="AI41" i="43" s="1"/>
  <c r="AI54" i="43" a="1"/>
  <c r="AI54" i="43" s="1"/>
  <c r="AI51" i="43" a="1"/>
  <c r="AI51" i="43" s="1"/>
  <c r="AI16" i="43" a="1"/>
  <c r="AI16" i="43" s="1"/>
  <c r="AI29" i="43" a="1"/>
  <c r="AI29" i="43" s="1"/>
  <c r="AI42" i="43" a="1"/>
  <c r="AI42" i="43" s="1"/>
  <c r="AI55" i="43" a="1"/>
  <c r="AI55" i="43" s="1"/>
  <c r="AI57" i="43" a="1"/>
  <c r="AI57" i="43" s="1"/>
  <c r="AI17" i="43" a="1"/>
  <c r="AI17" i="43" s="1"/>
  <c r="AI36" i="43" a="1"/>
  <c r="AI36" i="43" s="1"/>
  <c r="AI56" i="43" a="1"/>
  <c r="AI56" i="43" s="1"/>
  <c r="AI18" i="43" a="1"/>
  <c r="AI18" i="43" s="1"/>
  <c r="AI22" i="43" a="1"/>
  <c r="AI22" i="43" s="1"/>
  <c r="AI37" i="43" a="1"/>
  <c r="AI37" i="43" s="1"/>
  <c r="AI7" i="43" a="1"/>
  <c r="AI7" i="43" s="1"/>
  <c r="AI23" i="43" a="1"/>
  <c r="AI23" i="43" s="1"/>
  <c r="AI43" i="43" a="1"/>
  <c r="AI43" i="43" s="1"/>
  <c r="AI24" i="43" a="1"/>
  <c r="AI24" i="43" s="1"/>
  <c r="AI30" i="43" a="1"/>
  <c r="AI30" i="43" s="1"/>
  <c r="AI31" i="43" a="1"/>
  <c r="AI31" i="43" s="1"/>
  <c r="AI35" i="43" a="1"/>
  <c r="AI35" i="43" s="1"/>
  <c r="AI9" i="43" a="1"/>
  <c r="AI9" i="43" s="1"/>
  <c r="AJ11" i="43" a="1"/>
  <c r="AJ11" i="43" s="1"/>
  <c r="AC11" i="43"/>
  <c r="U11" i="43"/>
  <c r="I11" i="43"/>
  <c r="AI11" i="43" a="1"/>
  <c r="AI11" i="43" s="1"/>
  <c r="X11" i="43"/>
  <c r="AH11" i="43" a="1"/>
  <c r="AH11" i="43" s="1"/>
  <c r="AF11" i="43"/>
  <c r="Z11" i="43" a="1"/>
  <c r="Z11" i="43" s="1"/>
  <c r="AI49" i="43" a="1"/>
  <c r="AI49" i="43" s="1"/>
  <c r="AI50" i="43" a="1"/>
  <c r="AI50" i="43" s="1"/>
  <c r="AI48" i="43" a="1"/>
  <c r="AI48" i="43" s="1"/>
  <c r="AA11" i="43"/>
  <c r="Q11" i="43"/>
  <c r="N11" i="43"/>
  <c r="S11" i="43"/>
  <c r="AE11" i="43"/>
  <c r="AB11" i="43"/>
  <c r="AI10" i="43" a="1"/>
  <c r="AI10" i="43" s="1"/>
  <c r="AD11" i="43"/>
  <c r="AI44" i="43" a="1"/>
  <c r="AI44" i="43" s="1"/>
  <c r="K11" i="43"/>
  <c r="R11" i="43"/>
  <c r="F11" i="43"/>
  <c r="D11" i="43"/>
  <c r="J11" i="43"/>
  <c r="T11" i="43"/>
  <c r="H11" i="43"/>
  <c r="O11" i="43"/>
  <c r="G11" i="43"/>
  <c r="L11" i="43"/>
  <c r="C11" i="43"/>
  <c r="V11" i="43"/>
  <c r="M11" i="43"/>
  <c r="E11" i="43"/>
  <c r="W11" i="43"/>
  <c r="P11" i="43"/>
  <c r="K46" i="43"/>
  <c r="AC46" i="43"/>
  <c r="N46" i="43"/>
  <c r="Y39" i="43"/>
  <c r="C46" i="43"/>
  <c r="U46" i="43"/>
  <c r="AJ24" i="43" a="1"/>
  <c r="AJ24" i="43" s="1"/>
  <c r="P24" i="43"/>
  <c r="Z24" i="43" a="1"/>
  <c r="Z24" i="43" s="1"/>
  <c r="X24" i="43"/>
  <c r="AC24" i="43"/>
  <c r="AF24" i="43"/>
  <c r="AA24" i="43"/>
  <c r="N24" i="43"/>
  <c r="K24" i="43"/>
  <c r="Q24" i="43"/>
  <c r="AE24" i="43"/>
  <c r="S24" i="43"/>
  <c r="AB24" i="43"/>
  <c r="AD24" i="43"/>
  <c r="U24" i="43"/>
  <c r="I24" i="43"/>
  <c r="C24" i="43"/>
  <c r="O24" i="43"/>
  <c r="L24" i="43"/>
  <c r="F24" i="43"/>
  <c r="H24" i="43"/>
  <c r="AH24" i="43" a="1"/>
  <c r="AH24" i="43" s="1"/>
  <c r="V24" i="43"/>
  <c r="D24" i="43"/>
  <c r="M24" i="43"/>
  <c r="J24" i="43"/>
  <c r="E24" i="43"/>
  <c r="W24" i="43"/>
  <c r="G24" i="43"/>
  <c r="T24" i="43"/>
  <c r="R24" i="43"/>
  <c r="M39" i="43"/>
  <c r="AJ39" i="43" a="1"/>
  <c r="AJ39" i="43" s="1"/>
  <c r="Z39" i="43" a="1"/>
  <c r="Z39" i="43" s="1"/>
  <c r="AD39" i="43"/>
  <c r="AE39" i="43"/>
  <c r="T39" i="43"/>
  <c r="N39" i="43"/>
  <c r="K39" i="43"/>
  <c r="S39" i="43"/>
  <c r="AB39" i="43"/>
  <c r="AA39" i="43"/>
  <c r="R39" i="43"/>
  <c r="J39" i="43"/>
  <c r="E39" i="43"/>
  <c r="H39" i="43"/>
  <c r="P39" i="43"/>
  <c r="U39" i="43"/>
  <c r="Q39" i="43"/>
  <c r="AH39" i="43" a="1"/>
  <c r="AH39" i="43" s="1"/>
  <c r="X39" i="43"/>
  <c r="I39" i="43"/>
  <c r="C39" i="43"/>
  <c r="L39" i="43"/>
  <c r="F39" i="43"/>
  <c r="AF39" i="43"/>
  <c r="AC39" i="43"/>
  <c r="V39" i="43"/>
  <c r="D39" i="43"/>
  <c r="W39" i="43"/>
  <c r="O39" i="43"/>
  <c r="G39" i="43"/>
  <c r="D46" i="43"/>
  <c r="V46" i="43"/>
  <c r="AD42" i="43"/>
  <c r="V42" i="43"/>
  <c r="J42" i="43"/>
  <c r="AJ42" i="43" a="1"/>
  <c r="AJ42" i="43" s="1"/>
  <c r="AB42" i="43"/>
  <c r="W42" i="43"/>
  <c r="AF42" i="43"/>
  <c r="U42" i="43"/>
  <c r="R42" i="43"/>
  <c r="AC42" i="43"/>
  <c r="T42" i="43"/>
  <c r="AH42" i="43" a="1"/>
  <c r="AH42" i="43" s="1"/>
  <c r="AE42" i="43"/>
  <c r="N42" i="43"/>
  <c r="K42" i="43"/>
  <c r="Z42" i="43" a="1"/>
  <c r="Z42" i="43" s="1"/>
  <c r="O42" i="43"/>
  <c r="G42" i="43"/>
  <c r="Q42" i="43"/>
  <c r="E42" i="43"/>
  <c r="C42" i="43"/>
  <c r="M42" i="43"/>
  <c r="I42" i="43"/>
  <c r="AA42" i="43"/>
  <c r="L42" i="43"/>
  <c r="H42" i="43"/>
  <c r="F42" i="43"/>
  <c r="X42" i="43"/>
  <c r="S42" i="43"/>
  <c r="P42" i="43"/>
  <c r="D42" i="43"/>
  <c r="T46" i="43"/>
  <c r="P46" i="43"/>
  <c r="L46" i="43"/>
  <c r="W46" i="43"/>
  <c r="S46" i="43"/>
  <c r="X46" i="43"/>
  <c r="Y42" i="43"/>
  <c r="AF56" i="43"/>
  <c r="X56" i="43"/>
  <c r="L56" i="43"/>
  <c r="AE56" i="43"/>
  <c r="AH56" i="43" a="1"/>
  <c r="AH56" i="43" s="1"/>
  <c r="AC56" i="43"/>
  <c r="V56" i="43"/>
  <c r="U56" i="43"/>
  <c r="R56" i="43"/>
  <c r="O56" i="43"/>
  <c r="T56" i="43"/>
  <c r="AD56" i="43"/>
  <c r="AB56" i="43"/>
  <c r="AJ56" i="43" a="1"/>
  <c r="AJ56" i="43" s="1"/>
  <c r="K56" i="43"/>
  <c r="D56" i="43"/>
  <c r="AA56" i="43"/>
  <c r="M56" i="43"/>
  <c r="Q56" i="43"/>
  <c r="I56" i="43"/>
  <c r="W56" i="43"/>
  <c r="J56" i="43"/>
  <c r="G56" i="43"/>
  <c r="H56" i="43"/>
  <c r="N56" i="43"/>
  <c r="E56" i="43"/>
  <c r="S56" i="43"/>
  <c r="C56" i="43"/>
  <c r="Z56" i="43" a="1"/>
  <c r="Z56" i="43" s="1"/>
  <c r="P56" i="43"/>
  <c r="F56" i="43"/>
  <c r="Z34" i="43" a="1"/>
  <c r="Z34" i="43" s="1"/>
  <c r="N34" i="43"/>
  <c r="AC34" i="43"/>
  <c r="AJ34" i="43" a="1"/>
  <c r="AJ34" i="43" s="1"/>
  <c r="AB34" i="43"/>
  <c r="AH34" i="43" a="1"/>
  <c r="AH34" i="43" s="1"/>
  <c r="X34" i="43"/>
  <c r="AE34" i="43"/>
  <c r="S34" i="43"/>
  <c r="AD34" i="43"/>
  <c r="W34" i="43"/>
  <c r="V34" i="43"/>
  <c r="L34" i="43"/>
  <c r="AF34" i="43"/>
  <c r="AA34" i="43"/>
  <c r="O34" i="43"/>
  <c r="F34" i="43"/>
  <c r="C34" i="43"/>
  <c r="H34" i="43"/>
  <c r="D34" i="43"/>
  <c r="P34" i="43"/>
  <c r="G34" i="43"/>
  <c r="K34" i="43"/>
  <c r="J34" i="43"/>
  <c r="E34" i="43"/>
  <c r="M34" i="43"/>
  <c r="Q34" i="43"/>
  <c r="T34" i="43"/>
  <c r="R34" i="43"/>
  <c r="U34" i="43"/>
  <c r="I34" i="43"/>
  <c r="P36" i="43"/>
  <c r="X36" i="43"/>
  <c r="AH36" i="43" a="1"/>
  <c r="AH36" i="43" s="1"/>
  <c r="AF36" i="43"/>
  <c r="AA36" i="43"/>
  <c r="U36" i="43"/>
  <c r="AJ36" i="43" a="1"/>
  <c r="AJ36" i="43" s="1"/>
  <c r="K36" i="43"/>
  <c r="Q36" i="43"/>
  <c r="AE36" i="43"/>
  <c r="Z36" i="43" a="1"/>
  <c r="Z36" i="43" s="1"/>
  <c r="S36" i="43"/>
  <c r="AB36" i="43"/>
  <c r="AD36" i="43"/>
  <c r="L36" i="43"/>
  <c r="O36" i="43"/>
  <c r="F36" i="43"/>
  <c r="W36" i="43"/>
  <c r="V36" i="43"/>
  <c r="H36" i="43"/>
  <c r="C36" i="43"/>
  <c r="AC36" i="43"/>
  <c r="D36" i="43"/>
  <c r="M36" i="43"/>
  <c r="E36" i="43"/>
  <c r="G36" i="43"/>
  <c r="R36" i="43"/>
  <c r="N36" i="43"/>
  <c r="J36" i="43"/>
  <c r="T36" i="43"/>
  <c r="I36" i="43"/>
  <c r="AJ37" i="43" a="1"/>
  <c r="AJ37" i="43" s="1"/>
  <c r="AE37" i="43"/>
  <c r="W37" i="43"/>
  <c r="K37" i="43"/>
  <c r="AD37" i="43"/>
  <c r="AC37" i="43"/>
  <c r="AH37" i="43" a="1"/>
  <c r="AH37" i="43" s="1"/>
  <c r="N37" i="43"/>
  <c r="Q37" i="43"/>
  <c r="S37" i="43"/>
  <c r="Z37" i="43" a="1"/>
  <c r="Z37" i="43" s="1"/>
  <c r="AB37" i="43"/>
  <c r="P37" i="43"/>
  <c r="AF37" i="43"/>
  <c r="I37" i="43"/>
  <c r="C37" i="43"/>
  <c r="U37" i="43"/>
  <c r="L37" i="43"/>
  <c r="O37" i="43"/>
  <c r="F37" i="43"/>
  <c r="T37" i="43"/>
  <c r="AA37" i="43"/>
  <c r="V37" i="43"/>
  <c r="H37" i="43"/>
  <c r="D37" i="43"/>
  <c r="X37" i="43"/>
  <c r="M37" i="43"/>
  <c r="G37" i="43"/>
  <c r="R37" i="43"/>
  <c r="J37" i="43"/>
  <c r="E37" i="43"/>
  <c r="AB40" i="43"/>
  <c r="T40" i="43"/>
  <c r="H40" i="43"/>
  <c r="AH40" i="43" a="1"/>
  <c r="AH40" i="43" s="1"/>
  <c r="AA40" i="43"/>
  <c r="AD40" i="43"/>
  <c r="AC40" i="43"/>
  <c r="O40" i="43"/>
  <c r="AJ40" i="43" a="1"/>
  <c r="AJ40" i="43" s="1"/>
  <c r="AE40" i="43"/>
  <c r="Q40" i="43"/>
  <c r="Z40" i="43" a="1"/>
  <c r="Z40" i="43" s="1"/>
  <c r="AF40" i="43"/>
  <c r="G40" i="43"/>
  <c r="C40" i="43"/>
  <c r="R40" i="43"/>
  <c r="J40" i="43"/>
  <c r="E40" i="43"/>
  <c r="U40" i="43"/>
  <c r="N40" i="43"/>
  <c r="I40" i="43"/>
  <c r="M40" i="43"/>
  <c r="W40" i="43"/>
  <c r="F40" i="43"/>
  <c r="V40" i="43"/>
  <c r="L40" i="43"/>
  <c r="X40" i="43"/>
  <c r="S40" i="43"/>
  <c r="P40" i="43"/>
  <c r="D40" i="43"/>
  <c r="K40" i="43"/>
  <c r="Z41" i="43" a="1"/>
  <c r="Z41" i="43" s="1"/>
  <c r="O41" i="43"/>
  <c r="AE41" i="43"/>
  <c r="AA41" i="43"/>
  <c r="AJ41" i="43" a="1"/>
  <c r="AJ41" i="43" s="1"/>
  <c r="V41" i="43"/>
  <c r="L41" i="43"/>
  <c r="AH41" i="43" a="1"/>
  <c r="AH41" i="43" s="1"/>
  <c r="AC41" i="43"/>
  <c r="T41" i="43"/>
  <c r="AD41" i="43"/>
  <c r="N41" i="43"/>
  <c r="AF41" i="43"/>
  <c r="AB41" i="43"/>
  <c r="F41" i="43"/>
  <c r="X41" i="43"/>
  <c r="S41" i="43"/>
  <c r="D41" i="43"/>
  <c r="G41" i="43"/>
  <c r="R41" i="43"/>
  <c r="Q41" i="43"/>
  <c r="J41" i="43"/>
  <c r="E41" i="43"/>
  <c r="H41" i="43"/>
  <c r="P41" i="43"/>
  <c r="U41" i="43"/>
  <c r="K41" i="43"/>
  <c r="I41" i="43"/>
  <c r="C41" i="43"/>
  <c r="W41" i="43"/>
  <c r="M41" i="43"/>
  <c r="I46" i="43"/>
  <c r="E46" i="43"/>
  <c r="AC80" i="43" l="1"/>
  <c r="E80" i="43"/>
  <c r="C80" i="43"/>
  <c r="O80" i="43"/>
  <c r="J80" i="43"/>
  <c r="R80" i="43"/>
  <c r="AD80" i="43"/>
  <c r="S80" i="43"/>
  <c r="AA80" i="43"/>
  <c r="AF80" i="43"/>
  <c r="I80" i="43"/>
  <c r="Y80" i="43"/>
  <c r="W80" i="43"/>
  <c r="V80" i="43"/>
  <c r="G80" i="43"/>
  <c r="T80" i="43"/>
  <c r="F80" i="43"/>
  <c r="AE80" i="43"/>
  <c r="Q80" i="43"/>
  <c r="X80" i="43"/>
  <c r="P80" i="43"/>
  <c r="M80" i="43"/>
  <c r="L80" i="43"/>
  <c r="H80" i="43"/>
  <c r="D80" i="43"/>
  <c r="K80" i="43"/>
  <c r="AB80" i="43"/>
  <c r="N80" i="43"/>
  <c r="U80" i="43"/>
  <c r="L14" i="98"/>
  <c r="I50" i="98"/>
  <c r="N13" i="98" s="1"/>
  <c r="L13" i="98"/>
  <c r="L12" i="98"/>
  <c r="I66" i="98"/>
  <c r="N15" i="98" s="1"/>
  <c r="L15" i="98"/>
  <c r="N19" i="98"/>
  <c r="I33" i="98"/>
  <c r="N11" i="98" s="1"/>
  <c r="I53" i="98"/>
  <c r="N14" i="98" s="1"/>
  <c r="I45" i="98"/>
  <c r="N12" i="98" s="1"/>
  <c r="I7" i="98"/>
  <c r="N7" i="98" s="1"/>
  <c r="I68" i="98"/>
  <c r="N16" i="98" s="1"/>
  <c r="Z67" i="43" l="1" a="1"/>
  <c r="Z67" i="43" s="1"/>
  <c r="AH67" i="43" a="1"/>
  <c r="AH67" i="43" s="1"/>
  <c r="AI67" i="43" a="1"/>
  <c r="AI67" i="43" s="1"/>
  <c r="AJ67" i="43" a="1"/>
  <c r="AJ67" i="43" s="1"/>
  <c r="AI68" i="43" a="1"/>
  <c r="AI68" i="43" s="1"/>
  <c r="AI69" i="43" a="1"/>
  <c r="AI69" i="43" s="1"/>
  <c r="AI70" i="43" a="1"/>
  <c r="AI70" i="43" s="1"/>
  <c r="Z60" i="43" a="1"/>
  <c r="Z60" i="43" s="1"/>
  <c r="AH60" i="43" a="1"/>
  <c r="AH60" i="43" s="1"/>
  <c r="AI60" i="43" a="1"/>
  <c r="AI60" i="43" s="1"/>
  <c r="AJ60" i="43" a="1"/>
  <c r="AJ60" i="43" s="1"/>
  <c r="Z61" i="43" a="1"/>
  <c r="Z61" i="43" s="1"/>
  <c r="AH61" i="43" a="1"/>
  <c r="AH61" i="43" s="1"/>
  <c r="AI61" i="43" a="1"/>
  <c r="AI61" i="43" s="1"/>
  <c r="AJ61" i="43" a="1"/>
  <c r="AJ61" i="43" s="1"/>
  <c r="AI62" i="43" a="1"/>
  <c r="AI62" i="43" s="1"/>
  <c r="Z63" i="43" a="1"/>
  <c r="Z63" i="43" s="1"/>
  <c r="AH63" i="43" a="1"/>
  <c r="AH63" i="43" s="1"/>
  <c r="AI63" i="43" a="1"/>
  <c r="AI63" i="43" s="1"/>
  <c r="AJ63" i="43" a="1"/>
  <c r="AJ63" i="43" s="1"/>
  <c r="Z64" i="43" a="1"/>
  <c r="Z64" i="43" s="1"/>
  <c r="AH64" i="43" a="1"/>
  <c r="AH64" i="43" s="1"/>
  <c r="AI64" i="43" a="1"/>
  <c r="AI64" i="43" s="1"/>
  <c r="AJ64" i="43" a="1"/>
  <c r="AJ64" i="43" s="1"/>
  <c r="Z65" i="43" a="1"/>
  <c r="Z65" i="43" s="1"/>
  <c r="AH65" i="43" a="1"/>
  <c r="AH65" i="43" s="1"/>
  <c r="AI65" i="43" a="1"/>
  <c r="AI65" i="43" s="1"/>
  <c r="AJ65" i="43" a="1"/>
  <c r="AJ65" i="43" s="1"/>
  <c r="Z66" i="43" a="1"/>
  <c r="Z66" i="43" s="1"/>
  <c r="AH66" i="43" a="1"/>
  <c r="AH66" i="43" s="1"/>
  <c r="AI66" i="43" a="1"/>
  <c r="AI66" i="43" s="1"/>
  <c r="AJ66" i="43" a="1"/>
  <c r="AJ66" i="43" s="1"/>
  <c r="AH80" i="43" l="1"/>
  <c r="AJ80" i="43"/>
  <c r="Z80" i="43"/>
  <c r="AI80" i="43"/>
  <c r="I465" i="1" l="1"/>
  <c r="H465" i="1"/>
  <c r="J465" i="1"/>
  <c r="Y28" i="118" s="1"/>
  <c r="D19" i="195" l="1"/>
  <c r="D16" i="195"/>
  <c r="D17" i="195"/>
  <c r="D15" i="195"/>
  <c r="C28" i="194" a="1"/>
  <c r="C28" i="194" s="1"/>
  <c r="C28" i="192" a="1"/>
  <c r="C28" i="192" s="1"/>
  <c r="C28" i="181" a="1"/>
  <c r="C28" i="181" s="1"/>
  <c r="D28" i="181" a="1"/>
  <c r="D28" i="181" s="1"/>
  <c r="I8" i="180" a="1"/>
  <c r="I8" i="180" s="1"/>
  <c r="I9" i="180" s="1"/>
  <c r="E8" i="180" a="1"/>
  <c r="E8" i="180" s="1"/>
  <c r="E9" i="180" s="1"/>
  <c r="G8" i="180" a="1"/>
  <c r="G8" i="180" s="1"/>
  <c r="G9" i="180" s="1"/>
  <c r="K8" i="180" a="1"/>
  <c r="K8" i="180" s="1"/>
  <c r="K9" i="180" s="1"/>
  <c r="D18" i="195"/>
  <c r="C28" i="125" a="1"/>
  <c r="C28" i="125" s="1"/>
  <c r="D28" i="125" a="1"/>
  <c r="D28" i="125" s="1"/>
  <c r="F28" i="125" a="1"/>
  <c r="F28" i="125" s="1"/>
  <c r="E28" i="125" a="1"/>
  <c r="E28" i="125" s="1"/>
  <c r="AJ28" i="118" a="1"/>
  <c r="AJ28" i="118" s="1"/>
  <c r="AH28" i="118" a="1"/>
  <c r="AH28" i="118" s="1"/>
  <c r="AF28" i="118"/>
  <c r="AD28" i="118"/>
  <c r="Z28" i="118" a="1"/>
  <c r="Z28" i="118" s="1"/>
  <c r="U28" i="118"/>
  <c r="S28" i="118"/>
  <c r="R28" i="118"/>
  <c r="Q28" i="118"/>
  <c r="X28" i="118"/>
  <c r="V28" i="118"/>
  <c r="AC28" i="118"/>
  <c r="AA28" i="118"/>
  <c r="M28" i="118"/>
  <c r="H28" i="118"/>
  <c r="AB28" i="118"/>
  <c r="T28" i="118"/>
  <c r="D28" i="118"/>
  <c r="K28" i="118"/>
  <c r="F28" i="118"/>
  <c r="I28" i="118"/>
  <c r="N28" i="118"/>
  <c r="W28" i="118"/>
  <c r="AE28" i="118"/>
  <c r="L28" i="118"/>
  <c r="J28" i="118"/>
  <c r="O28" i="118"/>
  <c r="C28" i="118"/>
  <c r="P28" i="118"/>
  <c r="E28" i="118"/>
  <c r="G28" i="118"/>
  <c r="H573" i="1"/>
  <c r="I573" i="1"/>
  <c r="J573" i="1"/>
  <c r="G322" i="8" s="1"/>
  <c r="G15" i="195" l="1"/>
  <c r="G36" i="195" s="1"/>
  <c r="G17" i="195"/>
  <c r="G38" i="195" s="1"/>
  <c r="G19" i="195"/>
  <c r="G40" i="195" s="1"/>
  <c r="G16" i="195"/>
  <c r="G37" i="195" s="1"/>
  <c r="D36" i="195"/>
  <c r="D39" i="195"/>
  <c r="D38" i="195"/>
  <c r="C63" i="181" a="1"/>
  <c r="C63" i="181" s="1"/>
  <c r="C81" i="181" s="1"/>
  <c r="C63" i="194" a="1"/>
  <c r="C63" i="194" s="1"/>
  <c r="C83" i="194" s="1"/>
  <c r="C63" i="192" a="1"/>
  <c r="C63" i="192" s="1"/>
  <c r="C81" i="192" s="1"/>
  <c r="L8" i="180" a="1"/>
  <c r="L8" i="180" s="1"/>
  <c r="L9" i="180" s="1"/>
  <c r="H8" i="180" a="1"/>
  <c r="H8" i="180" s="1"/>
  <c r="H9" i="180" s="1"/>
  <c r="J8" i="180" a="1"/>
  <c r="J8" i="180" s="1"/>
  <c r="J9" i="180" s="1"/>
  <c r="F8" i="180" a="1"/>
  <c r="F8" i="180" s="1"/>
  <c r="F9" i="180" s="1"/>
  <c r="G18" i="195"/>
  <c r="G39" i="195" s="1"/>
  <c r="D63" i="181" a="1"/>
  <c r="D63" i="181" s="1"/>
  <c r="D81" i="181" s="1"/>
  <c r="D37" i="195"/>
  <c r="D40" i="195"/>
  <c r="D63" i="125" a="1"/>
  <c r="D63" i="125" s="1"/>
  <c r="F63" i="125" a="1"/>
  <c r="F63" i="125" s="1"/>
  <c r="C63" i="125" a="1"/>
  <c r="C63" i="125" s="1"/>
  <c r="E63" i="125" a="1"/>
  <c r="E63" i="125" s="1"/>
  <c r="F322" i="8"/>
  <c r="E322" i="8"/>
  <c r="Y63" i="118"/>
  <c r="Y80" i="118" s="1"/>
  <c r="AI18" i="118" a="1"/>
  <c r="AI18" i="118" s="1"/>
  <c r="AI16" i="118" a="1"/>
  <c r="AI16" i="118" s="1"/>
  <c r="AI30" i="118" a="1"/>
  <c r="AI30" i="118" s="1"/>
  <c r="AI24" i="118" a="1"/>
  <c r="AI24" i="118" s="1"/>
  <c r="AI58" i="118" a="1"/>
  <c r="AI58" i="118" s="1"/>
  <c r="AI65" i="118" a="1"/>
  <c r="AI65" i="118" s="1"/>
  <c r="AI29" i="118" a="1"/>
  <c r="AI29" i="118" s="1"/>
  <c r="AI68" i="118" a="1"/>
  <c r="AI68" i="118" s="1"/>
  <c r="AI56" i="118" a="1"/>
  <c r="AI56" i="118" s="1"/>
  <c r="AI32" i="118" a="1"/>
  <c r="AI32" i="118" s="1"/>
  <c r="AI55" i="118" a="1"/>
  <c r="AI55" i="118" s="1"/>
  <c r="AI48" i="118" a="1"/>
  <c r="AI48" i="118" s="1"/>
  <c r="AI46" i="118" a="1"/>
  <c r="AI46" i="118" s="1"/>
  <c r="AI22" i="118" a="1"/>
  <c r="AI22" i="118" s="1"/>
  <c r="AI31" i="118" a="1"/>
  <c r="AI31" i="118" s="1"/>
  <c r="AI13" i="118" a="1"/>
  <c r="AI13" i="118" s="1"/>
  <c r="F7" i="125" a="1"/>
  <c r="F7" i="125" s="1"/>
  <c r="AI23" i="118" a="1"/>
  <c r="AI23" i="118" s="1"/>
  <c r="AI15" i="118" a="1"/>
  <c r="AI15" i="118" s="1"/>
  <c r="AI9" i="118" a="1"/>
  <c r="AI9" i="118" s="1"/>
  <c r="AI57" i="118" a="1"/>
  <c r="AI57" i="118" s="1"/>
  <c r="AI66" i="118" a="1"/>
  <c r="AI66" i="118" s="1"/>
  <c r="AI21" i="118" a="1"/>
  <c r="AI21" i="118" s="1"/>
  <c r="AI60" i="118" a="1"/>
  <c r="AI60" i="118" s="1"/>
  <c r="AI40" i="118" a="1"/>
  <c r="AI40" i="118" s="1"/>
  <c r="AI19" i="118" a="1"/>
  <c r="AI19" i="118" s="1"/>
  <c r="AI38" i="118" a="1"/>
  <c r="AI38" i="118" s="1"/>
  <c r="AI14" i="118" a="1"/>
  <c r="AI14" i="118" s="1"/>
  <c r="AI34" i="118" a="1"/>
  <c r="AI34" i="118" s="1"/>
  <c r="AI51" i="118" a="1"/>
  <c r="AI51" i="118" s="1"/>
  <c r="AI39" i="118" a="1"/>
  <c r="AI39" i="118" s="1"/>
  <c r="AI64" i="118" a="1"/>
  <c r="AI64" i="118" s="1"/>
  <c r="AI50" i="118" a="1"/>
  <c r="AI50" i="118" s="1"/>
  <c r="AI37" i="118" a="1"/>
  <c r="AI37" i="118" s="1"/>
  <c r="AI53" i="118" a="1"/>
  <c r="AI53" i="118" s="1"/>
  <c r="AI35" i="118" a="1"/>
  <c r="AI35" i="118" s="1"/>
  <c r="C7" i="125" a="1"/>
  <c r="C7" i="125" s="1"/>
  <c r="C81" i="125" s="1"/>
  <c r="AI49" i="118" a="1"/>
  <c r="AI49" i="118" s="1"/>
  <c r="E7" i="125" a="1"/>
  <c r="E7" i="125" s="1"/>
  <c r="AI69" i="118" a="1"/>
  <c r="AI69" i="118" s="1"/>
  <c r="AI11" i="118" a="1"/>
  <c r="AI11" i="118" s="1"/>
  <c r="AI52" i="118" a="1"/>
  <c r="AI52" i="118" s="1"/>
  <c r="AI20" i="118" a="1"/>
  <c r="AI20" i="118" s="1"/>
  <c r="AI62" i="118" a="1"/>
  <c r="AI62" i="118" s="1"/>
  <c r="AI43" i="118" a="1"/>
  <c r="AI43" i="118" s="1"/>
  <c r="AI47" i="118" a="1"/>
  <c r="AI47" i="118" s="1"/>
  <c r="AI17" i="118" a="1"/>
  <c r="AI17" i="118" s="1"/>
  <c r="AI70" i="118" a="1"/>
  <c r="AI70" i="118" s="1"/>
  <c r="AI45" i="118" a="1"/>
  <c r="AI45" i="118" s="1"/>
  <c r="AI25" i="118" a="1"/>
  <c r="AI25" i="118" s="1"/>
  <c r="D7" i="125" a="1"/>
  <c r="D7" i="125" s="1"/>
  <c r="D81" i="125" s="1"/>
  <c r="AI8" i="118" a="1"/>
  <c r="AI8" i="118" s="1"/>
  <c r="AI41" i="118" a="1"/>
  <c r="AI41" i="118" s="1"/>
  <c r="AI33" i="118" a="1"/>
  <c r="AI33" i="118" s="1"/>
  <c r="AI42" i="118" a="1"/>
  <c r="AI42" i="118" s="1"/>
  <c r="AI12" i="118" a="1"/>
  <c r="AI12" i="118" s="1"/>
  <c r="AI7" i="118" a="1"/>
  <c r="AI7" i="118" s="1"/>
  <c r="AI10" i="118" a="1"/>
  <c r="AI10" i="118" s="1"/>
  <c r="AI61" i="118" a="1"/>
  <c r="AI61" i="118" s="1"/>
  <c r="AI28" i="118" a="1"/>
  <c r="AI28" i="118" s="1"/>
  <c r="AI54" i="118" a="1"/>
  <c r="AI54" i="118" s="1"/>
  <c r="AI27" i="118" a="1"/>
  <c r="AI27" i="118" s="1"/>
  <c r="AI44" i="118" a="1"/>
  <c r="AI44" i="118" s="1"/>
  <c r="AI59" i="118" a="1"/>
  <c r="AI59" i="118" s="1"/>
  <c r="AI36" i="118" a="1"/>
  <c r="AI36" i="118" s="1"/>
  <c r="AI26" i="118" a="1"/>
  <c r="AI26" i="118" s="1"/>
  <c r="AI67" i="118" a="1"/>
  <c r="AI67" i="118" s="1"/>
  <c r="AI63" i="118" a="1"/>
  <c r="AI63" i="118" s="1"/>
  <c r="AH63" i="118" a="1"/>
  <c r="AH63" i="118" s="1"/>
  <c r="AH80" i="118" s="1"/>
  <c r="M63" i="118"/>
  <c r="M80" i="118" s="1"/>
  <c r="AE63" i="118"/>
  <c r="AE80" i="118" s="1"/>
  <c r="AC63" i="118"/>
  <c r="AC80" i="118" s="1"/>
  <c r="K63" i="118"/>
  <c r="K80" i="118" s="1"/>
  <c r="AB63" i="118"/>
  <c r="AB80" i="118" s="1"/>
  <c r="S63" i="118"/>
  <c r="S80" i="118" s="1"/>
  <c r="F63" i="118"/>
  <c r="F80" i="118" s="1"/>
  <c r="E63" i="118"/>
  <c r="E80" i="118" s="1"/>
  <c r="AJ63" i="118" a="1"/>
  <c r="AJ63" i="118" s="1"/>
  <c r="AJ80" i="118" s="1"/>
  <c r="R63" i="118"/>
  <c r="R80" i="118" s="1"/>
  <c r="Q63" i="118"/>
  <c r="Q80" i="118" s="1"/>
  <c r="Z63" i="118" a="1"/>
  <c r="Z63" i="118" s="1"/>
  <c r="Z80" i="118" s="1"/>
  <c r="X63" i="118"/>
  <c r="X80" i="118" s="1"/>
  <c r="G63" i="118"/>
  <c r="G80" i="118" s="1"/>
  <c r="P63" i="118"/>
  <c r="P80" i="118" s="1"/>
  <c r="AD63" i="118"/>
  <c r="AD80" i="118" s="1"/>
  <c r="D63" i="118"/>
  <c r="D80" i="118" s="1"/>
  <c r="U63" i="118"/>
  <c r="U80" i="118" s="1"/>
  <c r="W63" i="118"/>
  <c r="W80" i="118" s="1"/>
  <c r="L63" i="118"/>
  <c r="L80" i="118" s="1"/>
  <c r="I63" i="118"/>
  <c r="I80" i="118" s="1"/>
  <c r="V63" i="118"/>
  <c r="V80" i="118" s="1"/>
  <c r="N63" i="118"/>
  <c r="N80" i="118" s="1"/>
  <c r="H63" i="118"/>
  <c r="H80" i="118" s="1"/>
  <c r="T63" i="118"/>
  <c r="T80" i="118" s="1"/>
  <c r="J63" i="118"/>
  <c r="J80" i="118" s="1"/>
  <c r="AA63" i="118"/>
  <c r="AA80" i="118" s="1"/>
  <c r="O63" i="118"/>
  <c r="O80" i="118" s="1"/>
  <c r="AF63" i="118"/>
  <c r="AF80" i="118" s="1"/>
  <c r="C63" i="118"/>
  <c r="C80" i="118" s="1"/>
  <c r="J17" i="195" l="1"/>
  <c r="J38" i="195" s="1"/>
  <c r="J16" i="195"/>
  <c r="J37" i="195" s="1"/>
  <c r="J19" i="195"/>
  <c r="J40" i="195" s="1"/>
  <c r="J15" i="195"/>
  <c r="J36" i="195" s="1"/>
  <c r="J18" i="195"/>
  <c r="J39" i="195" s="1"/>
  <c r="E81" i="125"/>
  <c r="F81" i="125"/>
  <c r="AI80" i="118"/>
  <c r="J7" i="121"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<sst xmlns="http://schemas.openxmlformats.org/spreadsheetml/2006/main" count="41994" uniqueCount="5693">
  <si>
    <t>Kiel Military Procurement Tracker — 3rd release (covering January 1, 2020 to January 31, 2026)</t>
  </si>
  <si>
    <r>
      <rPr>
        <b/>
        <sz val="12"/>
        <color theme="1"/>
        <rFont val="Arial"/>
        <family val="2"/>
        <charset val="204"/>
      </rPr>
      <t xml:space="preserve">1. </t>
    </r>
    <r>
      <rPr>
        <b/>
        <u/>
        <sz val="12"/>
        <color theme="1"/>
        <rFont val="Arial"/>
        <family val="2"/>
        <charset val="204"/>
      </rPr>
      <t>Citation</t>
    </r>
  </si>
  <si>
    <t>When using the data, please cite it as follows:</t>
  </si>
  <si>
    <t>2. Scope of the data set</t>
  </si>
  <si>
    <t>The Kiel Military Procurement Tracker systematically and comparatively tracks the military procurement of European countries. By taking official announcements and press releases from a European country’s ministry of defence website, we can record military orders and expenditures. Our database tracks information on the item ordered, the company from which it is ordered, the number of units ordered, the earliest expected delivery date, the latest expected delivery date, the monetary amount of the order, the budgetary vehicle that provides for the funding, and whether the order is part of a framework agreement. It also records the country in which the headquarters of the company responsible for fulfilling the order is located as well as the physical production or manufacturing country of the order in cases where the information is available.</t>
  </si>
  <si>
    <t>Country sample</t>
  </si>
  <si>
    <r>
      <t xml:space="preserve">3. </t>
    </r>
    <r>
      <rPr>
        <b/>
        <u/>
        <sz val="12"/>
        <rFont val="Arial"/>
        <family val="2"/>
        <charset val="204"/>
      </rPr>
      <t>Contents</t>
    </r>
  </si>
  <si>
    <t>The dataset is segmented into different coloured sheets. The contained information is as follows:</t>
  </si>
  <si>
    <t>Grey sheets</t>
  </si>
  <si>
    <t>ReadMe.</t>
  </si>
  <si>
    <t>Blue sheets</t>
  </si>
  <si>
    <t xml:space="preserve">Contains dataset for military orders as well as aggregated orders by general item type by country and a summary of unit costs. </t>
  </si>
  <si>
    <t>Terracotta sheets</t>
  </si>
  <si>
    <t>Contains auxiliary information used in the dataset such as item classification, a general description of classifications, and exchange rates.</t>
  </si>
  <si>
    <t>Purple sheets</t>
  </si>
  <si>
    <t>Green sheets</t>
  </si>
  <si>
    <t>4. Column names and descriptions</t>
  </si>
  <si>
    <t>"MAIN DATA, Orders"</t>
  </si>
  <si>
    <t>id</t>
  </si>
  <si>
    <t>Unique ID for the order and specific item within the order.</t>
  </si>
  <si>
    <t>linked_id</t>
  </si>
  <si>
    <t>Linked ID that orders that are related by theme or project share.</t>
  </si>
  <si>
    <t>purchaser_country</t>
  </si>
  <si>
    <t>Country that makes the order.</t>
  </si>
  <si>
    <t>announcement_date</t>
  </si>
  <si>
    <t>Date that the order was approved or announced.</t>
  </si>
  <si>
    <t>announcement_year</t>
  </si>
  <si>
    <t>Year that the order was approved or announced.</t>
  </si>
  <si>
    <t>item</t>
  </si>
  <si>
    <t>Item ordered.</t>
  </si>
  <si>
    <t>specific_item_type</t>
  </si>
  <si>
    <t>Specific type of item ordered. See "List of Classifications" and "Item Classification" for more details.</t>
  </si>
  <si>
    <t>general_item_type</t>
  </si>
  <si>
    <t>General type of item ordered. See "List of Classifications" and "Item Classification" for more details.</t>
  </si>
  <si>
    <t>item_number</t>
  </si>
  <si>
    <t>Classification number of item ordered. See "List of Classifications" and "Item Classification" for more details.</t>
  </si>
  <si>
    <t>units</t>
  </si>
  <si>
    <t>Number of units of an item ordered. For regular contract extensions, we consider a unit to be a year of continued service.</t>
  </si>
  <si>
    <t>cost_source_currency</t>
  </si>
  <si>
    <t>Unit cost of item ordered in the currency given in the source. Calculated as total monetary amount of the order divided by number of units.</t>
  </si>
  <si>
    <t>unit_cost_euro</t>
  </si>
  <si>
    <t>Unit cost of item ordered in Euro. Calculated as total monetary amount of the order divided by number of units.</t>
  </si>
  <si>
    <t>expected_delivery_from</t>
  </si>
  <si>
    <t>Earliest expected delivery date. For orders that are not for an item per se, this refers to when a contractor's obligation to the armed forces starts.</t>
  </si>
  <si>
    <t>expected_delivery_to</t>
  </si>
  <si>
    <t>Latest expected delivery date. For orders that are not for an item per se, this refers to when a contractor's obligation to the armed forces ends.</t>
  </si>
  <si>
    <t>amount_source</t>
  </si>
  <si>
    <t>Total monetary amount of the order in the currency given in the source.</t>
  </si>
  <si>
    <t>source_currency</t>
  </si>
  <si>
    <t>Currency given in the source.</t>
  </si>
  <si>
    <t>amount_euro</t>
  </si>
  <si>
    <t>Total monetary amount of the order in Euro.</t>
  </si>
  <si>
    <t>funding_1</t>
  </si>
  <si>
    <t>Primary budgetary vehicle that provides the funding for the order. See "List of Classifications" for more details.</t>
  </si>
  <si>
    <t>funding_2</t>
  </si>
  <si>
    <t>Secondary budgetary vehicle that provides the funding for the order. See "List of Classifications" for more details.</t>
  </si>
  <si>
    <t>order_recipient</t>
  </si>
  <si>
    <t>Country for which the purchaser country makes the order.</t>
  </si>
  <si>
    <t>month</t>
  </si>
  <si>
    <t>Month that the order was approved (or announced, if approval date is unknown).</t>
  </si>
  <si>
    <t>framework_agreement(1=yes)</t>
  </si>
  <si>
    <t>Whether the order is made as part of a framework agreement or contract.</t>
  </si>
  <si>
    <t>service_contract(1=yes)</t>
  </si>
  <si>
    <t>Whether the order refers to a regular contract or contract extension for operational services instead of an item per se (e.g. a maintenance, training, or development contract).</t>
  </si>
  <si>
    <t>big_ticket_item(1=yes)</t>
  </si>
  <si>
    <t xml:space="preserve">Whether the order is a 'big ticket item' off the shelf from the US. </t>
  </si>
  <si>
    <t>european(1=yes)</t>
  </si>
  <si>
    <t>Whether the order is received by a European (EU-members + UK, Norway, Iceland, Switzerland) company.</t>
  </si>
  <si>
    <t>multinational_european(1=yes)</t>
  </si>
  <si>
    <t>Whether the order is received by companies from more than one European country (excluding non-European countries).</t>
  </si>
  <si>
    <t>multinational_global(1=yes)</t>
  </si>
  <si>
    <t>Whether the order is received by companies from more than one country (including non-European countries).</t>
  </si>
  <si>
    <t>purchaser_and_foreign(1=yes)</t>
  </si>
  <si>
    <t>Whether the order is received by companies from the purchaser country and another country.</t>
  </si>
  <si>
    <t>main_company_1</t>
  </si>
  <si>
    <t>Company 1 that receives the order.</t>
  </si>
  <si>
    <t>main_developer_1</t>
  </si>
  <si>
    <t>Country 1 that develops an ordered item (either the country itself or the country where the company that receives the order is primarily located).</t>
  </si>
  <si>
    <t>main_manufacturer_1</t>
  </si>
  <si>
    <t>Country 1 where an ordered item is physically produced.</t>
  </si>
  <si>
    <t>company_2</t>
  </si>
  <si>
    <t>Company 2 that receives the order.</t>
  </si>
  <si>
    <t>company_3</t>
  </si>
  <si>
    <t>Company 3 that receives the order.</t>
  </si>
  <si>
    <t>company_4</t>
  </si>
  <si>
    <t>Company 4 that receives the order.</t>
  </si>
  <si>
    <t>company_5</t>
  </si>
  <si>
    <t>Company 5 that receives the order.</t>
  </si>
  <si>
    <t>developer_2</t>
  </si>
  <si>
    <t>Country 2 that develops an ordered item (either the country itself or the country where the company that receives the order is primarily located).</t>
  </si>
  <si>
    <t>developer_3</t>
  </si>
  <si>
    <t>Country 3 that develops an ordered item (either the country itself or the country where the company that receives the order is primarily located).</t>
  </si>
  <si>
    <t>developer_4</t>
  </si>
  <si>
    <t>Country 4 that develops an ordered item (either the country itself or the country where the company that receives the order is primarily located).</t>
  </si>
  <si>
    <t>developer_5</t>
  </si>
  <si>
    <t>Country 5 that develops an ordered item (either the country itself or the country where the company that receives the order is primarily located).</t>
  </si>
  <si>
    <t>developer_6</t>
  </si>
  <si>
    <t>Country 6 that develops an ordered item (either the country itself or the country where the company that receives the order is primarily located).</t>
  </si>
  <si>
    <t>developer_7</t>
  </si>
  <si>
    <t>Country 7 that develops an ordered item (either the country itself or the country where the company that receives the order is primarily located).</t>
  </si>
  <si>
    <t>developer_8</t>
  </si>
  <si>
    <t>Country 8 that develops an ordered item (either the country itself or the country where the company that receives the order is primarily located).</t>
  </si>
  <si>
    <t>developer_9</t>
  </si>
  <si>
    <t>Country 9 that develops an ordered item (either the country itself or the country where the company that receives the order is primarily located).</t>
  </si>
  <si>
    <t>developer_10</t>
  </si>
  <si>
    <t>Country 10 that develops an ordered item (either the country itself or the country where the company that receives the order is primarily located).</t>
  </si>
  <si>
    <t>manufacturer_2</t>
  </si>
  <si>
    <t>Country 2 where the ordered item is physically produced.</t>
  </si>
  <si>
    <t>manufacturer_3</t>
  </si>
  <si>
    <t>Country 3 where the ordered item is physically produced.</t>
  </si>
  <si>
    <t>source_1</t>
  </si>
  <si>
    <t>Source of information 1.</t>
  </si>
  <si>
    <t>source_2</t>
  </si>
  <si>
    <t>Source of information 2.</t>
  </si>
  <si>
    <t>source_3</t>
  </si>
  <si>
    <t>Source of information 3.</t>
  </si>
  <si>
    <t>comment_1</t>
  </si>
  <si>
    <t>Description of the order from the sources or note 1.</t>
  </si>
  <si>
    <t>comment_2</t>
  </si>
  <si>
    <t>Description of the order from the sources or note 2.</t>
  </si>
  <si>
    <t>comment_3</t>
  </si>
  <si>
    <t>Description of the order from the sources or note 3.</t>
  </si>
  <si>
    <t>notes</t>
  </si>
  <si>
    <t>Notes about the order or source.</t>
  </si>
  <si>
    <t>sub_id</t>
  </si>
  <si>
    <t>unit_cost_source_currency</t>
  </si>
  <si>
    <t>DE1</t>
  </si>
  <si>
    <t>.</t>
  </si>
  <si>
    <t>Germany</t>
  </si>
  <si>
    <t>Heron 1 operation contract extension</t>
  </si>
  <si>
    <t>Aircraft and Airframe Structural Components</t>
  </si>
  <si>
    <t>Unmanned Aircraft</t>
  </si>
  <si>
    <t>EUR</t>
  </si>
  <si>
    <t>Einzelplan 14</t>
  </si>
  <si>
    <t>Israel Aerospace Industries</t>
  </si>
  <si>
    <t>Israel</t>
  </si>
  <si>
    <t>Airbus Defence and Space</t>
  </si>
  <si>
    <t>https://www.bmvg.de/de/aktuelles/heron-1-fliegt-weiter-ueber-mali-257186</t>
  </si>
  <si>
    <t>https://www.airbus.com/en/newsroom/press-releases/2020-07-german-bundeswehr-renews-service-contracts-for-heron-1-systems-in</t>
  </si>
  <si>
    <t>"The operator contract for the use of the Heron 1 unmanned aircraft system in Mali is to be extended by one year. Around 30 million euros are earmarked for the contract extension. A further one-year term extension is optionally possible."</t>
  </si>
  <si>
    <t>DE2</t>
  </si>
  <si>
    <t>ClassF126</t>
  </si>
  <si>
    <t>Multi-purpose combat ship (MKS) 180 / Class F126 frigate</t>
  </si>
  <si>
    <t>Ships, Small Craft, Pontoons, and Floating Docks</t>
  </si>
  <si>
    <t>Combat Ships and Landing Vessels</t>
  </si>
  <si>
    <t>Damen Schelde Naval Shipbuilding</t>
  </si>
  <si>
    <t>Netherlands</t>
  </si>
  <si>
    <t>Fr. Lürssen Werft</t>
  </si>
  <si>
    <t>Thales</t>
  </si>
  <si>
    <t>Hensoldt</t>
  </si>
  <si>
    <t>German Naval Yards</t>
  </si>
  <si>
    <t>France</t>
  </si>
  <si>
    <t>https://www.bmvg.de/de/aktuelles/neue-schiffe-neues-radar-eurofighter-neue-it-bundeswehr-267934</t>
  </si>
  <si>
    <t>https://www.bmvg.de/de/aktuelles/vertrag-bau-mks-180-unterzeichnet-268154</t>
  </si>
  <si>
    <t>https://esut.de/2020/06/meldungen/21194/mehrzweckkampfschiff-mks-180-vertragsunterzeichnung/</t>
  </si>
  <si>
    <t>"For around 5.6 billion euros, the German Armed Forces are purchasing four multi-purpose combat ships 180 (MKS 180) including land facilities for training. The Bundeswehr reserves the option to purchase two additional ships in the contract. The special feature of the MKS 180 is that they are equipped for air defence as well as for surface and underwater warfare. A particular focus is on the ability to combat submarines."</t>
  </si>
  <si>
    <t>DE3</t>
  </si>
  <si>
    <t>Radar technology for Eurofighter</t>
  </si>
  <si>
    <t>Communication, Detection, and Coherent Radiation Equipment</t>
  </si>
  <si>
    <t>Radar Equipment, Airborne</t>
  </si>
  <si>
    <t>Airbus</t>
  </si>
  <si>
    <t>Indra</t>
  </si>
  <si>
    <t>Spain</t>
  </si>
  <si>
    <t>https://www.flugrevue.de/flugzeugbau/eine-milliarde-euro-freigegeben-aesa-radar-fuer-den-eurofighter/</t>
  </si>
  <si>
    <t>"The Bundeswehr is able to conclude four contracts with a total volume of around 2.8 billion euros for new radar technology for the Eurofighter. On the one hand, the money is planned to be used to purchase state-of-the-art radar devices with electronic beam sweeping. On the other hand, multi-channel receivers are to be developed to exploit the performance potential of this future-oriented technology and integrated into the Eurofighter. The procurement of the radar hardware that has already been developed should run parallel to the development of the final software. The new radar system should be available with all its capabilities by the mid-2020s."</t>
  </si>
  <si>
    <t>DE4</t>
  </si>
  <si>
    <t>BWI</t>
  </si>
  <si>
    <t>Hercules follow-up project (HFP) contract extension</t>
  </si>
  <si>
    <t>Automatic Data Processing Equipment (Including Firmware), Software, Supplies and Support Equipment</t>
  </si>
  <si>
    <t>ADPE System Configuration</t>
  </si>
  <si>
    <t>https://www.bwi.de/magazin/artikel/it-betrieb-fuer-bundeswehr-durch-bwi-bis-2027-sichergestellt</t>
  </si>
  <si>
    <t>"The service contract with BWI is to be extended by four years. This concerns the continuation of the operation of the Bundeswehr's administrative information and communication technology. The contract will have a financial volume of around 4.6 billion euros. "</t>
  </si>
  <si>
    <t>DE5</t>
  </si>
  <si>
    <t>Establishment of Agency for Innovation in Cybersecurity</t>
  </si>
  <si>
    <t>Communications Security Equipment and Components</t>
  </si>
  <si>
    <t>Einzelplan 06</t>
  </si>
  <si>
    <t>https://www.bmvg.de/de/presse/startschuss-cyberagentur-1242298</t>
  </si>
  <si>
    <t>https://www.bmi.bund.de/SharedDocs/pressemitteilungen/DE/2020/08/startschuss-cyberagentur.html</t>
  </si>
  <si>
    <t>https://esut.de/2020/08/meldungen/22206/gruendung-der-cyberagentur/</t>
  </si>
  <si>
    <t>"With its long-term orientation and focus on external and internal security, the Cyber ​​Agency complements the other initiatives of the Federal Government. The agency will initially have a total of 350 million euros from the budgets of the BMVg (Federal Ministry of Defence) and the BMI (Federal Ministry of the Interior)."</t>
  </si>
  <si>
    <t>DE6</t>
  </si>
  <si>
    <t>BWI contract extension</t>
  </si>
  <si>
    <t>ADP Software</t>
  </si>
  <si>
    <t>https://www.bmvg.de/de/aktuelles/bundeswehr-investiert-rund-2-1-milliarden-euro-2034972</t>
  </si>
  <si>
    <t>https://esut.de/2020/09/meldungen/22796/21-milliarden-euro-fuer-informationstechnik-und-munition/</t>
  </si>
  <si>
    <t>"The service contract with the in-house IT company BWI is to be changed again. BWI services are now to be commissioned between 2021 and 2027 for a total of around 1.6 billion euros. The contract promotes digitalization in the armed forces and, above all, in the Bundeswehr's healthcare system."</t>
  </si>
  <si>
    <t>DE7</t>
  </si>
  <si>
    <t>Fighter aircraft guided bomb</t>
  </si>
  <si>
    <t>Aircraft</t>
  </si>
  <si>
    <t>Ammunition and Explosives</t>
  </si>
  <si>
    <t>Bombs</t>
  </si>
  <si>
    <t>Diehl Defence</t>
  </si>
  <si>
    <t>Boeing</t>
  </si>
  <si>
    <t>RWM Italia</t>
  </si>
  <si>
    <t>Junghans Microtec</t>
  </si>
  <si>
    <t>Northrop Grumman</t>
  </si>
  <si>
    <t>United States</t>
  </si>
  <si>
    <t>Italy</t>
  </si>
  <si>
    <t>https://euro-sd.com/2020/09/news/19152/gbu-54-contract-for-bundeswehr/</t>
  </si>
  <si>
    <t>"The Eurofighter is to receive another precision armament with the GBU-54. This ammunition is guided, all-weather capable and intended for short range. With a mass of around 230 kilograms, the explosive power is only half as great as that of the GBU-48. The GBU-54 can also be guided to the target using a laser. The Bundeswehr can now conclude contracts for around 213 million euros and purchase 2,290 guidance systems and detonators as well as 910 bomb bodies. Testing materials and training materials are also part of the intended contract volume."</t>
  </si>
  <si>
    <t> </t>
  </si>
  <si>
    <t>DE7_a</t>
  </si>
  <si>
    <t>Eurofighter GBU-54 guidance system</t>
  </si>
  <si>
    <t>DE7_b</t>
  </si>
  <si>
    <t>Eurofighter GBU-54 detonator</t>
  </si>
  <si>
    <t>Fuzes and Primers</t>
  </si>
  <si>
    <t>DE7_c</t>
  </si>
  <si>
    <t>Eurofighter GBU-54 bomb body</t>
  </si>
  <si>
    <t>DE8</t>
  </si>
  <si>
    <t>RBS15</t>
  </si>
  <si>
    <t>RBS15 Mk3 guided missile</t>
  </si>
  <si>
    <t>Guided Missiles</t>
  </si>
  <si>
    <t>Saab</t>
  </si>
  <si>
    <t>Sweden</t>
  </si>
  <si>
    <t>https://www.bundeswehr-journal.de/2020/ergaenzungsbeschaffung-seezielflugkoerper-rbs15-mk3/</t>
  </si>
  <si>
    <t>"The Navy is to receive additional guided missiles for the K130 class corvettes, which can be used to combat sea and land targets. Up to 160 of the RBS15 Mk3 missiles can then be ordered under a framework agreement. Of these, 75 of these long-range guided missiles and corresponding accessories have already been firmly ordered. The financial volume for this is 285 million euros."</t>
  </si>
  <si>
    <t>DE9</t>
  </si>
  <si>
    <t>RBS15 Mk3 guided missile additional services</t>
  </si>
  <si>
    <t>"A further six million euros will be used, among other things, to purchase the necessary IT-Components and test material are to be procured. The additional RBS15 Mk3 guided missiles maintain and improve the capabilities and operational readiness of the corvettes."</t>
  </si>
  <si>
    <t>DE10</t>
  </si>
  <si>
    <t>Clothing and personal equipment contract extension</t>
  </si>
  <si>
    <t>Clothing, Individual Equipment, Insignia, and Jewelry</t>
  </si>
  <si>
    <t>Clothing, Special Purpose</t>
  </si>
  <si>
    <t>Bw Bekleidungsmanagement</t>
  </si>
  <si>
    <t>https://www.bmvg.de/de/aktuelles/vertrag-mit-bw-bekleidungsmanagement-gmbh-verlaengert-2341588</t>
  </si>
  <si>
    <t>"The performance contract with the Bw Clothing Management is to be worth around 280 million euros. [The contract] should be extended by three years until 2023 and further procurement should be initiated."</t>
  </si>
  <si>
    <t>"The contract extension is also intended to cover further needs for equipping soldiers with uniforms, uniform parts and personal equipment. In addition to the expenses for the contract extension, the total contract volume of around 280 million euros also includes additional financial requirements for clothing and personal equipment. For example, new medical clothing is planned that can be cleaned using chemo-thermal processes and thus improves compliance with modern hygiene requirements."</t>
  </si>
  <si>
    <t>DE11</t>
  </si>
  <si>
    <t>Free train travel for soldiers</t>
  </si>
  <si>
    <t>Miscellaneous</t>
  </si>
  <si>
    <t>Miscellaneous Items</t>
  </si>
  <si>
    <t>Deutsche Bahn</t>
  </si>
  <si>
    <t>https://www.bmvg.de/de/presse/erfolg-kostenloses-bahnfahren-in-uniform-3279156</t>
  </si>
  <si>
    <t>https://www.bundeswehr.de/de/aktuelles/meldungen/freie-bahnfahrt-soldatinnen-soldaten-regional-3045024</t>
  </si>
  <si>
    <t>"Around 40 million euros have been made available in the 2021 defense budget for free train travel for soldiers in uniform."</t>
  </si>
  <si>
    <t>DE12</t>
  </si>
  <si>
    <t>Quadriga Eurofighter</t>
  </si>
  <si>
    <t>Aircraft, Fixed Wing</t>
  </si>
  <si>
    <t>United Kingdom</t>
  </si>
  <si>
    <t>https://www.bmvg.de/de/aktuelles/bundeswehr-bekommt-neue-eurofighter-4151308</t>
  </si>
  <si>
    <t>https://www.bundeswehr.de/de/organisation/luftwaffe/aktuelles/quadriga-ersatz-fuer-die-erste-generation-eurofighter-4189752</t>
  </si>
  <si>
    <t>https://www.airbus.com/en/newsroom/press-releases/2020-11-airbus-signs-contract-for-38-eurofighters-with-germany</t>
  </si>
  <si>
    <t>"The German Armed Forces are to receive 38 new Eurofighter combat aircraft : the Budget Committee of the German Bundestag has now approved 5.5 billion euros for this purpose in its meeting on 5 November. The plan is to purchase not only the jets but also spare parts, ground service testing equipment and special tools (BPS). This is intended to increase the availability of spare parts and the operational readiness of the machines. The new jets are scheduled to be delivered from 2025 onwards. The Air Force is to receive the last aircraft in this tranche in 2030."</t>
  </si>
  <si>
    <t>"The procurement project of the fourth tranche, also known under the project name Quadriga, will gradually replace the Eurofighters of the first production batch, which were procured between 2003 and 2008. Since the first tranche can only be used for air combat and spare parts are often already outdated, this first series is to be replaced."</t>
  </si>
  <si>
    <t>DE13</t>
  </si>
  <si>
    <t>Testing equipment for DM2A4 torpedo</t>
  </si>
  <si>
    <t>Torpedoes and Components</t>
  </si>
  <si>
    <t>Atlas Elektronik</t>
  </si>
  <si>
    <t>https://www.bmvg.de/de/aktuelles/bundeswehr-zukunftsinvestitionen-175-millionen-euro-4473484</t>
  </si>
  <si>
    <t>https://www.shephardmedia.com/news/defence-notes/germany-approves-175-million-investment-package/</t>
  </si>
  <si>
    <t>https://www.hartpunkt.de/vorlagen-fuer-neue-munition-und-it-genehmigt/</t>
  </si>
  <si>
    <t>"The DM2A4 heavy-duty torpedo of the German submarine fleet is to be overhauled. In order for the main armament of the submarines to continue to be used in the future, outdated components that are no longer available as spare parts must be replaced. The testing and peripheral equipment must also be updated accordingly. For around 31 million euros, 69 equipment sets for the torpedoes are to be purchased and the responsible personnel will also be trained accordingly."</t>
  </si>
  <si>
    <t>DE14</t>
  </si>
  <si>
    <t>DE_120mm_1</t>
  </si>
  <si>
    <t>Leopard 2 ammunition DM88 (training)</t>
  </si>
  <si>
    <t>Ammunition, 75mm through 125mm</t>
  </si>
  <si>
    <t>Rheinmetall</t>
  </si>
  <si>
    <t>https://www.rheinmetall.com/de/media/news-watch/news/2020/2020-12-17_bundeswehr-erteilt-rheinmetall-einen-rahmenvertrag-zur-lieferung-von-panzermunition</t>
  </si>
  <si>
    <t>https://www.bundeswehr-journal.de/2020/genug-munition-fuer-kampfpanzer-leopard-2-bis-ende-2028/</t>
  </si>
  <si>
    <t>"To ensure that the Bundeswehr's tank forces are adequately supplied with ammunition, a framework agreement is to be concluded for the production and delivery of three types of ammunition for the Leopard 2 main battle tank. At the same time, the Bundeswehr wants to place a binding order for 15,000 cartridges, 120 millimeters x 570, DM 88 for around 26 million euros. The framework agreement is to be valid until the end of 2028. Framework agreements enable efficient and effective coverage of requirements over several years. They mean more planning security and greater security of supply for the public client, while at the same time saving time and reducing administrative effort."</t>
  </si>
  <si>
    <t>DE15</t>
  </si>
  <si>
    <t>Future-oriented IT security solution development</t>
  </si>
  <si>
    <t>"The Bundeswehr should provide better protection for its IT-wide area network. The network infrastructure of the network spread across Germany is to be renewed and a future-oriented IT security solution will be developed. This will be done in close cooperation with the Federal Office for Information Security (BSI). A remuneration of around 117 million euros is planned for the services to be provided by the in-house service provider BWI until 2027."</t>
  </si>
  <si>
    <t>DE16</t>
  </si>
  <si>
    <t>Sea Tiger</t>
  </si>
  <si>
    <t>Sea Tiger NH-90 Multi Role Frigate Helicopter</t>
  </si>
  <si>
    <t>Aircraft, Rotary Wing</t>
  </si>
  <si>
    <t>Airbus Helicopters</t>
  </si>
  <si>
    <t>https://www.bmvg.de/de/aktuelles/deutsche-marine-neue-bordhubschrauber-4473464</t>
  </si>
  <si>
    <t>https://www.bmvg.de/de/aktuelles/weiterentwicklung-nh-90-flotte-eurofighter-genehmigt-5773350</t>
  </si>
  <si>
    <t>https://www.airbus.com/en/newsroom/press-releases/2020-11-bundeswehr-orders-31-nh90-helicopters-for-shipborne-operations</t>
  </si>
  <si>
    <t>"The Sea Tigers, like the Sea Lion naval transport helicopter, are based on the naval variant of the NATO Helicopter NH-90. The new helicopters will be equipped for various operational roles. In addition to the multi-role capable helicopters, the contracts worth around 2.7 billion euros also include accessories, spare parts and training equipment. From the end of 2025, the Sea Tigers will replace the Sea Lynx Mk88A machines , which have been in use since the 1980s."</t>
  </si>
  <si>
    <t>DE17</t>
  </si>
  <si>
    <t>Protected truck 15t</t>
  </si>
  <si>
    <t>Ground Effect Vehicles, Motor Vehicles, Trailers, and Cycles</t>
  </si>
  <si>
    <t>Trucks and Truck Tractors, Wheeled</t>
  </si>
  <si>
    <t>https://www.bmvg.de/de/aktuelles/moderne-transportfahrzeuge-bundeswehr-4575696</t>
  </si>
  <si>
    <t>https://esut.de/2020/11/meldungen/24443/bundeswehr-investiert-weiter-in-transportfahrzeuge/</t>
  </si>
  <si>
    <t>"The Bundeswehr is increasingly focusing on national and alliance defense. This also increases the need for protected and unprotected militarized transport vehicles. Up to 1,048 appropriately protected trucks with a payload of 15 tons are to be procured through calls from a framework agreement to be concluded with a term of seven years. 224 of these vehicles are to be ordered with a binding contract upon conclusion of the contract. The costs for production and delivery will be around 180 million euros. The scope of delivery also includes special tool sets and armored glass composite panes. This is the third production batch of this vehicle family. As the vehicles arrive, they will also be included in the German contribution to VJTF [Very High Readiness Joint Task Force] 2023, the rapid reaction force known as the spearhead of the NATO, used."</t>
  </si>
  <si>
    <t>"The protected transport vehicles come in five variants. 32 vehicles are to be delivered as the basic version, 15 vehicles are equipped with a loading crane. Winch systems are planned for 76 vehicles, seven vehicles will have a loading crane and winch system. 94 of the protected transport vehicles will be delivered with an air-sprung rear axle."</t>
  </si>
  <si>
    <t>"Deliveries are scheduled to begin next year and be completed by 2025. All vehicles will be pre-equipped to accommodate military equipment such as radios. They can also accommodate a lightweight, remote-controlled weapon station for self-protection. In addition to the framework contract, further contracts will be signed for the procurement of IT-Components, assemblies for navigation devices and training equipment for around five million euros."</t>
  </si>
  <si>
    <t>DE18</t>
  </si>
  <si>
    <t>Tractor unit 70t</t>
  </si>
  <si>
    <t>Konjunkturpaket</t>
  </si>
  <si>
    <t>"The Bundeswehr wants to use the funds from the federal government's economic stimulus package to bring forward the purchase of 48 tractor units. The systems are to be purchased from an existing framework agreement. The unprotected, military-equipped tractor units can transport payloads of up to 70 tons. Heavy equipment such as the Leopard 2 battle tank in its A6M and A7 variants pose no problem for these machines. The approximately 41 million euros for the procurement not only include the tractor units, but also the pre-equipment for the military communication and command equipment in the vehicle. The tractor units are to be included in the German contribution to the VJTF [Very High Readiness Joint Task Force] 2023 will be used."</t>
  </si>
  <si>
    <t>DE19</t>
  </si>
  <si>
    <t>Non-combat military vehicle</t>
  </si>
  <si>
    <t>Other</t>
  </si>
  <si>
    <t>"The German Armed Forces will purchase 401 unprotected transport vehicles in the five-ton and 15-ton payload classes from an existing framework contract for around 154 million euros. These are to be delivered by the end of 2021. 292 vehicles with a five-ton payload and 109 vehicles with a 15-ton payload are to be purchased."</t>
  </si>
  <si>
    <t>DE19_a</t>
  </si>
  <si>
    <t>Unprotected truck 5t</t>
  </si>
  <si>
    <t>https://esut.de/2021/01/meldungen/25023/rahmenvertrag-utf-logistikfahrzeuge-stark-erweitert/</t>
  </si>
  <si>
    <t>DE19_b</t>
  </si>
  <si>
    <t>Unprotected truck 15t</t>
  </si>
  <si>
    <t>DE20</t>
  </si>
  <si>
    <t>"In addition, the existing framework agreement will be adjusted. For example, funds from the federal government's economic stimulus package to deal with the Corona crisis can be used to purchase a further 1,000 unprotected military transport vehicles in the payload classes five and 15 tonnes. Around 389 million euros are available for this. This will enable 150 vehicles with a payload of five tonnes and 850 vehicles with 15 tonnes to be procured. These vehicles will be delivered in 2021 and 2022. The scope of procurement includes deliveries of spare parts, so that a high level of material operational readiness is guaranteed."</t>
  </si>
  <si>
    <t>DE20_a</t>
  </si>
  <si>
    <t>DE20_b</t>
  </si>
  <si>
    <t>DE21</t>
  </si>
  <si>
    <t>Non-combat military vehicle part</t>
  </si>
  <si>
    <t>Containers, Packaging, and Packing Supplies</t>
  </si>
  <si>
    <t>Specialized Shipping and Storage Containers</t>
  </si>
  <si>
    <t>https://esut.de/2020/10/meldungen/23414/1-000-ungeschuetzte-logistik-lkw-fuer-die-bundeswehr/</t>
  </si>
  <si>
    <t>"Finally, a further 48 million euros are also available from the economic stimulus package. This will be used to procure up to 900 standard swap bodies measuring 20 feet in length and up to 950 standard swap bodies measuring 15 feet in length through two separate contracts. These bodies will be used to equip the unprotected military transport vehicles in the five and 15 ton load classes. The advantage here is that the bodies are not assigned to just one vehicle. This helps the Bundeswehr to solve its transport tasks flexibly."</t>
  </si>
  <si>
    <t>DE21_a</t>
  </si>
  <si>
    <t>Swap body 20 feet</t>
  </si>
  <si>
    <t>DE21_b</t>
  </si>
  <si>
    <t>Swap body 15 feet</t>
  </si>
  <si>
    <t>DE22</t>
  </si>
  <si>
    <t>Blocking minority ownership stake in Hensoldt AG</t>
  </si>
  <si>
    <t>https://www.bmvg.de/de/presse/bundesrepublik-deutschland-beteiligung-hensoldt-ag-4918388</t>
  </si>
  <si>
    <t>https://www.reuters.com/article/idUSKBN28R1RG/</t>
  </si>
  <si>
    <t>"In order to protect the national security and defense industry key technologies defined in the Federal Government's strategy paper on strengthening the security and defense industry of February 12, 2020, the Federal Government, represented by the Federal Ministry of Defense, plans to acquire a 25.1 percent stake (blocking minority) in Hensoldt AG at a price of EUR 450 million, subject to antitrust and state aid law reviews. The Federal Government decided this today."</t>
  </si>
  <si>
    <t>DE23</t>
  </si>
  <si>
    <t>Anti-tank guided missile</t>
  </si>
  <si>
    <t>Missile (Land)</t>
  </si>
  <si>
    <t>EuroSpike</t>
  </si>
  <si>
    <t>Rafael</t>
  </si>
  <si>
    <t>https://www.bmvg.de/de/aktuelles/bundeswehr-lenkflugkoerper-mells-beschaffung-5027884</t>
  </si>
  <si>
    <t>https://www.rheinmetall.com/de/media/news-watch/news/2021/2021-03-29_millionenauftrag-fuer-rheinmetall</t>
  </si>
  <si>
    <t>"The Bundeswehr now wants to order additional guided missiles and weapon systems from an existing framework agreement. This fourth batch complements the MELLS guided missiles and weapon systems that have been procured so far. The currently planned procurement scope of weapon systems has already been achieved with the current order. The existing framework agreement allows for further orders for guided missiles."</t>
  </si>
  <si>
    <t>"The German Armed Forces have awarded EuroSpike GmbH, a joint venture between Rheinmetall and its partners Diehl Defence and Rafael, another contract to supply the modern MELLS anti-tank guided missile systems. 666 guided missiles and 82 weapon systems were called up from the existing framework agreement. The contract is worth around EUR 88 million. Rheinmetall will supply key components to Eurospike, the manufacturer of the multi-role lightweight guided missile systems (MELLS). For Rheinmetall, this contract represents a net order intake of around EUR 17 million. Delivery will take place between 2022 and 2024."</t>
  </si>
  <si>
    <t>DE23_a</t>
  </si>
  <si>
    <t>Multi-role lightweight guided missile (MELLS)</t>
  </si>
  <si>
    <t>DE23_b</t>
  </si>
  <si>
    <t>Multi-role lightweight guided missile system (MELLS)</t>
  </si>
  <si>
    <t>Guided Missile Systems, Complete</t>
  </si>
  <si>
    <t>DE24</t>
  </si>
  <si>
    <t>Kodiak engineer vehicle</t>
  </si>
  <si>
    <t>Combat, Assault, and Tactical Vehicles, Tracked</t>
  </si>
  <si>
    <t>https://www.bmvg.de/de/aktuelles/grosse-schritte-beschaffung-bundeswehr-5051262</t>
  </si>
  <si>
    <t>https://www.rheinmetall.com/de/media/news-watch/news/2021/2021-05-12_rheinmetalls-kodiak-wird-neuer-pionierpanzer-der-bundeswehr</t>
  </si>
  <si>
    <t>"The Bundeswehr wants to purchase a total of 44 armored pioneer machines for around 295 million euros. The tracked vehicles based on the Leopard 2 A4 main battle tank have a clearing blade and a working arm. Pioneers can use them to build positions, repair roads and paths, or build fords and crossing points across bodies of water. The new armored engineer vehicles are intended to replace the Dachs engineer tank, which has been in use since 1989."</t>
  </si>
  <si>
    <t>"The contract also includes some additional services for training and logistics required for commissioning and use, such as training courses and resources, documentation, measuring and testing equipment, initial replacement parts and special tools."</t>
  </si>
  <si>
    <t>DE25</t>
  </si>
  <si>
    <t>Sea Falcon helicopter drone system for Class K130 corvette</t>
  </si>
  <si>
    <t>ESG Elektroniksystem- und Logistik</t>
  </si>
  <si>
    <t>IABG</t>
  </si>
  <si>
    <t>UMS Skeldar Sweden</t>
  </si>
  <si>
    <t>CUONICS</t>
  </si>
  <si>
    <t>https://esut.de/2021/04/meldungen/26721/aufklaerungsdrohnen-fuer-die-korvette-k130/</t>
  </si>
  <si>
    <t>"In order to be able to detect and identify surface contacts, two K130-class corvettes of the German Navy will receive a drone system. The procurement of the new helicopter drones for around 78 million euros will be divided into two phases: In a pilot phase, the drones will be adapted to the needs of the Bundeswehr and a subsystem consisting of two aircraft and a ground control station will be delivered and installed for the corvette. In the subsequent series phase, two further subsystems - one of them for training including a simulator component - as well as three additional equipment kits that enable the installation of the ground control stations and the operation of the drones on board the three remaining corvettes will be procured."</t>
  </si>
  <si>
    <t>DE26</t>
  </si>
  <si>
    <t>Airbus EC135 rental</t>
  </si>
  <si>
    <t>ADAC Aviation Technology</t>
  </si>
  <si>
    <t>https://www.welt.de/wirtschaft/article230633247/Ausruestungsmangel-Bundeswehr-muss-Hubschrauber-vom-ADAC-mieten.html</t>
  </si>
  <si>
    <t>"In order to further increase the professionalism of helicopter pilots in the army after basic flying training in the transition to operational types, the Bundeswehr wants [to rent] seven Airbus EC 135 helicopters from ADAC Aviation Technology. The contract worth around 63 million euros, which runs until the end of 2024, includes up to 5,440 flight hours per year as well as all maintenance and repair work."</t>
  </si>
  <si>
    <t>DE27</t>
  </si>
  <si>
    <t>Tornado radar warning system</t>
  </si>
  <si>
    <t>Panavia Aircraft</t>
  </si>
  <si>
    <t>https://esut.de/2021/05/meldungen/27447/waffensystem-tornado-modernisiert/</t>
  </si>
  <si>
    <t>"Since there will no longer be any spare parts for the existing system in the medium term, the Air Force's Tornados will receive a new radar warning system for around 105 million euros. The system detects, locates, identifies and classifies land, air and sea-based radar emitters and warns of incoming radar-guided missiles. This makes it vital for the Tornado's crew to survive in a threat scenario. The contract includes the replacement of radar warning system components with higher performance processors. Additional interfaces and connections are intended to relieve the existing data connections to the Tornado's avionics structure."</t>
  </si>
  <si>
    <t>DE28</t>
  </si>
  <si>
    <t>IT equipment container</t>
  </si>
  <si>
    <t>Miscellaneous Communication Equipment</t>
  </si>
  <si>
    <t>"For the ability of VJTF [Very High Readiness Joint Task Force] by 2023 , the Bundeswehr plans to deploy containers with IT-Systems for around 59 million euros. The containers can be used and moved independently. The equipment enables participation in standardized processes of NATO and EU as part of the military intelligence system and supports a wide range of staff functions."</t>
  </si>
  <si>
    <t>DE29</t>
  </si>
  <si>
    <t>Eurodrone</t>
  </si>
  <si>
    <t>Eurodrone development</t>
  </si>
  <si>
    <t>Dassault</t>
  </si>
  <si>
    <t>Leonardo</t>
  </si>
  <si>
    <t>https://www.bmvg.de/de/aktuelles/entwicklung-eurodrohne-schreitet-voran-5051260</t>
  </si>
  <si>
    <t>https://euro-sd.com/2021/04/articles/exclusive/22356/important-step-towards-eurodrone/</t>
  </si>
  <si>
    <t>https://www.bmvg.de/de/aktuelles/europaeische-drohne-bis-2025-11586</t>
  </si>
  <si>
    <t>"With the release of around 3.1 billion euros by the Budget Committee of the German Bundestag, Germany will be one of four programme nations to declare its willingness to sign. After the completion of the national approval processes in France, Italy and Spain, the way is clear for the European MALE [Medium Altitude Long Endurance] RPAS [Remotely Piloted Aircraft System]."</t>
  </si>
  <si>
    <t>"The German share of the project includes 21 unmanned and weapon-capable aircraft and the ground control stations required for operation as “cockpits on the ground”. In addition, there will be training and other operating equipment as well as support services from industry for the five-year initial flight operation."</t>
  </si>
  <si>
    <t>"The contract is to cover the development of the EURODRONE, the production of 60 aircraft and 40 ground stations (cockpits on the ground) and operational support for the first five years. Germany will receive 21 aircraft, France eight, Italy 16 and Spain 15."</t>
  </si>
  <si>
    <t>DE30</t>
  </si>
  <si>
    <t>MIKRON night vision device</t>
  </si>
  <si>
    <t>Night Vision Equipment, Emitted and Reflected Radiation</t>
  </si>
  <si>
    <t>Hensoldt Optronics</t>
  </si>
  <si>
    <t>Theon Sensors</t>
  </si>
  <si>
    <t>Greece</t>
  </si>
  <si>
    <t>https://www.bmvg.de/de/aktuelles/vjtf-erhaelt-5-000-bildverstaerkerbrillen-5059582</t>
  </si>
  <si>
    <t>https://www.bundeswehr.de/resource/blob/5467372/4ec38e3145a39f5c70e7c841ea8c6cbd/20-20-000-nachtsichtbrillen-aus-sondervermoegen-fuer-die-bundeswehr-data.pdf</t>
  </si>
  <si>
    <t>https://esut.de/2021/06/meldungen/28107/occar-beschafft-nachtsichtbrillen/</t>
  </si>
  <si>
    <t>"The Bundeswehr can now purchase 5,000 image intensifier glasses to equip the German parts of NATO’s Rapid Reaction Force (VJTF). Procurement is carried out via the Joint Organization for Armaments Cooperation OCCAR. Infantry forces use image intensifier goggles for basic night vision. This means they can orientate themselves at night, move around, observe, reconnaissance and lead the battle. Drivers can use the stereoscopic view to move their vehicles safely even at night and with limited visibility. If additional budget funds can be made available, the contract offers the possibility of purchasing up to 20,000 additional image intensifier glasses as an option."</t>
  </si>
  <si>
    <t>DE31</t>
  </si>
  <si>
    <t>CH-53 GS/GE helicopter electronic protection equipment</t>
  </si>
  <si>
    <t>Electronic Countermeasures, Counter-Countermeasures and Quick Reaction Capability Equipment</t>
  </si>
  <si>
    <t>Airbus Helicopters Deutschland</t>
  </si>
  <si>
    <t>https://esut.de/2021/05/meldungen/27664/obsoleszenzbeseitigung-hubschraub/</t>
  </si>
  <si>
    <t>https://esut.de/2021/07/meldungen/28384/selbstschutzsystem-der-ch-53gs-ge/</t>
  </si>
  <si>
    <t>"14 CH-53 GS/GE helicopters are now receiving improved electronic protection equipment. Spare parts are no longer available for the previously used radar, laser, missile warning system and decoy launch system subsystems. They are therefore replaced by modern systems. The electronic protective equipment is used to protect the helicopter and the crew from infrared, radar or laser-guided missiles. If necessary, a further twelve helicopters can be converted. The CH-53 are to be replaced by the new heavy transport helicopter by 2030."</t>
  </si>
  <si>
    <t>DE32</t>
  </si>
  <si>
    <t>Modern infrastructure for HIL location</t>
  </si>
  <si>
    <t>Prefabricated Structures and Scaffolding</t>
  </si>
  <si>
    <t>Prefabricated and Portable Buildings</t>
  </si>
  <si>
    <t>https://www.bmvg.de/de/presse/investitionen-in-die-zukunft-des-hil-werkes-in-st-wendel-5074046</t>
  </si>
  <si>
    <t>https://www.bmvg.de/de/presse/bundeswehr-staerkt-den-lausitzer-standort-des-hil-werkes-5085358</t>
  </si>
  <si>
    <t>"The German Armed Forces are planning to invest up to 42 million euros in modern infrastructure at the St. Wendel site over the next ten years. Existing jobs will be secured in the long term and up to 160 new jobs will be created. HIP GmbH and the Bundeswehr will remain permanently rooted in the region and make its contribution as a reliable partner of the local economy and as part of local society."</t>
  </si>
  <si>
    <t>DE33</t>
  </si>
  <si>
    <t>TCK 9 fuel tank container</t>
  </si>
  <si>
    <t>Gocher Fahrzeugbau</t>
  </si>
  <si>
    <t>https://www.bmvg.de/de/aktuelles/neue-tankcontainer-bodenradare-und-zusaetzliche-bekleidung-5084470</t>
  </si>
  <si>
    <t>https://esut.de/2022/05/meldungen/33956/bundeswehr-erhaelt-120-mobile-tankeinrichtungen/</t>
  </si>
  <si>
    <t>"For around 29 million euros, the German army can purchase up to 200 containers ISO 20 feet, fuel 9 cubic meters (TCK 9) over the next seven years. The tank containers are used to supply fuel worldwide in urban and difficult-to-access areas. The first TCK 9 are to be delivered in the VJTF will be deployed in 2023. They consist of a tank body and a fuel pump system with integrated power generator in a 20-foot ISO frame. The tank containers are equipped with all-terrain trucks. They are used in the 15 tonne load class and are also approved as storage containers. Two consumers such as vehicles or power generators can be refuelled at the same time."</t>
  </si>
  <si>
    <t>DE34</t>
  </si>
  <si>
    <t>Ground-based reconnaissance and area surveillance system (BARÜ)</t>
  </si>
  <si>
    <t>Radar Equipment, Except Airborne</t>
  </si>
  <si>
    <t>https://www.bundeswehr.de/resource/blob/5095138/dd2c68fd02db7eb95d619f80c6073689/10-generationswechsel-bei-mobilen-radargeraeten-der-bundeswehr-data.pdf</t>
  </si>
  <si>
    <t>"The German army can now purchase radar equipment for around 36 million euros for reconnaissance and surveillance of large areas on the ground. The new systems are intended to replace the ground radar equipment previously used. The ground-based reconnaissance and area surveillance system (BARÜ) gives the army the ability to reconnaissance and surveillance of large areas during the day, at night and even in adverse weather conditions. The BARÜ can be used independently and is compatible with the artillery troops' command and weapon deployment system ADLER III (artillery, data, situation and deployment computer network) via a data interface."</t>
  </si>
  <si>
    <t>"On June 8, 2021, the Federal Office of Bundeswehr Equipment, Information Technology and In-Service Support (BAAINBw) signed a contract with ESG Elektroniksystem- und Logistik-GmbH for the manufacture and delivery of a total of 69 mobile radar systems. Delivery of the systems is scheduled to begin in early 2022 and be completed by mid-2024. The contract, worth around 36 million euros, also includes additional services such as training courses, training materials and initial spare parts requirements."</t>
  </si>
  <si>
    <t>DE35</t>
  </si>
  <si>
    <t>CPE</t>
  </si>
  <si>
    <t>https://www.presseportal.de/pm/147341/4951784</t>
  </si>
  <si>
    <t>https://hardthoehenkurier.de/bundeswehr-investiert-weiter-in-bekleidung-und-persoenliche-ausruestung/</t>
  </si>
  <si>
    <t>"The amendment agreement will commission additional clothing purchases between 2021 and 2023 in order to equip soldiers with modern clothing and personal equipment. This expansion includes a number of item segments, such as combat backpacks and fire protection clothing."</t>
  </si>
  <si>
    <t>DE36</t>
  </si>
  <si>
    <t>IT services expansion</t>
  </si>
  <si>
    <t>https://www.bundeswehr.de/resource/blob/5096528/fbde9f60613b7a071ad1986372186119/11-bundeswehr-stellt-it-kapazitaeten-zukunftssicher-auf-data.pdf</t>
  </si>
  <si>
    <t>https://esut.de/2021/06/meldungen/27940/leistungserweiterung-bwi-it-servic/</t>
  </si>
  <si>
    <t>"The Bundeswehr is also changing the service contract with its in-house IT-Society BWI GmbH. For around 2.2 billion euros, BWI is to invest further [in] IT-Services, for example in the field of digital training and the Bundeswehr's "private cloud", new mobile and highly mobile IT-Procure equipment and take measures to increase the resilience of the Bundeswehr – for example by further expanding mobile working. In addition, the digitization of the Bundeswehr’s health care system is to be advanced and the IT-Support for the Bundeswehr's geoinformation service will be made future-proof. The extensive expansion of services is made possible by the Federal Government's economic stimulus, crisis management and future package."</t>
  </si>
  <si>
    <t>"The Federal Office of Bundeswehr Equipment, Information Technology and In-Service Support (BAAINBw) recently signed a contract with the IT in-house company BWI GmbH to expand the range of existing IT services for around 2.2 billion euros. This contract, which runs until December 31, 2027, ensures the continuous development of the Bundeswehr's non-military information and communications technology."</t>
  </si>
  <si>
    <t>DE37</t>
  </si>
  <si>
    <t>Poseidon</t>
  </si>
  <si>
    <t>P-8A Poseidon</t>
  </si>
  <si>
    <t>https://www.bmvg.de/de/aktuelles/modernisierung-der-streitkraefte-rund-19-milliarden-freigegeben-5099070</t>
  </si>
  <si>
    <t>https://www.bmvg.de/de/presse/bundesrepublik-deutschland-kauft-fuenf-p-8a-poseidon-5102338</t>
  </si>
  <si>
    <t>https://www.bundeswehr.de/de/organisation/marine/aktuelles/deutschland-bestellt-seefernaufklaerer-p8a-poseidon-5102350</t>
  </si>
  <si>
    <t>"Defense Minister Kramp-Karrenbauer held a meeting with US Defense Secretary Austin on Wednesday and expressed her joy that the purchase of five P-8A Poseidon aircraft for the Bundeswehr can be initiated. Secretary Austin welcomed this decision. After the Budget Committee approved the purchase last week, the Foreign Military Sales process (FMS Case) was initiated and a contract was signed. This procurement, with a financial volume of around 1.1 billion euros, serves to ensure the essential,  uninterrupted maintenance of the capability for long-range maritime reconnaissance and long-range, air-based submarine hunting. In addition to the five aircraft, the contract also includes the associated mission and communications equipment, an initial supply of spare parts and accessories, ground testing equipment and special tools, a mission support system and technical and logistical support."</t>
  </si>
  <si>
    <t>DE38</t>
  </si>
  <si>
    <t>FCAS</t>
  </si>
  <si>
    <t>Future Combat Air System project contract extension</t>
  </si>
  <si>
    <t>https://www.bmvg.de/de/aktuelles/investitionen-in-die-luftwaffe-der-zukunft-5099108</t>
  </si>
  <si>
    <t>https://www.defensenews.com/global/europe/2019/11/26/spains-indra-claims-lead-in-eu-electronic-warfare-push-for-future-aircraft/</t>
  </si>
  <si>
    <t>"In the Future Combat Air System project (FCAS), the Budget Committee's decision to conclude a further government agreement and supplementary contracts worth around 4.4 billion euros by 2027 paved the way for the continuation of arms cooperation with France and Spain from autumn 2021."</t>
  </si>
  <si>
    <t>DE39</t>
  </si>
  <si>
    <t>PEGASUS reconnaissance system</t>
  </si>
  <si>
    <t>Lufthansa Technik</t>
  </si>
  <si>
    <t>Bombardier</t>
  </si>
  <si>
    <t>Canada</t>
  </si>
  <si>
    <t>https://www.flugrevue.de/militaer/milliardenauftrag-an-hensoldt-sigint-flugzeug-pegasus-fuer-die-bundeswehr/</t>
  </si>
  <si>
    <t>https://www.sueddeutsche.de/bayern/taufkirchen-hensoldt-fuer-bundeswehr-aufklaerungssystem-pegasus-beauftragt-dpa.urn-newsml-dpa-com-20090101-210630-99-201517</t>
  </si>
  <si>
    <t>"With the project PEGASUS (Persistent German Airborne Surveillance System), the Bundeswehr will once again be able to carry out signal-detecting, airborne, long-range surveillance and reconnaissance. The Pegasus reconnaissance system consists of three Bombardier Global 6000 aircraft as a carrier platform. This is equipped with sensors for signal-detecting reconnaissance. The mission system is used for telecommunications and electronic reconnaissance. The overall package also includes a training system and a reference system. With this second system, errors can be localized and new software applications can be tested. The 25 million euro proposal will enable the procurement of the aircraft and the fitting of high-tech components into the aircraft. The project, with a financial volume of around 1.54 billion euros, secures and promotes the maintenance of competence in national key technologies in accordance with the federal government's strategy paper to strengthen the security and defense industry."</t>
  </si>
  <si>
    <t>DE40</t>
  </si>
  <si>
    <t>Large-area air surveillance radar</t>
  </si>
  <si>
    <t>ELTA Systems</t>
  </si>
  <si>
    <t>https://www.hensoldt.net/de/news/hensoldt-wins-contract-for-german-airspace-surveillance/</t>
  </si>
  <si>
    <t>https://www.bundeswehr-journal.de/2021/bundeswehr-modernisiert-ihre-luftraumueberwachung/</t>
  </si>
  <si>
    <t>"The approved procurement of four large-area air surveillance radars, which also have the ability to detect ballistic missiles for the first time, will replace the outdated Hughes Air Defense radars purchased in the 1980s. This allows security in German airspace to be part of the integrated NATO-Air defense will continue to be guaranteed in the future."</t>
  </si>
  <si>
    <t>DE41</t>
  </si>
  <si>
    <t>Modular container-based air traffic control system</t>
  </si>
  <si>
    <t>Radio Navigation Equipment, Except Airborne</t>
  </si>
  <si>
    <t>steep</t>
  </si>
  <si>
    <t>https://esut.de/2021/07/meldungen/28608/luftverladbare-flugsicherung/</t>
  </si>
  <si>
    <t>https://www.bundeswehr-journal.de/2021/luftverladbare-flugsicherungsanlage-fuer-die-bundeswehr/</t>
  </si>
  <si>
    <t>"By procuring a modular container-based air traffic control system that can be transported by air, the Bundeswehr will be able to build and operate a self-sufficient airfield in a country of operation - especially in locations where a flight operations infrastructure is not available. This creates the opportunity to ensure military flight operations both for on-site operations and for connections to the home country."</t>
  </si>
  <si>
    <t>"In order to be able to set up and operate a military airfield regardless of the lack of or inadequate flight operations infrastructure, the Bundeswehr is receiving an air-transportable air traffic control system. The Federal Office of Bundeswehr Equipment, Information Technology and In-Service Support (BAAINBw) has commissioned the companies steep and ESG Elektroniksystem- und Logistik Gesellschaft to manufacture such a system and to deliver it from 2023. Training of air traffic controllers and technical maintenance personnel is then to begin, according to a statement from the BAAINBw. The system and personnel are to be ready for use from 2026. The total cost is estimated at 67 million euros."</t>
  </si>
  <si>
    <t>DE42</t>
  </si>
  <si>
    <t>Class424</t>
  </si>
  <si>
    <t>Class 424 fleet service ship</t>
  </si>
  <si>
    <t>Special Service Vessels</t>
  </si>
  <si>
    <t>https://www.bmvg.de/de/aktuelles/umfangreiche-beschaffungen-fuer-die-deutsche-marine-5099106</t>
  </si>
  <si>
    <t>https://augengeradeaus.net/2021/06/luerssen-baut-neue-flottendienstboote-marine-soll-neue-aufklaerungsschiffe-ab-2027-bekommen/</t>
  </si>
  <si>
    <t>https://euro-sd.com/2023/07/news/32819/type-424-fleet-service-ships-germany-tests-a-new-procurement-model/</t>
  </si>
  <si>
    <t>"Sea-based signal reconnaissance is an elementary prerequisite for national analysis, assessment and leadership capabilities. It provides an indispensable and continuous contribution to an interdepartmental situation report. The Bundeswehr is therefore purchasing three fleet service boats of the new Class 424 as well as a training and reference system for reconnaissance. The new boats are intended to replace the previous fleet service boats “Oker”, “Alster” and “Oste”."</t>
  </si>
  <si>
    <t xml:space="preserve">Note: Initial cost of the 3 ships in June 2021 was 2.1 billion EUR (see DE42). In July 2023, the total cost was increased to 3.26 billion EUR (see DE112). The difference between the two equals 1.16 billion EUR and is attributed to a contract amendment (DE112). </t>
  </si>
  <si>
    <t>DE43</t>
  </si>
  <si>
    <t>Class 707 fuel transporter ship</t>
  </si>
  <si>
    <t>Cargo and Tanker Vessels</t>
  </si>
  <si>
    <t>Meyer Werft Group</t>
  </si>
  <si>
    <t>https://esut.de/2021/07/meldungen/28416/neue-betriebsstoffversorger-unter-vertrag/</t>
  </si>
  <si>
    <t>https://www.bundeswehr.de/de/aktuelles/meldungen/neue-tankschiffe-marine-5663908</t>
  </si>
  <si>
    <t>"The Navy will receive two new fuel supply vessels of the new Class 707 to replace the two fuel transport vessels of the Class 704 (“Rhön” and “Spessart”), which have been in use since 1977. The approved project includes the design and construction of the new Class 707. In addition, services to ensure supply readiness include initial spare parts, special tools and training. Germany has [notified] NATO [that the two ships can] provide fuel supply capability to allied navies continuously until 2040."</t>
  </si>
  <si>
    <t>DE44</t>
  </si>
  <si>
    <t>U212 Common Design submarine</t>
  </si>
  <si>
    <t>thyssenkrupp Marine Systems</t>
  </si>
  <si>
    <t>Norway</t>
  </si>
  <si>
    <t>https://www.bundeswehr.de/resource/blob/5109066/e3a362cf0b87ca7cb68b3f8a41e607ff/20-beschaffung-zweier-u-boote-fuer-die-bundeswehr-unter-vertrag-data.pdf</t>
  </si>
  <si>
    <t>https://esut.de/2021/07/meldungen/see/28286/milliarden-euro-deutsche-marine/</t>
  </si>
  <si>
    <t>"A total of six Class 212 Common Design submarines (U 212 CD) [will be] designed and built. They are based on the existing Class 212 A submarines. The submarines are being procured together with Norway and are also a symbol of the excellent German-Norwegian cooperation. Operations on the northern flank of NATO and the preservation of materials should be carried out jointly in the future. On the basis of identical boats, a new dimension of cooperation is achieved. The new submarine class, initially with two boats for Germany, is a prerequisite for maintaining the key technology of naval shipbuilding and underwater seafaring."</t>
  </si>
  <si>
    <t>"Two submarines of the 212 Common Design (U212 CD) class from the joint program with Norway. Norway is procuring four boats, Germany two. The 2021 federal budget earmarks two billion euros for the two boats of the German Navy."</t>
  </si>
  <si>
    <t>DE45</t>
  </si>
  <si>
    <t>Naval Strike Missile (NSM) Block 1A missile</t>
  </si>
  <si>
    <t>MBDA</t>
  </si>
  <si>
    <t>Kongsberg</t>
  </si>
  <si>
    <t>https://www.bmvg.de/de/presse/einigung-projekt-u212-common-design-u212cd-5044700</t>
  </si>
  <si>
    <t>https://esut.de/en/2021/07/meldungen/28450/nsm-seeziel-lenkflugkoerper/</t>
  </si>
  <si>
    <t>"The Naval Strike Missile (NSM) Block 1A weapon system is a long-range anti-ship missile system and is intended to be used by the Navy in the future on frigates of the 124, 125 and 126 classes. It replaces the Harpoon guided missile system, which has reached the end of its useful life, and can also be used in a secondary role against land targets. Procurement is carried out by Norway as the lead nation on the basis of the German-Norwegian naval armaments cooperation."</t>
  </si>
  <si>
    <t>"At the same time, agreement was reached on the final modalities of the Naval Strike Missile Block project. The procurement of these anti-ship missiles is linked to the submarine project in the portfolio of the German-Norwegian naval armament cooperation. The agreements reached represent a significant step forward in both projects."</t>
  </si>
  <si>
    <t>"Germany and Norway are not only working closely together on the construction of the new U212CD submarine, but also on the procurement of new anti-ship missiles. On July 8, 2021, the Federal Office for Equipment, Information Technology and Use of the German Armed Forces and the Norwegian procurement agency Forsvarsmateriell agreed on this cooperation for the joint procurement of new Naval Strike Missile (NSM) Block 1A anti-ship missile systems. The Norwegian Kongsberg was commissioned to deliver the missiles developed jointly with MBDA for the German and Norwegian naval forces. Kongsberg gives the contract value at 425 million euros."</t>
  </si>
  <si>
    <t>DE46</t>
  </si>
  <si>
    <t>Future Naval Strike Missile development</t>
  </si>
  <si>
    <t>"In a further step, a German-Norwegian joint development of a new anti-ship guided missile system Future Naval Strike Missile is planned. This development project is an independent project and offers the opportunity to achieve urgently needed skills with the participation of German industry."</t>
  </si>
  <si>
    <t>DE47</t>
  </si>
  <si>
    <t>Puma Retrofit</t>
  </si>
  <si>
    <t>Puma (retrofit)</t>
  </si>
  <si>
    <t>Krauss-Maffei Wegmann</t>
  </si>
  <si>
    <t>https://www.rheinmetall.com/de/media/news-watch/news/2021/2021-06-29_milliardenauftrag-fuer-rheinmetall</t>
  </si>
  <si>
    <t>"With the consolidated upgrade, the Puma infantry fighting vehicle is almost fully operational and can completely replace its outdated predecessor, the Marder. The package of measures includes a number of improvements, such as an increase in command capability through modern radio equipment. In addition, the command information system is being adapted as a basis for networked operations. In addition, the visual aids are being improved. The integration of the MELLS weapon system (multi-role lightweight guided missile system) for combating highly protected targets is being implemented. The approved measures also include preparations for connecting the turret-independent secondary weapon system. In addition, a wide range of improvements will be implemented in terms of reliability, system stability, overall system interfaces and harmonization of construction stages. The overall package also includes spare parts, tools and documentation. The contract initially provides for the retrofitting of 154 and optionally up to 143 additional Pumas."</t>
  </si>
  <si>
    <t>DE48</t>
  </si>
  <si>
    <t>Boxer Joint Fire Support Team (JFSTsw) prototype</t>
  </si>
  <si>
    <t>Combat, Assault, and Tactical Vehicles, Wheeled</t>
  </si>
  <si>
    <t>https://www.bundeswehr-journal.de/2021/beschaffungsagentur-occar-gibt-boxer-jfstsw-in-auftrag/</t>
  </si>
  <si>
    <t>https://www.occar.int/news/new-contract-was-signed-to-develop-a-new-boxer-vehicle-known-as-joint-fire-support-team</t>
  </si>
  <si>
    <t>"The Joint Fire Support Team, heavy (JFSTsw) mission module is a capability enhancement measure for joint tactical fire support. The aim is to support the troops with the most suitable land, air or sea-based German or Allied fire from artillery or airborne systems. The JFSTsw module is based on the Boxer carrier platform and is a complementary system to the system already introduced into the armed forces on the Fennek wheeled armored vehicle. The mission module coordinates the fire of these ground-based systems and the use of the army's combat helicopters, as well as the air force and navy's weapons. All of these systems are an essential element of the armed forces' networked operations. The development of the JFSTsw was approved, with a demonstration model to be produced on two vehicles initially."</t>
  </si>
  <si>
    <t>"On September 6, the Bonn-based European procurement agency OCCAR awarded an armaments contract worth around 70 million euros for the development of a new Boxer variant with a mission module for so-called "Joint Fire Support Teams" (JFST). As OCCAR explained in a press release, the contract for the Bundeswehr vehicles includes the development and delivery of two prototypes plus a Boxer reference system for test and trial series. The contractor is ARTEC GmbH, based in Munich, a joint venture founded in 1999 by the armaments companies Krauss-Maffei Wegmann and Rheinmetall. ARTEC coordinates series production and serves as the contact point for all export questions relating to the Boxer."</t>
  </si>
  <si>
    <t>DE49</t>
  </si>
  <si>
    <t>Special forces vehicle (reconnaissance, combat, tactical support)</t>
  </si>
  <si>
    <t>Defenture</t>
  </si>
  <si>
    <t>https://www.bundeswehr.de/resource/blob/5207002/b14b409ecf7dba49dcde8bda0bc752a7/29-erneuerung-der-fahrzeugflotte-fuer-spezialkraefte-data.pdf</t>
  </si>
  <si>
    <t>https://esut.de/2021/08/meldungen/ruestung2/29049/defenture-fahrzeuge-spezialkraefte/</t>
  </si>
  <si>
    <t>"The Special Forces Command is receiving new reconnaissance, combat and support vehicles. The vehicles are intended for use in crisis and conflict areas and for protecting the company's own forces at a distance. They are also used to protect people in special situations, to rescue and free German citizens or other people and to cooperate in training support for various countries. The intention is to conclude a contract for the development, manufacture and delivery of up to 80 vehicle systems with a term of twelve years and a firm order for four vehicles as proof of concept."</t>
  </si>
  <si>
    <t>"The Federal Office of Bundeswehr Equipment, Information Technology and In-Service Support (BAAINBw) has signed a framework agreement with Defenture, a Dutch manufacturer of special forces vehicles, for the development and delivery of a mission-specific, adaptable vehicle family for the Bundeswehr's special forces, as the Armaments Office announced. The relevant committees of the Bundestag had already released the necessary budget funds at the end of June. "The agreement enables the procurement of up to 80 vehicles of the types 'Medium Reconnaissance and Combat Vehicle for Special Forces' (AGF 2) and 'Medium Tactical Support Vehicle for Special Forces Command' (UFK)," the BAAINBw said in a statement."</t>
  </si>
  <si>
    <t>DE50</t>
  </si>
  <si>
    <t>Secure Inter- Network Architecture (SINA) contract extension</t>
  </si>
  <si>
    <t>Secunet Security Networks</t>
  </si>
  <si>
    <t>https://www.bundeswehr.de/resource/blob/5100260/4f7f9a79657a1fa6c42c7f4cd7cce246/15-sicheres-arbeiten-im-buero-und-von-zuhause-bundeswehr-investiert-weiter-in-it-sicherheit-data.pdf</t>
  </si>
  <si>
    <t>https://esut.de/2021/06/meldungen/28283/rahmenvertrag-sina-verlaengert/</t>
  </si>
  <si>
    <t>"The Secure Inter- Network Architecture (SINA) is part of a product family in the field of information security technology that provides encryption functions for the secure communication and storage of information up to the classification "secret". The Bundeswehr's SINA framework agreement contains additions regarding the Bundeswehr's special requirements for logistics, technical operational capability or retrieval authorizations. SINA products are currently used in around 90 projects in the business area of ​​the Federal Ministry of Defense as well as in important main weapon or command information systems such as the Class 125 frigate. With the help of the new SINA framework agreement, the Bundeswehr can continue to meet SINA needs quickly and efficiently."</t>
  </si>
  <si>
    <t>DE51</t>
  </si>
  <si>
    <t>Protected ambulance (GVTC)</t>
  </si>
  <si>
    <t>Drehtainer</t>
  </si>
  <si>
    <t>Binz Automotive</t>
  </si>
  <si>
    <t>https://www.bundeswehr-journal.de/2021/geschuetzte-container-fuer-den-verwundetentransport/</t>
  </si>
  <si>
    <t>https://esut.de/2021/07/meldungen/28373/container-verwundetentransport/</t>
  </si>
  <si>
    <t>"With the approval of two contracts, capabilities in the area of ​​casualty transport have been significantly expanded. Firstly, the development and procurement of protected casualty transport containers has been approved. These enable the protected transport of injured or wounded personnel who have to be transferred between different treatment facilities during operations."</t>
  </si>
  <si>
    <t>"The German Armed Forces are to receive twelve protected casualty transport containers (GVTCs) between 2024 and 2026. The Federal Office of Bundeswehr Equipment, Information Technology and In-Service Support (BAAINBw) initiated the conclusion of a corresponding contract with the company Airbus on July 1. According to the Koblenz Procurement Office, the procurement project has a financial volume of around 39 million euros."</t>
  </si>
  <si>
    <t>DE52</t>
  </si>
  <si>
    <t>Unprotected, all-terrain ambulance</t>
  </si>
  <si>
    <t>Iveco Magirus</t>
  </si>
  <si>
    <t>Binz Ambulance- und Umwelttechnik</t>
  </si>
  <si>
    <t>https://www.bundeswehr.de/resource/blob/5202774/0fe4d4cf94943286ea1f1aa861944759/24-neue-fahrzeuge-fuer-den-verwundetentransport-data.pdf</t>
  </si>
  <si>
    <t>https://esut.de/2021/07/meldungen/28602/fahrzeuge-fuer-sanitaetstruppe/</t>
  </si>
  <si>
    <t>"The procurement of unprotected, all-terrain casualty transport vehicles was also approved with a framework contract from which up to 500 vehicles can be called up. They are intended to ensure medical care and the transport of patients even off paved roads and paths. They replace the outdated ambulances."</t>
  </si>
  <si>
    <t>"In a framework contract, the Federal Office of Bundeswehr Equipment, Information Technology and In-Service Support (BAAINBw) has agreed to supply up to 500 unprotected, all-terrain casualty transport vehicles (Lkw UVT gl). The contract with the manufacturer IVECO Magirus AG has a term of 15 years, as the BAAINBw announced. This will replace the approximately 40-year-old ambulances (KrKw) and mobile medical teams (BAT) based on the two-ton Unimog. In the first firmly ordered tranche, IVECO Magirus will deliver 294 vehicles with a medical box body including medical equipment and accessories for 244 million euros. The first UVT trucks are to be delivered to the German armed forces in 2022 and, after successful verification, will also be available to the troops from the beginning of 2023. This first tranche is to be fully delivered by 2027, according to the BAAINBw announcement."</t>
  </si>
  <si>
    <t>DE53</t>
  </si>
  <si>
    <t>Class123</t>
  </si>
  <si>
    <t>Class 123 frigate radar and weapons system modernisation</t>
  </si>
  <si>
    <t>Abeking &amp; Rasmussen</t>
  </si>
  <si>
    <t>Australia</t>
  </si>
  <si>
    <t>https://esut.de/2021/07/meldungen/ruestung2/28782/saab-modernisiert-fregatten-f123/</t>
  </si>
  <si>
    <t>https://www.bundeswehr-journal.de/2021/saab-mit-der-modernisierung-der-fregatten-f123-beauftragt/</t>
  </si>
  <si>
    <t>"Ensuring the operational availability of the Class 123 frigates"</t>
  </si>
  <si>
    <t>"On July 30, the Federal Office of Bundeswehr Equipment, Information Technology and In-Service Support (BAAINBw) signed the first contracts for the modernization of the tactical radar and fire control systems of the Brandenburg-class frigates (F123) of the German Navy with the Swedish contractor Saab AB. These measures are intended to ensure the operational readiness of the ships until 2035."</t>
  </si>
  <si>
    <t>"The frigates of the "Brandenburg" class (F123) are being modernized. The four ships of the German Navy will receive, among other things, new tactical radar and fire control systems. The Federal Office of Bundeswehr Equipment, Information Technology and In-Service Support (BAAINBw) signed a corresponding contract with the Swedish defense company Saab AB yesterday (30 July)."</t>
  </si>
  <si>
    <t>DE54</t>
  </si>
  <si>
    <t>Repair equipment for RBS15 Mk3 missile</t>
  </si>
  <si>
    <t>Maintenance and Repair Shop Equipment</t>
  </si>
  <si>
    <t>Guided Missile Maintenance, Repair, and Checkout Specialized Equipment</t>
  </si>
  <si>
    <t>https://www.bundeswehr-journal.de/2021/lenkflugkoerper-rbs15-mk3-marine-prueft-ab-2025-selbst/</t>
  </si>
  <si>
    <t>https://esut.de/2021/07/meldungen/28346/seeziel-lenkflugkoerper-rbs15-mk3/</t>
  </si>
  <si>
    <t>"Repair equipment for RBS 15 MK3 missiles"</t>
  </si>
  <si>
    <t>"The Ammunition Supply Center North - with the Laboe ammunition depot - is to be expanded to include its own maintenance capacity for the inspection, recertification and overhaul of the RBS15Mk 3 anti-ship missiles. For this purpose, the Federal Office of Bundeswehr Equipment, Information Technology and In-Service Support has now commissioned Diehl Defence GmbH &amp; Co. KG to supply recertification and repair equipment for - In September 2020, the Koblenz-based Federal Office ordered a further 75 RBS15 (Robot System 15) Mk3 anti-ship missiles, which are to be delivered from 2023."</t>
  </si>
  <si>
    <t>DE55</t>
  </si>
  <si>
    <t>Class 124 frigate radar system</t>
  </si>
  <si>
    <t>Hensoldt Sensors</t>
  </si>
  <si>
    <t>https://www.bundeswehr.de/resource/blob/5212298/5dc442dc203d1d3d077345edbb8f9bc4/30-modernisierung-der-radaranlagen-der-fregatten-f124-data.pdf</t>
  </si>
  <si>
    <t>"Obsolescence elimination of the long-range sensors of the Class 124 frigates"</t>
  </si>
  <si>
    <t>"On August 23, 2021, the Federal Office of Bundeswehr Equipment, Information Technology and In-Service Support (BAAINBw) signed a contract with Hensoldt Sensors GmbH for the manufacture, delivery and installation of four radar systems for the Sachsen-class frigates (F124) with an order value of around 220 million euros. In addition, the necessary training services and the creation of supply readiness were agreed upon upon conclusion of the contract."</t>
  </si>
  <si>
    <t>DE56</t>
  </si>
  <si>
    <t>Seeversuch Küste (SVK) ship</t>
  </si>
  <si>
    <t>Fassmer</t>
  </si>
  <si>
    <t>Lithuania</t>
  </si>
  <si>
    <t>https://www.bundeswehr.de/de/organisation/ausruestung-baainbw/aktuelles/kiellegung-fuer-zwei-neue-svk-boote-der-wtd-71-5460550</t>
  </si>
  <si>
    <t>https://www.bundeswehr-journal.de/2021/zwei-neue-messboote-fuer-die-wtd-71-in-eckernfoerde/</t>
  </si>
  <si>
    <t>"Construction of two test boats “Sea Trial Coast”"</t>
  </si>
  <si>
    <t>"The identical boats cost a total of 95 million euros. They will replace the multi-purpose boats of class 745 “Breitgrund” and “Mittelgrund” from the 1980s, as well as the over 50-year-old anti-barrage weapon test boat “Wilhelm Pullwer”."</t>
  </si>
  <si>
    <t>"The German Military Technical Center for Ships and Naval Weapons, Maritime Technology and Research (WTD 71) in Eckernförde will soon receive two new measuring boats. To this end, the Federal Office of Equipment, Information Technology and In-Service Support signed a contract today (July 22) with Fassmer GmbH &amp; Co. KG, a company based in Berne, Lower Saxony. As a test facility, WTD 71 has a total of nine sea-going vessels with special capabilities. The procurement project that has now been initiated will replace the multi-purpose boats of class 745 "Breitgrund" and "Mittelgrund" after 32 years. After 55 years, the service life of the Class 741 interceptor weapons test boat "Wilhelm Pullwer" has also come to an end."</t>
  </si>
  <si>
    <t>DE57</t>
  </si>
  <si>
    <t>Class MJ332C minehunter command and weapon deployment system IMCMS</t>
  </si>
  <si>
    <t>https://www.bundeswehr-journal.de/2021/minenjagdboote-frankenthal-klasse-werden-modernisiert/</t>
  </si>
  <si>
    <t>"Obsolescence elimination of minehunters class 332C"</t>
  </si>
  <si>
    <t>"Modernization: The minehunters "Dillingen", "Fulda", "Homburg", "Sulzbach-Rosenberg" and "Weilheim" - all boats of the "Frankenthal" class (MJ332) - will receive the most modern version of the IMCMS (Integrated Mine Countermeasures System) command and weapon deployment system between 2022 and 2025. To this end, the Federal Office of Bundeswehr Equipment, Information Technology and In-Service Support (BAAINBw) signed a corresponding contract with the Bremen company Atlas Elektronik GmbH on July 9. According to BAAINBw, the contract volume for this modernization project is around 44 million euros."</t>
  </si>
  <si>
    <t>DE58</t>
  </si>
  <si>
    <t>TETRA digital radio network</t>
  </si>
  <si>
    <t>Radio and Television Communication Equipment, Except Airborne</t>
  </si>
  <si>
    <t>Motorola Solutions Germany</t>
  </si>
  <si>
    <t>https://www.motorolasolutions.com/newsroom/press-releases/german-navy-invests-in-new-mission-critical-communication-networks-from-mot/deutsche-marine-investiert-in-digitalfunklosung-von-motorola-solutions-zur-.html</t>
  </si>
  <si>
    <t>https://esut.de/2021/09/meldungen/29554/digitalfunksystemen-schiffe-boote/</t>
  </si>
  <si>
    <t>"Communication system for managing the damage control and combat service (SAGD) on board seagoing units"</t>
  </si>
  <si>
    <t>"Motorola is supplying the digital radio networks for the 16 carrier platforms for around 69.9 million euros and integrating the new systems into the Navy's existing IT infrastructure."</t>
  </si>
  <si>
    <t>DE59</t>
  </si>
  <si>
    <t>Radar navigation system for various classes</t>
  </si>
  <si>
    <t>https://marineforum.online/erfolgreiches-manoever-des-letzten-augenblicks/</t>
  </si>
  <si>
    <t>"Radar navigation system for various classes"</t>
  </si>
  <si>
    <t>"Procurement project for radar navigation system for various classes. 39.978 million euros must be spent on 40 on-board units, including preparation for supply readiness."</t>
  </si>
  <si>
    <t>DE60</t>
  </si>
  <si>
    <t>ELCAN Specter DR 1-4x assault rifle sight</t>
  </si>
  <si>
    <t>Fire Control Equipment</t>
  </si>
  <si>
    <t>Optical Sighting and Ranging Equipment</t>
  </si>
  <si>
    <t>Leonardo Germany</t>
  </si>
  <si>
    <t>Raytheon-Elcan</t>
  </si>
  <si>
    <t>https://esut.de/2021/10/meldungen/30282/leonardo-liefert-elcan-specter-dr-1-4x-als-neues-bundeswehr-hauptkampfvisier/</t>
  </si>
  <si>
    <t>https://www.hartpunkt.de/leonardo-liefert-neues-hauptkampfvisier/</t>
  </si>
  <si>
    <t>"Sights and laser light modules for the Bw assault rifle system"</t>
  </si>
  <si>
    <t>"The German Armed Forces have commissioned Leonardo Germany GmbH to manufacture and deliver the new main combat sight for the German Armed Forces assault rifles. This was announced today by the company. According to Leonardo, the framework agreement includes the delivery of up to 107,929 sights, with the first deliveries already taking place in the third quarter of 2021. The model selected is the ELCAN Specter DR 1-4x offered by Leonardo. Leonardo and Raytheon-Elcan have entered into a strategic partnership for the offer, with Leonardo as the prime contractor. The optics are manufactured by Raytheon-Elcan in Canada."</t>
  </si>
  <si>
    <t>DE61</t>
  </si>
  <si>
    <t>LLM-VarioRay assault rifle laser light module</t>
  </si>
  <si>
    <t>https://www.rheinmetall.com/de/media/news-watch/news/2021/2021-07-21_rheinmetall-mit-lieferung-von-laser-licht-modulen-fuer-die-bundeswehr-beauftragt</t>
  </si>
  <si>
    <t>https://www.bundeswehr-journal.de/2021/laser-licht-module-fuer-die-deutschen-streitkraefte/</t>
  </si>
  <si>
    <t>"The German Armed Forces has commissioned Rheinmetall to supply laser light modules for the German armed forces. A corresponding framework agreement, which in the long term covers a total of up to 130,000 laser light modules, has now been signed. Initially, 2,460 devices worth EUR 3 million are to be delivered. The framework agreement has the potential to generate orders of up to EUR 178 million for Rheinmetall. This is the largest order in the field of laser light modules that has been booked to date by the manufacturer of the devices, Rheinmetall Soldier Electronics from Stockach on Lake Constance. The framework agreement will initially run for seven years."</t>
  </si>
  <si>
    <t>DE62</t>
  </si>
  <si>
    <t>Adjustable proximity fuse for 155mm artillery round</t>
  </si>
  <si>
    <t>https://augengeradeaus.net/2021/06/rekordverdaechtige-liste-fuer-den-haushaltsausschuss-27-ruestungsprojekte-in-der-letzten-sitzung/</t>
  </si>
  <si>
    <t>https://augengeradeaus.net/2021/06/bundestag-gibt-fast-20-mrd-euro-fuer-ruestungsprojekte-frei-auflagen-unter-anderem-fuer-fcas-und-puma-schuetzenpanzer/</t>
  </si>
  <si>
    <t>"Adjustable proximity fuses for explosive projectiles artillery (155 millimeters)"</t>
  </si>
  <si>
    <t>"Conclusion of a contract for the qualification, manufacture and delivery of proximity fuses, adjustable, for artillery shells (155 mm) – a supplementary procurement of electronically programmable fuses for the shells of the self-propelled howitzer 2000. Financial requirement 52 million euros"</t>
  </si>
  <si>
    <t>DE63</t>
  </si>
  <si>
    <t>SALIS (Strategic Airlift International Solution) contract extension</t>
  </si>
  <si>
    <t>Antonov Logistics SALIS</t>
  </si>
  <si>
    <t>https://esut.de/2021/11/meldungen/30853/salis-vertrag-um-fuenf-jahre-verlaengert/</t>
  </si>
  <si>
    <t>https://www.hartpunkt.de/salis-vertrag-erneut-verlaengert/</t>
  </si>
  <si>
    <t>"Extension of the SALIS (Strategic Airlift International Solution) contract for the years 2022-2026"</t>
  </si>
  <si>
    <t>"The NATO Support and Procurement Agency NSPA has extended the service contract with Antonov Logistics SALIS GmbH by five years, as Antonov recently announced. After that, the company will keep two wide-body AN 124-100 aircraft permanently available at Leipzig Airport for orders from NATO countries. In July 2021, the Bundestag committees had allocated 206 million euros for the German share of the contract."</t>
  </si>
  <si>
    <t>DE64</t>
  </si>
  <si>
    <t>Helicopter weapons system</t>
  </si>
  <si>
    <t>Helicopter</t>
  </si>
  <si>
    <t>Aircraft Gunnery Fire Control Components</t>
  </si>
  <si>
    <t>https://www.bundeswehr.de/resource/blob/5205260/bbec29cd36507eace59ed4a956008c63/27-nh90-erhaelt-upgrade-fuer-den-einsatz-data.pdf</t>
  </si>
  <si>
    <t>https://esut.de/2021/07/meldungen/ruestung2/28767/electronic-warfare-system-und-satcom-fuer-nh90/</t>
  </si>
  <si>
    <t>"Sample installation of a new Electronic Warfare System (EWS) and a satellite communications system (SatCom) in the NH-90"</t>
  </si>
  <si>
    <t>"On July 29, 2021, the NATO Helicopter Management Agency (NAHEMA) in cooperation with the Federal Office of Bundeswehr Equipment, Information Technology and In-Service Support (BAAINBw) signed a contract with NATO Helicopter Industries (NHI) to integrate a new Electronic Warfare System (EWS) from Hensoldt AG and a new satellite communications system (SatCom system) from Collins Aerospace into the NH90 helicopters."</t>
  </si>
  <si>
    <t>"The German Army's NH90 TTH tactical transport helicopters are receiving a new system to defend against combat systems that use radar, infrared or ultraviolet radiation. On July 29, Hensoldt was commissioned by NAHEMA (NATO Helicopter Management Agency) to install an Electronic Warfare System (EWS) that can detect such threats and initiate countermeasures. NAHEMA acts as the client for the NH90 developer nations vis-à-vis the manufacturer consortium NHIndustries. Collins Aerospace was also commissioned to integrate a new satellite communications system (SatCom) that will enable global communications connectivity. The total contract value for both orders is expected to be around 116 million euros."</t>
  </si>
  <si>
    <t>DE64_a</t>
  </si>
  <si>
    <t>Sample installation of Electronic Warfare System (EWS) in NH-90 helicopter</t>
  </si>
  <si>
    <t>Hensolt</t>
  </si>
  <si>
    <t>DE64_b</t>
  </si>
  <si>
    <t>Sample installation of satellite communications system (SatCom) in NH-90 helicopter</t>
  </si>
  <si>
    <t>Radio and Television Communication Equipment, Airborne</t>
  </si>
  <si>
    <t>Collins Aerospace</t>
  </si>
  <si>
    <t>DE65</t>
  </si>
  <si>
    <t>EPC</t>
  </si>
  <si>
    <t>Military equipment</t>
  </si>
  <si>
    <t>Aircraft Components and Accessories</t>
  </si>
  <si>
    <t>Parachutes, Aerial Pick Up, Delivery, Recovery Systems, and Cargo Tie Down Equipment</t>
  </si>
  <si>
    <t>Safran Electronics &amp; Defense</t>
  </si>
  <si>
    <t>https://esut.de/2021/08/meldungen/ruestung2/28867/fallschirmsysteme-bundeswehr/</t>
  </si>
  <si>
    <t>https://www.bundeswehr.de/resource/blob/5386862/a2f3d1faf53ccc99a232dc1ba856fe4a/06-neue-fallschirmsysteme-fuer-die-bundeswehr-data.pdf</t>
  </si>
  <si>
    <t>"Procurement of main and reserve parachutes from the existing framework contract in the trinational procurement project of the Ensemble de Parachutage du Combattant (EPC) parachute system"</t>
  </si>
  <si>
    <t>"The German Armed Forces is procuring parachute systems of the “Ensemble de Parachutage du Combattant” (EPC) type to replace the T-10/T-10R systems introduced in 1957. After the Bundestag committees gave the green light for financing at the end of June 2021, the procurement can now take place. The Federal Office of Bundeswehr Equipment, Information Technology and In-Service Support (BAAINBw) had previously concluded a framework agreement with Safran Electronics &amp; Defense through the NATO Procurement and Support Agency (NSPA), through which the EPC can be procured in cooperation with Belgium and the Netherlands. In a first batch, 1,662 main and 1,162 reserve parachutes and the necessary accessories are to be ordered. Pre-series systems are to be delivered this year. They will be used for integrated verification and aeronautical approval of the parachutes. The series devices are to be delivered to the troops between 2022 and 2026. The financial outlay is estimated at around 24 million euros. Added to this are the NSPA transaction fee and a supplementary contract to ensure operational and supply readiness worth 2.7 million euros."</t>
  </si>
  <si>
    <t>DE65_a</t>
  </si>
  <si>
    <t>EPC main parachute</t>
  </si>
  <si>
    <t>DE65_b</t>
  </si>
  <si>
    <t>EPC reserve parachute</t>
  </si>
  <si>
    <t>DE66</t>
  </si>
  <si>
    <t>Heron TP armament</t>
  </si>
  <si>
    <t>https://www.bmvg.de/de/aktuelles/bewaffnung-der-heron-tp-drohnen-mit-praezisionsmunition-5389376</t>
  </si>
  <si>
    <t>https://www.bmvg.de/de/presse/deutscher-bundestag-ebnet-weg-bewaffnung-drohnen-5389634</t>
  </si>
  <si>
    <t>https://esut.de/2022/04/meldungen/33496/bewaffnung-von-heron-tp-drohnen-gebilligt/</t>
  </si>
  <si>
    <t>"In its meeting on April 6, the Budget Committee of the German Bundestag released funds for arming the Heron TP reconnaissance drone. In the future, the drones can be equipped with special precision guided missiles. A total of around 150 million euros are earmarked for armament, personnel training and peripheral equipment."</t>
  </si>
  <si>
    <t>"Following the Defense Committee of the German Bundestag, the Budget Committee has now also discussed the arming of drones. It has approved a change to the German-Israeli government agreement for the German Heron TP project. This involves making the system fully capable of being armed and providing the associated training and ammunition procurement. The contract volume is around 150 million euros."</t>
  </si>
  <si>
    <t>DE67</t>
  </si>
  <si>
    <t>Semi-trailer 70t</t>
  </si>
  <si>
    <t>Trailers</t>
  </si>
  <si>
    <t>Doll Fahrzeugbau</t>
  </si>
  <si>
    <t>https://www.bmvg.de/de/aktuelles/neue-schwerlastanhaenger-fuer-die-bundeswehr-5424250</t>
  </si>
  <si>
    <t>https://www.bundeswehr.de/de/organisation/ausruestung-baainbw/aktuelles/bundeswehr-erhaelt-neue-militarisierte-sattelanhaenger-70t-5439706</t>
  </si>
  <si>
    <t>https://www.bundeswehr.de/resource/blob/5438380/e4990eba00f3dbf06a1d0aa572a1b3b4/10-bundeswehr-erhoeht-eigene-kapazitaeten-fuer-den-schwerlast-transport-data.pdf</t>
  </si>
  <si>
    <t>"With the budget funds released by the Budget Committee, the Bundeswehr is purchasing militarized semi-trailers in the 70-ton payload class. These complement the tractor units already purchased. Both can transport weapon systems weighing up to 70 tons on the road and off-road. These include heavyweights such as the Leopard 2 A7 battle tank with a combat weight of around 64 tons or the Panzerhaubitze 2000 with around 57 tons. The semi-trailers are designed for military use and are therefore not only highly mobile. They can also be used to recover harmful equipment."</t>
  </si>
  <si>
    <t>DE68</t>
  </si>
  <si>
    <t>ZEBEL</t>
  </si>
  <si>
    <t>Spare parts logistics ZEBEL contract extension</t>
  </si>
  <si>
    <t>https://www.bundeswehr.de/resource/blob/5443826/1d5a513dc54fdc6da62d107c4645c76b/12-verlaengerung-der-zentralen-bundeswehr-ersatzteil-logistik-data.pdf</t>
  </si>
  <si>
    <t>https://www.bundeswehr-journal.de/2022/zentrale-ersatzteil-logistik-vertrag-mit-esg-verlaengert/</t>
  </si>
  <si>
    <t>"Since 2000, the German Armed Forces has been providing spare parts through the Central Bundeswehr Spare Parts Logistics project (ZEBEL). ZEBEL supplements the Bundeswehr's central logistics processes with the component for on-time and order-compliant picking. The service recipients are primarily the Army Maintenance Logistics (HIL) as well as civil maintenance facilities and maintenance companies. Currently, around 390 service recipients are being supplied. The contract with the civilian operating company can now be extended by two years following approval by the Budget Committee. The current war in Ukraine in particular shows how important it is that the supply of spare parts is and remains reliable and permanently secured."</t>
  </si>
  <si>
    <t>DE69</t>
  </si>
  <si>
    <t>Clothing and personal equipment</t>
  </si>
  <si>
    <t>Modernisation</t>
  </si>
  <si>
    <t>https://www.bundeswehr.de/de/aktuelles/meldungen/statment-ministerin-beschaffung-persoenliche-ausruestung-5390076</t>
  </si>
  <si>
    <t>https://www.bmvg.de/de/presse/vollausstattung-persoenliche-ausruestung-bis-2025-5390698</t>
  </si>
  <si>
    <t>"As early as April 7, 2022, the Budget Committee discussed the release of EUR 2.4 billion for the early equipping  of active soldiers with clothing and personal equipment in order to enable short-term commissioning due to the current security policy developments caused by Russia's attack on Ukraine. This means that by the end of 2025, enough material will have been delivered to fully equip the active troops with protective vests, combat clothing, backpacks and combat helmets. The corresponding 25 million euro proposal has now been approved by the Defense Committee and the Budget Committee of the German Bundestag."</t>
  </si>
  <si>
    <t>"In this way, we are accelerating the equipment project in order to increase the Bundeswehr's defence and alliance capabilities in the current threat situation more quickly than previously planned. The first measure identified was the early procurement of additional items for the task-oriented equipment of the Bundeswehr with clothing and personal equipment. By the end of 2025, a further 305,000 protective vest systems MOBAST (Modular ballistic protection and carrying equipment), 150,000 combat clothing sets, 122,000 combat helmets and 250,000 110 l backpacks will be delivered. This would enable the active troops to be fully equipped in advance, including regeneration quantities. The total financial requirement for this equipment amounts to around 2.36 billion euros. These procurement contracts are being commissioned immediately for reasons of particular urgency. Due to the current threat situation, such items are in increased demand. In order to secure the limited production capacities of the industry for the Bundeswehr, the orders must therefore be placed at very short notice."</t>
  </si>
  <si>
    <t>DE69_a</t>
  </si>
  <si>
    <t>Modular ballistic protective and carrying equipment</t>
  </si>
  <si>
    <t>Armor, Personal</t>
  </si>
  <si>
    <t>DE69_b</t>
  </si>
  <si>
    <t>Combat clothing set</t>
  </si>
  <si>
    <t>DE69_c</t>
  </si>
  <si>
    <t>Backpack system</t>
  </si>
  <si>
    <t>Individual Equipment</t>
  </si>
  <si>
    <t>DE69_d</t>
  </si>
  <si>
    <t>Combat helmet</t>
  </si>
  <si>
    <t>DE70</t>
  </si>
  <si>
    <t>Level 2 satellite communications contract extension</t>
  </si>
  <si>
    <t>https://www.bmvg.de/de/aktuelles/satellitenkommunikation-der-bundeswehr-weiter-gesichert-5430634</t>
  </si>
  <si>
    <t>https://esut.de/2022/05/meldungen/34154/betrieb-von-satcombw-wird-verlaengert/</t>
  </si>
  <si>
    <t>"At its meeting on 19 May 2022, the Budget Committee of the German Bundestag approved around 62 million euros for the extension of the Satellite Communications Stage 2 contract. The company Airbus Defence and Space GmbH operates the large ground station for satellite communications in Weilheim for the German Armed Forces. The contract for the operation of the station will be extended until the end of 2028. The large ground station in Weilheim, like the two large military-operated ground stations at the Gerolstein and Kastellaun sites, serves as an anchor station for data transmission to and from the satellites and as an interface to the terrestrial communications networks."</t>
  </si>
  <si>
    <t>DE71</t>
  </si>
  <si>
    <t>Operational boat for Navy special forces</t>
  </si>
  <si>
    <t>Small Craft</t>
  </si>
  <si>
    <t>Sondervermögen</t>
  </si>
  <si>
    <t>Boomeranger Boats</t>
  </si>
  <si>
    <t>Finland</t>
  </si>
  <si>
    <t>JK Defense</t>
  </si>
  <si>
    <t>Texcon</t>
  </si>
  <si>
    <t>Wildhagen Marien Service</t>
  </si>
  <si>
    <t>https://www.bmvg.de/de/aktuelles/bundestag-gibt-mittel-fuer-weitere-beschaffungsvorhaben-frei-5450292</t>
  </si>
  <si>
    <t>https://www.hartpunkt.de/gruenes-licht-fuer-neue-einsatzboote/</t>
  </si>
  <si>
    <t>"The Navy's special forces are receiving new medium-range operational boats. The Bundestag's budget committee approved a 25 million euro proposal for the project on Wednesday. The MPs also approved the procurement of four systems for the evaluation of aerial photographs. The Federal Ministry of Finance had requested approval from the Budget Committee to release funds for the purchase of nine boats and accessories. Communication devices and other on-board equipment are also part of the investment package. The new operational boats replace the older rigid inflatable boats RHIBH1010 of the Navy's special forces. They are faster, have a longer range and are better protected than the old models. This increases the tactical mobility of the Navy's special forces. The operational boats are to be used for ten years. The proposal approved by the Budget Committee also includes the option to procure a further twelve operational boats plus accessories. The procurement project will initially be financed through the regular defense budget. From 2023, the funds will come from the Bundeswehr's special fund."</t>
  </si>
  <si>
    <t>DE72</t>
  </si>
  <si>
    <t>System for evaluating aerial images and video transmissions</t>
  </si>
  <si>
    <t>Rafael Advanced Defense Systems</t>
  </si>
  <si>
    <t>https://www.bundeswehr-journal.de/2022/bundeswehr-verbessert-faehigkeiten-zur-luftbildauswertung/</t>
  </si>
  <si>
    <t>https://esut.de/2022/06/meldungen/35287/luftwaffe-erhaelt-containersysteme-zur-luftbildauswertung/</t>
  </si>
  <si>
    <t>"The second 25 million euro bill, approved by the Budget Committee on Wednesday, will enable the procurement of four systems for the evaluation of aerial photographs and video transmissions. The image evaluation technology is housed in self-sufficient and deployable containers that are also protected against gunfire and eavesdropping attempts. The systems will be used to evaluate imaging sensors on fighter jets such as the Eurofighter and the Tornado, as well as on unmanned aircraft such as the Heron 1 and Heron TP. The contract is worth around 101 million euros, which will be funded from the regular defense budget. The new technology is intended to replace four outdated and unprotected image evaluation systems in the Air Force."</t>
  </si>
  <si>
    <t>DE73</t>
  </si>
  <si>
    <t>P-8A Poseidon contract adjustment</t>
  </si>
  <si>
    <t>https://www.bmvg.de/de/aktuelles/bundestag-gibt-mittel-fuer-marineflugzeug-p-8a-poseidon-frei-5454548</t>
  </si>
  <si>
    <t>https://www.bundeswehr-journal.de/2022/weitere-haushaltsmittel-fuer-marineflugzeug-p-8a-poseidon/</t>
  </si>
  <si>
    <t>"The procurement of five P-8A Poseidon aircraft as a temporary replacement for the P-3C Orion, which was already decided in June 2021, will be supplemented. The Budget Committee has now approved additional funds for training and spare parts for the introduction of the new submarine hunter and maritime patrol aircraft. "</t>
  </si>
  <si>
    <t>"The German Navy is expected to fly the Poseidon from the end of 2024 to 2035. In addition to the procurement already commissioned via a government purchase agreement with the USA, the Budget Committee has now approved necessary additional services. As already announced in June 2021, these relate, for example, to the training of aircraft crews and aircraft technical personnel, the initial spare parts requirement as well as support services and future software updates. The addition has a volume of around 341.8 million euros. "</t>
  </si>
  <si>
    <t>DE74</t>
  </si>
  <si>
    <t>Eurofighter weapon system development</t>
  </si>
  <si>
    <t>Eurofighter Jagdflugzeuge</t>
  </si>
  <si>
    <t>"In addition, the capabilities of the Eurofighter weapon system are to be expanded. NATO-Management agency NETMA (NATO Eurofighter &amp; Tornado Management Agency) for the German Armed Forces signed a contract with the Eurofighter fighter aircraft GmbH for a consolidation package. The order volume amounts to 242 million euros. The package is intended to expand the Eurofighter 's armament, communications systems and friend-or-foe recognition system . It also aims to eliminate weak points in various systems on the fighter jet and to expand and meet legal requirements. In addition, a common approval basis is to be created in the multinational armament project by bringing the different construction stages to a uniform development standard. The aim is to join the further development package in the Eurofighter programme by mid-2022 at the latest. Overall, this will create the basis for future developments so that the Eurofighter can be in service until the mid-2050s. "</t>
  </si>
  <si>
    <t>DE75</t>
  </si>
  <si>
    <t>"Another topic was the follow-up solution for the Bundeswehr's clothing management. Following the Defense Committee, the Budget Committee has now also approved a contract worth around 6.89 billion euros. This means that the Bundeswehr's clothing management GmbH continues to be a wholly owned in-house company that supplies soldiers and civilian personnel with clothing and personal equipment. With their continuation in an optimized form, the previous services will continue without interruption. In addition, the basis for the early procurement of new protective vest systems, combat clothing, combat helmets and backpacks with a total volume of around 2.4 billion euros will remain. Up to now, these items were to be procured on the timeline up to 2031. Now, enough material will be delivered by the end of 2025 to enable the active troops to be fully equipped."</t>
  </si>
  <si>
    <t>DE76</t>
  </si>
  <si>
    <t>https://www.rheinmetall.com/de/media/news-watch/news/2022/2022-10-19_millionenauftrag-durch-die-bundeswehr-rheinmetall-liefert-weitere-uebungsmunition-fuer-den-leopard-2</t>
  </si>
  <si>
    <t>"In another resolution of the Budget Committee, ammunition orders were approved on the basis of a framework agreement concluded in November 2020. The orders based on the ammunition stockpiling concept include two 120-millimeter ammunition types for training purposes for the Leopard 2 main battle tank. They have a total order volume of around 42.1 million euros. The reordered training ammunition is a cost-effective alternative for training tank crews with reduced danger areas compared to combat ammunition."</t>
  </si>
  <si>
    <t>"Rheinmetall has been commissioned by the German Armed Forces to supply further new 120mm training ammunition for battle tanks. The German armed forces ordered 10,715 DM98 cartridges and 10,000 DM88 cartridges. The order, which was booked in the second quarter of 2022, is worth around EUR 42 million gross. Delivery has been taking place since August 2022 and is scheduled to be completed in October 2022."</t>
  </si>
  <si>
    <t>DE77</t>
  </si>
  <si>
    <t>RAM Block 2B missile</t>
  </si>
  <si>
    <t>RAM-System</t>
  </si>
  <si>
    <t>Diehl Defense </t>
  </si>
  <si>
    <t>MBDA Germany</t>
  </si>
  <si>
    <t>Raytheon</t>
  </si>
  <si>
    <t>https://www.bmvg.de/de/aktuelles/bundestag-genehmigt-neue-lenkflugkoerper-fuer-die-marine-5500456</t>
  </si>
  <si>
    <t>https://www.bundeswehr-journal.de/2022/600-neue-lenkflugkoerper-ram-block-2-fuer-die-marine/</t>
  </si>
  <si>
    <t>"On 21 September, the Budget Committee of the German Bundestag approved the procurement of 600 R.A.M. (Rolling Airframe Missile) Block 2B was approved. The weapon system is a further development of the guided missiles already used by the Navy R.A.M. (Rolling Airframe Missile)."</t>
  </si>
  <si>
    <t>"The 600 guided missiles will be delivered between 2024 and 2029. The contract value is 560.9 million euros. In addition, additional contracts with a volume of around 76.1 million euros are required to ensure the supply readiness of the systems and to support the production of the Guided missiles R.A.M. Block 2 until it is replaced."</t>
  </si>
  <si>
    <t>DE78</t>
  </si>
  <si>
    <t>RAM Block 2B missile additional services</t>
  </si>
  <si>
    <t>DE79</t>
  </si>
  <si>
    <t>Speaking set with hearing protection</t>
  </si>
  <si>
    <t>Electrical and Electronic Equipment Components</t>
  </si>
  <si>
    <t>Headsets, Handsets, Microphones and Speakers</t>
  </si>
  <si>
    <t>https://www.bmvg.de/de/aktuelles/gruenes-licht-fuer-moderne-sprechsaetze-und-praezise-munition-5504982</t>
  </si>
  <si>
    <t>"For around 7.5 million euros, the Bundeswehr can purchase a further 3,665 communication sets with hearing protection (SMG). With the modern digital headsets, soldiers can regulate the volume of ambient noise or conversations. Impulse noise - such as that from gunshots or detonations - is automatically filtered. Radios can be connected to the headset using an adapter, so that radio communication is also possible while wearing hearing protection. The 3,665 headsets with hearing protection are to be delivered this year. In the medium term, the Bundeswehr plans to equip all soldiers with such a headset."</t>
  </si>
  <si>
    <t>DE80</t>
  </si>
  <si>
    <t>155mm SMArt search fuse ammunition development</t>
  </si>
  <si>
    <t>Ammunition, over 125mm</t>
  </si>
  <si>
    <t>Gesellschaft für Intelligente Wirksysteme (GIWS)</t>
  </si>
  <si>
    <t>https://esut.de/2022/10/meldungen/37472/nachentwicklung-fuer-artilleriemunition-smart-155-genehmigt/</t>
  </si>
  <si>
    <t>"With the search-fuzed artillery ammunition (SMArt 155) introduced at the beginning of the 2000s, the German army can attack battle tanks and other heavily armored targets with precision even at long distances using the Panzerhaubitze 2000. With a view to the planned procurement of further projectiles in the future, the electronic components must be redeveloped. Around 97.4 million euros have been earmarked for this measure."</t>
  </si>
  <si>
    <t>DE81</t>
  </si>
  <si>
    <t>DE_30mm_1</t>
  </si>
  <si>
    <t>Puma ammunition</t>
  </si>
  <si>
    <t>Ammunition, through 30mm</t>
  </si>
  <si>
    <t>https://www.bmvg.de/de/aktuelles/munition-fuer-schuetzenpanzer-puma-und-moderne-funkgeraete-5530546</t>
  </si>
  <si>
    <t>https://www.rheinmetall.com/en/media/news-watch/news/2022/2022-12-08_major-order-from-the-bundeswehr-for-30mm-ammunition-for-puma-ifv</t>
  </si>
  <si>
    <t>"At its meeting on November 30, the Budget Committee of the German Bundestag created the framework for the procurement of more than 600,000 rounds of machine cannon ammunition for the Puma infantry fighting vehicle and for the continued operation of the Cyber ​​Innovation Hub. The first 25,000 rounds of ammunition in caliber 30 x 173 millimeters are to be called up in 2022. The procurement of machine gun ammunition for the Puma also serves to secure the combat stockpile for the rapid reaction force VJTF. The cartridges are also needed for training and exercises by the German Armored Infantry. In total, ammunition is to be purchased for around 576 million euros."</t>
  </si>
  <si>
    <t>"The German Bundeswehr has signed a framework agreement with Rheinmetall to supply over 600,000 rounds of medium-calibre ammunition for the Puma infantry fighting vehicle. In total, ammunition is to be procured for around EUR 576 million. The budget committee of the German Parliament approved the bill for this comprehensive procurement on 30 November 2022. A first call-off of around 25,000 rounds of DM21 30mm x 173 cal. ammunition is expected to come before the end of 2022. This automatic cannon ammunition order for the Puma will ensure an adequate operational supply for the NATO Very High Readiness Joint Task Force, the VJTF. Moreover, the cartridges are required for German Army mechanized infantry training and exercises."</t>
  </si>
  <si>
    <t>DE82</t>
  </si>
  <si>
    <t>E-Lynx UHF radio</t>
  </si>
  <si>
    <t>Elbit Systems Deutschland</t>
  </si>
  <si>
    <t>Elbit Systems</t>
  </si>
  <si>
    <t>https://esut.de/2022/11/meldungen/38211/e-lynx-hand-und-fahrzeugfunkgeraete-fuer-den-digitalen-truppenfunk/</t>
  </si>
  <si>
    <t>https://www.behoerden-spiegel.de/2023/03/07/genehmigung-der-e-lynx-soldatenfunkgeraete/</t>
  </si>
  <si>
    <t>"The Bundeswehr can now also begin to procure handheld and vehicle radios under a framework contract. The modern digital UHF radios are essential for the implementation of the armament program Digitalization of Land-Based Operations (D-LBO) is planned. A first call for equipment for the NATO deployment will take place in the units promised – including the Army division to be set up by 2025. The soldiers’ radios cover the communication needs of dismounted forces via a modern digital transmission process. The Bundeswehr already uses the same radios for the rapid reaction force VJTF 2023, the “spearhead” of the alliance."</t>
  </si>
  <si>
    <t>"During the reconciliation meeting on November 10 and 11, the Bundestag's Budget Committee approved a framework agreement for the procurement of soldier and vehicle radios for the tactical environment in the Digitization of Land-Based Operations (D-LBO) program. The BMVg wants to procure handheld and vehicle radios for digital troop radio in the period up to 2030, including the accessories required for operation and the services associated with the introduction into the Bundeswehr. The BMVg has stated the total volume for up to 15,227 soldier radios at 162 million euros and will be financed from individual budget 14."</t>
  </si>
  <si>
    <t>"In the first step, the BMVg has requested services for the period 2023 to 2026 worth 23.2 million euros. In addition, there will be additional services up to 2028 amounting to 85 million euros and optional services with a volume of 53.8 million euros in 2029 and 2030. 'The contract for supplying the equipment and services was awarded to the bidding consortium Elbit Systems Germany and Elbit Systems C4I and Cyber, Israel. The companies are supplying software-defined radio devices from the E-Lynx series, the first examples of which have already been introduced into the German armed forces with the new version of the soldier system Infantryman of the Future - Advanced System (IdZ-ES)."</t>
  </si>
  <si>
    <t>DE83</t>
  </si>
  <si>
    <t>Bundeswehr Cyber ​​Innovation Hub contract extension</t>
  </si>
  <si>
    <t>"The Cyber ​​Innovation Hub of the Bundeswehr (CIHBw), which is organized as a department in the BWI GmbH can continue to operate for the years 2023 to 2027. For this purpose, the Bundeswehr concludes a contract with its IT service provider has a budget of ten million euros per year, a total of 50 million euros. The hub is intended to give the Bundeswehr rapid access to new cyber and information technologies, especially from the start-up sector."</t>
  </si>
  <si>
    <t>DE84</t>
  </si>
  <si>
    <t>Commercially available IT components</t>
  </si>
  <si>
    <t>https://www.bmvg.de/de/aktuelles/munition-fuer-schuetzenpanzer-puma-und-moderne-funkgeraete-5530546\</t>
  </si>
  <si>
    <t>"For up to 82.25 million euros, commercially available IT components are to be procured. This means that an existing framework agreement will be extended accordingly in order to create a transition to the successor agreement that is currently being tendered."</t>
  </si>
  <si>
    <t>DE85</t>
  </si>
  <si>
    <t>G95A1 assault rifle</t>
  </si>
  <si>
    <t>Weapons</t>
  </si>
  <si>
    <t>Guns, through 30mm</t>
  </si>
  <si>
    <t>Heckler und Koch</t>
  </si>
  <si>
    <t>https://www.bmvg.de/de/aktuelles/bundeswehr-kann-g36-nachfolger-beschaffen-5540930</t>
  </si>
  <si>
    <t>https://www.bmvg.de/de/aktuelles/sondervermoegen-bundeswehr-markiert-historischen-aufbruch-5542400</t>
  </si>
  <si>
    <t>https://euro-sd.com/2023/02/articles/29148/germany-finally-settles-assault-rifle-requirement/</t>
  </si>
  <si>
    <t>"The "System Sturmgewehr Bundeswehr" - a new assault rifle based on the HK416 A8 from the manufacturer Heckler and Koch - is intended to replace the G36 as the Bundeswehr's standard rifle. The Bundeswehr can now procure 118,718 new assault rifles for around 209 million euros. The first weapons will be delivered to the troops in 2024. The selection decision was made in spring 2021, but a review procedure against the decision by an unsuccessful bidder delayed the conclusion of the contract."</t>
  </si>
  <si>
    <t>DE86</t>
  </si>
  <si>
    <t>https://www.rheinmetall.com/de/media/news-watch/news/2023/april/2023-04-19-nachruestung-puma</t>
  </si>
  <si>
    <t>"143 Puma infantry fighting vehicles can be upgraded to a uniform design level for around 850 million euros. With the upgrade, all Puma vehicles in the German army will reach a uniform and operational technical level. The modern infantry fighting vehicle is the main weapon system of the armored infantry troops and is intended to replace the Marder, which has been in service since the 1970s, in the medium term."</t>
  </si>
  <si>
    <t>DE87</t>
  </si>
  <si>
    <t>CATV</t>
  </si>
  <si>
    <t>BvS10 Collaborative All Terrain Vehicle (CATV)</t>
  </si>
  <si>
    <t>BAE Systems Hägglunds</t>
  </si>
  <si>
    <t>https://esut.de/en/2022/12/meldungen/38718/bundeswehr-erhaelt-catv-ueberschneefahrzeug/</t>
  </si>
  <si>
    <t>"140 Collaborative All-Terrain Vehicles (CATV) from the manufacturer BAE Systems Hägglunds for around 405 million euros. They are intended to replace the outdated and no longer economically viable predecessor Bv206D. Snow vehicles can transport soldiers and material in difficult and mountainous terrain, even under extreme climatic conditions. The new CATV are being procured jointly with Great Britain and Sweden. The Scandinavian country is taking the lead in the joint procurement process."</t>
  </si>
  <si>
    <t>DE88</t>
  </si>
  <si>
    <t>Command and communication equipment</t>
  </si>
  <si>
    <t>https://www.rheinmetall.com/de/media/news-watch/news/2023/jan-mar/2023-01-26_grossauftrag-der-bundeswehr-soldatensystem-idz-es</t>
  </si>
  <si>
    <t>"For the Infantryman of the Future system, which is used in the Army, Air Force and Navy, the Bundeswehr can procure 476 command equipment items for around 51 million euros. The equipment consists of digital radios, a user terminal comparable to a robust cell phone and a battle management system. The equipment ensures the infantrymen's ability to communicate even under combat conditions."</t>
  </si>
  <si>
    <t>"The Bundeswehr has commissioned Rheinmetall to modernize command and control equipment for soldier systems. Command and control equipment for 14 "Infantryman of the Future - Extended System" train systems is to be delivered to the troops. This includes equipment for 476 individual soldiers. The order, worth a mid-double-digit million EUR amount, was booked in December 2022, shortly after the Budget Committee of the German Bundestag released the funds from the special fund."</t>
  </si>
  <si>
    <t>DE89</t>
  </si>
  <si>
    <t>Joint interconnected radio equipment (SVFuA)</t>
  </si>
  <si>
    <t>Rohde &amp; Schwarz</t>
  </si>
  <si>
    <t>https://www.bundeswehr-journal.de/2024/moderne-kommunikations-und-funktechnik-fuer-die-truppe/</t>
  </si>
  <si>
    <t>"On the basis of a framework agreement, the German Armed Forces can purchase modern digital command radios for the implementation of the armament program Digitalization of Land-Based Operations (D-LBO). This contract and the associated firm order will initially provide the equipment for NATO. The new radios will enable soldiers to communicate using a modern digital transmission method. The Bundeswehr is already using the same radios for the rapid NATO Response force VJTF."</t>
  </si>
  <si>
    <t>DE90</t>
  </si>
  <si>
    <t>Access to rail transport</t>
  </si>
  <si>
    <t>DB Cargo AG</t>
  </si>
  <si>
    <t>"In 2023, Germany will assume responsibility as a framework nation for the rapid NATO Very High Readiness Joint Task Force (VJTF). For the rapid deployment of the land-based VJTF the German army can conclude a supply contract with DB Cargo AG for around 69 million euros. The framework freight contract stipulates that the railway must provide around 340 flat wagons, locomotives, operating personnel and free routes within six days and complete the transports within a specified time frame."</t>
  </si>
  <si>
    <t>DE91</t>
  </si>
  <si>
    <t>F-35A fighter jet</t>
  </si>
  <si>
    <t>Lockheed Martin</t>
  </si>
  <si>
    <t>https://www.bmvg.de/de/aktuelles/bundeswehr-kann-35-f-35a-fuer-rund-8-3-milliarden-euro-kaufen-5540934</t>
  </si>
  <si>
    <t>https://www.bmvg.de/de/aktuelles/f-35a-wird-in-rekordzeit-fuer-die-bundeswehr-beschafft-5540968</t>
  </si>
  <si>
    <t>"In March 2022, it was decided to prepare the parliamentary procurement decision for the F-35A fighter jet as the successor to the Tornado fighter-bomber for the Bundeswehr. Now, at its meeting on December 14, the Budget Committee of the German Bundestag has released the funds for the procurement of the stealth multi-role combat aircraft. The project is financed from the Bundeswehr special fund. Following approval by the Budget Committee, the Vice President of the Federal Office of Bundeswehr Equipment, Information Technology and In-Service Support (BAAINBw), Annette Lehnigk-Emden, signed the Letter of Offer and Acceptance (LOA). With the signing of the contract offer, the procurement of the F-35A can enter the implementation phase."</t>
  </si>
  <si>
    <t>"The 35 combat aircraft include an extensive package of engines, role-specific mission equipment, spare and replacement parts, technical and logistical support, training and armament. The F-35A is intended to seamlessly take over the role of nuclear sharing previously assigned to the Tornado fighter-bomber until it is decommissioned. In addition, as a fighter-bomber it is intended to attack enemy targets on the ground and provide close air support for its own troops."</t>
  </si>
  <si>
    <t>DE92</t>
  </si>
  <si>
    <t>COMSATBw 1 and 2 satellites contract extension</t>
  </si>
  <si>
    <t>https://www.bmvg.de/de/aktuelles/fernmeldesatelliten-der-bundeswehr-fliegen-bis-ende-2028-weiter-5579704</t>
  </si>
  <si>
    <t>https://www.bundeswehr-journal.de/2023/satcombw-betrieb-jetzt-bis-ende-dezember-2028/</t>
  </si>
  <si>
    <t>"The contract with Airbus Defence and Space GmbH from 2006, which currently only runs until December 31, 2023, provides for an extension option until December 31, 2028. With its resolution, the Budget Committee has now approved this option. This means that the operation of the Bundeswehr's own satellites COMSATBw 1 and 2 can continue without interruption. The contract value amounts to around 52.8 million euros. The continued operation of the COMSATBw 1 and 2 satellites is essential to ensure national and alliance defence as well as Germany’s security interests."</t>
  </si>
  <si>
    <t>DE93</t>
  </si>
  <si>
    <t>Gepard ammunition for Ukraine</t>
  </si>
  <si>
    <t>Ammunition, over 30mm up to 75mm</t>
  </si>
  <si>
    <t>Einzelplan 60</t>
  </si>
  <si>
    <t>Ukraine</t>
  </si>
  <si>
    <t>https://www.bmvg.de/de/aktuelles/gepard-munition-fuer-ukraine-wird-in-deutschland-produziert-5583588</t>
  </si>
  <si>
    <t>https://www.rheinmetall.com/de/media/news-watch/news/2023/jan-mar/2023-02-15_rheinmetall-erhaelt-grossauftrag-ueber-mittelkalibermunition</t>
  </si>
  <si>
    <t>https://www.bmvg.de/de/presse/neu-produzierte-gepard-munition-ist-in-ukraine-angekommen-5674218</t>
  </si>
  <si>
    <t>"The capabilities of the anti-aircraft gun tank are highly valued by Ukrainian soldiers, the minister reported from his personal discussions during his recent visit to Ukraine. Therefore, the news about Gepard ammunition production in Germany is good. "We will now immediately start our own production of Gepard ammunition again at Rheinmetall," said Pistorius. This production will start immediately. Germany wants to support Ukraine with 300,000 rounds of Gepard ammunition. "</t>
  </si>
  <si>
    <t>"The German Federal Ministry of Defense has commissioned Rheinmetall, on behalf of Ukraine, to supply 35mm ammunition for the Gepard anti-aircraft gun tank. A total of 300,000 cartridges are to be delivered. The ammunition is intended to support the Ukrainian armed forces that use the Gepard. The contract value is in the low three-digit million EUR range.
Rheinmetall will deliver 150,000 cartridges each of Armour Piercing Discarding Sabot (Tracer, APDS-T) and High Explosive Incendiary (Tracer, HEI-T). This will enable a wide range of targets to be effectively attacked. The first APDS-T cartridges will be delivered in summer 2023. A production switch from APDS-T to HEI-T is scheduled to take place in mid-2024."</t>
  </si>
  <si>
    <t>"The contract signed in February with a budget of €168 million includes the delivery of a total of 300,000 rounds. For this, production had to be restarted and a method for producing old ammunition using new resources had to be found. Despite this complex process, it was possible - just under 7 months after the contract was signed - to deliver the first ammunition to Ukraine. With this delivery of ammunition, Germany is once again showing that it is using and exploiting all its possibilities."</t>
  </si>
  <si>
    <t>DE94</t>
  </si>
  <si>
    <t>Communication equipment</t>
  </si>
  <si>
    <t>https://www.bmvg.de/de/aktuelles/digitalfunk-bundestag-genehmigt-bestellung-aus-sondervermoegen-5586808</t>
  </si>
  <si>
    <t>"The 3,000 handheld radios and 500 radios for vehicles are financed from the Bundeswehr special fund. They are being purchased for around 33.2 million euros – including accessories and licenses – and are the first binding order based on a framework agreement for the purchase of a total of 15,227 digital radios. The first devices are to be made available to the Bundeswehr this year – in particular to the units that are NATO-Response forces are registered. Delivery of the radio equipment from this order is scheduled to be completed by the end of 2024. The modern telecommunications equipment is part of the armament program Digitalization of Land-Based Operations (D-LBO). The procurement is another milestone on the way to digital troop radio in the land forces. The handheld radios of the SEM device family, some of which are decades old, will thus be gradually replaced."</t>
  </si>
  <si>
    <t>DE94_a</t>
  </si>
  <si>
    <t>E-Lynx UHF handheld radio</t>
  </si>
  <si>
    <t>DE94_b</t>
  </si>
  <si>
    <t>E-Lynx UHF vehicle radio</t>
  </si>
  <si>
    <t>DE95</t>
  </si>
  <si>
    <t>GTF protected transport vehicle 15t</t>
  </si>
  <si>
    <t>Iveco Defense Vehicles</t>
  </si>
  <si>
    <t>Palfinger</t>
  </si>
  <si>
    <t>Rotzler Germany </t>
  </si>
  <si>
    <t>OSW Technical Documentation Verlag</t>
  </si>
  <si>
    <t>Austria</t>
  </si>
  <si>
    <t>https://www.bmvg.de/de/aktuelles/parlament-bewilligt-bestellung-von-230-transportfahrzeugen-5591546</t>
  </si>
  <si>
    <t>https://esut.de/en/2023/03/meldungen/40636/bundeswehr-erhaelt-die-zweite-tranche-gtf-zlk-15t/</t>
  </si>
  <si>
    <t>"The troops will receive 230 additional armored Trucks in various variants. The Budget Committee of the German Bundestag has approved the purchase of the Armoured Transport Vehicles, payload class 15 tons (GTFZLK15t) agreed. The Trucks will be delivered between 2025 and 2027, including accessories. The investment of around 196.2 million euros is financed from the defense budget. Since the investment amount is over 25 million euros, the procurement project had to be submitted to the Budget Committee of the German Bundestag for approval. The four-axle vehicles have all-wheel drive to ensure high mobility even off-road. The GTFZLK15t are ordered in five variants: In the basic version, eight vehicles are delivered. 80 Trucks will also be equipped with air suspension on both rear axles. 125 vehicles will be fitted with a winch system and 17 Trucks a winch system and a loading crane. The GTFs are optimized for all military transport tasks, even in difficult terrain. The plan is to initially equip the Bundeswehr units and associations that are part of the rapid response forces of NATO."</t>
  </si>
  <si>
    <t>DE96</t>
  </si>
  <si>
    <t>Panzerhaubitze 2000</t>
  </si>
  <si>
    <t>https://www.bmvg.de/de/aktuelles/bundestag-genehmigt-zehn-neue-panzerhaubitzen-2000-5599760</t>
  </si>
  <si>
    <t>https://www.bundeswehr.de/resource/blob/5605956/a9f611b7887433e83fe3443582929e5c/08-bundeswehr-erhaelt-neue-panzerhaubitzen-2000-dl-data.pdf</t>
  </si>
  <si>
    <t>https://esut.de/en/2023/03/meldungen/41081/nur-zehn-panzerhaubitzen-2000-werden-nachbeschafft/</t>
  </si>
  <si>
    <t>"The Budget Committee of the German Bundestag has approved the purchase of ten Panzerhaubitze 2000. This is the first step towards replacing the units handed over to Ukraine. The contract value for the new 2000 self-propelled howitzers is 184 million euros, which is why Parliament must approve the investment."</t>
  </si>
  <si>
    <t>"The new self-propelled howitzers are being financed through budget item 60 of the federal budget. This is where the funds for the upgrade initiative are located. The upgrade initiative is a security policy instrument of the federal government to support selected partner states with military material, equipment and training. Because the Bundeswehr has given 2000 self-propelled howitzers from its stocks to Ukraine, the new guns are now being financed as part of the upgrade initiative. The new howitzers are to be delivered to the troops in 2025 and 2026. The Panzerhaubitze 2000 is the Bundeswehr's standard medium-range artillery piece. The 155-millimeter tube weapon system can achieve firing ranges of over 40 kilometers, depending on the ammunition used. Due to its long combat distance and high precision, the Panzerhaubitze 2000 is used by numerous European armed forces."</t>
  </si>
  <si>
    <t>DE97</t>
  </si>
  <si>
    <t>Integrated Marine Operations Rescue Center (i-MERZ)</t>
  </si>
  <si>
    <t>Medical, Dental, and Veterinary Equipment and Supplies</t>
  </si>
  <si>
    <t>Hospital Furniture, Equipment, Utensils, and Supplies</t>
  </si>
  <si>
    <t>German Naval Yards Kiel</t>
  </si>
  <si>
    <t>https://www.bundeswehr-journal.de/2023/neues-i-merz-fuer-einsatzgruppenversorger-berlin/</t>
  </si>
  <si>
    <t>https://esut.de/2023/03/meldungen/41118/integriertes-marine-einsatzrettungszentrum-fuer-den-egv-berlin/</t>
  </si>
  <si>
    <t>"The task force supply ship “Berlin” is to receive an integrated marine rescue center (i-MERZ). The contract value for this is around 42 million euros. This purchase will regenerate the existing container-based marine rescue center of the task force supply ship "Berlin". Based on previous operational experience, the container construction method has not proven successful, so the new i-MERZ will be firmly integrated into the ship's structure. The "Berlin" will thus receive an i-MERZ that is identical to the one on the "Frankfurt am Main". The i-MERZ is a medical emergency facility for the initial surgical and intensive care treatment of sick, injured or wounded patients. The i-MERZ essentially has two operating rooms, a recovery room and an intensive care unit, instrument preparation, a dental station, a microbiological laboratory, a pharmacy and imaging procedures such as X-rays as well as production facilities for medical gases."</t>
  </si>
  <si>
    <t>DE98</t>
  </si>
  <si>
    <t>https://vpk.name/en/710839_bae-systems-will-supply-227-bvs10-articulated-all-terrain-vehicles-to-the-german-armed-forces.html</t>
  </si>
  <si>
    <t>"Together with Sweden – as the lead project partner – the project “New Generation of Collaborative All Terrain Vehicle (CATV)" will be used to procure a further 227 vehicles. The costs amount to around 919 million euros. The first vehicles are to be delivered from November 2025. All vehicles are to be there by 2030. The procurement is financed through the special fund for the Bundeswehr. CATV are used for the protected transport of personnel and material – especially weapons, ammunition, supplies and special equipment – ​​and ensure tactical mobility in difficult to navigate, intersected, confusing and narrow, sometimes high mountainous terrain, even under extreme climatic conditions.CATV are used in the areas of national and alliance defense, national crisis intervention, worldwide special operations of the Special Forces Command, and international crisis and conflict prevention.
The vehicles are to be procured as part of a cooperation between Sweden, Germany and the United Kingdom of Great Britain and Northern Ireland. This cooperation is based on an international agreement - also known as a Memorandum of Understanding - on multinational cooperation on off-road vehicles dated March 5, 2020."</t>
  </si>
  <si>
    <t>DE99</t>
  </si>
  <si>
    <t>Evolved Sea Sparrow Missile</t>
  </si>
  <si>
    <t>Denmark</t>
  </si>
  <si>
    <t>Turkey</t>
  </si>
  <si>
    <t>https://www.bmvg.de/de/aktuelles/lenkflugkoerper-it-57-sattelzugmaschinen-sollen-beschafft-werden-5612678</t>
  </si>
  <si>
    <t>https://www.naval-technology.com/projects/evolved-sea-sparrow-missile-essm/?cf-view</t>
  </si>
  <si>
    <t>"The Evolved Sea Sparrow Missile weapon system (ESSM) is a guided missile for close-range air defense. It is intended to be used on Class 124 frigates and, in the future, also on Class 126 and 123. It is part of the maritime air defense. ESSM is used to defend against anti-ship missiles and to combat aircraft. The procurement of the guided missiles covers the initial equipment requirements of the 124 class frigates. The associated launch containers, transport containers and spare parts will also be supplied. The procurement of the guided missiles for the 126 frigates and the full equipment of the F124 is planned in a second tranche from 2024. Following the approval of the Budget Committee for the procurement of guided missiles for the initial equipment of the frigate class 124, the Federal Ministry of Defence has now signed a so-called Acceptance Note. This corresponds to a preliminary contract for the German share of this weapon system from the USA. The German side is to conclude contracts for the procurement worth around 269 million euros. German arms companies are involved in this project. The current version of the guided missile ESSM is developed multilaterally and cooperatively."</t>
  </si>
  <si>
    <t>DE100</t>
  </si>
  <si>
    <t>https://www.bundeswehr.de/de/organisation/ausruestung-baainbw/aktuelles/gehaertete-it-komponenten-5622772</t>
  </si>
  <si>
    <t>"The Bundeswehr uses a uniform digital command system to manage operations. To operate this system, standardized, hardened and cross-functional IT-Components are required for mobile and stationary use. For this reason, the German Armed Forces have a need for the hardened IT-Components. After approval by the Budget Committee, the Federal Ministry of Defence therefore two framework agreements for the procurement of hardened IT-Components worth up to around 348 million euros. The first framework agreement regulates the procurement of hardened communication servers including accessories. Among other things, up to 7,800 communication servers are to be purchased, as well as up to 600 computer systems, up to 5,900 power packs and up to 1,800 switches, as well as up to 800 displays and up to 800 keyboards that meet military standards. The second framework agreement includes the purchase of hardened notebooks and tablets and accessories. For example, up to 2,400 notebooks, up to 5,500 tablets, up to 1,200 displays and up to 3,500 DockLites, up to 5,000 military-standard keyboards and up to 7,500 voltage converters."</t>
  </si>
  <si>
    <t>DE100_a</t>
  </si>
  <si>
    <t>Communication server</t>
  </si>
  <si>
    <t>ADPE Central Processing Unit (CPU, Computer), Digital</t>
  </si>
  <si>
    <t>https://www.bundeswehr.de/de/organisation/ausruestung-baainbw/aktuelles/gehaertete-it-komponenten-5622761</t>
  </si>
  <si>
    <t>DE100_b</t>
  </si>
  <si>
    <t>Computer system</t>
  </si>
  <si>
    <t>https://www.bmvg.de/de/aktuelles/lenkflugkoerper-it-57-sattelzugmaschinen-sollen-beschafft-werden-5612679</t>
  </si>
  <si>
    <t>https://www.bundeswehr.de/de/organisation/ausruestung-baainbw/aktuelles/gehaertete-it-komponenten-5622762</t>
  </si>
  <si>
    <t>DE100_c</t>
  </si>
  <si>
    <t>Power pack</t>
  </si>
  <si>
    <t>Electric Wire, and Power and Distribution Equipment</t>
  </si>
  <si>
    <t>Converters, Electrical, Nonrotating</t>
  </si>
  <si>
    <t>https://www.bmvg.de/de/aktuelles/lenkflugkoerper-it-57-sattelzugmaschinen-sollen-beschafft-werden-5612680</t>
  </si>
  <si>
    <t>https://www.bundeswehr.de/de/organisation/ausruestung-baainbw/aktuelles/gehaertete-it-komponenten-5622763</t>
  </si>
  <si>
    <t>DE100_d</t>
  </si>
  <si>
    <t>Switch</t>
  </si>
  <si>
    <t>https://www.bmvg.de/de/aktuelles/lenkflugkoerper-it-57-sattelzugmaschinen-sollen-beschafft-werden-5612681</t>
  </si>
  <si>
    <t>https://www.bundeswehr.de/de/organisation/ausruestung-baainbw/aktuelles/gehaertete-it-komponenten-5622764</t>
  </si>
  <si>
    <t>DE100_e</t>
  </si>
  <si>
    <t>Display</t>
  </si>
  <si>
    <t>ADP Input/Output and Storage Devices</t>
  </si>
  <si>
    <t>https://www.bmvg.de/de/aktuelles/lenkflugkoerper-it-57-sattelzugmaschinen-sollen-beschafft-werden-5612682</t>
  </si>
  <si>
    <t>https://www.bundeswehr.de/de/organisation/ausruestung-baainbw/aktuelles/gehaertete-it-komponenten-5622765</t>
  </si>
  <si>
    <t>DE100_f</t>
  </si>
  <si>
    <t>Military-standard keyboard</t>
  </si>
  <si>
    <t>https://www.bmvg.de/de/aktuelles/lenkflugkoerper-it-57-sattelzugmaschinen-sollen-beschafft-werden-5612683</t>
  </si>
  <si>
    <t>https://www.bundeswehr.de/de/organisation/ausruestung-baainbw/aktuelles/gehaertete-it-komponenten-5622766</t>
  </si>
  <si>
    <t>DE100_g</t>
  </si>
  <si>
    <t>Notebook</t>
  </si>
  <si>
    <t>https://www.bmvg.de/de/aktuelles/lenkflugkoerper-it-57-sattelzugmaschinen-sollen-beschafft-werden-5612684</t>
  </si>
  <si>
    <t>https://www.bundeswehr.de/de/organisation/ausruestung-baainbw/aktuelles/gehaertete-it-komponenten-5622767</t>
  </si>
  <si>
    <t>DE100_h</t>
  </si>
  <si>
    <t>Tablet</t>
  </si>
  <si>
    <t>https://www.bmvg.de/de/aktuelles/lenkflugkoerper-it-57-sattelzugmaschinen-sollen-beschafft-werden-5612685</t>
  </si>
  <si>
    <t>https://www.bundeswehr.de/de/organisation/ausruestung-baainbw/aktuelles/gehaertete-it-komponenten-5622768</t>
  </si>
  <si>
    <t>DE100_i</t>
  </si>
  <si>
    <t>https://www.bmvg.de/de/aktuelles/lenkflugkoerper-it-57-sattelzugmaschinen-sollen-beschafft-werden-5612686</t>
  </si>
  <si>
    <t>https://www.bundeswehr.de/de/organisation/ausruestung-baainbw/aktuelles/gehaertete-it-komponenten-5622769</t>
  </si>
  <si>
    <t>DE100_j</t>
  </si>
  <si>
    <t>DockLite</t>
  </si>
  <si>
    <t>https://www.bmvg.de/de/aktuelles/lenkflugkoerper-it-57-sattelzugmaschinen-sollen-beschafft-werden-5612687</t>
  </si>
  <si>
    <t>https://www.bundeswehr.de/de/organisation/ausruestung-baainbw/aktuelles/gehaertete-it-komponenten-5622770</t>
  </si>
  <si>
    <t>DE100_k</t>
  </si>
  <si>
    <t>https://www.bmvg.de/de/aktuelles/lenkflugkoerper-it-57-sattelzugmaschinen-sollen-beschafft-werden-5612688</t>
  </si>
  <si>
    <t>https://www.bundeswehr.de/de/organisation/ausruestung-baainbw/aktuelles/gehaertete-it-komponenten-5622771</t>
  </si>
  <si>
    <t>DE100_l</t>
  </si>
  <si>
    <t>Voltage converter</t>
  </si>
  <si>
    <t>https://www.bmvg.de/de/aktuelles/lenkflugkoerper-it-57-sattelzugmaschinen-sollen-beschafft-werden-5612689</t>
  </si>
  <si>
    <t>DE101</t>
  </si>
  <si>
    <t>https://www.rheinmetall.com/de/media/news-watch/news/2023/mai/2023-05-26-rheinmetall-auftrag-sattelzugmaschine-bundeswehr</t>
  </si>
  <si>
    <t>"After approval by the Budget Committee, the Federal Ministry of Defence based on an existing framework agreement, 57 tractor units with a payload of 70 tonnes and double cable winches for around 51 million euros. The new tractor units for the German army are intended to replace outdated tractor units that are no longer economically viable to repair. They are also intended to close a capability gap in the armed forces when it comes to recovering heavy equipment such as the Leopard 2 battle tank. By purchasing the new tractor units, the Bundeswehr ensures that it is guided by the “360-degree approach of NATO“ can meet both the Alliance’s national objectives and its conditions for the “tactical transport space”. This is especially true for the Alliance’s commitment to VJTF (Very High Readiness Joint Task Force). Furthermore, 91 semi-trailers will be procured under a separate framework agreement, which can be combined with the tractor units to form semi-trailers as required."</t>
  </si>
  <si>
    <t>DE102</t>
  </si>
  <si>
    <t>Production and delivery of vector data</t>
  </si>
  <si>
    <t>"Vector data is of crucial importance for the Bundeswehr's geoinformation service. It enables the armed forces to evaluate mission-relevant environmental influences, position themselves precisely, navigate and act precisely on targets. The Federal Ministry of Defence is therefore concluding, with the approval of the Committee on Budgets, a framework agreement for the production and delivery of vector data with a total value of around EUR 99 million. The basis for creating vector data is image data from satellites. Vector data is described using points, lines or areas. These can be, for example, streets, houses, rivers or vegetation."</t>
  </si>
  <si>
    <t>DE103</t>
  </si>
  <si>
    <t>Puma</t>
  </si>
  <si>
    <t>https://www.bmvg.de/de/aktuelles/beschaffung-weiterer-schuetzenpanzer-und-neuer-loeschfahrzeuge-5620458</t>
  </si>
  <si>
    <t>https://www.rheinmetall.com/de/media/news-watch/news/2023/mai/2023-05-15-bundeswehr-bestellt-50-weitere-schuetzenpanzer-puma</t>
  </si>
  <si>
    <t>https://www.handelsblatt.com/politik/deutschland/verteidigung-bundeswehr-schafft-50-weitere-puma-panzer-an-trotz-bedenken-des-bundesrechnungshofs/29143018.html</t>
  </si>
  <si>
    <t>"The Puma is considered the most modern infantry fighting vehicle in the western world. In the German army, it is the combat vehicle of the Panzergrenadiers alongside the Marder infantry fighting vehicle. It is gradually replacing the 50-year-old but continually modernized Marder infantry fighting vehicle. The Budget Committee has now approved the procurement of a further 50 Pumas, with the option of ordering additional vehicles on the basis of framework agreements (so-called second batch). The order is to include spare parts packages, special tool sets and eight MELLS flight phase simulators. By around 2030, the troops will have 400 vehicles of this type. The second batch will be financed from the Bundeswehr's special fund."</t>
  </si>
  <si>
    <t>"The two major German systems houses in military vehicle construction, Krauss-Maffei Wegmann (KMW) and Rheinmetall, have been commissioned to build 50 additional Puma infantry fighting vehicles. The procurement has a total gross volume of EUR 1.087 billion. Of this, EUR 574 million is for KMW and EUR 501 million for Rheinmetall Landsysteme GmbH, which is carrying out the project as a subcontractor. A corresponding order has now been placed by the Federal Office of Bundeswehr Equipment, Information Technology and In-Service Support (BAAINBw), Koblenz. The general contractor is Projekt System &amp; Management GmbH (PSM), a joint venture between KMW and Rheinmetall. A framework agreement was signed that also enables further Puma infantry fighting vehicles to be ordered at a later date. In addition to the 50 combat vehicles, the order also includes spare parts packages and special tool sets as well as eight MELLS flight phase simulators. There is also an option for additional driving school tanks and the installation of the turret-independent secondary weapon system (TSWA). Deliveries are scheduled to begin in December 2025 and be completed by early 2027."</t>
  </si>
  <si>
    <t>DE104</t>
  </si>
  <si>
    <t>Fire engine</t>
  </si>
  <si>
    <t>Fire Fighting, Rescue, and Safety Equipment, and Environmental Protection Equipment and Materials</t>
  </si>
  <si>
    <t>Fire Fighting Equipment</t>
  </si>
  <si>
    <t>"28 new so-called rescue fire engines are to be purchased for the German Federal Armed Forces' fire services for 32 million euros. They will replace the Type 3500 vehicles used by the fire protection forces, which can no longer be operated economically after a service life of more than 30 years. The new vehicles – including equipment – ​​are to be delivered between 2025 and 2027. They will be used for rapid and targeted firefighting both at the Bundeswehr fire stations in Germany and in operational areas."</t>
  </si>
  <si>
    <t>DE105</t>
  </si>
  <si>
    <t>Leopard 2 A8</t>
  </si>
  <si>
    <t>https://www.bmvg.de/de/aktuelles/modernste-leopard-2-und-panzerhaubitzen-2000-fuer-die-bundeswehr-5625774</t>
  </si>
  <si>
    <t>https://esut.de/2023/05/meldungen/42151/beschaffung-von-18-leopard-2-a8-und-12-panzerhaubitzen-2000-genehmigt/</t>
  </si>
  <si>
    <t>https://www.bmvg.de/de/presse/zeitenwende-zahlen-beschaffung-ausruestung-5719998</t>
  </si>
  <si>
    <t>"The army will receive 18 Leopard 2 A8 battle tanks. The latest version currently used in the Bundeswehr is the Leopard 2 A7V. The more modern 2 A8 battle tanks are to be delivered between 2025 and 2026. The framework agreement with the manufacturer includes an option for the purchase of additional Leopard 2 A8 battle tanks. In this version currently available on the market, the battle tank will be equipped with the Trophy stand-off active protection system."</t>
  </si>
  <si>
    <t>"In a seven-year framework agreement with the manufacturer Krauss-Maffei Wegmann (KMW), the Bundeswehr is laying the foundations for the procurement of up to 123 Leopard 2A8 battle tanks. 18 Leopard 2A8 battle tanks will be procured as a firm order to replenish the Bundeswehr's inventory to 320 tanks in the troops and eight in the AIN area. A cost price guide of 525.6 million euros was agreed for this. The first two tanks are to be delivered in August 2025 if the contract is signed in June as planned. The other weapon systems are to follow between November 2025 and June 2026."</t>
  </si>
  <si>
    <t>DE106</t>
  </si>
  <si>
    <t>https://www.bundeswehr.de/resource/blob/5628104/4604a50e04f3db7ed999988c1e86eff0/14-bundeswehr-erhaelt-weitere-zwoelf-panzerhaubitzen-dl-data.pdf</t>
  </si>
  <si>
    <t>"Due to the continued support for Ukraine, additional Panzerhaubitzen 2000 will also be financed from funds from the Federal Government's capacity building initiative. The twelve new artillery systems are to be delivered to the Bundeswehr in 2026. In March of this year, the Budget Committee approved the purchase of ten Panzerhaubitzen 2000 to replace the units delivered to Ukraine."</t>
  </si>
  <si>
    <t>"The framework agreement specifies a total order value of EUR 470.2 million, of which EUR 184.2 million will be used for the initial order for ten systems. This results in an order value of EUR 190.7 million for lots 2 and 3, which will include a total of twelve howitzers. Delivery will follow the delivery schedule agreed for the first lot. Accordingly, the two subsequent lots will be delivered between 2027 and 2030, unless the production rate is significantly increased."</t>
  </si>
  <si>
    <t>DE107</t>
  </si>
  <si>
    <t>P-8A Poseidon (simulator)</t>
  </si>
  <si>
    <t>Training Aids and Devices</t>
  </si>
  <si>
    <t>Training Aids</t>
  </si>
  <si>
    <t>https://www.bundeswehr.de/resource/blob/5628374/ccbd64099522906167d355c46dfedac4/15-baainbw-beschafft-flugzeug-simulator-fuer-p-8a-poseidon-dl-data.pdf</t>
  </si>
  <si>
    <t>https://esut.de/2023/05/meldungen/42413/p-8a-poseidon-deutsche-marine-erhaelt-simulator-fuer-zukuenftiges-seefernaufklaerungs-und-u-boot-jagdflugzeug/</t>
  </si>
  <si>
    <t>"At its meeting, the Budget Committee also approved the purchase of a simulator for the future P-8A Poseidon maritime patrol aircraft and submarine hunters. The procurement of five P-8A Poseidon aircraft was already approved in 2021. They will replace the P-3C Orion aircraft currently in use by 2025. The simulator is financed from the Bundeswehr's special fund. It is expected to be available for training future Poseidon crews from 2027."</t>
  </si>
  <si>
    <t>"The Navy will receive a simulator for the P-8A Poseidon maritime reconnaissance and anti-submarine aircraft, the purchase of which will be financed through the Bundeswehr special fund. On May 25, 2023, the President of the Federal Office of Bundeswehr Equipment, Information Technology and In-Service Support (BAAINBw) signed a corresponding contract. The simulator, also known as the "Weapon System Trainer", will be procured through the Foreign Military Sales (FMS) procedure, with the US government, represented by the US Navy, authorized to conclude a contract with Boeing to procure the simulator for Germany."</t>
  </si>
  <si>
    <t>DE108</t>
  </si>
  <si>
    <t>Iris-T SLM air defence system</t>
  </si>
  <si>
    <t>https://www.bmvg.de/de/aktuelles/iris-t-arrow-wechselladersysteme-fuer-bundeswehr-5636272</t>
  </si>
  <si>
    <t>https://www.bmvg.de/de/aktuelles/vertraege-unterzeichnet-drei-nationen-setzen-auf-iris-t-slm-5676454</t>
  </si>
  <si>
    <t>https://www.bundeswehr-journal.de/2023/sechs-waffensysteme-iris-t-slm-fuer-die-deutsche-luftwaffe/</t>
  </si>
  <si>
    <t>"The Budget Committee of the German Bundestag has, among other things, approved the procurement of six fire units of the ground-based air defence system IRIS-T SLM plus associated guided missiles and other smaller measures, for example for qualification and certification, for a total of up to 950 million euros from funds from the Bundeswehr's special fund. Delivery of the systems will begin in 2024. IRIS-T will then be used in the so-called short-range protection of ground-based air defense. A fire unit of the weapon system IRIS-T SLM consists of the command post, a radar device and several launchers for firing the guided missiles. Additional vehicles or devices are used for maintenance and loading. IRIS-T is used against threats from the air such as drones, airplanes, helicopters or cruise missiles. The system is currently proving its worth under real combat conditions in Ukraine. Germany has supplied the system to Ukraine so that the population and infrastructure can be effectively protected from Russian air attacks. The Bundeswehr is training Ukrainian soldiers in Germany on the system."</t>
  </si>
  <si>
    <t>"From mid-2025, our Air Force will receive six fire units of the ground-based air defense system IRIS-T SLM (Infra Red Imaging System-Tail Surface Launched Medium Range). The Koblenz-based Federal Office of Bundeswehr Equipment, Information Technology and In-Service Support (BAAINBw) signed a contract today (22 June) with representatives of the general contractor Diehl Defence, a provider of high-tech guided missiles. Diehl and its partners Hensoldt and Airbus plan to make the first system available to the Air Force for qualification purposes in the third quarter of 2024 as planned."</t>
  </si>
  <si>
    <t>DE109</t>
  </si>
  <si>
    <t>Rheinmetall MAN Military Vehicles</t>
  </si>
  <si>
    <t>https://www.bundeswehr-journal.de/2023/transportfahrzeuge-bundeswehr-beschafft-doppelte-anzahl/</t>
  </si>
  <si>
    <t>https://esut.de/2023/06/meldungen/land/42881/weitere-wechselladersysteme-fuer-die-logistik/</t>
  </si>
  <si>
    <t>"In addition, 164 protected and 203 unprotected swap body systems with a payload of 15 tonnes and 1,634 swap body platforms with accessories can be procured from an existing framework agreement. The total financial requirement amounts to around 317.2 million euros. The swap body systems are to be delivered by November 2023 at the latest, and the swap body platforms between 2023 and 2025."</t>
  </si>
  <si>
    <t>DE109_a</t>
  </si>
  <si>
    <t>Protected swap body system 15t</t>
  </si>
  <si>
    <t>DE109_b</t>
  </si>
  <si>
    <t>Unprotected swap body system 15t</t>
  </si>
  <si>
    <t>DE109_c</t>
  </si>
  <si>
    <t>Swap body platform</t>
  </si>
  <si>
    <t>DE110</t>
  </si>
  <si>
    <t>Hercules follow-up project (HFP) additional services</t>
  </si>
  <si>
    <t>https://www.bmvg.de/de/aktuelles/rund-586-millionen-euro-fuer-weitere-digitalisierung-bundeswehr-5639674</t>
  </si>
  <si>
    <t>"The Bundeswehr can use its IT-Service provider, the BWI GmbH, conclude a further amendment agreement on additional services for the operation of their information and communications technology. The Budget Committee of the Bundestag approved a corresponding proposal from the Federal Ministry of Finance on June 21, 2023. The amendment agreement to the Herkules follow-up project (HFP) is an essential building block for the further digitalization of the Bundeswehr and an important basis for further strengthening its resilience. Herkules was a successful major project of the Bundeswehr to modernize its non-military IT-Equipment. It started in 2006 with an initial service period of ten years and was transferred to the HFP in 2016. The further development and operation of information and communications technology for the Bundeswehr will be continued within the framework of the HFP."</t>
  </si>
  <si>
    <t>"The subject of the service expansion is, in addition to increasing quantities, above all the expansion to include new or adaptable IT-Services, for example from the field of information security and the Bundeswehr cloud. In addition, the operation of the "Groupware Bw" project - a platform for cooperation within the Bundeswehr - as well as measures to improve resilience and digitize educational institutions will be transferred to the HFP performance contract. The amending contract has a contract volume of around 586 million euros. Parliament must therefore approve it. Every Bundeswehr procurement project with a total volume exceeding 25 million euros must be submitted to the Budget Committee before the contract is concluded. The Committee approved the project at its meeting on June 21, 2023. The project will be financed from funds from the defense budget, i.e. Section 14."</t>
  </si>
  <si>
    <t>DE111</t>
  </si>
  <si>
    <t>CH-47F Chinook Block II</t>
  </si>
  <si>
    <t>https://www.bmvg.de/de/aktuelles/chinooks-flottendienstboote-und-luftlandefahrzeuge-5646766</t>
  </si>
  <si>
    <t>https://www.produktion.de/schwerpunkte/ruestungsindustrie/vertrag-fix-boeing-liefert-60-chinook-helis-an-deutschland-278.html</t>
  </si>
  <si>
    <t>"Among other things, the procurement of 60 CH-47F Chinook heavy transport helicopters from the USA was approved. The German Army will receive the latest "Block II Standard Range" version with aerial refueling capability. The total order volume is around 6.98 billion euros, financed from the German Army's special fund. The Chinook will replace the German CH-53G fleet, and delivery of the new aircraft is planned for the period 2027 to 2033. With the CH-47F, the Bundeswehr will fly a modern and future-proof helicopter model that is used worldwide, of which more than 500 are already in use by partners and allies. The procurement of the helicopter will strengthen international cooperation – for example within the framework of NATO – and an increase in performance in the area of ​​tactical air transport of personnel, material and wounded in the Bundeswehr. In addition, the troops can use these helicopters to perform new tasks, particularly in the area of ​​armed rescue and repatriation of isolated personnel, such as aircraft crews who have made an emergency landing."</t>
  </si>
  <si>
    <t>DE112</t>
  </si>
  <si>
    <t>Class 424 fleet service ship contract adjustment</t>
  </si>
  <si>
    <t>NVL Group</t>
  </si>
  <si>
    <t>https://www.bundeswehr-journal.de/2023/startschuss-zum-bau-von-drei-neuen-flottendienstbooten/</t>
  </si>
  <si>
    <t>"The Budget Committee also approved the amendment contract for the procurement of three Class 424 fleet service boats. This means that the project is moving from the design phase to the contractual implementation phase. The total order is therefore worth up to 3.26 billion euros and will be financed from defense budget funds. The new boats are to replace the existing Class 423 fleet service boats. Delivery will take place between 2029 and 2031. The Class 424 fleet service boats and the “Reconnaissance Training and Reference Facility” serve to ensure seamless maintenance of sea-based signal-gathering reconnaissance capabilities. This is a fundamental prerequisite for national analysis, assessment and command capabilities. Experience from operations and reconnaissance trips in recent years has demonstrated the indispensable contribution of fleet service boats to national crisis prevention, early crisis detection, advising political leadership, supplying the armed forces with basic data and supporting German operational contingents. Operations in international crisis management and the refocusing on national and alliance defense will continue to require sea-based signal-gathering reconnaissance resources. The Budget Committee had already determined in its meeting on June 23, 2021 that a replacement purchase was necessary for the Class 423 fleet service boats that were put into service in the 1980s and consequently approved the conclusion of the contract. The amending contract is now intended to lay the foundation for timely project implementation."</t>
  </si>
  <si>
    <t>DE113</t>
  </si>
  <si>
    <t>Caracal airborne vehicle</t>
  </si>
  <si>
    <t>https://www.rheinmetall.com/de/media/news-watch/news/2023/07/2023-07-10-rheinmetall-grossauftrag-fuer-luftlandeplattform-caracal</t>
  </si>
  <si>
    <t>https://wehrtechnik.info/index.php/2023/07/11/deutschland-und-niederlande-bestellen-ueber-3-058-caracal-fahrzeuge/</t>
  </si>
  <si>
    <t>"The committee also gave the green light to the procurement of up to 3,058 airborne vehicles in various variants, including the necessary accessories. These are highly mobile, all-terrain and all-wheel drive wheeled vehicles that will transport soldiers, equipment, weapons, ammunition and material, thus making the airborne forces more mobile on the ground. The project is financed from special funds."</t>
  </si>
  <si>
    <t>"Rheinmetall has been commissioned by the German Armed Forces and the Dutch Armed Forces to supply up to 3,058 Caracal airborne platforms. This is a multi-year framework contract for up to 2,054 German and 1,004 Dutch vehicles, with a contract value of up to EUR 1.9 billion gross. In a first step, 1,508 vehicles worth around EUR 870 million gross were ordered as firm orders from the framework contract. On the German side, the procurement is being carried out using funds from the special fund for the German Armed Forces. The Caracal is a joint product from Rheinmetall's partnership with Mercedes-Benz AG and Armoured Car Systems GmbH. Delivery of the first test models is planned for the first quarter of 2024, with series delivery scheduled to begin in early 2025."</t>
  </si>
  <si>
    <t>DE114</t>
  </si>
  <si>
    <t>DE_155mm_1</t>
  </si>
  <si>
    <t>155mm artillery round DiNa for Ukraine</t>
  </si>
  <si>
    <t>Nammo</t>
  </si>
  <si>
    <t>https://www.bmvg.de/de/aktuelles/bundestag-bewilligt-beschaffung-von-zehntausenden-schussmunition-5646262</t>
  </si>
  <si>
    <t>https://esut.de/2023/07/meldungen/43322/vertrag-fuer-dina155mm-artilleriemunition-unterschrieben/</t>
  </si>
  <si>
    <t>https://defbrief.com/2023/07/12/germany-orders-155mm-artillery-ammunition/</t>
  </si>
  <si>
    <t>"An existing framework agreement with the arms industry is being expanded. The original agreement had already provided for the delivery of a five-digit number of explosive projectiles in 155 millimeter caliber plus an option for further purchases. This option is now being significantly increased again by means of an amended agreement and is to be fully utilized by 2026. The high-performance ammunition can be used to attack area and point targets from a distance of up to 30 kilometers. The investment, with a volume of around 118 million euros, is being paid for from the defense budget."</t>
  </si>
  <si>
    <t>"On July 5, the Budget Committee of the German Bundestag approved the conclusion of the framework agreement and an initial call for ammunition. According to information available to ESuT, the framework agreement has a volume of up to 350,000 "complete" shots and runs until 2029. A firm order for 4,700 shots worth 27.3 million euros was placed for Ukraine, which are to be delivered by 2025. With the framework agreement, the Bundeswehr is securing production capacities in the sector of the currently highly sought-after artillery ammunition."</t>
  </si>
  <si>
    <t>"The framework agreement enables the delivery of initial lots and streamlines the acquisition of additional fuzes. The Bundeswehr has announced that the procurement project, which holds an approximate value of 118 million euros, will be fully utilized by 2026."</t>
  </si>
  <si>
    <t>DE115</t>
  </si>
  <si>
    <t>DE_155mm_2</t>
  </si>
  <si>
    <t>155mm howitzer ammunition</t>
  </si>
  <si>
    <t>Ammunition</t>
  </si>
  <si>
    <t>https://www.rheinmetall.com/en/media/news-watch/news/2023/7/2023-07-18-rheinmetall-receives-major-order-for-artillery-shells-by-bundeswehr</t>
  </si>
  <si>
    <t>https://www.bundeswehr-journal.de/2023/artilleriegeschosse-im-wert-von-rund-13-milliarden-euro/</t>
  </si>
  <si>
    <t>"The Budget Committee also approved the purchase of a significant quantity of 155-millimeter high-explosive ammunition to support Ukraine. It comes complete with fuses, propellant charges and propellant detonators and can also be used by other NATO Artillery systems such as the M777. The howitzer, which is used by the US armed forces, is also used by Ukraine. The order is to be delivered in the next two years. Another part of the approved proposal is the procurement of 155 millimeter explosive projectiles for the German army this year, which the army has already given to Ukraine. Around 128 million euros will be invested."</t>
  </si>
  <si>
    <t>"Furthermore, the Bundeswehr has expanded an existing framework agreement for DM121 ammunition. In addition to the framework contract cited above, this represents order volume of around €137 million, once again including VAT. The volume of the existing framework contract thus increases from €109 million to a total of €246 million, including VAT. Featuring insensitive characteristics, the DM121 high-explosive shell is used for training and exercise purposes. The first call-offs for service and practice ammunition from the framework contract cited above came as soon as the contract was signed. Delivery of shells worth €127 million (including VAT) is due take place shortly."</t>
  </si>
  <si>
    <t>DE115_a</t>
  </si>
  <si>
    <t>155mm artillery round DM121 for Ukraine</t>
  </si>
  <si>
    <t>DE115_b</t>
  </si>
  <si>
    <t>155mm artillery round DM121</t>
  </si>
  <si>
    <t>DE116</t>
  </si>
  <si>
    <t>Proximity fuse</t>
  </si>
  <si>
    <t>"To ensure that explosive projectiles detonate at the optimal distance from the target, they are fitted with proximity fuses. Another procurement project approved by the Budget Committee provides for the purchase of the necessary quantity of these proximity fuses. The fuses are intended for the Bundeswehr's own use. This order also covers the replacement of the proximity fuses that were sent to Ukraine. The funds come from the defense budget and from the federal government's capacity building initiative. The purchase price has been kept confidential."</t>
  </si>
  <si>
    <t>"Rheinmetall has been awarded a new framework contract for the supply of 155mm artillery ammunition, while an existing framework contract has been expanded. In all, the scope of delivery encompasses several hundred thousand shells of various types, including fuses and propelling charges"</t>
  </si>
  <si>
    <t>DE117</t>
  </si>
  <si>
    <t>120mm tank ammunition</t>
  </si>
  <si>
    <t>https://www.rheinmetall.com/de/media/news-watch/news/2023/07/2023-07-13-rheinmetall-erhaelt-grossauftrag-der-bundeswehr-ueber-panzermunition</t>
  </si>
  <si>
    <t>https://esut.de/2023/08/fachbeitraege/43533/gefechts-und-ausbildungsmunition-fuer-kampffahrzeuge-und-gewehre/</t>
  </si>
  <si>
    <t>"More ammunition is also needed than planned for the 120-millimeter on-board cannon of the Leopard 2 battle tank. The amount previously agreed with the arms industry is to be increased significantly. The ammunition will be used both to build up the Bundeswehr's ammunition stocks and to support Ukraine. In addition, the order will replace battle tank ammunition already delivered to Ukraine. The expenditure of 381 million euros will be covered partly from the defense budget and partly from the funds of the federal government's capacity building initiative."</t>
  </si>
  <si>
    <t>"The German Armed Forces have expanded an existing framework agreement with Rheinmetall for the supply of tank ammunition to a volume of around EUR 4 billion. The order underlines Rheinmetall's role as a major supplier of 120mm tank ammunition to the German Armed Forces. The order reflects the armed forces' efforts to close gaps in stocks and increase ammunition stocks overall in view of the security situation. The framework agreement also provides for the supply of a significant quantity of tank ammunition to the Ukrainian armed forces. By the end of 2030, several hundred thousand combat and training cartridges of various designs in 120mm x 570 caliber can be procured from the framework agreement that has now been concluded, such as those fired by the main weapon of the Leopard 2 battle tank. The first call for ammunition worth around EUR 309 million was made immediately after the contract was signed."</t>
  </si>
  <si>
    <t>"381.1 million euros have been earmarked for tank ammunition in caliber 120 mm x 570 for the Leopard 2's on-board cannon, almost a third of which will go to Ukraine. The German Army will receive over 40,000 rounds of DM11 (multipurpose) and DM73/DM63A1 (KE) as well as the corresponding training ammunition by 2025. Ukraine will receive 16,500 rounds of KE and multipurpose combat ammunition. In addition, the maximum quantities for the German Army for combat ammunition were increased to 120,800 to 142,500 and for Ukraine to 44,000 for each type of ammunition. According to Rheinmetall, this increases the value of the framework agreement to around four billion euros."</t>
  </si>
  <si>
    <t>DE117_a</t>
  </si>
  <si>
    <t>Leopard 2 ammunition</t>
  </si>
  <si>
    <t>DE117_b</t>
  </si>
  <si>
    <t>Leopard 2 ammunition for Ukraine</t>
  </si>
  <si>
    <t>DE118</t>
  </si>
  <si>
    <t>"The Puma infantry fighting vehicle is the main weapon system of the German Armored Infantry. Its 30-millimeter machine gun has enormous firepower. For this purpose, the German Armored Infantry Fighting Vehicle is calling up additional ammunition from the existing framework contract. The first call-up was made in 2022. The expenditure amounts to around 67.6 million euros and is covered by the defense budget."</t>
  </si>
  <si>
    <t>DE119</t>
  </si>
  <si>
    <t>7.62mm cartridge (training)</t>
  </si>
  <si>
    <t>Metallwerk Elisenhütte</t>
  </si>
  <si>
    <t>https://esut.de/2023/07/meldungen/43253/haushaltsausschuss-billigt-munitionsbeschaffung/</t>
  </si>
  <si>
    <t>"The German army’s machine guns – the MG3 and the MG5 – fire ammunition in NATO standard caliber 7.62 millimeters. Until now, the training or maneuver ammunition in this caliber was purchased with individual procurement contracts. Now, however, the Bundeswehr wants to purchase on a larger scale and thus create better availability for the troops and give the industry more planning security. Therefore, a large-volume framework agreement is being concluded with an ammunition manufacturer for belted maneuver ammunition - around 131 million euros are to be invested. To ensure that the Bundeswehr's future needs are met, a minimum annual delivery quantity was also agreed with the manufacturer in the framework agreement. This ensures the necessary additional planning security. The first deliveries are to take place in 2023 immediately after the contract is concluded."</t>
  </si>
  <si>
    <t>"Last but not least, the procurement of ammunition for small arms was on the agenda. In the framework agreement with Metallwerk Elisenhütte GmbH, a total delivery quantity of 135 million rounds of 7.62mm x 51 training ammunition was agreed, as required for combat training with rifles and machine guns. The value of the deliveries is estimated at 131.4 million euros. For the current year, 16 million rounds worth 15.6 million euros are to be called up immediately. The annual forecast is 32 million rounds. Annual forecasts of between 5.4 and 20 million rounds have been set for the following years up to 2029."</t>
  </si>
  <si>
    <t>DE120</t>
  </si>
  <si>
    <t>HUSAR system</t>
  </si>
  <si>
    <t>https://www.bmvg.de/de/aktuelles/aenderungsvertrag-projektfortfuehrung-neuer-auftragnehmer-5680352</t>
  </si>
  <si>
    <t>https://www.behoerden-spiegel.de/2023/09/26/13-neue-husar-systeme-fuer-die-bundeswehr/</t>
  </si>
  <si>
    <t>https://esut.de/2023/09/meldungen/44635/bundeswehr-beschafft-13-aufklaerungssysteme-husar/</t>
  </si>
  <si>
    <t>"At its meeting on 20 September, the Budget Committee of the German Bundestag approved the fourth amendment contract for the procurement of twelve series systems HUSAR (Highly efficient, unmanned system for medium-range imaging reconnaissance) and a training system. HUSAR is also known in industry as LUNA NG/B (Airborne Unmanned Close Reconnaissance Equipment Next Generation/Bundeswehr). The Budget Committee also approved an amendment to the contract for the timely development of new Eurofighter radars. The Bundeswehr will have a total of 13 new systems HUSAR. They will receive the so-called small aircraft target location (KZO). Twelve series systems and one training system are being procured. They are to be delivered to the troops from 2025. The fourth amendment contract specifies the measures that resulted from the takeover of the procurement contract by RTP after the insolvency of the original system manufacturer. The Budget Committee of the German Bundestag had to approve the amendment contract, particularly because it will result in additional costs compared to the old contracts. In principle, all procurements over 25 million euros must be approved by the Budget Committee of the Bundestag. The total contract value is around 290.9 million euros. Due to the payments already made to the original contractor, around 238.6 million euros of this still have to be financed through the defense budget."</t>
  </si>
  <si>
    <t>DE121</t>
  </si>
  <si>
    <t>E-Scan</t>
  </si>
  <si>
    <t>E-Scan radar for Eurofighter contract adjustment</t>
  </si>
  <si>
    <t>Eurofighter Jagd Flugzeug</t>
  </si>
  <si>
    <t>https://esut.de/2023/09/meldungen/44639/entwicklung-des-neuen-eurofighter-radars-auf-neuer-basis/</t>
  </si>
  <si>
    <t>"The adjustment of a contract signed in 2020 for the German-Spanish development of a new radar for the Eurofighter is intended to ensure that the entire fleet is equipped as planned from 2028. All of the Air Force's Eurofighters will be equipped with a modern E-Scan radar. This will enable pilots to better detect and track air-to-air and air-to-ground targets. This should also be possible for several targets simultaneously and independently of one another. The new radar with electronic beam steering will also be more difficult to jam. Newly ordered fighter jets will be delivered directly with the E-Scan radar, as 38 Eurofighters will be arriving in service from 2025. They will replace the jets purchased between 2003 and 2008, whose overhaul can no longer be guaranteed for technical reasons. The radars will then be retrofitted to the remaining aircraft in the following years. The 197.7 million euros required for the treaty amendment will be financed from the regular defence budget."</t>
  </si>
  <si>
    <t>DE122</t>
  </si>
  <si>
    <t>Arrow 3</t>
  </si>
  <si>
    <t>https://www.bmvg.de/de/aktuelles/arrow-haushaltsausschuss-stimmt-beschaffung-zu-5690122</t>
  </si>
  <si>
    <t>https://www.bundeswehr-journal.de/2023/der-weg-ist-frei-fuer-das-neue-waffensystem-arrow-3/</t>
  </si>
  <si>
    <t>https://esut.de/2023/09/meldungen/44711/arrow-3-mbda-deutschland-wird-hauptauftragnehmer-von-iai/</t>
  </si>
  <si>
    <t>"The German army will buy the Arrow weapon system from the Israeli government. The investment of around four billion euros will be financed from the special fund. In addition to the delivery of the weapon system and the Arrow 3 guided missiles, the contract with the Israeli government also includes initial spare parts packages and training for the operating personnel. There will also be further support services and construction work in Germany. The Arrow weapon system consists of command posts, sensors and launchers with guided missiles and forms the core of the new territorial missile defense capability."</t>
  </si>
  <si>
    <t>"Yesterday, Thursday, Defense Minister Boris Pistorius and his Israeli counterpart Yoav Gallant signed a Joint Declaration of Intent in Berlin to procure the Arrow 3 missile defense system for the German Armed Forces. The President of the Federal Office of Bundeswehr Equipment, Information Technology and In-Service Support (BAAINBw), Annette Lehnigk-Emden, then signed the corresponding letter of commitment together with her counterpart from Israel. This was preceded by the US government's approval for Germany to procure the Arrow 3 weapon system. With the Arrow system, Germany wants to close the capability gap in the defense against ballistic missiles, particularly those with medium and long ranges. The missile defense system was developed in a joint project by Israel and the USA since the 1980s. The Israeli company Israel Aerospace Industries (IAI) and the US company Boeing were and are significantly involved. IAI and Boeing are also responsible for production."</t>
  </si>
  <si>
    <t>DE123</t>
  </si>
  <si>
    <t>Long-range autonomous underwater vehicle</t>
  </si>
  <si>
    <t>Miscellaneous Vessels</t>
  </si>
  <si>
    <t>"The Budget Committee has also given the green light to other procurement projects: Four autonomous underwater vehicles will be purchased for 52.5 million euros through the regular defense budget. There is also the option to order a fifth Long-Range Autonomous Underwater Vehicle (LR-AUV). The underwater drones are used for long-range sonar-based underwater reconnaissance in water depths of up to 300 meters, for sea mine defense, for creating underwater situation images and maps, and for data collection. They are not armed and cannot clear detected mines themselves. They are used in conjunction with the Frankenthal-class minehunters (MJ332). In addition, the underwater drones can be used to detect spying attempts by other states. The four systems that have been commissioned will be delivered in 2024 and 2025. Therefore, five minehunters will also be equipped to accommodate the drones. Furthermore, the control of the drones will be integrated into the existing IMCMS (Integrated Mine Countermeasures System) command and weapon deployment system of the minehunters. The Frankenthal-class boats render mines harmless by using surface or underwater drones and/or mine divers."</t>
  </si>
  <si>
    <t>DE124</t>
  </si>
  <si>
    <t>Panzerabwehrrichtminen Deutsches Modell 22 (PARM DM22)</t>
  </si>
  <si>
    <t>Land Mines</t>
  </si>
  <si>
    <t>TDW (MBDA Deutschland)</t>
  </si>
  <si>
    <t>https://www.bundeswehr.de/resource/blob/5705020/57eb11ffb43f4db8324d078b7a946770/35-panzerabwehrrichtminen-als-ersatz-fuer-ukraine-abgabe-dl-data.pdf</t>
  </si>
  <si>
    <t>https://www.bundeswehr-journal.de/2023/ersatz-neue-panzerabwehrrichtminen-fuer-die-truppe/</t>
  </si>
  <si>
    <t>"The Budget Committee has also approved the manufacture and delivery of an initial 2,600 German Model 22 anti-tank guided mines (PARM DM22). They are to be delivered from 2026. The approximately 68 million euros required for this come from item 60 of the federal budget, i.e. the funds for the federal government's capacity-building initiative. Background: The German army has given anti-tank mines to Ukraine to support the country in its defense against Russian aggression. The replacement will now be financed from funds from the capacity building initiative, which supports selected partner states with military material, equipment and training. It is a budget item managed jointly by the Foreign Office and the Ministry of Defense. The framework agreement with the manufacturer of the anti-tank mines provides for the possible order of a further 10,000 units. With the Bundeswehr refocusing on national and alliance defense, anti-tank mines have become more important again. They are used to delay the enemy's advance. Anti-tank mines are mainly used to secure roads and paths against enemy vehicles."</t>
  </si>
  <si>
    <t>"To replace the material handed over to the Ukrainian armed forces, the Koblenz-based Federal Office of Bundeswehr Equipment, Information Technology and In-Service Support (BAAINBw) is now procuring, among other things, 2,600 anti-tank mines of the type "German Model 22", or PARM DM22 for short. "To this end, the BAAINBw signed a corresponding contract today (November 14) with the Schrobenhausen-based TDW Gesellschaft für verteidigungstechnische Wirksysteme mbH, a subsidiary of MBDA Deutschland GmbH. The contract includes an option for a further 10,000 PARM DM22 systems. The Bundestag's budget committee had previously approved the procurement project with a total volume of around 68 million euros. The agreement provides for the firm order and immediate call-off of the 2,600 directional mines from funds from individual plan 60, which is used, among other things, to finance military aid for Ukraine. It was also contractually agreed in Koblenz that orders for up to a further 10,000 mines can be placed in batches of 1,000 each. The directional mine, mounted on a tripod, is used against battle tanks and armoured combat vehicles (as was already the case in the Ukraine war against Russian troops)."</t>
  </si>
  <si>
    <t>DE125</t>
  </si>
  <si>
    <t>"Furthermore, the purchase of new radio equipment was approved. The joint, network-capable radio equipment (SVFuA) will be financed both through the regular defense budget and through the Bundeswehr special fund. Over 130 million euros will be invested in this. The radios will be delivered to the Bundeswehr between 2023 and 2025 and are intended for four projects: the Puma infantry fighting vehicle, the Army's combat training center, the fire units of the air defense system IRIS-T SLM and for the command posts of the division, which the Bundeswehr [will make available to NATO] from 2025 (Division 2025). With the devices, the troops will gradually receive a uniform communication equipment for voice and data communication up to the classifications “Secret” and “NATO Secret”."</t>
  </si>
  <si>
    <t>DE126</t>
  </si>
  <si>
    <t>Encrypted telephone</t>
  </si>
  <si>
    <t>"The Bundeswehr's communication systems must meet current and future security requirements. The Bundeswehr has therefore commissioned the procurement of 1,350 multi-crypto telephones in a robust version. As part of the crypto modernization of the armed forces, the ISDN-based crypto devices currently in use are being replaced by IP-based multi-crypto telephones. They allow encrypted communication over the Internet. This also includes further developments for communication within the alliance up to the classification “NATO Secret” are planned, which can be added as software updates. The devices are to be delivered to the Bundeswehr between 2024 and 2026. If all options for the devices are selected, the investment volume will be around 70 million euros. The procurement of a version of the crypto phones for indoor use is subject to a separate approval process. The devices are financed through the Bundeswehr special fund."</t>
  </si>
  <si>
    <t>DE127</t>
  </si>
  <si>
    <t>Cryptographic and radio device for Patriot system</t>
  </si>
  <si>
    <t>"The special fund will also be used to purchase new cryptographic and radio equipment for the radio relay systems of the weapon system Patriot. The Budget Committee has approved the order for around 40.5 million euros. The total of 51 devices will be delivered between 2025 and 2027 to equip the anti-aircraft missile system Patriot [and] continue to modernize [] ground-based air defense. "</t>
  </si>
  <si>
    <t>DE128</t>
  </si>
  <si>
    <t>Receiver card for GPS M-Code</t>
  </si>
  <si>
    <t>"Finally, a total of 9,058 recipient cards will be issued for around 51.5 million euros. GPS M-Code was purchased from the US government and financed from the special fund. The maps will be delivered between 2025 and 2028 and integrated into navigation devices in vehicles and naval units. This will increase the Bundeswehr's ability to navigate safely, reliably and with greater resilience to attempts at jamming."</t>
  </si>
  <si>
    <t>DE129</t>
  </si>
  <si>
    <t>German Heron TP demonstration additional services</t>
  </si>
  <si>
    <t>Airbus DS Airborne Solutions</t>
  </si>
  <si>
    <t>https://www.bmvg.de/de/aktuelles/drohne-heron-tp-mittel-fuer-flugbetrieb-in-deutschland-5700956</t>
  </si>
  <si>
    <t>https://www.bundeswehr.de/de/organisation/luftwaffe/aktuelles/die-drohne-german-heron-tp-erhaelt-die-deutsche-musterzulassung-5538042</t>
  </si>
  <si>
    <t>"With its decision, the Budget Committee has now cleared the way for a six-month demonstration operation of the GHTP project in Germany, during which the system can be tested in German airspace. The aircraft and support services are provided by the civil operator Airbus DS Airborne Solutions GmbH (ADAS) of the German Armed Forces. The demonstration operation with the GHTP for the purposes of national and alliance defense will take place at the Jagel site near Schleswig, where the Tactical Air Force Wing 51 "Immelmann" is also stationed. Since the end of last year, the Israeli drone system has had a type approval for operation in Germany. The GHTP is a market-available system with modifications for the operational needs of the German Armed Forces and will assume the ability to reconnaissance, surveillance and support the forces on the ground until the introduction of the Eurodrone from 2030. The contract amendment for operational operations and the additional services commissioned to ensure the system's information security and to adapt the supply of spare parts will result in expenditure of 59 million euros. These will be financed from the regular defense budget."</t>
  </si>
  <si>
    <t>DE130</t>
  </si>
  <si>
    <t>Military vehicle maintentance contract extension</t>
  </si>
  <si>
    <t>Heeresinstandsetzungslogistik (HIL)</t>
  </si>
  <si>
    <t>"In addition, Parliament approved a contract amendment with Army Maintenance Logistics (HIL) GmbH. HIL maintains large military equipment for the German Army's land forces and is therefore responsible for the proper functioning of the vehicles in basic operations as well as during exercises and operations. HIL is a wholly owned subsidiary of the federal government. With further investments, it is to remain a reliable partner of the Bundeswehr in the future. In line with the expanded tasks of the Bundeswehr and the refocusing on the core mission of national and alliance defense, the capacities of HIL increased even further and the services further developed. The 13.4 billion euros now approved for the period 2024 to 2034 will be financed from the regular defense budget and is one of the largest 25 million euro proposals of the current fiscal year."</t>
  </si>
  <si>
    <t>DE131</t>
  </si>
  <si>
    <t>Dingo 2 A4.1</t>
  </si>
  <si>
    <t>https://www.bmvg.de/de/aktuelles/beschaffung-dingos-und-seefernaufklaerer-gebilligt-5703856</t>
  </si>
  <si>
    <t>https://soldat-und-technik.de/2023/11/mobilitaet/36064/bundeswehr-beschafft-50-dingo-2-a4-1-auf-modernem-unimog-fahrgestell/</t>
  </si>
  <si>
    <t>https://esut.de/2023/11/meldungen/45602/nachbeschaffung-von-50-dingo-2-a4-1-gebilligt/</t>
  </si>
  <si>
    <t>"The green light was given specifically for the purchase of 50 protected Dingo 2 A4.1 command and functional vehicles for a total of around 150 million euros. They are being financed through the so-called upgrade title, as the Bundeswehr has given its own Dingos to Ukraine to support the country in its defense against Russian aggression. These vehicles are now being replaced and are to be delivered to the Bundeswehr in 2026."</t>
  </si>
  <si>
    <t>"On November 15, the Budget Committee of the German Bundestag approved the replacement purchase of 50 Dingo 2 patrol and security vehicles in version A4.1. At the end of last year, the army delivered the same number of Dingos with special tools to Ukraine.  The framework agreement to be concluded with the manufacturer is to cover a total of 233 vehicles with a term of seven years. The 50 vehicles for the replacement purchase are to be firmly ordered upon conclusion of the contract, with a delivery of two Dingos as proof samples in 2025 and delivery of the series in the following year. A special tool kit will be delivered in advance in 2024. The Budget Committee has made 133 million euros available for this. The vehicles will be equipped with radio (D-LBO) and navigation equipment (ERGR 2), which will cost a further 14 million euros. This results in total costs for the first 50 Dingos of 147 million euros. The financing will come from funds from the Federal Government's upgrading initiative in Section 60."</t>
  </si>
  <si>
    <t>DE132</t>
  </si>
  <si>
    <t>https://www.bmvg.de/de/aktuelles/beschaffung-die-bundeswehr-hat-den-turbo-eingelegt-5718690</t>
  </si>
  <si>
    <t>https://www.bundeswehr-journal.de/2023/drei-zusaetzliche-seefernaufklaerer-aus-dem-sondervermoegen/</t>
  </si>
  <si>
    <t>"In addition, three more P-8A Poseidon maritime patrol aircraft can be ordered from the US government. The required almost 1.1 billion euros come from the Bundeswehr special fund. In 2021, the budget committee had already approved the funds for five aircraft. The procurement of a simulator for the future crews of the eight aircraft in total has also already been approved by the committee. The P-8A Poseidon from the US manufacturer Boeing will take over submarine hunting and maritime patrol from the P-3C Orion as an interim solution from the end of 2024. In the long term, these capabilities are to be expanded through the German-French cooperation project Maritime Airborne Warfare System (MAWS) are covered."</t>
  </si>
  <si>
    <t>"The German Navy will also receive three P-8A "Poseidon maritime patrol aircraft and submarine hunters. The aircraft will be financed from the Bundeswehr special fund. A corresponding supplementary contract to the five Poseidon systems already ordered was signed on Tuesday of this week (November 21) by the President of the Federal Office of Bundeswehr Equipment, Information Technology and In-Service Support (BAAINBw), Annette Lehnigk-Emden. The three aircraft and an extended initial spare parts package will be procured as part of an existing agreement with the US Navy. This agreement is based on a government purchase agreement with the USA (“Foreign Military Sales” procedure) for the acquisition of an initial five aircraft, the procurement of a simulator for training and education purposes, and all necessary support services for the start of flight operations."</t>
  </si>
  <si>
    <t>DE133</t>
  </si>
  <si>
    <t>IR-BIRDIE decoy target</t>
  </si>
  <si>
    <t>Pyrotechnics</t>
  </si>
  <si>
    <t>https://www.bmvg.de/de/aktuelles/bundestag-genehmigt-beschaffung-von-flares-und-fahrschulpanzern-5711904</t>
  </si>
  <si>
    <t>https://www.rheinmetall.com/en/media/news-watch/news/2024/01/2024-01-15-birdie-ir-decoys-for-bundeswehr-aircraft</t>
  </si>
  <si>
    <t>https://esut.de/2023/12/meldungen/45973/beschaffungen-von-taeuschkoerpern-und-fahrschulpanzern-leopard-2-gebilligt/</t>
  </si>
  <si>
    <t>"According to the decision of the Budget Committee, the Bundeswehr can buy up to 476,280 new decoys for 49.3 million euros. They will be delivered between 2024 and 2029. The procurement will be financed through the regular defense budget. The procurement had to be submitted to the committee because the investment exceeds 25 million euros. These are decoys of the type IR-BIRDIE (Bispectral Infrared Decoy Improved Efficiency) 118 BS and IR-BIRDIE 218. The infrared decoys are fired from helicopters, transport aircraft and jets to divert approaching surface- to-air missiles (SAM) or air-to-air missiles (AAM) with infrared homing heads. The decoys, known as flares, simulate or mask the hot engine exhaust gases emitted by the aircraft with their infrared radiation."</t>
  </si>
  <si>
    <t>"The Bundeswehr has awarded Rheinmetall a substantial order for decoy flares for protecting aircraft. The German military can now procure over 470,000 decoys from Rheinmetall’s tried-and-tested Birdie product line. Covering the period December 2023 to December 2029, the contract is worth nearly €50 million. Birdie is an acronym standing for “Bispectral Infrared Decoy Improved Efficiency”. Marketed by Rheinmetall Waffe Munition GmbH of Fronau, these infrared decoys, or ‘flares’, are ejected from helicopters, transport planes and jets to distract oncoming infrared-homing guided missiles. The flares simulate the heat signature of exhaust gases emitted by the aircraft engine."</t>
  </si>
  <si>
    <t>DE134</t>
  </si>
  <si>
    <t>Main Battle Tank (MBT) (training)</t>
  </si>
  <si>
    <t>Tank</t>
  </si>
  <si>
    <t>"With the current approval from the Bundestag, the German army can buy 16 Leopard 2 driving school tanks in the A6 A3 version and 8 Leopard 2 driving school tanks in the A7V version. The investment package also includes appropriate training equipment such as driving simulators. The required approximately 192 million euros will come from the German army's special fund. The driving school tanks will be delivered between 2026 and 2029. The framework agreement with the manufacturer of the driving school tanks provides that up to 32 driving school tanks in version 2 A7V can be ordered for around 277 million euros. Partner nations or allies who also use the Leopard 2 main battle tank can participate in this option. The Leopard 2 is one of the main weapon systems in the German Army. It is one of the most modern main battle tanks in the world."</t>
  </si>
  <si>
    <t>"The Bundeswehr's Leopard 2 driving school tanks have been worn out after more than 40 years of use and are now more technically equivalent to the combat vehicles for which the drivers are trained. After the budget committee of the German Bundestag approved the funds, the Bundeswehr can now buy 16 Leopard 2 driving school tanks in the A6 A3 version and 8 Leopard 2 driving school tanks in the A7V version, as the BMVg writes. The procurement will be supplemented by other training resources such as driving simulators. In a framework agreement with the manufacturer KNDS, the German Armed Forces wants to agree on the delivery of up to 56 driving school tanks. Around 192 million euros are earmarked for the 24 driving school tanks mentioned above. An option has been agreed for the procurement of a further 32 driving school tanks. The price for this is estimated at 277 million euros. Partner nations or allies who also use the Leopard 2 battle tank can participate in this second tranche. The first tranche is to be financed from the Bundeswehr special fund. The delivery period agreed is from 2026 to 2029."</t>
  </si>
  <si>
    <t>DE134_a</t>
  </si>
  <si>
    <t>Leopard 2 A6 A3 (training)</t>
  </si>
  <si>
    <t>DE134_b</t>
  </si>
  <si>
    <t>Leopard 2 A7V (training)</t>
  </si>
  <si>
    <t>DE135</t>
  </si>
  <si>
    <t>DE_155mm_4</t>
  </si>
  <si>
    <t>155mm artillery round for Ukraine</t>
  </si>
  <si>
    <t>Nexter</t>
  </si>
  <si>
    <t>https://www.bmvg.de/de/aktuelles/ukraine-unterstuetzung-deutschland-beschafft-artilleriemunition-5717012</t>
  </si>
  <si>
    <t>https://www.hartpunkt.de/bmvg-will-bis-maerz-mehr-als-90-000-schuss-artilleriemunition-liefern/</t>
  </si>
  <si>
    <t>"A French arms company is producing 68,000 explosive projectiles for the Ukrainian armed forces for 278 million euros. The project is being financed through the upgrade title in budget line 60. Selected partner states are receiving military equipment and material through the Federal Government's upgrade initiative."</t>
  </si>
  <si>
    <t>"According to experts, the signing of a contract with the French arms company and ammunition producer Nexter is imminent. Last week, the Budget Committee of the German Bundestag gave the green light to a framework agreement on the production of new artillery shells with the French manufacturer. According to a statement from the BMVg, a total of 68,000 explosive shells will be produced for the Ukrainian armed forces for 278 million euros. The project will be financed via the upgrade title in individual plan 60. The framework agreement with the manufacturer offers the option of producing and delivering up to 350,000 projectiles, the statement said. Other countries can also participate in the project because it is part of the EU ammunition initiative to accelerate the delivery, procurement and production of ammunition for Ukraine."</t>
  </si>
  <si>
    <t>DE136</t>
  </si>
  <si>
    <t>H145M helicopter</t>
  </si>
  <si>
    <t>https://www.bmvg.de/de/aktuelles/beschaffung-kampfhubschrauber-kryptotelefone-und-weitere-5716992</t>
  </si>
  <si>
    <t>https://www.bundeswehr-journal.de/2024/bis-zu-82-mehrzweckhubschrauber-h145m-fuer-die-truppe/</t>
  </si>
  <si>
    <t>https://esut.de/2023/12/meldungen/46436/ab-2024-erhaelt-die-bundeswehr-bis-zu-82-leichte-kampfhubschrauber-h145m/</t>
  </si>
  <si>
    <t>"The German Armed Forces will purchase 62 H145M light combat helicopters. The procurement, worth a total of around 2.63 billion euros, will be financed from the German Armed Forces special fund and, from 2028, from the regular defense budget. The investment includes weapons and ammunition for training, spare parts, deployment packages for operations, training simulators and other training resources, initial training and additional extensive support services. The first machines are to be delivered to the Fritzlar, Bückeburg, Laupheim, Niederstetten and Faßberg sites from next year until 2028. Until a decision is made on the successor to the Tiger attack helicopter, the H145M will serve as a bridging solution to provide ground-level air support to defend against armoured units. The contract with the manufacturer provides that 20 more helicopters can be ordered if required."</t>
  </si>
  <si>
    <t>"The Federal Office of Bundeswehr Equipment, Information Technology and In-Service Support (BAAINBw) and Airbus Helicopters recently signed a contract for the purchase of up to 82 H145M military multi-purpose helicopters - 62 firm orders plus 20 options. This is the largest order ever placed for the H145M (and also the largest for the "HForce" weapons management system). The contract also includes seven years of support and service. 57 helicopters are intended for the German Army, and the German Air Force's special forces are to receive five H145M machines."</t>
  </si>
  <si>
    <t>"In the first step, the framework agreement contains a firm order for 62 aircraft, which are to be delivered between 2024 and 2028. The multi-role helicopters will be delivered with mission equipment for the roles of combat (24 units), training/professionalization (33 units) and SOF (Special Operation Forces, five units). In the basic version, the helicopters are equipped with the H-Force weapons management system, which enables customized armament with appropriate reconnaissance and fire control systems. According to the BAAINBw, the framework agreement includes not only the manufacture and delivery of the helicopters, but also spare parts, eight training simulators, the training of flying and technical personnel, and extensive service for the operation of the helicopters over a period of seven years."</t>
  </si>
  <si>
    <t>DE137</t>
  </si>
  <si>
    <t>BvS10 Collaborative All Terrain Vehicle (CATV) communication equipment</t>
  </si>
  <si>
    <t>https://esut.de/2022/12/meldungen/38718/bundeswehr-erhaelt-catv-ueberschneefahrzeug/</t>
  </si>
  <si>
    <t>https://www.behoerden-spiegel.de/2024/01/10/mehrkosten-bei-catv/</t>
  </si>
  <si>
    <t>"The committee also approved a contract amendment for the purchase of snow vehicles. A total of 367 Collaborative All-Terrain Vehicles (CATV) was commissioned by the German army. Parliament had already approved the purchase. They will replace the aging BV 206 S Hägglunds model. Snow-covered vehicles are intended for transport in extremely difficult terrain. It is a multinational project involving Sweden and Great Britain. The contract change results from the integration of the communications equipment, because the interfaces for installation had not yet been defined when the contract was signed. The integration will now take place directly as part of the procurement project. The necessary additional costs of around 64 million euros will be provided by the Bundeswehr special fund."</t>
  </si>
  <si>
    <t>DE138</t>
  </si>
  <si>
    <t>SONIX system</t>
  </si>
  <si>
    <t>Underwater Sound Equipment</t>
  </si>
  <si>
    <t>https://www.bundeswehr-journal.de/2024/ergaenzungsbeschaffung-unterwasser-lagedarstellung/</t>
  </si>
  <si>
    <t>https://www.hartpunkt.de/vertrag-fuer-unterwasserortungssysteme-geschlossen/</t>
  </si>
  <si>
    <t>"Additional underwater positioning systems will also be purchased from the special fund. 11 Sonix underwater situation display systems (ULD) can be purchased for 99.8 million euros. The systems will be delivered between 2024 and 2026. Training and spare parts packages are included in the price. There is the option to order 12 additional systems. Sonix is ​​a mobile system that can be used on all boats and ships of the German Navy. It is a sonar buoy processor that collects data from NATO sonar buoys. The situation display system can display the contacts of the buoys."</t>
  </si>
  <si>
    <t>DE139</t>
  </si>
  <si>
    <t>SINA Communicator H encrypted telephone</t>
  </si>
  <si>
    <t>https://www.secunet.com/fileadmin/user_upload/02_Downloads/Produkt-_und_Serviceseiten_Brosch%C3%BCren_und_Factsheets/SINA_Produkte/Technische_Info/Factsheets_Englisch/SINA_Communicator_H_Factsheet_EN.pdf</t>
  </si>
  <si>
    <t>"The budget committee has also approved the purchase of additional crypto phones. 34.78 million euros will be invested in the purchase and further development of 1,001 SINA Communicator H devices. An additional 324 devices can also be purchased according to an agreement with the manufacturer. The procurement is part of the Bundeswehr's crypto modernization. The new devices will replace outdated ISDN encryption telephones. In October, the budget committee already approved the purchase of new, robust crypto telephones."</t>
  </si>
  <si>
    <t>DE140</t>
  </si>
  <si>
    <t>IRIS-T AIM-2000 missile</t>
  </si>
  <si>
    <t>https://www.bmvg.de/de/aktuelles/parlament-genehmigt-lenkflugkoerper-beschaffung-5716966</t>
  </si>
  <si>
    <t>https://www.bundeswehr-journal.de/2023/1200-lenkflugkoerper-iris-t-fuer-die-deutschen-streitkraefte/</t>
  </si>
  <si>
    <t>https://esut.de/2023/12/meldungen/46336/rahmenvertrag-fuer-bis-zu-1-280-lenkflugkoerper-iris-t-abgeschlossen/</t>
  </si>
  <si>
    <t>"The Air Force's Eurofighters and Tornados are armed with the IRIS-T air-to-air guided missile to engage air targets at short distances. The almost three-meter-long guided missile has an infrared seeker head that can distinguish between the target's heat source and infrared decoys. The proven short-range guided missiles have been in use since 2005. The 120 guided missiles plus accessories ordered are for replacement as part of the support for Ukraine. The German army is giving 120 guided missiles to Ukraine for its defense against Russian aggression. The new guided missiles will therefore be financed for around 108 million euros from the upgrade item in budget line 60. The federal government's upgrade initiative supports partner states with military equipment. The guided missiles are scheduled to be delivered in 2026. The initial 120 guided missiles are part of a framework agreement with the manufacturer for the possible production and delivery of up to 1,280 guided missiles."</t>
  </si>
  <si>
    <t>"The German Armed Forces will receive more than 1,200 IRIS-T guided missiles. The President of the Federal Office of Bundeswehr Equipment, Information Technology and In-Service Support (BAAINBw), Annette Lehnigk-Emden, and Helmut Rauch, CEO of Diehl Defence, signed a corresponding framework contract for the procurement today (December 20). Diehl Defence is a leading systems house for air defence systems and general contractor in the IRIS-T programme; its headquarters are in Überlingen on Lake Constance."</t>
  </si>
  <si>
    <t>DE141</t>
  </si>
  <si>
    <t>Patriot air defence munition</t>
  </si>
  <si>
    <t>https://defence-network.com/bundeswehr-erhaelt-weitere-pac-2-gem-t-fuer-ihre-patriot/</t>
  </si>
  <si>
    <t>https://www.hartpunkt.de/milliardensumme-fuer-neue-flugkoerper/</t>
  </si>
  <si>
    <t>"The Committee also approved the purchase of 500 guided missiles with spare parts for the anti-aircraft missile system Patriot. Patriot can combat aircraft, rockets and cruise missiles. The mobile weapon system was developed in particular to strengthen the NATO eastern flank, but also delivered to Ukraine. A total of 3.01 billion euros will now be invested. 400 guided missiles will be purchased for around 2.4 billion euros over the next few years through the Bundeswehr's special fund and will then be financed through the regular defense budget. The funds for 100 guided missiles, amounting to around 602 million euros, will come from the upgrade title, as this number was also handed over to Ukraine. Procurement is handled by the NATO Support and Procurement Agency (NSPA). Other nations are also participating in the agreement with the manufacturer. The guided missiles are to be delivered between 2027 and 2033."</t>
  </si>
  <si>
    <t>DE142</t>
  </si>
  <si>
    <t>DE143</t>
  </si>
  <si>
    <t>Meteor missile update</t>
  </si>
  <si>
    <t>https://www.bundeswehr.de/de/organisation/luftwaffe/aktuelles/meteor-ein-erfolgsprojekt-aus-sechs-nationen-5086646</t>
  </si>
  <si>
    <t>https://esut.de/2019/12/meldungen/ruestung2/17323/bundestag-billigt-haushaltsmittel-fuer-zusaetzliche-luft-luft-lenkflugkoerper-meteor/</t>
  </si>
  <si>
    <t>"In order to maintain superiority in air combat into the 2040s, the German Army can also commission research into an update of the Meteor air-to-air guided missile. The German Air Force's Eurofighters will be armed with Meteor guided missiles. They will enable the fighter jet pilots to engage targets outside their visual range. For example, possible adjustments to the radar seeker, the propulsion system, the data link and the warhead are now being analyzed for 34.9 million euros. The investigations are scheduled to begin next year and the reports on the possible adjustments are due to be available in 2025. Five other European nations are involved in the project."</t>
  </si>
  <si>
    <t>DE144</t>
  </si>
  <si>
    <t>Ground based air defence system development</t>
  </si>
  <si>
    <t>https://www.bmvg.de/de/aktuelles/entwicklung-luftverteidigungssystems-landoperationen-5726548</t>
  </si>
  <si>
    <t>https://www.rheinmetall.com/de/media/news-watch/news/2024/01/2024-01-25-startschuss-fuer-luftverteidigungssystem-nnbs</t>
  </si>
  <si>
    <t>https://soldat-und-technik.de/2024/01/bewaffnung/36601/entwicklungsauftrag-luftverteidigungssystem-nah-und-naechstbereichsschutz-erteilt/</t>
  </si>
  <si>
    <t>"The Budget Committee of the German Bundestag has approved financial means for the production of prototypes of an air defence system for short and very short-range protection. This clears the way for the development of a new system based on the Boxer wheeled armoured vehicle. In order to close the existing capability gaps in ground-based air defense, work can begin on developing a system to protect a troop unit against attacks from the air and to detect and defend against drones. The core elements of such a network for short- and very short-range protection will probably be a command post, fire control tanks, radar equipment and anti-aircraft missile tanks. For air defence, the components are to be based on the GTK (Armoured transport vehicle) Boxer will be installed. The guided missiles will be IRIS-T SLS the ground-to-air variant of the IRIS-T will be used. The budget committee has approved 1.23 billion euros for the development of a first copy of the most important components. The investment will initially be financed from the Bundeswehr's special fund. The project will then be continued in the regular defense budget. A prototype of the system is scheduled to be available in 2028."</t>
  </si>
  <si>
    <t>"The Federal Office of Bundeswehr Equipment, Information Technology and In-Service Support (BAAINBw) and the Close and Very Close-Range Protection Working Group (ARGE NNbS) signed the development contract for the Close and Very Close-Range Protection Air Defense System (LVS NNbS) today, January 25, 2024. The ARGE NNbS, founded in 2021, includes the companies Rheinmetall Electronics GmbH (Bremen), Diehl Defence GmbH &amp; Co. KG (Überlingen) and Hensoldt Sensors GmbH (Taufkirchen). The contract has a gross volume of around EUR 1.2 billion, which is broken down among the partner companies according to their performance shares as follows: Rheinmetall EUR 607 million, Diehl EUR 339 million and Hensoldt EUR 284 million. In order to do justice to Germany's role in NATO as a leading nation in ground-based air defense and in the European Skyshield Initiative, the introduction of the LVS NNbS is a decisive step and thus closes a significant capability gap in the Bundeswehr."</t>
  </si>
  <si>
    <t>DE145</t>
  </si>
  <si>
    <t>https://www.bmvg.de/de/aktuelles/bundestag-bewilligt-ruestungsinvestitionen-in-milliardenhoehe-5745072</t>
  </si>
  <si>
    <t>"A total of around 2.2 billion euros will be invested in the continuous supply of the Bundeswehr with clothing and personal equipment. This essentially involves the procurement of combat clothing, protective vest systems, combat helmets and 110-litre backpack systems in continuation of the early procurements commissioned in 2022. In addition, there is the procurement and regeneration of clothing and equipment for the special forces as well as the introduction of a new Marine Bord clothing system. The investment also includes operating expenses for the continued financing and expansion of storage capacities of the Bw clothing management GmbH as well as maintaining a mobile operational supply."</t>
  </si>
  <si>
    <t>DE146</t>
  </si>
  <si>
    <t>Skyranger</t>
  </si>
  <si>
    <t>https://www.bmvg.de/de/aktuelles/bundestag-stimmt-beschaffung-von-flugabwehrkanonenpanzern-zu-5747668</t>
  </si>
  <si>
    <t>https://www.hessenschau.de/politik/fuer-fast-600-millionen-euro-bundeswehr-bestellt-flugabwehr-panzer-aus-werk-in-kassel-v1,rheinmetall-bundeswehr-skyranger-100.html</t>
  </si>
  <si>
    <t>https://www.zdf.de/nachrichten/politik/deutschland/skyranger-bundeswehr-flugabwehr-100.html</t>
  </si>
  <si>
    <t>"A new weapon system based on the GTK (Armoured transport vehicle) Boxer is intended to protect land forces from drones in the future. A "subsystem component" can now be developed, manufactured and procured for this purpose. Because drones are a major threat to land forces, the project is being implemented early. The Budget Committee of the German Bundestag approved this in its meeting on February 21, 2024.
The Ministry of Defence is permitted to conclude a framework contract for anti-aircraft gun tanks for the future “Air Defence System for Short and Very Close Range Protection” (LVS NNbS). The 19 vehicles and additional services that have been ordered cost around 649 million euros. The weapon system is intended to protect land forces against attacks from the air, even when they are on the move. It is also suitable for protecting critical infrastructure. The first vehicle is expected to be delivered for testing in the fourth quarter of 2024, and the 18 series vehicles will arrive in the troops from September 2026. Delivery is expected to be completed by 2028. The necessary expenditure will be financed mainly from the Bundeswehr special fund. The framework agreement also enables the ordering of additional vehicles."</t>
  </si>
  <si>
    <t>"The new Skyranger wheeled armored vehicle, which the German army ordered in large numbers this week, comes in camouflage colors, with eight wheels and a gun mount. The 19 new air defense systems are expected to cost 595 million euros - that's the equivalent of almost eight Boeing 737s. The new system consists of two components. Part one, the gun turret, comes from Rheinmetall Air-Defence in Zurich, a Rheinmetall spokesman told hessenschau.de. The mobile vehicle, a Boxer tank, is produced by Artec, a joint subsidiary of Rheinmetall and Krauss-Maffei Wegmann, in Kassel."</t>
  </si>
  <si>
    <t>DE147</t>
  </si>
  <si>
    <t>https://www.bmvg.de/de/aktuelles/weitere-nachtsichtgeraete-truppe-5757530</t>
  </si>
  <si>
    <t>https://soldat-und-technik.de/2024/01/ausruestung-bekleidung/36703/zusaetzliche-nachtsichtgeraete-fuer-deutschland-und-belgien/</t>
  </si>
  <si>
    <t>https://defence-network.com/nachtsichtbrillen-fuer-die-bundeswehr/</t>
  </si>
  <si>
    <t>"The Budget Committee has approved the procurement of 16,041 night vision devices - so-called image intensifier goggles - as well as 8,423 associated head-mounted systems and corresponding services. The required almost 162 million euros come from the Bundeswehr's special fund. This is an option order for additional devices from an existing framework agreement."</t>
  </si>
  <si>
    <t>"On January 26, 2024, the Organisation for Joint Armaments Cooperation OCCAR signed a second contract supplement to an existing contract for binocular night vision devices (BNVG) and in-service support for Belgium and Germany with a consortium consisting of HENSOLDT Optronics GmbH and THEON SENSORS SA in Bonn. The newly signed second contract supplement includes 3,500 night vision devices for Belgium and 16,041 night vision devices and 8,423 head mounts for Germany. The latter two still need to be approved by the German parliament, which the consortium expects to happen at the end of the first quarter of 2024. In addition, the contract includes an option for up to 25,000 additional night vision devices each for Belgium and Germany. This gives both participating states the opportunity to purchase additional quantities without further negotiations."</t>
  </si>
  <si>
    <t>DE147_a</t>
  </si>
  <si>
    <t>DE147_b</t>
  </si>
  <si>
    <t>MIKRON night vision device (headwear)</t>
  </si>
  <si>
    <t>DE148</t>
  </si>
  <si>
    <t>AESA-Radar/E-SCAN development for Eurofighter contract adjustment</t>
  </si>
  <si>
    <t>"A new radar with electronic beam steering (AESA/E-SCAN). The Budget Committee has also approved a necessary contract adjustment for the purpose of testing and verification. The costs for the development measure amount to 102 million euros and are financed from the special fund. With the development of the new radar system, the Eurofighter will continue to meet the capability requirements of a modern combat aircraft. This means that the weapon system can remain the backbone of the Air Force in the area of ​​air-based air defense and air attack capabilities for a long time to come."</t>
  </si>
  <si>
    <t>DE149</t>
  </si>
  <si>
    <t>Patriot air defence system</t>
  </si>
  <si>
    <t>https://www.bmvg.de/de/aktuelles/bundestag-genehmigt-kauf-von-patriot-systemen-und-sprechsaetzen-5761098</t>
  </si>
  <si>
    <t>https://www.rtx.com/news/news-center/2024/03/21/rtxs-raytheon-awarded-1-2-billion-contract-to-provide-patriot-air-and-missile-d</t>
  </si>
  <si>
    <t>"At its meeting on 20 March 2024, the Budget Committee of the Bundestag approved the procurement of further Patriot air defence systems and new communication sets with hearing protection function. With the committee’s decision, the Bundeswehr can employ four new Patriot systems and conversion kits for the Patriot radar equipment. The required almost 1.4 billion euros will come from both the Bundeswehr special fund and the regular defense budget. Since the Bundeswehr has [sent] two Patriot systems to Ukraine, around half of the funding will come from the funds earmarked in the federal budget for upgrading partner states. The services to the Bundeswehr are to be fully provided by 2029."</t>
  </si>
  <si>
    <t>"TUCSON, Ariz. , March 21, 2024 /PRNewswire/ -- Raytheon, an RTX (NYSE: RTX) business, was awarded a $1.2 billion contract to supply Germany with Patriot® air and missile defense systems. These systems will augment Germany's existing air defense infrastructure with additional Patriot equipment. The scope of the contract includes the most current Patriot Configuration 3+ radars, launchers, command and control stations, associated spares, and support."</t>
  </si>
  <si>
    <t>DE150</t>
  </si>
  <si>
    <t>DE151</t>
  </si>
  <si>
    <t>https://www.rheinmetall.com/de/media/news-watch/news/2024/04/2024-04-24-rheinmetall-gewinnt-rahmenvertrag-sprechsatz-mit-gehoerschutzfunktion</t>
  </si>
  <si>
    <t>https://esut.de/2024/03/meldungen/48319/bundeswehr-beschafft-30-000-sprechsaetze-mit-gehoerschutz/</t>
  </si>
  <si>
    <t>"The German Armed Forces is also signing a framework agreement for headsets with hearing protection. The procurement of the first 30,000 units, valued at 81 million euros, was approved by the Budget Committee. These are to be delivered this year. Compared to the current equipment, the headsets with hearing protection offer the possibility of communicating at close range and perceiving ambient noise without a connected radio while protecting the hearing. They are compatible with all current and future radio devices of the armed forces. Further orders are to be presented to the Budget Committee shortly."</t>
  </si>
  <si>
    <t>"Rheinmetall has been commissioned by the German Army to carry out a key tactical communications project that is of cross-cutting importance for the entire force. The technology company has been awarded a framework contract to supply up to 191,000 sets of the “speaking set with hearing protection function”. The framework contract has a term of seven years and a potential order volume of up to EUR 400 million net. The Budget Committee of the German Bundestag had given the project specific requirements. 30,000 sets including connecting cables have been firmly ordered for delivery in 2024. A call for the delivery of a further 30,000 sets is expected for 2025. These two delivery lots, financed from the special fund, will have a net value of up to around EUR 140 million."</t>
  </si>
  <si>
    <t>DE152</t>
  </si>
  <si>
    <t>Heavy infantry weapon carrier</t>
  </si>
  <si>
    <t>https://www.bmvg.de/de/aktuelles/bundeswehr-bekommt-123-neue-radpanzer-fuer-infanteriekraefte-5761102</t>
  </si>
  <si>
    <t>https://www.rheinmetall.com/de/media/news-watch/news/2024/03/2024-03-21-rheinmetall-auftrag-schwerer-waffentraeger-infanterie</t>
  </si>
  <si>
    <t>"On 20 March, the Bundestag’s Budget Committee approved a so-called 25 million euro bill for the purchase of 123 combat vehicles based on the GTK (Armoured transport vehicle) Boxer. A second proposal for corresponding services with a volume of around 750 million euros was also approved. The Heavy Infantry Weapons Carrier is being procured on the basis of a German-Australian government agreement. The wheeled armored vehicles are intended to give the army's new medium forces high mobility and firepower. They are to be used for direct tactical fire support of the infantry and for long-range anti-tank defense. In contrast to the ones already used in the Bundeswehr GTK Boxer, the heavy infantry weapon carrier, has a turret with a 30-millimeter cannon and a machine gun and is also equipped with the MELLS anti-tank system. It is built by the Australian branch of the German arms company Rheinmetall. Australia uses the Combat Reconnaissance Vehicle wheeled armored vehicle primarily for reconnaissance."</t>
  </si>
  <si>
    <t>"The basis for the procurement is a government purchase agreement between Germany and Australia. In March last year, a corresponding agreement was signed by Parliamentary State Secretary Thomas Hitschler and the Australian Minister for Armaments Pat Conroy. The armaments cooperation between the two countries in collaboration with Rheinmetall enables the Bundeswehr to procure the system quickly, as it is a system available on the market and not a new development. New for the Bundeswehr is the manned turret with the already proven machine gun of the Puma infantry fighting vehicle. This also results in synergy effects such as the integration of the new system into existing logistical processes and the use of the same ammunition in both tanks. The Heavy Infantry Weapon Carrier is intended to replace the Wiesel 1 Weapon Carrier in the Bundeswehr. The procurement that has now been approved will cost a total of 1.94 billion euros. In addition, a five-year maintenance contract with Rheinmetall with a cost framework of 746.9 million euros will be concluded. Financing will initially be provided by the Bundeswehr special fund. Delivery of a pre-production vehicle is expected this year. The production vehicles are to be delivered between 2025 and 2030. All procurements over 25 million euros must be approved by Parliament before the contract is signed."</t>
  </si>
  <si>
    <t>"The German Armed Forces has commissioned Rheinmetall to supply the "Heavy Infantry Weapons Carrier". After the Budget Committee of the German Bundestag approved the proposal on March 20, 2024, the contract was signed today. The German armed forces will procure up to 123 Heavy Infantry Weapons Carrier (sWaTrg Inf) vehicles. The contract is valued at around EUR 2.7 billion, including services. Delivery is scheduled to begin in 2025. The Heavy Infantry Weapons Carrier serves as a replacement for the Wiesel tracked vehicle for direct tactical fire support of infantry units. It is also a core element of the German Army's new force category, the "Medium Forces". These are characterized by their ability to be deployed quickly over long distances and thus contribute to credible national and alliance defense."</t>
  </si>
  <si>
    <t>DE153</t>
  </si>
  <si>
    <t>Heavy infantry weapon carrier maintenance</t>
  </si>
  <si>
    <t>DE154</t>
  </si>
  <si>
    <t>Puma duel simulator training device equipment set (AGDUS)</t>
  </si>
  <si>
    <t>KNDS</t>
  </si>
  <si>
    <t>https://www.bmvg.de/de/aktuelles/duellsimulator-fuer-puma-uebungsraketen-fuer-tiger-5768986</t>
  </si>
  <si>
    <t>https://www.janes.com/defence-news/news-detail/germany-orders-simulators-for-puma-ifvs</t>
  </si>
  <si>
    <t>"A total of 258 sets of training equipment duel simulator (AGDUS) for the Puma infantry fighting vehicle by the end of 2026. The costs of around 109 million euros will be financed from the Bundeswehr special fund. AGDUS is a laser-based training system for realistic training of combat situations and to support preparatory shooting training. The system is used in the Army Combat Training Center, in the shooting training centers and also at the Puma infantry fighting vehicle sites."</t>
  </si>
  <si>
    <t>"The Bundeswehr is receiving new training simulators for its Puma infantry fighting vehicles (IFVs). In total, 258 sets of Training Device, Duel Simulator (Ausbildungsgerät Duellsimulator: AGDUS) systems are being delivered for the Puma IFVs by the end of 2026, the Bundeswehr announced on 15 April. The EUR109 million (USD116 million) contract will be financed from the EUR100 billion Bundeswehr special fund. A Rheinmetall/Krauss-Maffei Wegmann (KMW) consortium received an order from the Bundeswehr in December 2019 valued at EUR54 million for the provision of six AGDUS systems for integration tests on the Puma. Full-scale serial production of AGDUS would then begin once testing was complete, with up to 252 Puma IFVs being equipped with the systems for EUR88 million."</t>
  </si>
  <si>
    <t>DE155</t>
  </si>
  <si>
    <t>DE_70mm_1</t>
  </si>
  <si>
    <t>70mm Tiger attack helicopter rocket (training)</t>
  </si>
  <si>
    <t>Rockets, Rocket Ammunition and Rocket Components</t>
  </si>
  <si>
    <t>Belgium</t>
  </si>
  <si>
    <t>https://www.thalesgroup.com/en/group/journalist/press-release/rheinmetall-and-thales-are-teaming-germany-within-field-unguided-and</t>
  </si>
  <si>
    <t>https://esut.de/2024/04/meldungen/48933/70mm-uebungsraketen-fuer-kampfhubschrauber-tiger/</t>
  </si>
  <si>
    <t>"The purchase of additional missiles for the Tiger combat helicopter will also be financed from the special fund. The Budget Committee has approved the purchase of an initial 15,180 training missiles for just under 54 million euros. The missiles will be delivered between 2024 and 2026. The framework agreement with the manufacturer provides for the delivery of a total of up to 31,760 70-millimeter training missiles for the combat helicopter."</t>
  </si>
  <si>
    <t>"The German army wants to purchase up to 31,760 training rockets in 70mm caliber for the shooting training of the crews of the Tiger combat helicopter. On April 10, the budget committee of the German Bundestag approved the purchase of a first batch of 15,180 training rockets for just under 54 million euros, as the German army announced on its website. The KH Tiger can be equipped with a multiple rocket launcher for unguided 70mm rockets. The standard armament includes rockets with HE warheads, several thousand of which were last procured in 2022. The manufacturer is the Thales subsidiary FZ in Belgium, which has entered into a partnership with Rheinmetall for development, qualification and production."</t>
  </si>
  <si>
    <t>DE156</t>
  </si>
  <si>
    <t>NH90</t>
  </si>
  <si>
    <t>Multi role transport helicopter</t>
  </si>
  <si>
    <t>https://www.army-technology.com/news/germany-approves-software-update-of-nh90-helicopters/?cf-view</t>
  </si>
  <si>
    <t>https://defence-industry.eu/germany-parliament-approves-military-upgrades-including-nh90-helicopters-and-eurofighter-jets/</t>
  </si>
  <si>
    <t>"With the approval of the Budget Committee, an expansion of the capabilities of the NH-90 Tactical Transport Helicopter (TTH) of the German Army and the NH-90 Multi Role Frigate Helicopter (MRFH) of the German Navy. This is the exercise of an option from an existing framework agreement. The main focus is on the integration of a new Multi Functional Display (MFD) to display flight attitude and mission tactical information as well as systems to provide extended functionality in the areas of navigation and identification. In addition, there will be further improvements for the frigate version, as this NH-90 version has significantly more sensors as well as navigation and communication devices. Both the army and navy machines will receive an extensive software update. The cost of this, amounting to almost 217 million euros, will be financed primarily from the Bundeswehr's special fund. The NH-90 is a multi-purpose helicopter developed jointly by France, Italy, the Netherlands and Germany. The German army will have three versions of the NH-90. The army already uses 82 helicopters for air transport and air mobility. In the navy, it will replace the Sea Lynx Mk88A under the name Sea Tiger and will be used as an on-board helicopter on frigates, primarily for anti-submarine hunting and surface warfare. The 31 helicopters ordered are to be delivered to the navy from the end of 2025. In addition, the navy will also be using NH-90 Sea Lions are used as on-board helicopters for the task force supply ships and, above all, in search and rescue operations. The 18 Sea Lions are replacing the approximately 50-year-old Sea King Mk41 aircraft in this role."</t>
  </si>
  <si>
    <t>"The German Parliament Budget Committee approved funds for a comprehensive software update for its existing Nato Helicopter-90 (NH90) fleets worth €217m ($232.3m) on 24 April 2024. Calling for an option as part of an existing framework agreement, the German Government plan to expand the capabilities of the Army’s 82 tactical transport units as well as the Navy’s 18 multi-role frigate helicopters. Specifically, the software update integrates a new multi-functional display to provide the flight altitude and other tactical information as well as systems that offer expanded navigation and identification capabilities. Moreover, there will be further improvements for the frigate variant as these units have more sensors as well as navigation and communication devices."</t>
  </si>
  <si>
    <t>DE156_a</t>
  </si>
  <si>
    <t>NH-90 Tactical Transport Helicopter software update</t>
  </si>
  <si>
    <t>DE156_b</t>
  </si>
  <si>
    <t>NH-90 Sea Lion Multi Role Frigate Helicopter software update</t>
  </si>
  <si>
    <t>DE157</t>
  </si>
  <si>
    <t>Phase 4 Enhancement (P4E) development package for Eurofighter</t>
  </si>
  <si>
    <t>ELT Group</t>
  </si>
  <si>
    <t>https://www.leonardo.com/documents/15646808/26378088/ComLDO_Praetorian_P4E_14_07_2023_ENG.pdf?t=1689329892747</t>
  </si>
  <si>
    <t>"The budget committee also approved funds from the Bundeswehr special fund for the further development of the Eurofighter . Around 97 million euros will be invested in this. This involves financing a definition phase for the Eurofighter Phase 4 Enhancement (P4E) development package. The development package is intended to make hardware and software adjustments to the Eurofighter. These are aimed at providing additional capabilities, measures to increase interoperability and product improvements.
In addition, improvements to the self-protection system and measures to equip the electronic warfare system are planned. The implementation of a P4E development package could also enable four-nation (Germany, Great Britain, Italy and Spain) weapon integrations such as the product-improved missiles Meteor, TAURUS, AMRAAM, GBU JDAM and an enhanced reconnaissance pod."</t>
  </si>
  <si>
    <t>DE158</t>
  </si>
  <si>
    <t>National mission support system for Eurofighter</t>
  </si>
  <si>
    <t>"The Budget Committee has also approved the adaptation of the national mission support system for the Eurofighter. This ensures mission planning, the processing of completed missions and the support of training purposes for the Eurofighter pilots. The planned adaptations will ensure that the main tasks of the mission support system are in line with the current Eurofighter development standard. The costs for this are just under 43 million euros. The funding is provided by the Bundeswehr special fund."</t>
  </si>
  <si>
    <t>"Furthermore, adjustments to the national mission support system for the Eurofighter were approved, ensuring compatibility with the latest development standards of the aircraft. This system aids in mission planning, analysis, and pilot training, with an investment of approximately EUR 43 million."</t>
  </si>
  <si>
    <t>DE159</t>
  </si>
  <si>
    <t>DM45 smoke hand grenade</t>
  </si>
  <si>
    <t>Grenades</t>
  </si>
  <si>
    <t>https://www.rheinmetall.com/de/media/news-watch/news/2024/05/2024-05-27-nebelhandgranate-dm45</t>
  </si>
  <si>
    <t>"The procurement of smoke grenades was also approved by the budget committee. Initially, 962,860 units will be purchased for almost 67 million euros from the Bundeswehr special fund. The DM45 grenades will be delivered by 2027. The framework agreement with the manufacturer provides for the delivery of up to 1.5 million smoke grenades. The DM45 smoke grenade has been in use by the Bundeswehr since the mid-1990s. It is used for training, exercises and operations and continues to meet the troops' requirements."</t>
  </si>
  <si>
    <t>"Rheinmetall has been commissioned by the German Armed Forces to supply around one million DM45 smoke grenades. On May 22, the President of the Federal Office of Bundeswehr Equipment, Information Technology and In-Service Support (BAAINBw), Annette Lehnigk-Emden, and Rheinmetall Waffe Munition GmbH signed a framework agreement for the manufacture and delivery. In total, up to 1.5 million DM 45 smoke grenades can be procured under the agreement over the coming years. The potential order volume for the approximately one million smoke grenades is around EUR 67 million and will be financed from the German Armed Forces' special fund. The framework agreement runs until 2027 and enables the ammunition to be called up flexibly each year based on the identified needs of the troops. The DM45 is produced at the Rheinmetall site in Silberhütte in the Harz Mountains (Saxony-Anhalt). The order now placed means long-term utilization of the production facility."</t>
  </si>
  <si>
    <t>DE160</t>
  </si>
  <si>
    <t>Advanced Medium Range Air-to-Air Missile (AMRAAM)</t>
  </si>
  <si>
    <t>https://www.bmvg.de/de/aktuelles/beschaffung-lenkflugkoerper-it-logistik-und-kommunikation-5782326</t>
  </si>
  <si>
    <t>https://esut.de/2024/05/meldungen/49772/19-milliarden-euro-fuer-vier-vorhaben-zu-lande-zu-wasser-und-in-der-luft/</t>
  </si>
  <si>
    <t>"The Parliamentary Budget Committee approved the Ministry of Defense's plan to use the so-called Foreign Military Sales procedure with the government of the United States of America to procure Advanced Medium Range Air-to-Air Missile (AMRAAM). The volume of the order is around 178 million euros in total. The agreement on the procurement of further guided missiles of this type is already planned for September 2024. The guided missiles AMRAAM are integrated into the Eurofighter weapon system. In conjunction with the Meteor guided missile, they increase the system's assertiveness and survivability."</t>
  </si>
  <si>
    <t>"Following approval by the Budget Committee, the Bundeswehr can initiate the Foreign Military Sales (FMS) process to procure Advanced Medium Range Air-to-Air Missile (AMRAAM) guided missiles. The agreement to procure the missiles, worth around 178 million euros, is expected to be concluded in September 2024. This will enable around 100 to 150 missiles to be procured. The missiles are manufactured by Raytheon, which only a year ago received a major contract worth around one billion US dollars to supply AMRAAM to the USA and – as part of FMS – to 18 allies, including Ukraine (ESuT reported )."</t>
  </si>
  <si>
    <t>DE161</t>
  </si>
  <si>
    <t>"The budget holders also gave the green light for the delivery of hardened IT components and accessories for the German Armed Forces. The project of the Federal Ministry of Defence, the contract therefore provides for the procurement of 6,376 communication servers (KommServer) and accessories. The procurement will be carried out via a call from a framework agreement with a volume of around 146.2 million euros from the Bundeswehr special fund. To operate a digital command and control system, especially under difficult environmental conditions, the armed forces require hardened and cross-functional IT components for mobile and stationary use. Specifically, these are communication servers, power packs and maintenance adapter cables. These are compatible with the communication server and Centurion computer units. The communication servers and accessories are required for the command equipment of combat and support vehicles. The project serves to provide communication equipment for the projects Digitalization of Land-Based Operations (D-LBO) and airborne platforms."</t>
  </si>
  <si>
    <t>"The fourth project approved by the Budget Committee on May 15 is hardened IT components for projects for the digitalization of land-based operations (D-LBO) and for airborne platforms. According to the Bundeswehr, 6,376 communication servers (KommServer) and accessories are to be procured. The procurement will take place via a call from a framework agreement with a volume of around 146.2 million euros, financed from the Bundeswehr special fund. The equipment package consists of communication servers, power packs and maintenance adapter cables that are compatible with the existing communication server and Centurion computer units."</t>
  </si>
  <si>
    <t>DE162</t>
  </si>
  <si>
    <t>Spare parts logistics ZEBEL contract</t>
  </si>
  <si>
    <t>"The Budget Committee of the German Bundestag also approved the conclusion of a contract for the Central Bundeswehr Spare Parts Logistics (ZEBEL) with integrated material management for non-autonomous federal warehouses of the Bundeswehr (naBELBw). The financial requirement of around 324.76 million euros will be covered by funds from the defense budget. With its complex service, the Central Bundeswehr Spare Parts Logistics is an integral and fundamental component of the Bundeswehr's logistics system. The range of services provided by this system is broad. It focuses on the following:
- Supplies for the maintenance of predominantly land-based weapon systems should be able to be made available within 48 hours.
- It is about material and data management for the non-autonomous federal warehouses of the Bundeswehr, in particular maintenance companies for predominantly airborne weapon systems.
- The range of services also includes the connection of the IT system of the contractor to the IT system of the Bundeswehr. This enables the mapping of logistical processes and the provision of logistical data in the Bundeswehr's logistical system."</t>
  </si>
  <si>
    <t>DE163</t>
  </si>
  <si>
    <t>Class 123 frigate (retrofit)</t>
  </si>
  <si>
    <t>"The Bundestag has also approved further developments for the operational availability of the Class 123 frigates. The ships' radar equipment and the command and weapon deployment system will be replaced. The communication and sensor systems and the ability to hunt submarines will be adapted or expanded. The guided missiles will also be replaced. These measures will make the Brandenburg-class frigates war-ready and provide Germany and the world with NATO the necessary capabilities for national and alliance defense. A total of around 1.2 billion euros will be invested in the four Class 123 frigates . This means that the Brandenburg-class ships can be used by the German Navy until at least 2035. The frigates are to be converted between 2026 and 2029. Since they were commissioned between 1994 and 1996, the four ships have been used primarily for submarine hunting."</t>
  </si>
  <si>
    <t>DE164</t>
  </si>
  <si>
    <t>https://www.bmvg.de/de/aktuelles/beschaffung-lkw-torpedos-it-marinekommando-5789050</t>
  </si>
  <si>
    <t>https://www.rheinmetall.com/de/media/news-watch/news/2024/06/2024-06-12-bundeswehr-bestellt-weitere-1515-militaer-lkw</t>
  </si>
  <si>
    <t>https://www.bundeswehr.de/resource/blob/5807006/43a25b93f0ce4b30bdd8dd1352412f07/13-weitere-1-515-militaer-transportfahrzeuge-fuer-die-bundeswehr-dl-data.pdf</t>
  </si>
  <si>
    <t>"By decision of the Budget Committee, the Bundeswehr can employ 1,250 unprotected and 265 protected Trucks of the payload class 15 tons (ZLK 15t). In addition, there will be corresponding transport systems: 500 swap bodies and 500 tarpaulin or bow bodies. The trucks are to be delivered by the end of the year. The order value of around 920 million euros will be financed from the Bundeswehr's special fund.
The order is part of a framework agreement with the manufacturer, which covers the possible purchase of a total of 4,000 protected or unprotected Trucks ZLK 15t with swap body system and other equipment and superstructures. So far, 1,008 trucks as well as 2,921 swap body flatbeds and 2,320 tarpaulin and bow superstructures have been delivered. The four-axle vehicles have all-wheel drive and are optimized for all military transport tasks, even in difficult terrain. They can accommodate different load carriers such as the common container formats or flatbeds and other superstructures."</t>
  </si>
  <si>
    <t>"Rheinmetall has been commissioned by the Bundeswehr to deliver another 1,515 logistics vehicles, 265 of which are protected swap body systems. This is a new call from the framework agreement for swap body systems (WLS) concluded in June 2020. This large call is being financed largely through the Bundeswehr's special fund. In addition to the vehicles, the Bundeswehr procurement authority (BAAINBw) has ordered 500 swap body platforms as interchangeable load carriers and 500 tarpaulin/bow superstructures. The order value of the call is over EUR 920 million gross. The vehicles will be delivered in the second half of 2024 and will be completed by mid-November 2024."</t>
  </si>
  <si>
    <t>DE164_a</t>
  </si>
  <si>
    <t>DE164_b</t>
  </si>
  <si>
    <t>DE164_c</t>
  </si>
  <si>
    <t>Swap body</t>
  </si>
  <si>
    <t>DE164_d</t>
  </si>
  <si>
    <t>Tarpaulin body</t>
  </si>
  <si>
    <t>Vehicular Equipment Components</t>
  </si>
  <si>
    <t>Vehicular Cab, Body, and Frame Structural Components</t>
  </si>
  <si>
    <t>DE165</t>
  </si>
  <si>
    <t>Mk 54 torpedo</t>
  </si>
  <si>
    <t>https://esut.de/2024/06/meldungen/50466/vier-projekte-mit-2-milliarden-euro-gebilligt/</t>
  </si>
  <si>
    <t>https://www.rtx.com/raytheon/what-we-do/sea/mk54</t>
  </si>
  <si>
    <t>"At its meeting, the Budget Committee also approved the purchase of lightweight Mk 54 mod0 torpedoes from the US government. These are combat and reusable training torpedoes. The package includes training and documentation as well as additional equipment for maintenance and conversions. The approximately 122 million euros will initially be financed through the Bundeswehr special fund and from 2028 through the defense budget. The torpedoes will be the anti-submarine armament for the P-8A Poseidon naval aircraft. Germany is buying eight of this aircraft type from the United States , which will take over anti-submarine and maritime reconnaissance from the P-3C Orion as an interim solution until the German-French cooperation project Maritime Airborne Warfare System (MAWS) can take on these tasks."</t>
  </si>
  <si>
    <t>"Following approval by the Budget Committee, the Bundeswehr can begin procuring 48 lightweight Mk 54 mod0 torpedoes (36 combat and 12 training torpedoes) through the Foreign Military Sales procedure in the USA. As the BMVg writes, these are combat and reusable training torpedoes. The package includes training and documentation as well as other equipment for maintenance and conversions. The approximately 122 million euros will initially be financed through the Bundeswehr special fund and from 2028 through the defense budget."</t>
  </si>
  <si>
    <t>DE166</t>
  </si>
  <si>
    <t>German Mission Network Block 2 (GMN 2) project</t>
  </si>
  <si>
    <t>"The funds for the marine project German Mission Network Block 2 (GMN2) were also approved by the committee. The almost 100 million euros required for the infrastructure investment will be financed from the special fund. The project will bring together the operational capabilities of the naval command, which are currently still located in Glücksburg, in the Hanse barracks in Rostock. This involves the establishment of the Maritime Operations Centre (MOC), the Fleet Entry Point (FEP) and the Maritime Component Command (MCC) especially with IT equipment. The Maritime Operations Centre is the "operations centre" for the fleet worldwide. By the end of 2025, the current standards of command capability are to be achieved in the new naval command building in Rostock . One year later, these standards will even be available in an expanded form."</t>
  </si>
  <si>
    <t>DE167</t>
  </si>
  <si>
    <t>DE_155mm_3</t>
  </si>
  <si>
    <t>155mm artillery round</t>
  </si>
  <si>
    <t>https://www.bmvg.de/de/aktuelles/bundeswehr-beschafft-mehr-artilleriegeschosse-5788634</t>
  </si>
  <si>
    <t>https://www.rheinmetall.com/de/media/news-watch/news/2024/06/2024-06-20-rheinmetall-erhaelt-rekordauftrag-ueber-155mm-munition</t>
  </si>
  <si>
    <t>https://esut.de/2024/06/meldungen/50441/155mm-artilleriemunition-fuer-die-bundeswehr-und-die-ukraine/</t>
  </si>
  <si>
    <t>"An agreement has now been reached with a German arms company to produce and deliver thousands of projectiles to further support Ukraine and replenish its own ammunition stocks. The financing requirement of almost 880 million euros will be covered by both the Bundeswehr's special fund and the regular defense budget."</t>
  </si>
  <si>
    <t>"At the same time, an initial call-off was signed from the framework agreement, which ensures the capacity utilization of the new plant being built in Germany at the Unterlüß site (Lower Saxony) during the ramp-up. This order also includes 155mm caliber projectiles in various designs with an order value of around EUR 880 million gross. Delivery is also scheduled to begin in 2025. Further increased call-offs are expected in the coming years."</t>
  </si>
  <si>
    <t>"The German army can order 155mm artillery ammunition for 880 million euros to replenish its own stocks and for use by the Ukrainian armed forces. This is stated in a publication by the BMVg on its website. Assuming roughly the same prices as for similar contracts, this amounts to almost 300,000 complete rounds (with propellant charges and igniters)."</t>
  </si>
  <si>
    <t>DE168</t>
  </si>
  <si>
    <t>Multi-purpose combat ship (MKS) 180 / Class F126 frigate contract adjustment</t>
  </si>
  <si>
    <t>https://www.bmvg.de/de/aktuelles/bundeswehr-beschafft-zwei-weitere-fregatten-klasse-126-5791938</t>
  </si>
  <si>
    <t>https://augengeradeaus.net/2024/06/pistorius-bekraeftigt-notwendigkeit-von-zwei-weiteren-f126-finanzen-und-personal-eine-zukunftshoffnung/</t>
  </si>
  <si>
    <t>"At its meeting on June 12, the Budget Committee initially approved an amendment to the contract for the ongoing procurement of four F126 class frigates for the German Navy. The procurement contract with Damen Schelde Naval Shipbuilding was already concluded in June 2020. However, due to global inflation as a result of the Russian war of aggression against Ukraine, the contracting party can no longer carry out the project under the cost arrangements agreed at the time. The estimated additional expenditure amounts to around 323 million euros. The financing will be provided from 2024 to 2027 via the Bundeswehr special fund and from 2028 via the defense budget."</t>
  </si>
  <si>
    <t>"In a separate proposal, the prices for the four frigates already ordered are also being increased, according to media reports by around 323 million (CORRECTION) euros. The general contractor, the Dutch Damen Shipyard, is citing Section 313 of the German Civil Code , which takes into account a serious change in circumstances at the time the contract is concluded. A corresponding clause has already been included in the draft contract for the other two ships: price increases in connection with Russia's military attack on Ukraine are therefore already taken into account on the basis of Section 313 of the German Civil Code."</t>
  </si>
  <si>
    <t>DE169</t>
  </si>
  <si>
    <t>"In addition, the Bundestag gave the green light in principle, i.e. with the requirement of a resolution, for the procurement of two further F126 units. The Bundeswehr had kept this option open in the procurement contract. The approximately 3.18 billion euros will be financed exclusively through the defense budget. "With a total of six frigates of this type, we will not only be operational, but also sustainable," said Defense Minister Boris Pistorius at the keel-laying of the first frigate 126 on June 3 in Wolgast. The F126 will play an important role in national and alliance defense and at the same time represents Germany's commitment to the rules-based international order and to Germany as a business location. For the implementation of the project, a share of around 70 percent of the value added in Germany is targeted and over 65 German contractors will be involved in the construction of the ships. The planned procurement of the two additional frigates is a strong signal to the NATO partner and makes a significant contribution to credible deterrence within the alliance. The fifth and sixth ships are scheduled to be delivered in 2033 and 2034 respectively."</t>
  </si>
  <si>
    <t>"Defense Minister Boris Pistorius has confirmed his ministry's intention to order two more combat ships of this type in addition to the four new F126 class frigates already planned. We need six and not just four of these frigates, said Pistorius at the keel laying of the lead ship, the frigate Niedersachsen , at the Peene shipyard in Wolgast. According to the proposal for the Bundestag, the additional order is to be financed solely from the defense budget - and the personnel problem is to be solved by the time of delivery."</t>
  </si>
  <si>
    <t>DE170</t>
  </si>
  <si>
    <t>Small Arms and Light Weapons (SALW) ammunition</t>
  </si>
  <si>
    <t>Infantry</t>
  </si>
  <si>
    <t>https://www.bmvg.de/de/aktuelles/beschaffung-munition-tornado-head-up-displays-5801330</t>
  </si>
  <si>
    <t>"Parliament's budget committee has given the green light to the Ministry of Defense's plan to procure additional ammunition worth almost 105 million euros. This involves deliveries of several million cartridges in calibers 7.62 millimeters x 51 soft core (WK) and 9 millimeters x 19 soft core. A multi-partner framework agreement for the manufacture and delivery of this ammunition will be concluded with two companies. The delivery will include the replacement of ammunition that Germany had given to Ukraine as support in its defensive struggle against Russia."</t>
  </si>
  <si>
    <t>DE170_a</t>
  </si>
  <si>
    <t>7.62mm cartridge</t>
  </si>
  <si>
    <t>DE170_b</t>
  </si>
  <si>
    <t>9mm cartridge</t>
  </si>
  <si>
    <t>DE171</t>
  </si>
  <si>
    <t>Tornado Head-Up Display (HUD)</t>
  </si>
  <si>
    <t>https://www.airforce-technology.com/news/germany-procuring-heads-up-displays-for-tornado-aircraft/?cf-view</t>
  </si>
  <si>
    <t>"The committee also approved the procurement of 45 head-up displays (HUD) for the Tornado fighter jets. Including the installation of the equipment, training, documentation and necessary adaptation measures, the investment volume is 66 million euros, which will come from the Bundeswehr special fund until 2027 and then from the regular defense budget. The devices are to be delivered from 2026."</t>
  </si>
  <si>
    <t>"German Federal Ministry of Defence (MoD) announced a decision to procure 45 heads-up displays (HUD) for its Tornado aircraft in a release from 13 June 2024, at a cost of €66m ($70m), to be delivered by 2027. The order is enough to equip roughly half of the relevant aircraft, as Germany maintains a fleet of 93 PA-200 Tornado fighters, according to GlobalData’s ‘Germany Armed Forces Equipment Inventory 2023’ report."</t>
  </si>
  <si>
    <t>DE172</t>
  </si>
  <si>
    <t>SATCOMBw Stage 3 satellite project</t>
  </si>
  <si>
    <t>https://www.bmvg.de/de/aktuelles/kommunikationssatelliten-fuer-bundeswehr-5807926</t>
  </si>
  <si>
    <t>https://www.hartpunkt.de/waffen-fahrzeuge-schiffe-und-satelliten-haushalsausschuss-billigt-zahlreiche-beschaffungs-und-modernisierungsvorhaben-der-bundeswehr/</t>
  </si>
  <si>
    <t>https://www.airbus.com/en/products-services/defence/milsatcom/satcombw</t>
  </si>
  <si>
    <t>"The Bundeswehr's satellite communications system enables information to be transmitted effectively and securely around the world. The Bundeswehr will now acquire new satellites. The Budget Committee of the German Bundestag approved the conclusion of the contract on June 26, 2024. The budgetary authorities of the German Bundestag approved a contract for the procurement of successor communications satellites, COMSATBw 1B and 2B. The financial requirements of the project total around 2.2 billion euros, including operation. The project is financed from the Bundeswehr special fund and the defense budget. The start of operations is planned for 2027. The service life of the satellites is around 15 years. The Bundeswehr's satellite communications (SATCOMBw) are indispensable for self-sufficient and autonomously deployable communications and information services. They ensure the global command and information supply of German forces, such as the operational contingents and the special forces. The SATCOMBw Stage 3 project is also intended to ensure that the NATO obligations in this area are fulfilled. With SATCOMBw Level 3, the Bundeswehr is taking the increased user requirements into account."</t>
  </si>
  <si>
    <t>"The largest item at yesterday's meeting, amounting to around 2.2 billion euros, was the SATCOMBw Stage 3 project - SATCOMBw stands for Bundeswehr satellite communications. This project regulates the procurement and operation of successor communications satellites for the currently in-use COMSATBw 1B and 2B communications satellites, which are located at an altitude of 36,000 kilometers in a geostationary orbit. According to the Ministry of Defense, the Bundeswehr's satellite communications are "indispensable for self-sufficient and autonomously deployable communications and information services. They ensure the global command and information supply of German forces, such as the operational contingents and special forces." Information can be transmitted effectively and securely worldwide using satellite communications. The new communications satellites are scheduled to begin operations in 2027 and remain in use for around 15 years until the end of their service life."</t>
  </si>
  <si>
    <t>DE173</t>
  </si>
  <si>
    <t>Unprotected transport vehicle</t>
  </si>
  <si>
    <t>https://www.bmvg.de/de/aktuelles/beschaffungen-586-millionen-euro-bewilligt-5807952</t>
  </si>
  <si>
    <t>https://esut.de/2024/06/meldungen/50887/acht-25-mio-euro-vorlagen-fuer-den-haushaltsausschuss/</t>
  </si>
  <si>
    <t>https://esut.de/2024/06/meldungen/51182/bis-zu-6-500-ungeschuetzte-lkw-fuer-die-bundeswehr/</t>
  </si>
  <si>
    <t>"With the decision of the budget committee, the Bundeswehr can conclude a framework agreement for the manufacture and delivery of up to 6,500 unprotected transport vehicles in the payload classes 3.5 tons, 5 tons and 15 tons. These are all-wheel drive two-, three- and four-axle off-road military trucks. Initially, a three-digit number of vehicles with container mounts and already integrated installation kits for command and communication systems as well as preparation for easy installation of the remote-controlled light weapon station FLW 100 are to be ordered. The costs for the Trucks amount to around 313 million euros and come from the Bundeswehr's special fund and the defense budget. The vehicles will be delivered starting this year."</t>
  </si>
  <si>
    <t>"The first firm order from the new framework agreement is to be a three-digit number of vehicles with container mounts and already integrated installation kits for command and communication systems as well as preparation for easy installation of the remote-controlled light weapon station FLW 100, writes the BMVg. In the agenda of the budget committee, the number of vehicles was given as 610 vehicles. 313 million euros were released for this, which will be made available in the Bundeswehr special fund and in the core budget of EPl 14. The first deliveries have been agreed for this year."</t>
  </si>
  <si>
    <t>DE174</t>
  </si>
  <si>
    <t>Airfield fire engine</t>
  </si>
  <si>
    <t>"The Bundeswehr fire service is getting more new airfield fire engines. They are equipped with a 12,500-liter fire water tank and additional tanks for firefighting foam and powder. They are also prepared to accommodate future digital radio devices. The fire engines will be delivered between 2026 and 2029. They will also be financed - for around 84 million euros - from the Bundeswehr special fund and the regular defense budget. The framework agreement enables additional airfield fire engines to be called up at short notice if necessary."</t>
  </si>
  <si>
    <t>"60 airfield firefighting vehicles in two variants are also on the agenda."</t>
  </si>
  <si>
    <t>DE175</t>
  </si>
  <si>
    <t>Fennek vehicle reconnaissance equipment (BAA III)</t>
  </si>
  <si>
    <t>"The reconnaissance vehicle and the Joint Fire Support Team Fennek receive observation and reconnaissance equipment (BAA), which are state-of-the-art. The BAA consists of an extendable mast on which a rotating and tilting sensor head is mounted. The main innovation of the BAA is the integration of a laser target designator that can guide laser-guided ammunition to the target. With the modernization of the BAA It will be ensured that the entire Fennek fleet will have a uniform level of reconnaissance technology in the future. The budget committee has approved the almost 86 million euros required for the procurement. This will also be financed through the Bundeswehr special fund and the defense budget. The new observation and reconnaissance equipment, including the circulating reserve, is to be delivered and integrated into the vehicles between 2027 and 2029."</t>
  </si>
  <si>
    <t>"The Fennek reconnaissance vehicles are also to receive new observation and reconnaissance equipment III (BAA III)"</t>
  </si>
  <si>
    <t>DE176</t>
  </si>
  <si>
    <t>Class 123 frigate electronic warfare system</t>
  </si>
  <si>
    <t>"The Budget Committee also approved additional funds to maintain the operational availability of the Class 123 frigates. This concerns a contract amendment regarding the replacement of the electronic warfare system on the Brandenburg-class ships and associated services amounting to around 103 million euros from the special fund and the defense budget. The four Class 123 frigates are to be able to be used by the German Navy until at least 2035. They will be used in national and alliance defense with a focus on anti-submarine warfare and escort protection."</t>
  </si>
  <si>
    <t>"the electronic warfare segment is to be included as part of the “F123 Ensuring operational availability” project"</t>
  </si>
  <si>
    <t>"The financing for a naval project was also approved. According to the BMVg, this involves a contract change regarding the replacement of the electronic warfare system on the Brandenburg-class ships and related services amounting to around 103 million euros. According to well-informed sources, these are systems from the Israeli defense company Elbit Systems. The Navy plans to use the four Class 123 frigates until at least 2035 and to deploy them in national and alliance defense with a focus on anti-submarine warfare and escort protection."</t>
  </si>
  <si>
    <t>DE177</t>
  </si>
  <si>
    <t>Super Sonic Strike Missile (3SM Tyrfing) development</t>
  </si>
  <si>
    <t>Kongsberg Defence &amp; Aerospace</t>
  </si>
  <si>
    <t>MBDA Deutschland</t>
  </si>
  <si>
    <t>https://www.bmvg.de/de/aktuelles/deutsch-norwegischer-seeziellenkflugkoerper-geplant-5807888</t>
  </si>
  <si>
    <t>https://www.kongsberg.com/newsandmedia/news-archive/2024/super-sonic-strike-missile-3sm-tyrfing/</t>
  </si>
  <si>
    <t>"Germany and Norway will jointly develop a long-range supersonic guided missile for their frigates. The Budget Committee of the German Bundestag released the funds for the development on June 26, 2024. Germany and Norway are starting another joint armament project with the development of the new supersonic guided missile Super Sonic Strike Missile (3 SM) "Tyrfing". The frigates of both countries are to be equipped with the guided missiles for sea and land target engagement in the future. In addition to supersonic capability, key requirements are improved mission control and all-weather capability. The Super Sonic Strike Missile will still be controllable during flight and will be equipped with modern seeker technology for target acquisition. In addition, the warhead will have an adjustable effect in order to minimize collateral damage next to the target. The Norwegian defense company Kongsberg Defense &amp; Aerospace will be commissioned as the main contractor for the development, and German industry will be involved. Norway will thus take the lead in the development of the supersonic guided missile. The development project will be financed from the Bundeswehr's special fund up to and including 2027. From 2028, the project will be financed from the defense budget. Development is scheduled to be completed in the early 2030s."</t>
  </si>
  <si>
    <t>"The SuperSonic Strike Missile “TYRFING” development project is to be contracted and financed through an unscheduled commitment authorization of around 224 million euros."</t>
  </si>
  <si>
    <t>"Kongsberg Defence &amp; Aerospace (“KONGSBERG”), along with its German partners Diehl Defence and MBDA Deutschland, have teamed to ensure the successful development of the future Norwegian and German super-sonic strike missile known as 3SM Tyrfing."</t>
  </si>
  <si>
    <t>DE178</t>
  </si>
  <si>
    <t>Brimstone 3 guided missile</t>
  </si>
  <si>
    <t>TDW</t>
  </si>
  <si>
    <t>https://www.bmvg.de/de/aktuelles/beschaffung-lenkflugkoerper-brimstone-stinger-5807964</t>
  </si>
  <si>
    <t>https://www.hartpunkt.de/luftwaffe-soll-brimstone-3-fuer-den-eurofighter-erhalten/</t>
  </si>
  <si>
    <t>https://esut.de/2024/06/meldungen/51064/lenkflugkoerper-brimstone-fuer-die-luftwaffe/</t>
  </si>
  <si>
    <t>"The decision of the Budget Committee allows the Bundeswehr to conclude a framework agreement for the manufacture and delivery of several thousand Brimstone guided missile systems to arm the Eurofighter. Several hundred units will be purchased for around 376 million euros from the Bundeswehr special fund and the defense budget. The guided missiles are to be delivered from 2028. The package also includes training missiles, launch and test equipment, as well as tool sets and training materials. The Brimstone guided missiles can be used to attack stationary and moving targets on land and above water from the air."</t>
  </si>
  <si>
    <t>"After the Bundeswehr announced in 2017 that it would begin using the Brimstone 3 air-to-ground missile at the beginning of this decade, the implementation is now underway. The Bundestag's budget committee has approved a so-called 25 million euro template for a framework contract for the delivery of up to 3,266 Brimstone 3 guided missiles. Initially, 274 "Operational Brimstone Missiles" with launchers, test equipment and other accessories worth around 376 million euros are to be firmly ordered from MBDA Germany. The weapons are intended for use by the Eurofighter, which must be enabled for this purpose. A further 29 Brimstone models are planned as part of the firm procurement for operational testing and 75 missiles for training and telemetry purposes."</t>
  </si>
  <si>
    <t>"The Air Force is to receive new Brimstone 3 guided missiles. On June 26, the Bundestag's Budget Committee approved the conclusion of a framework contract for the production and delivery of several thousand guided missiles of this type. In a first tranche of the framework agreement, several hundred missiles are to be procured for around 376 million euros, according to the Federal Ministry of Defense. From 2028, the first guided missiles, manufactured by the defense company MBDA, are to be delivered to the Air Force. In addition to the live systems, the package is also to include training missiles, launch and test equipment, tool sets and training materials. In the future, the Brimstone 3 will be fired by the Air Force from the Eurofighter."</t>
  </si>
  <si>
    <t>DE179</t>
  </si>
  <si>
    <t>Stinger guided missile</t>
  </si>
  <si>
    <t>https://esut.de/2024/06/meldungen/51068/hunderte-neue-stinger-fuer-die-bundeswehr/</t>
  </si>
  <si>
    <t>"The committee also approved the purchase of several hundred Stinger guided missiles through the US government. The required 395 million euros will come primarily from the German government's capacity building budget, as the guided missiles are a replacement for material delivered to the Ukrainian armed forces. Partner states will receive military equipment through the German government's capacity building initiative. The guided missiles are to be delivered in 2028 and 2029. The Fliegerfaust 2 Stinger is used by the German Army, Air Force and Navy. It is a so-called Man Portable Air Defence System (MANPADS) that can be carried by one person and fired from the shoulder. It can be used to attack air targets at both low and medium altitudes at a distance of up to six kilometers. The Stinger is also integrated into the light air defense system in the Ozelot weapons carrier and in the Tiger attack helicopter."</t>
  </si>
  <si>
    <t>"The German army is to receive hundreds of new Stinger anti-aircraft guided missiles, so-called MANPADS (Man Portable Air Defense System). On June 26, the budget committee approved funding for the project. The Ministry of Defense estimates the cost of the procurement, which is to be carried out via a foreign military sale through the US government, at around 395 million euros. The project is to be financed "primarily" from the federal budget's budget plan 60 (General Financial Administration), as the guided missiles are a replacement for material from Bundeswehr stocks that was delivered to the Ukrainian armed forces, according to the Ministry of Defense. According to the ministry, 500 Stingers have been delivered to Ukraine so far, which means that, since this is only a replacement, the same number will now be ordered. The Bundeswehr expects the new Stinger 2 missiles to arrive in 2028 and 2029. The manufacturer is the US company Raytheon."</t>
  </si>
  <si>
    <t>DE180</t>
  </si>
  <si>
    <t>https://www.bmvg.de/de/aktuelles/leopard-2-a8-neue-kampfpanzer-fuer-die-brigade-litauen-5810986</t>
  </si>
  <si>
    <t>https://esut.de/2024/07/meldungen/51416/beschaffung-weiterer-105-leopard-2-a8-genehmigt/</t>
  </si>
  <si>
    <t>"On 3 July, the Budget Committee of the German Bundestag approved the procurement of 105 Leopard 2 battle tanks of the latest generation. They will be used in particular for the German brigade in Lithuania at the NATO eastern flank. The Leopard 2 A7V is currently the most modern version of the main battle tank used by the armored troops. 18 Leopard 2 A8 main battle tanks were ordered last year to replace vehicles previously handed over to Ukraine. With the decision of the budget committee, further examples of the latest generation of the main battle tank can now be purchased. The contract provides for the delivery of 105 Leopard 2 A8. The costs of around 2.9 billion euros include additional services and an availability guarantee and will be covered by the Bundeswehr special fund and the regular defense budget. The new main battle tanks will enter the troops between 2027 and 2030."</t>
  </si>
  <si>
    <t>"In May 2023, the German Army concluded a framework agreement for the procurement of 123 Leopard 2 A8 main battle tanks and immediately ordered 18 tanks as replacements for delivery to Ukraine (ESuT reported ). These are to be delivered in 2025/2026. The 105 tanks agreed as an option in the framework contract can now be called up. This means there is no longer any room for the participation of other nations, which was originally planned. After an initial start with eleven units, the 105 tanks are to be delivered in 2027 in installments of 24, 36 and 34 units respectively in the years up to 2030. 2.3 billion euros have been earmarked for this. In addition, an availability guarantee is to be agreed until 2040, which also applies abroad (e.g. Lithuania). The latter is still the subject of negotiations with the main contractor KNDS Germany. The plan provides for 640 million euros for this."</t>
  </si>
  <si>
    <t>DE181</t>
  </si>
  <si>
    <t>Wolf off-road light truck successor</t>
  </si>
  <si>
    <t>Mercedes Benz</t>
  </si>
  <si>
    <t>https://www.bmvg.de/de/aktuelles/militaer-lkw-munition-und-headsets-fuer-die-bundeswehr-5811014</t>
  </si>
  <si>
    <t>https://www.topagrar.com/technik/news/bundeswehr-mustert-g-klasse-gelaendewagen-wolf-aus-a-20005216.html</t>
  </si>
  <si>
    <t>https://defence-network.com/rahmenvertrag-zur-nachfolge-wolf-unterzeichnet/</t>
  </si>
  <si>
    <t>"At its meeting, the Budget Committee approved the conclusion of a framework agreement for the manufacture and delivery of several thousand highly off-road light trucks. These are off-road vehicles for transporting people and materials. Initially, the production of more than a thousand of these vehicles will be commissioned. The expenditure will be financed through the Bundeswehr's special fund. The first vehicles are to be delivered gradually from the end of this year until 2027. The vehicles not only represent a pure regeneration of the predecessor vehicles of the Wolf type, but also make an important contribution to the timely fulfillment of Germany's [NATO] obligations."</t>
  </si>
  <si>
    <t>DE182</t>
  </si>
  <si>
    <t>"The committee also approved the procurement of ammunition. Several hundred thousand 155-millimeter caliber projectiles for the Panzerhaubitze 2000 and comparable weapon systems will be purchased for around 1.3 billion euros. The order is part of a framework agreement for the possible production of several million projectiles. The project will be financed through the Bundeswehr special fund and the regular defense budget. The projectiles will be delivered between 2027 and 2031."</t>
  </si>
  <si>
    <t>DE183</t>
  </si>
  <si>
    <t>"The Bundeswehr will also be able to procure small arms ammunition on a large scale. Several million rounds of machine gun ammunition will be produced in belts of 500 for around 452 million euros. The funding will come from the Bundeswehr special fund and the regular defense budget. Since the contract also includes the replacement of material given to Ukraine, some of the funding will come from individual plan 60 - the so-called capacity building budget. The federal government's capacity building initiative supports partner states in building up their armed forces with military material."</t>
  </si>
  <si>
    <t>DE184</t>
  </si>
  <si>
    <t>"The Bundestag committee has also approved the purchase of a further 30,000 headsets with hearing protection for the troops, which are to be delivered next year. The almost 67 million euros required for this will come from the Bundeswehr's special fund. In March, the budget committee already released the funds for the first 30,000 units."</t>
  </si>
  <si>
    <t>DE185</t>
  </si>
  <si>
    <t>https://www.bmvg.de/de/aktuelles/beschaffung-patriot-systemen-lenkflugkoerpern-5811004</t>
  </si>
  <si>
    <t>https://www.rtx.com/news/news-center/2024/07/11/rtxs-raytheon-awarded-1-2-billion-contract-to-provide-additional-patriot-air-an</t>
  </si>
  <si>
    <t>"The Bundeswehr can, by decision of the Budget Committee, purchase four additional air defence missile systems Patriot. The investment of almost 1.4 billion euros will be raised mainly from the regular defense budget. One system will be financed in part from the Bundeswehr special fund and from the individual plan 60 in the federal budget. This individual plan includes, among other things, the financial means for the upgrading of partner states in the areas of security, defense and stabilization. Support for Ukraine with military equipment will also be financed from this budget item."</t>
  </si>
  <si>
    <t>"With the anti-aircraft missile system Patriot, cruise missiles and tactical ballistic missiles can be combated in the lower interception layer. The delivery of the four new fire units will take place gradually until 2030. The scope of delivery includes radar equipment, fire control stations, launchers, power supply and combat control systems, tractor units as well as technical support and spare parts. The Budget Committee approved the purchase of four additional Patriots."</t>
  </si>
  <si>
    <t>"ANDOVER, Mass., July 11, 2024 /PRNewswire/ -- Raytheon, an RTX (NYSE: RTX) business, was awarded a $1.2 billion contract to supply Germany with additional Patriot® air and missile defense systems. These systems will augment Germany's existing air defense infrastructure with additional Patriot major end items. The scope of the contract includes the most current Patriot Configuration 3+ radars, launchers, command and control stations, associated spares, and support."</t>
  </si>
  <si>
    <t>DE186</t>
  </si>
  <si>
    <t>DE187</t>
  </si>
  <si>
    <t>https://www.hartpunkt.de/sofortbeschaffung-von-100-patriot-flugkoerpern-gem-t-geplant/</t>
  </si>
  <si>
    <t>https://defence-network.com/patriot-pac-2-luftverteidigung-bundeswehr/</t>
  </si>
  <si>
    <t>"With the four new Patriot systems, the corresponding guided missiles can also be ordered. The Budget Committee approved the purchase of numerous anti-aircraft missiles in its meeting. In cooperation with allies, the missiles will be delivered via the NATO Support and Procurement Agency (NSPA). To support Ukraine, Denmark, the Netherlands and Norway are contributing to the costs of the procurement as part of the Immediate Action on Air Defence, a federal government initiative, which serves to compensate for losses from their own stocks. The German share is almost 200 million euros. The financing is also provided partly through the federal government's capacity building budget and partly through the Bundeswehr special fund. The guided missiles and spare parts will be delivered in tranches by 2026."</t>
  </si>
  <si>
    <t>"The German army can expect to procure 100 GEM-T surface-to-air guided missiles in the short term to replace Patriot missiles handed over to Ukraine. The budget committee of the German Bundestag approved a €25 million proposal for this, worth almost €524 million, in its last meeting before the summer break last week. In addition to the guided missiles, the final negotiated contract also includes a spare parts package. The special feature of the procurement, which is being handled by the NATO Support and Procurement Agency (NSPA), is the participation of the three countries Norway, Denmark and the Netherlands, which are covering around 325 million in costs. The German share is reportedly being financed from the Bundeswehr special fund and Chapter 60 of the federal budget."</t>
  </si>
  <si>
    <t>DE188</t>
  </si>
  <si>
    <t>https://www.bmvg.de/de/aktuelles/beschaffung-von-lenkflugkoerpern-fuer-marine-und-luftwaffe-5841354</t>
  </si>
  <si>
    <t>https://esut.de/2024/10/meldungen/54012/400-rolling-airframe-missile-ram-block-2b-bestellt/</t>
  </si>
  <si>
    <t>https://esut.de/2024/09/meldungen/53331/knapp-eine-milliarde-euro-fuer-geraete-umruestungen-und-lenkwaffen/</t>
  </si>
  <si>
    <t>"The Budget Committee of the German Bundestag approved the procurement of guided missiles on 25 September. The Bundeswehr will procure several hundred RAM Rolling Airframe Missile Block 2B missiles for defence against missiles for corvettes and frigates as well as for air combat. The Budget Committee released the necessary funds of around 372.6 million euros, which will be raised from the special fund and the regular defence budget. The missiles will be delivered from August 2029 to November 2031."</t>
  </si>
  <si>
    <t>"On 25 September, the Budget Committee of the German Bundestag allocated 398.6 million euros for the procurement of the 400 missiles. The BMVg has specified a delivery period of 2029 to 2031 for the new order."</t>
  </si>
  <si>
    <t>"Following the release of 398.6 million euros from the special fund and the regular defence budget, the missiles, including transport and storage containers, can be procured. The missiles are scheduled to be delivered between August 2029 and November 2031 - well beyond the available funding from the special fund."</t>
  </si>
  <si>
    <t>DE189</t>
  </si>
  <si>
    <t>"In addition, supplementary contracts, including for the purchase of transport and storage containers for the missiles, will be concluded with a volume of around 26 million euros."</t>
  </si>
  <si>
    <t>DE190</t>
  </si>
  <si>
    <t>"New air combat missiles are being procured for the Eurofighter - by the US government. The funding requirement for several dozen AIM-120 C8 Advanced Medium-Range Air-to-Air Missile (AMRAAM) missiles and training missiles amounts to around 122 million euros. This procurement project is also being financed via the Bundeswehr special fund and the regular defence budget. The missiles are to be delivered between 2029 and 2032. The committee already approved the delivery of the new AMRAAM missiles in the spring. With the AMRAAM missiles and the Meteor missiles, the Eurofighter has a flexible mix of medium-range weapons for securing airspace, air defence and air attack. The predecessor version AMRAAM AIM-120 B will reach the end of its service life in the coming years."</t>
  </si>
  <si>
    <t>"The project will procure an unnamed number of missiles worth 122 million euros. As with the previous projects, the special funds and the core budget are the source of financing, although the period for the influx was specified as 2029 to 2032. In May of this year, the Bundeswehr initiated the procurement of 100 to 150 missiles for 178 million euros in the FMS process. Following production by the manufacturer Raytheon, delivery is scheduled to begin in 2026."</t>
  </si>
  <si>
    <t>DE191</t>
  </si>
  <si>
    <t>BWI contract service expansion</t>
  </si>
  <si>
    <t>https://www.bmvg.de/de/aktuelles/beschaffung-wichtiger-ruestungs-it-programme-geht-weiter-5841340</t>
  </si>
  <si>
    <t>"At its meeting, the Budget Committee approved an amendment to the existing contract with BWI as the coordinating contractor. The subject of the contract amendment is the retrofitting of additional platforms. The costs for the contract extension amount to almost 80 million euros and will be financed via the special fund and the regular defence budget."</t>
  </si>
  <si>
    <t>"The IT service provider BWI is the central authority for preparing the conversion projects. As the coordinating contractor, it is the central point of contact between the contracting authority and other contractors for coordinating the individual work steps in the area of prototype and series integration. With the approved extension of the contract, further platforms can be retrofitted. The Budget Committee has made almost 80 million euros available for this from the special fund and the regular defence budget."</t>
  </si>
  <si>
    <t>DE192</t>
  </si>
  <si>
    <t>L3 Harris</t>
  </si>
  <si>
    <t>"The Bundeswehr can procure over 6,000 new radios including accessories thanks to the decision of the budget committee. Half of these are Army/Navy Portable Radio Communications (AN/PRC)-117G devices and half are AN/PRC-160 devices. The approximately 351.4 million euros required will be financed via the Bundeswehr special fund and the regular defence budget. The contractual partner for the purchase is the US government."</t>
  </si>
  <si>
    <t>The Budget Committee has released around 351.4 million euros from the special fund and the core budget (Section 14) for the procurement of more than 6,000 radios. According to the BMVg, the plan is to procure half AN/PRC-117G and half AN/PRC-160 devices. The Bundeswehr intends to procure the radios, including replacement and repair parts as well as the necessary peripherals, documents, logistical support in training and logistics using the Foreign Military Sales (FMS) procedure. The manufacturer of the radios is L3Harris Global Communications. The US government approved the procurement request in March.</t>
  </si>
  <si>
    <t>DE192_a</t>
  </si>
  <si>
    <t>AN/PRC-117G handheld radio</t>
  </si>
  <si>
    <t>DE192_b</t>
  </si>
  <si>
    <t>AN/PRC-160 handheld radio</t>
  </si>
  <si>
    <t>DE193</t>
  </si>
  <si>
    <t>https://www.bmvg.de/de/aktuelles/parlament-genehmigt-investitionen-in-milliardenhoehe-5847750</t>
  </si>
  <si>
    <t>https://esut.de/2024/10/meldungen/53933/72-milliarden-euro-fuer-sieben-projekte-freigegeben/</t>
  </si>
  <si>
    <t>"At its meeting on 16 October, the Budget Committee of the German Bundestag approved several proposals for armaments projects. The committee approved the conclusion of a framework agreement for the production and delivery of up to 4,000 swap bodies including accessories. The initial order is for the production of 1,750 swap bodies. The funding required for this amounts to around 42 million euros from the Bundeswehr special fund. The swap bodies will be delivered between 2025 and 2027."</t>
  </si>
  <si>
    <t>"1,750 swap-body platforms will be called up from a new framework agreement for up to 4,000 swap-body platforms as a fixed order. Financed with 42 million euros from the Bundeswehr special fund, the swap bodies will be delivered between 2025 and 2027. "</t>
  </si>
  <si>
    <t>DE194</t>
  </si>
  <si>
    <t>"In addition, two framework agreements were approved for the procurement of up to 9,700 trailers. In a first step, 600 off-road two-wheel trailers with a payload of 3.5 tonnes and 1,680 partially militarised four-wheel trailers with a payload of 12.5 tonnes will be delivered. The trailers are due to reach the troops from this year until 2031. The order is worth almost 82 million euros, which will come from the special fund and the regular defence budget."</t>
  </si>
  <si>
    <t>"Two trailer types are to be procured via two framework agreements. On the one hand, 600 all-terrain two-wheel trailers with a payload of 3.5 tonnes and, on the other, 1,680 partially militarised four-wheel trailers with a payload of 12.5 tonnes are planned as fixed orders. Deliveries are scheduled to begin this year. As the deliveries will take until 2031, 82 million euros have been earmarked for financing, initially from the Bundeswehr special fund and from 2028 from the regular defence budget."</t>
  </si>
  <si>
    <t>DE194_a</t>
  </si>
  <si>
    <t>Off-road two-wheel trailer 3.5t</t>
  </si>
  <si>
    <t>DE194_b</t>
  </si>
  <si>
    <t>Partially-militarised four-wheel trailer 12.5t</t>
  </si>
  <si>
    <t>DE195</t>
  </si>
  <si>
    <t>NH-90 Sea Lion and Sea Tiger training contract</t>
  </si>
  <si>
    <t>"The committee also approved the conclusion of a framework agreement with a company for the training and further education of naval helicopter pilot officers. This involves a full service for a period of seven years to train pilots for the NH-90 Sea Lion and NH-90 Sea Tiger. The training package covers the entire range of services, from setting up and maintaining the training centre, including accommodation and transport for personnel, to theory and simulator training and basic flight training, including night flights. The total contract value is just under 170 million euros, which will be funded by the Bundeswehr special fund and the regular defence budget. "</t>
  </si>
  <si>
    <t>"An external company is to be commissioned with the training of naval helicopter pilot officers. It is planned to conclude a framework agreement for the training and further training of naval helicopter pilot officers. The agreement is to cover the full range of services for the training of pilots for the NATO helicopter NH 90 Sea Lion and NH90 Sea Tiger for a period of seven years. According to the BMVg, the training package covers the entire range of services from setting up and maintaining training operations, including accommodation and transport for personnel, to theory and simulator training and basic flight training, including night flights. As the service period here also extends until 2031, the estimated 170 million euros will initially be raised via the Bundeswehr special fund and from 2028 via the regular defence budget."</t>
  </si>
  <si>
    <t>DE196</t>
  </si>
  <si>
    <t>Airbus A400M Block Upgrade 0</t>
  </si>
  <si>
    <t>"With the decision of the Budget Committee, a contract will be concluded between Belgium, France, Germany, Spain and the UK - represented by the armaments organisation OCCAR - and Airbus. The upgrade will adapt the transport aircraft to changed legal regulations and NATO specifications and eliminate identified weaknesses. The costs for this amount to a total of around 380 million euros, with Germany accounting for a share of just under 152 million euros, which will be financed via the Bundeswehr special fund and the regular defence budget. The A400M is a joint project between Belgium and Luxembourg, Germany, France, the UK, Spain and Turkey for the development and procurement of a total of 170 aircraft. A total of 53 A400Ms are planned for Germany. Delivery of the German transport aircraft began in 2014 and is scheduled to be completed by 2026."</t>
  </si>
  <si>
    <t>"Due to changes in legal regulations, outdated electronics in parts and recognised weak points, the transport aircraft needs to be adapted. A contract between Belgium, France, Germany, Spain and the UK - represented by the defence organisation OCCAR - and Airbus is to be concluded for this purpose. According to the Federal Ministry of Defence, the costs for this amount to a total of around 380 million euros, with Germany accounting for a share of just under 152 million euros, which is to be financed via the Bundeswehr special fund and the regular defence budget. The A400M is a joint project between Belgium and Luxembourg, Germany, France, the UK, Spain and Turkey for the development and procurement of a total of 170 aircraft. A total of 53 A400Ms are planned for Germany. Delivery of the German transport aircraft began in 2014 and is scheduled to be completed by 2026."</t>
  </si>
  <si>
    <t>DE197</t>
  </si>
  <si>
    <t>ClassF124</t>
  </si>
  <si>
    <t>Class 124 frigate electronic warfare system</t>
  </si>
  <si>
    <t>"The committee also approved the procurement and integration of three on-board systems for electronic warfare (EW) on the F124 class frigates. In addition, three shore-based systems will be procured for training and reference purposes. This will replace the previous system after a service life of more than 35 years. The total contract value amounts to around 230 million euros, which will be funded by the Bundeswehr special fund and the regular defence budget."</t>
  </si>
  <si>
    <t>"New electronic warfare systems for the F124 frigates The electronic warfare systems for the three F124 class frigates are approaching the end of their service life after more than 35 years. Three new on-board electronic warfare (EW) systems on the frigates and three shore-based systems for training and reference purposes are planned as replacements. Around 230 million euros have been earmarked for the procurement and integration of the systems. The financing from the special fund and the regular defence budget mentioned by the BMVg suggests that the supply of the systems will extend beyond 2028."</t>
  </si>
  <si>
    <t>DE198</t>
  </si>
  <si>
    <t>ERGR 2 explosion-proof GPS receiver</t>
  </si>
  <si>
    <t>Rockwell Collins Deutschland</t>
  </si>
  <si>
    <t>Rockwell Collins</t>
  </si>
  <si>
    <t>"The procurement of 6,000 explosion-proof GPS receivers was also approved. Their delivery is planned for 2025 and 2026. The procurement costs for the GPS receivers, including accessories, amount to around 43 million euros. They are being financed by the Bundeswehr Special Fund. Initially, the GPS receivers are to be integrated primarily into new equipment. The framework agreement with the manufacturer provides for the purchase of up to 24,000 additional devices over the next seven years."</t>
  </si>
  <si>
    <t>"Under a new framework agreement with a term of seven years for up to 30,000 devices, 6,000 receivers including accessories can be ordered as a firm order. Their delivery is planned for 2025 and 2026. The procurement costs totalling around 43 million euros are available in the Bundeswehr special fund. According to the BMVg, the GPS receivers will initially be integrated into new equipment. As far as is known, the Bundeswehr has previously used explosion-resistant GPS receivers (ERGR II) from Rockwell Collins Germany."</t>
  </si>
  <si>
    <t>DE199</t>
  </si>
  <si>
    <t>"The committee members also approved the extension of services for the HERKULES follow-up project. This 12th amendment contract with the in-house company BWI GmbH comprises a volume of around 6.5 billion euros, which will be financed via the regular defence budget. This means that the services will be extended until 31 December 2030. However, new services will also be added, such as IT-supported collaboration in the Bundeswehr (Groupware Bw) and artificial intelligence."</t>
  </si>
  <si>
    <t>"Around 6.5 billion euros were made available from the regular defence budget for what is now the 12th amendment to the contract with the in-house company BWI GmbH. The service period was extended until 31 December 2030. In addition to the extension of the existing scope of services, new services have been agreed, such as IT-supported collaboration in the Bundeswehr (Groupware Bw) and in the field of artificial intelligence. "</t>
  </si>
  <si>
    <t>DE200</t>
  </si>
  <si>
    <t>https://www.bmvg.de/de/aktuelles/bundeswehr-investiert-in-transportfahrzeuge-satellitentechnik-5855458</t>
  </si>
  <si>
    <t>https://esut.de/2024/11/meldungen/54673/letzter-beschluss-der-legislaturperiode-15-milliarden-euro-fuer-wechselladersysteme-und-die-modernisierung-satcombw-gebilligt/</t>
  </si>
  <si>
    <t>"180 unprotected and 20 protected Rheinmetall MAN Military Vehicles (RMMV) trucks are being procured. The transport vehicles with a maximum payload of 15 tonnes (ZLK payload class 15 t) are equipped with a so-called interchangeable loading device, for example to enable material containers to be loaded and unloaded quickly. The logistics vehicles will be delivered in mid-November. A service life of 20 years is planned. Around 114.5 million euros will be invested from the defence budget. The order is part of a framework agreement with the manufacturer Rheinmetall MAN Military Vehicles GmbH for the delivery of a total of 4,000 protected and unprotected 15-tonne vehicles with swap body systems and additional equipment. To date, the Bundeswehr has ordered 2,523 trucks, 3,421 swap-body platforms and 2,820 tarpaulin and platform superstructures."</t>
  </si>
  <si>
    <t>"The second project discussed by the Budget Committee was the renewed call-off of swap body systems from the framework agreement with Rheinmetall MAN Military Vehicles (RMMV) from June 2020. According to the BMVg, the transport vehicles with a maximum payload of 15 tonnes (ZLK 15 t) are equipped with an interchangeable loading system, for example to quickly load and unload material containers. According to the BMVg, 2,523 lorries, 3,421 swap-body platforms and 2,820 tarpaulin and spring-loaded superstructures have so far been called up from the contract with a volume of up to 4,000 protected and unprotected 15-tonne vehicles with swap-body loading systems and additional equipment. 114.5 million euros have now been released from the core budget for the procurement of 180 unprotected and 20 protected lorries. The logistics vehicles are to be delivered in November. This means that the invoice for these vehicles can also be paid this year, an urgently needed contribution to the outflow of funds."</t>
  </si>
  <si>
    <t>DE200_a</t>
  </si>
  <si>
    <t>DE200_b</t>
  </si>
  <si>
    <t>DE201</t>
  </si>
  <si>
    <t>"The armed forces are also modernising their satellite-based communication system (SATCOMBw) with around 1.4 billion euros from the special assets of the Bundeswehr and the regular defence budget. The ground segments of the communications system as well as its control and monitoring systems are being brought up to date for this purpose."</t>
  </si>
  <si>
    <t>"The approval of 1.4 billion euros from the special assets of the Bundeswehr and the regular defence budget for the modernisation of the satellite-based communication system (SATCOMBw) was the most important project at the last meeting of the Budget Committee. The ground segments of the communications system as well as its control and monitoring systems are to be brought up to date, the BMVg writes in a press release. According to the BMVg, the Bundeswehr uses SATCOMBw to ensure the supply of information and the command and control of German operational and special forces around the world. Self-sufficient satellite-based communication is also part of Germany's alliance obligations to NATO. By modernising both the stationary and transportable ground stations, the Bundeswehr wants to ensure that it is future-proof in terms of satellite communication. SatComBw Stage 3 is scheduled to go into operation from 2029 and will cover communication requirements."</t>
  </si>
  <si>
    <t>DE202</t>
  </si>
  <si>
    <t>Meteor guided missile</t>
  </si>
  <si>
    <t>https://www.bmvg.de/de/aktuelles/lenkflugkoerper-helm-system-ausbildung-beschaffungen-5858878</t>
  </si>
  <si>
    <t>https://esut.de/2024/11/meldungen/54762/drei-beschaffungsvorhaben-fuer-luft-und-land-gebilligt/</t>
  </si>
  <si>
    <t>"The Budget Committee of the German Bundestag has approved the procurement of Meteor air-to-air missiles and accessories. The Meteor missile is the Eurofighter's main weapon in air combat against medium-range targets. Meteor increases the effectiveness and survivability of the Eurofighter weapon system. The financial requirements for this project, which has now been approved by the budget, total around 521 million euros. This third batch is a follow-up measure - the first two batches have already been delivered."</t>
  </si>
  <si>
    <t>"Following approval by the Budget Committee, the Bundeswehr will be able to procure Meteor air-to-air missiles and accessories for around 521 million euros. According to the BMVg, the Meteor missile is the Eurofighter's main weapon in air combat against medium-range targets. Meteor increases the effectiveness and survivability of the Eurofighter weapon system. The Bundeswehr received the first batch of 150 Meteor missiles in 2016. The second batch of 100 was ordered in 2019 (ESuT reported). The third batch, which has now been approved, can be estimated at around 270 Meteors. Meteor is being realised in a European cooperation (Germany, France, the UK, Italy, Sweden and Spain) under British leadership. "</t>
  </si>
  <si>
    <t>DE203</t>
  </si>
  <si>
    <t>Striker II helmet system for Eurofighter development</t>
  </si>
  <si>
    <t>BAE Systems</t>
  </si>
  <si>
    <t>"The budget holders also gave the green light to the Ministry of Defence's plan to conclude a contract with the UK and Italy to develop and integrate a new pilot helmet system for the Eurofighter called Typhoon Future Helmet Striker II. Germany is contributing around 63 million euros to the project from Section 14 and the economic plan of the Bundeswehr Special Fund. The new Eurofighter helmet system Typhoon Future Helmet Striker II is intended to replace the Striker I system, which has been in use for 20 years. Striker II is intended to maintain the operational readiness of the Eurofighter fleet. It serves to improve the pilot's situational awareness in the cockpit and thus increases the Eurofighter's survivability and assertiveness. The committee approved an amendment agreement that extends the development contract initiated by the UK. This paves the way for Germany and Italy to participate in the integration of the new pilot helmet system. The procurement of the new helmet systems will then follow from 2027."</t>
  </si>
  <si>
    <t>"According to the BMVg, Germany is contributing around 63 million euros to the project from Section 14 and the economic plan of the Bundeswehr Special Fund. BAE Systems is in charge of developing the helmet system and is involving the sensor manufacturer Hensoldt, among others. The new Eurofighter helmet system Typhoon Future Helmet Striker II is intended to replace the Striker I system, which has been in use for 20 years. Striker II is intended to maintain the operational readiness of the Eurofighter fleet. Once development is complete, the new helmet systems are to be procured from 2027."</t>
  </si>
  <si>
    <t>DE204</t>
  </si>
  <si>
    <t xml:space="preserve">"Parliament's Budget Committee also approved a contract worth around 64 million euros to provide training on equipment from the "Digitalisation of Land-Based Operations" (D-LBO) armaments programme through BWI GmbH. The expenditure for this will be paid from the special Bundeswehr assets and the regular defence budget. </t>
  </si>
  <si>
    <t>"Operators and maintenance personnel must be trained in the use of the equipment for the army's upcoming equipment from the "Digitalisation Land-Based Operations" (D-LBO) armaments programme. The Budget Committee has released 62 million euros so that BWI, the Bundeswehr's IT service provider, can create training documents and equipment and carry out the initial D-LBO training. D-LBO will equip the German land forces with modern information and communication tools, writes the BMVg. Training on the equipment is indispensable. The contract therefore regulates the initial training for the D-LBO basic equipment variant in the Bundeswehr. The three projects are financed from the Bundeswehr special fund and from the regular defence budget."</t>
  </si>
  <si>
    <t>DE205</t>
  </si>
  <si>
    <t>Mixed equipment and services</t>
  </si>
  <si>
    <t>https://www.bmvg.de/de/aktuelles/parlament-stimmt-milliardeninvestitionen-fuer-verteidigung-zu-5871974</t>
  </si>
  <si>
    <t>https://defence-network.com/haushaltsausschuss-38-bundeswehr-beschaffungen/</t>
  </si>
  <si>
    <t>"All defence investments that exceed 25 million euros must be approved by the Bundestag's Budget Committee. The committee has now approved 38 defence projects shortly before the parliamentary Christmas break. This means that the important procurement and development contracts with the contractors can still be signed this year. The order value for the approved projects totals more than 20 billion euros, which will be financed from the special fund, among other sources. The Bundeswehr special fund was set up to quickly close the gaps in material and equipment. The soldiers must be equipped in such a way that they can fully fulfil their core mission of national and alliance defence against the backdrop of the new threat situation in the new era."</t>
  </si>
  <si>
    <t>"The Budget Committee of the German Bundestag today approved all €25 million procurement proposals for the Bundeswehr submitted by the Federal Ministry of Defence and the Federal Office for the Armed Forces (BAAINBw). In detail, the Federal Office for the Armed Forces (BAAINBw) can now conclude contracts for the following projects."</t>
  </si>
  <si>
    <t>20 billion Euro, minus known costs of subitems like DE206, DE207, and DE208. Exact items, quantities and/or prices for remaining items are unclear</t>
  </si>
  <si>
    <t>DE205_a</t>
  </si>
  <si>
    <t>"Order for 300 military light off-road trucks under an existing framework agreement. Subject: Successor to the WOLF truck for command and military police tasks."</t>
  </si>
  <si>
    <t>DE205_b</t>
  </si>
  <si>
    <t>Direct infrared countermeasure system for C-130J Hercules</t>
  </si>
  <si>
    <t>"Procurement and integration of six Directed Infrared Countermeasures (DircM) systems in six aircraft (LFZ) of the type C-130J"</t>
  </si>
  <si>
    <t>DE205_c</t>
  </si>
  <si>
    <t>Image intensifier glasses</t>
  </si>
  <si>
    <t>"Exercise of option for 25,000 sets of image intensifier glasses"</t>
  </si>
  <si>
    <t>DE205_d</t>
  </si>
  <si>
    <t>Reactive armour for Puma</t>
  </si>
  <si>
    <t>Vehicular Furniture and Accessories</t>
  </si>
  <si>
    <t>Dynamit Nobel Defence</t>
  </si>
  <si>
    <t>https://dn-defence.com/the-company/news/</t>
  </si>
  <si>
    <t>"Shortly before the holiday break, the Federal Office of Bundeswehr Equipment, Information Technology and In-Service Support (BAAINBw) signed a framework agreement with Dynamit Nobel Defence that will enable the flexible ordering of explosive reactive armor (ERA) modules for the Puma infantry fighting vehicle in the coming years. The signing of the framework agreement is accompanied by an initial order for ERA modules for basic operational stockpiling with a volume in the mid double-digit million Euro range."</t>
  </si>
  <si>
    <t>DE205_e</t>
  </si>
  <si>
    <t>Modular sanitary facilities</t>
  </si>
  <si>
    <t>DE205_f</t>
  </si>
  <si>
    <t>NH-90 inertial navigation system</t>
  </si>
  <si>
    <t>Instruments and Laboratory Equipment</t>
  </si>
  <si>
    <t>Navigational Instruments</t>
  </si>
  <si>
    <t>DE205_g</t>
  </si>
  <si>
    <t>E-Scan radar system for Eurofighter development</t>
  </si>
  <si>
    <t>DE205_h</t>
  </si>
  <si>
    <t>NH-90 helicopter</t>
  </si>
  <si>
    <t>DE205_i</t>
  </si>
  <si>
    <t>"Procurement of 128 steering flight bodies Patriot PAC-3 MSE"</t>
  </si>
  <si>
    <t>DE205_j</t>
  </si>
  <si>
    <t>DE205_k</t>
  </si>
  <si>
    <t>DE205_l</t>
  </si>
  <si>
    <t>Thermal imagery observation device</t>
  </si>
  <si>
    <t>DE205_m</t>
  </si>
  <si>
    <t>"Order of 98 unprotected and 121 protected truck ZLK 15 t with a change of change"</t>
  </si>
  <si>
    <t>DE205_n</t>
  </si>
  <si>
    <t>DE205_o</t>
  </si>
  <si>
    <t>"Order of 65 protected management and functional vehicles of class 3 of the type Dingo 2 A4.1"</t>
  </si>
  <si>
    <t>DE205_p</t>
  </si>
  <si>
    <t>"Order of 185 unprotected militarized transport vehicles supplement class 15t and 164 unprotected militarized transport vehicles supply class 5 t, object: procurement of unprotected transport vehicles for the Brigade Lithuania"</t>
  </si>
  <si>
    <t>DE205_q</t>
  </si>
  <si>
    <t>DE205_r</t>
  </si>
  <si>
    <t>Iris-T SLM air defence system support contract extension</t>
  </si>
  <si>
    <t>DE205_s</t>
  </si>
  <si>
    <t>Eurofighter development</t>
  </si>
  <si>
    <t>DE205_t</t>
  </si>
  <si>
    <t>GIADS air force management system upgrade</t>
  </si>
  <si>
    <t>DE205_u</t>
  </si>
  <si>
    <t>Space surveillance system expansion stage 1 radar share</t>
  </si>
  <si>
    <t>DE205_v</t>
  </si>
  <si>
    <t>Direct infrared countermeasure system for A350</t>
  </si>
  <si>
    <t>DE205_w</t>
  </si>
  <si>
    <t>"Third order from the existing framework agreement (6th amendment and new version) for the procurement of joint radio equipment (SVFuA) and other command radio equipment, subject: 1,147 SVFuA and 12,000 additional command radio equipment (vehicle radio equipment) for D-LBO"</t>
  </si>
  <si>
    <t>DE205_x</t>
  </si>
  <si>
    <t>Vehicle command radio</t>
  </si>
  <si>
    <t>DE205_y</t>
  </si>
  <si>
    <t>Thermal imagery attachments for G27/G28 and MG5</t>
  </si>
  <si>
    <t>DE205_z</t>
  </si>
  <si>
    <t>RS NServTrp cable construction equipment</t>
  </si>
  <si>
    <t>Construction, Mining, Excavating, and Highway Maintenance Equipment</t>
  </si>
  <si>
    <t>Mining, Rock Drilling, Earth Boring, and Related Equipment</t>
  </si>
  <si>
    <t>DE205_aa</t>
  </si>
  <si>
    <t>GV30 hand grenade</t>
  </si>
  <si>
    <t>DE205_ab</t>
  </si>
  <si>
    <t>IT services for electronic warfare systems</t>
  </si>
  <si>
    <t>DE205_ac</t>
  </si>
  <si>
    <t>Cryptomodernisation Project 2a</t>
  </si>
  <si>
    <t>DE205_ad</t>
  </si>
  <si>
    <t>Digital data transport facility (VESUV) project</t>
  </si>
  <si>
    <t>DE205_ae</t>
  </si>
  <si>
    <t>TAURUS lifespan extension</t>
  </si>
  <si>
    <t>DE205_af</t>
  </si>
  <si>
    <t>Distributed training architecture for the Navy (VTAM)</t>
  </si>
  <si>
    <t>DE205_ag</t>
  </si>
  <si>
    <t>Deployable data center</t>
  </si>
  <si>
    <t>"Procurement/Development German Mission Network Block 1, Solution Complement 1.2, Deployable Data Center Series (GMN 1 LK1.2 vRz Series), Subject: Procurement of 24 deployable data centers"</t>
  </si>
  <si>
    <t>DE205_ah</t>
  </si>
  <si>
    <t>F127 frigate development</t>
  </si>
  <si>
    <t>DE205_ai</t>
  </si>
  <si>
    <t>U212 Common Design submarine guided missiles</t>
  </si>
  <si>
    <t>DE205_aj</t>
  </si>
  <si>
    <t>Evolved Sea Sparrow Block 2 missile</t>
  </si>
  <si>
    <t>DE205_ak</t>
  </si>
  <si>
    <t>German Mission Network Block 1 project</t>
  </si>
  <si>
    <t>DE205_al</t>
  </si>
  <si>
    <t>Patriot air defence launcher conversion kit</t>
  </si>
  <si>
    <t>Launchers, Guided Missile</t>
  </si>
  <si>
    <t>"Procurement of 128 PATRIOT PAC-3 MSE guided missiles and 16 PATRIOT PAC-3 MSE launcher conversion kits"</t>
  </si>
  <si>
    <t>DE206</t>
  </si>
  <si>
    <t>Precision and Universal Launcher System (PULS)</t>
  </si>
  <si>
    <t>Launchers, Rocket and Pyrotechnic</t>
  </si>
  <si>
    <t>https://thedefensepost.com/2025/01/09/germany-puls-rocket-artillery/</t>
  </si>
  <si>
    <t>"The German Parliament has approved a 65-million-euro ($68 million) purchase of an initial batch of five Elbit-made PULS rocket artillery systems for the German Army. It is part of record defense spending of 20 billion euros ($20.7 billion) approved last month"</t>
  </si>
  <si>
    <t>DE207</t>
  </si>
  <si>
    <t>https://esut.de/2024/12/meldungen/55634/modernisierung-und-ergaenzung-der-bekleidung/</t>
  </si>
  <si>
    <t>"For example, the committee approved a further increase in the scope of services in clothing supply by Bw Bekleidungsmanagement GmbH with a volume in the billions. This includes further procurements of clothing and personal equipment in the sense of a continuous modernisation of the entire range of articles, but also logistical measures, for example to secure storage capacities and to build up supplies in Lithuania. "</t>
  </si>
  <si>
    <t>"The Procurement Office lists new, contemporary service clothing for active troops and the reserve, with improved fit and optimised outer material, modernisation of sportswear with greater wearing comfort and improved functionality, new combat clothing for the Bundeswehr's special forces as contract items, as a coordinated set with different modules and in different camouflage print variants for adequate equipment for deployment in different vegetation and climate zones, replenishment of existing items, not least due to the sharp increase in the volume of newly procured clothing and operational services provided by BwBM GmbH, including for additional procured and optimised clothing.According to the BAAINBw, the funding now available will therefore be used to drive forward the optimisation of merchandise management as well as the digitalisation of logistics processes at the service stations. The 5th amendment agreement includes both new services and the corresponding funding for the years 2025 to 2032. In the discussions prior to approval by the Budget Committee, a financial volume of more than 800 million euros was mentioned. The contract will take effect when the 2025 budget comes into force (i.e. mid-2025 at the earliest)."</t>
  </si>
  <si>
    <t>DE208</t>
  </si>
  <si>
    <t>Thyssenkrupp Marine Systems</t>
  </si>
  <si>
    <t>"Funding was also released for the construction of further Class 212 CD submarines at the last meeting in 2024. The production of two submarines has already been approved. The submarines are based on the tried-and-tested Class 212 A, but with improved sensor technology, range and sound signature."</t>
  </si>
  <si>
    <t>DE209</t>
  </si>
  <si>
    <t>120mm mobile heavy mortar system development</t>
  </si>
  <si>
    <t>Guns, 75mm through 125mm</t>
  </si>
  <si>
    <t>https://www.bmvg.de/de/aktuelles/beschaffung-moersersystem-idz-ausstattungen-tawan-richtfunknetz-5882320</t>
  </si>
  <si>
    <t>https://esut.de/2025/01/meldungen/56952/beschaffungen-fuer-25-milliarden-euro-auf-den-letzten-druecker/</t>
  </si>
  <si>
    <t>"The Budget Committee has approved funding for a development contract to procure a wheeled, heavy 120-millimeter mortar system. This will provide the Bundeswehr with vehicles based on the Finnish Patria 6x6 wheeled armored vehicle for qualification and adaptation of the system to the Bundeswehr's needs. This includes, for example, the integration of digital radio equipment and the connection of the fire control system to the ADLER command and weapon system.
Series production of the new CAVS Common Armored Vehicle System mortar system will begin at a later date and will be submitted separately to the Budget Committee for approval. The entire project costs approximately €51 million and will be financed from the Bundeswehr Special Fund and, starting in 2028, from the regular defense budget."</t>
  </si>
  <si>
    <t>"With this project, the Bundeswehr is embarking on the procurement of the Finnish Patria 6×6 wheeled vehicle from the international CAVS (Common Armored Vehicle System) program. The Budget Committee has approved €51 million for the development of the heavy mortar system. This funding will enable the development and construction of two prototypes of the mortar carrier using the semi-automatic NEMO mortar and a prototype command vehicle, which will be delivered in 2025 and 2026, respectively. Series production is scheduled to begin in 2027, following a further €25 million budget."</t>
  </si>
  <si>
    <t>DE210</t>
  </si>
  <si>
    <t>TaWAN radio relay network</t>
  </si>
  <si>
    <t>"The Tactical Wide Area Network for Land-Based Operations (TaWAN LBO), with its radio relay management and command interface vehicle components, ensures the networking of deployable and mobile facilities. It also serves to connect the Digitalization of Land-Based Operations (D-LBO) network to the rear core network and to networks of multinational partners. It is of paramount importance for the integrated land-based information and communications network and thus contributes to ensuring command and control capability through satellite-independent connectivity (two-way support), thus increasing resilience. The investment costs amount to just under €1.9 billion and are financed through the Bundeswehr Special Fund and the regular defense budget."</t>
  </si>
  <si>
    <t>"The project with the largest financial volume is the Tactical Wide Area Network for Land-Based Operations (TaWAN LBO), for which a framework contract totaling €5.5 billion has been earmarked. €1.9 billion has been earmarked for the firm contract for the first portion, which is to be implemented immediately. The wide area network is intended to connect the Army's deployable facilities, from the formation upwards, to each other, to the rear core network, and to multinational partners with high data rates."</t>
  </si>
  <si>
    <t>DE211</t>
  </si>
  <si>
    <t>Vehicle-mounted weapons system</t>
  </si>
  <si>
    <t>Assemblies Interchangeable Between Weapons in Two or More Classes</t>
  </si>
  <si>
    <t>https://esut.de/en/2025/02/meldungen/56995/bestand-an-fernbedienbaren-waffenstationen-flw-wird-aufgefuellt/</t>
  </si>
  <si>
    <t>"The committee also approved funding for the procurement of additional Remotely Operated Light Weapon Stations (FLW 100s). The contract is valued at approximately €48 million and will be financed through the Bundeswehr Special Fund. Various Bundeswehr protected command and functional vehicles – such as the Dingo, Boxer, Fennek, and Eagle – as well as modern protected and unprotected transport vehicles already have the necessary interfaces for the integration of an FLW. "</t>
  </si>
  <si>
    <t>"With a ten-year framework contract, the Bundeswehr intends to expand its inventory of remotely operated light weapon stations and associated gun carriage-adapted aiming systems (LAZ) and smoke grenade launchers. The FLW is manufactured by KNDS Deutschland, and the LAZ is manufactured by Rheinmetall Electronics. Introduced in 2008, the FLW with LAZ is designed for the self-defense of the crews of armored personnel carriers (GTF/GFF). The lighter FLW 100 can be used with light machine guns, and the heavier FLW 200 with machine guns up to .50 caliber and grenade launchers. A firm order for 126 FLW 100s and LAZ 200s is to be procured, valued at €48 million. Priority is given to equipping the combat troops brigade being established in Lithuania. The Budget Committee has approved €48 million for this purpose. Delivery is scheduled for 2026/2027."</t>
  </si>
  <si>
    <t>"On January 29, the Budget Committee of the German Bundestag approved €48 million for the procurement of an initial tranche. For this purpose, 126 FLW 100s are to be ordered from the manufacturer KNDS Deutschland and 126 associated mount-adapted sensor units (LAZ 200) from Rheinmetall Electronics for delivery in 2026 and 2027.The €48 million released for the firm order is to come from the special fund. The procurement contract is classified as a continuation of the ongoing procurement, which is necessary and objectively required, among other things, to equip the Lithuanian Brigade. Therefore, the conclusion of the contract is permissible under Article 111 of the Basic Law."</t>
  </si>
  <si>
    <t>DE211_a</t>
  </si>
  <si>
    <t>Remote-controlled light weapon station FLW-100</t>
  </si>
  <si>
    <t>DE211_b</t>
  </si>
  <si>
    <t>Mount-adapted sensor unit LAZ 200</t>
  </si>
  <si>
    <t>Rheinmetall Electronics</t>
  </si>
  <si>
    <t>DE212</t>
  </si>
  <si>
    <t>Anti-tank missile system</t>
  </si>
  <si>
    <t>"The Budget Committee also approved the conclusion of a framework agreement for the manufacture and supply of launchers and ammunition for Wirkmittel 90 and Panzerfaust 3. The conclusion of the framework agreement also includes a firm order for various effectors for Wirkmittel 90, with a total financial requirement of approximately €103 million, which will be raised from the Bundeswehr Special Fund."</t>
  </si>
  <si>
    <t>"A framework agreement is to be agreed upon for the manufacture and supply of launchers and ammunition for the Wirkmittel 90 and the Panzerfaust 3. The manufacturer is Dynamit Nobel Defence. According to the Federal Ministry of Defence, the conclusion of the framework agreement will also result in a firm order for various effectors for the Wirkmittel 90, with a total financial requirement of approximately 103 million euros, which will be raised through the Bundeswehr Special Fund."</t>
  </si>
  <si>
    <t>DE212_a</t>
  </si>
  <si>
    <t>Workmittel 90 launcher</t>
  </si>
  <si>
    <t>DE212_b</t>
  </si>
  <si>
    <t>Workmittel 90 ammunition</t>
  </si>
  <si>
    <t>DE212_c</t>
  </si>
  <si>
    <t>Panzerfaust 3 launcher</t>
  </si>
  <si>
    <t>DE212_d</t>
  </si>
  <si>
    <t>Panzerfaust 3 ammunition</t>
  </si>
  <si>
    <t>DE213</t>
  </si>
  <si>
    <t>https://esut.de/2025/02/meldungen/57190/idz-es-nachbeschaffung-und-regeneration/</t>
  </si>
  <si>
    <t>"The "Infantryman of the Future" (IdZ) soldier system is used by the Bundeswehr primarily in the Jäger and Panzergrenadier units. It represents modern – particularly digital – equipment for soldiers. This includes clothing, protection, weapons, optics, radio and command equipment. The introduction of IdZ equipment has significantly increased the personal mobility, survivability, and endurance of infantrymen. The blueprint for the project is the design status developed and field-tested within the framework of the Panzergrenadier VJTF Very High Readiness Joint Task Force 2023 system. Thanks to the modern command and control tools and the Battle Management System specifically designed for the requirements of the infantry, command and control within a company are significantly simplified. Furthermore, thanks to modern night vision and night-sighting systems, the system enables combat by day, night, and even in conditions of limited visibility. The financial requirement for the procurement amounts to almost 418 million euros, which will be financed through the Bundeswehr special fund."</t>
  </si>
  <si>
    <t>"The modern – particularly digital – equipment for the soldiers includes clothing, protection, weapons, optics, radio and command equipment. The introduction of the IdZ equipment has significantly increased the personal mobility, survivability, and endurance of the infantrymen. Platoon systems are being procured. These are equipment for one platoon of dismounted combat soldiers, each with around 30 personnel. The prime contractor will be the Rheinmetall Electronics division of the Düsseldorf-based technology group, which has also previously supplied the IdZ systems. The Budget Committee has approved €418 million for the project. Based on findings from previous procurements, the procurement scope can be estimated at more than one hundred train systems (equivalent to approximately 3,000 passenger equipment)."</t>
  </si>
  <si>
    <t>"The conclusion of the contract is linked to a firm order, for which the Budget Committee of the German Bundestag released €417.7 million from the special fund and the core budget on January 29. Since this is a continuation measure, the conclusion of the contract is permissible under Article 111 of the German Basic Law even without a legally binding budget. For this purpose, 68 IdZ-ES train systems are to be upgraded to a digital standard and obsolescence eliminated, and a further 24 train systems, including extensive peripherals, are to be procured by 2027, according to the Reinmetall press release. The framework contract stipulates a new design status for the IdZ-ES. Based on the VJTF 2023 status, Rheinmetall stated that all technically outdated components were eliminated, and the communication and data exchange capabilities with the Boxer armored transport vehicle and Puma infantry fighting vehicle were implemented and prepared for the airborne platform. The revised basic hardware of the soldier systems is also prepared, as far as possible, for connection to the "Digitalization of Land-Based Operations" (D-LBO) information and communications network."</t>
  </si>
  <si>
    <t>DE214</t>
  </si>
  <si>
    <t>Joint Strike missile</t>
  </si>
  <si>
    <t>Kongsberg Defence &amp; Aerospace</t>
  </si>
  <si>
    <t>Raytheon Missiles &amp; Defense</t>
  </si>
  <si>
    <t xml:space="preserve">https://www.bmvg.de/de/aktuelles/beschaffung-marschflugkoerper-selbstschutzsysteme-5951954 </t>
  </si>
  <si>
    <t xml:space="preserve">https://defence-network.com/vier-neue-beschaffungsvorhaben-beschlossen/ </t>
  </si>
  <si>
    <t xml:space="preserve">https://en.wikipedia.org/wiki/Joint_Strike_Missile </t>
  </si>
  <si>
    <t>"Furthermore, following a decision by the Budget Committee, Joint Strike Missiles (JSM) for the F-35A can be procured as part of a cooperation with Norway. The approximately €677 million required will be provided from the special fund and the regular defence budget."</t>
  </si>
  <si>
    <t>"The Joint Strike Missile is a precision-guided cruise missile with a long range and distance control. The JSM is an air-to-ground system that can combat threats on land and at sea. The weapon has an infrared seeker head for autonomous threat detection, can fly deep below the radar and has a navigation system that supports course changes in flight to enable evasive manoeuvres. In future, the F-35A will take over the nuclear sharing role previously assigned to the Tornado fighter-bomber in the Air Force until it is decommissioned. It will also be used as a fighter-bomber to engage enemy targets on the ground and provide close air support to its own troops."</t>
  </si>
  <si>
    <t>DE215</t>
  </si>
  <si>
    <t>Direct infrared countermeasure system for A400M</t>
  </si>
  <si>
    <t>"With the committee's approval, a contract for the procurement and serial installation of Directed Infrared Countermeasures systems for the Air Force's A400M aircraft was also signed on 5 June 2025. This will enhance the transport aircraft's self-protection system against modern guided missiles, thereby improving the A400M's capabilities for national and alliance defence. The necessary funds of just under €760 million will be financed from the special fund and the regular defence budget. The new systems will be installed over the next few years."</t>
  </si>
  <si>
    <t>DE216</t>
  </si>
  <si>
    <t>Installation of DIRCM system for A400M</t>
  </si>
  <si>
    <t>https://www.airbus.com/en/newsroom/press-releases/2025-06-more-safety-for-a400m-crews-airbus-signs-contract-to-equip-german</t>
  </si>
  <si>
    <t>"The fourth procurement project involved the installation of 23 DIRCM (Direct Infrared Counter Measures) systems in 23 A400M transport aircraft. The project volume amounts to around €172 million in the form of an unscheduled commitment authorisation from the 2024 defence budget. Last year, DIRCM systems were already approved for the German Armed Forces' C-130J fleet."</t>
  </si>
  <si>
    <t>DE217</t>
  </si>
  <si>
    <t>J-MUSIC DIRCM system for A400M</t>
  </si>
  <si>
    <t>https://www.elbitsystems.com/news/elbit-systems-awarded-260-million-contract-supply-dircm-self-protection-systems-germanys-a400m</t>
  </si>
  <si>
    <t>https://esut.de/en/2025/09/meldungen/63482/dircm-geschuetzte-a400m-an-die-truppe-ausgeliefert/</t>
  </si>
  <si>
    <t>"Elbit Systems Ltd announced today that it was awarded a contract worth approximately $260 million by Airbus Defence and Space ("Airbus DS") to supply its J-MUSIC™ Directed Infrared Counter Measures (DIRCM) self-protection systems, for installation on the German Air Force A400M transport aircraft. The contract, to be executed over a 6-year period, follows a procurement decision by the Federal Office for Equipment, Information Technology and Operations of the Bundeswehr (BAAINBw)."</t>
  </si>
  <si>
    <t>DE218</t>
  </si>
  <si>
    <t>Decoy targets for self-protection of various military aircraft</t>
  </si>
  <si>
    <t>"The German Armed Forces may also conclude a framework agreement on the procurement of so-called decoy targets for the self-protection of aircraft. These decoys mislead enemy guided missiles. "</t>
  </si>
  <si>
    <t>"They simulate or mask the hot engine gases emitted by their own aircraft or simulate a radar echo. This distracts the enemy missile from its actual target. The decoys can be used in various types of aircraft belonging to the German Armed Forces. The framework agreement has a contract value of up to around €282 million."</t>
  </si>
  <si>
    <t>DE219</t>
  </si>
  <si>
    <t>NATO Eurofighter and Tornado Management Agency</t>
  </si>
  <si>
    <t>"The committee has approved preparations for the development of an automated radar operating concept and sensor management system for the Eurofighter. The aim of the project is to develop a sensor management capability that will enable pilots to make full use of the radar's capabilities while reducing the amount of work required to optimally deploy the aircraft's various sensors."</t>
  </si>
  <si>
    <t>"This development represents an investment in the future viability of the weapon system, as the Eurofighter will remain the backbone of the Air Force for a long time to come, enabling it to fulfil its national and alliance obligations. Originally designed as a fighter aircraft, the machine is therefore undergoing continuous development so that it can also perform air-to-ground capabilities, for example. In addition, its electronic warfare capabilities are being expanded."</t>
  </si>
  <si>
    <t>"The development contract is being handled by the NATO North Atlantic Treaty Organisation agency NETMA (NATO North Atlantic Treaty Organisation Eurofighter and Tornado Management Agency) and amounts to around €183 million for the four nations involved in the Eurofighter project: Germany, Spain, Italy and the United Kingdom. Germany's share is just under €60 million and is being financed by the Bundeswehr special fund."</t>
  </si>
  <si>
    <t>DE220</t>
  </si>
  <si>
    <t>Litening 5 laser target illumination for Eurofighter</t>
  </si>
  <si>
    <t>https://www.bmvg.de/de/aktuelles/haushaltsausschuss-genehmigt-investitionen-in-milliardenhoehe-5957266</t>
  </si>
  <si>
    <t>https://www.hartpunkt.de/litening-5-luftwaffe-darf-90-neue-zielbeleuchtungsbehaelter-fuer-den-eurofighter-beschaffen/</t>
  </si>
  <si>
    <t>"The Air Force is receiving various laser target illuminators for the Eurofighter. Delivery will take place shortly. The committee has approved the order, which is worth around €358 million. The procurement is being financed by the Bundeswehr special fund and the regular defence budget. The laser target illuminator replaces an older model."</t>
  </si>
  <si>
    <t>"The new model of laser target designator significantly improves target location capabilities, particularly when engaging moving targets. The new model series also enhances the Eurofighter's reconnaissance capabilities."</t>
  </si>
  <si>
    <t>"At its meeting yesterday, the German Bundestag's Budget Committee approved the 25 million euro proposal for the procurement of 90 new Litening 5 target illumination pods for the Eurofighter. This was confirmed to hartpunkt by well-informed sources. The Defence Committee had already approved the project yesterday morning. This means that a procurement contract can now be concluded with the Israeli defence contractor Rafael Advanced Defence Systems, the manufacturer of the target illumination and reconnaissance pod. According to reports, budget funds of around €350 million have been approved. The project will be financed in part from the Bundeswehr's special fund and in part from the regular defence budget. "</t>
  </si>
  <si>
    <t>DE221</t>
  </si>
  <si>
    <t>Infrared Clip-on device (IR-COD)</t>
  </si>
  <si>
    <t>Theon International</t>
  </si>
  <si>
    <t>Andres Industries AG</t>
  </si>
  <si>
    <t>https://esut.de/2025/06/meldungen/60926/sieben-beschaffungsvorhaben-fuer-mehr-als-drei-milliarden-euro-gebilligt/</t>
  </si>
  <si>
    <t>https://www.occar.int/news/occar-announces-infrared-clipon-devices-contract-award</t>
  </si>
  <si>
    <t>"Following a decision by the committee, the German Armed Forces can conclude a framework agreement on the manufacture and delivery of clip-on thermal imaging devices for image intensifier goggles. Initially, units worth around 49 million euros will be ordered. Additional units may be ordered as an option. The devices will be procured in cooperation with Belgium through the European armaments agency OCCAR (Organisation Conjointe de Coopération en Matière d’Armement) and financed through the special fund."</t>
  </si>
  <si>
    <t>"OCCAR is proud to announce the successful award of a landmark contract for the procurement of Infrared Clip-on Devices (IRCODs) on behalf of Belgium and Germany. Following a competitive Europe-wide tender process, the contract has been awarded to a consortium comprising THEON Sensors S.A. and Andres Industries AG, two leading innovators in thermal imaging technology."</t>
  </si>
  <si>
    <t>DE222</t>
  </si>
  <si>
    <t>Modernisation of U212A</t>
  </si>
  <si>
    <t>TKMS AG &amp; Co. KGaA</t>
  </si>
  <si>
    <t>https://www.thyssenkrupp.com/de/newsroom/pressemeldungen/pressedetailseite/800-millionen-euro-grossauftrag-fur-tkms:-umfassende-modernisierung-von-sechs-u-booten-des-typs-212a-der-deutschen-marine-299320</t>
  </si>
  <si>
    <t>"A contract for modernisation can be concluded for the U212A class submarines. First and foremost, navigation equipment, weapon guidance systems, sonar systems and electronic support systems will be upgraded, particularly on the four boats in the first batch. The financial requirement amounts to around one billion euros. The investment will be financed from the special fund and the regular defence budget. The conversion will take place in parallel with scheduled maintenance at the shipyard in order to minimise downtime. This means that the submarines will remain available for deployment."</t>
  </si>
  <si>
    <t>"TKMS has signed one of the largest service contracts in the company's history with the Federal Office of Bundeswehr Equipment, Information Technology and In-Service Support (BAAINBw). The official contract signing took place today in Koblenz. As the general contractor, TKMS will provide comprehensive modernisation and support services for the six German Type 212A submarines. The contract has a total volume of more than €800 million and a term of ten years."</t>
  </si>
  <si>
    <t>1 billion Euro according to Source 1, 800 million Euro according to Source 3.</t>
  </si>
  <si>
    <t>DE223</t>
  </si>
  <si>
    <t>NBC defence equipment</t>
  </si>
  <si>
    <t>Decontaminating and Impregnating Equipment</t>
  </si>
  <si>
    <t>"The committee also approved the conclusion of a framework agreement for the procurement of decontamination equipment to expand NBC (nuclear, biological and chemical) defence capabilities. The project will be financed by the Bundeswehr special fund and the regular Section 14 budget. The equipment in question is mobile and can be deployed quickly. It is used after the deployment of NBC weapons or after the release of industrial toxic hazardous substances."</t>
  </si>
  <si>
    <t>"Mobile and rapidly deployable decontamination equipment is to be procured under a framework agreement. The equipment is needed to decontaminate transportable (special) devices after the use of NBC weapons or the release of industrial toxic hazardous substances. This will supplement the capabilities and capacities that the German Armed Forces has maintained for almost 20 years with the TEP 90 (Troop Decontamination Site 90). As a firm order, 19 pieces of equipment are to be called up immediately upon conclusion of the contract. The Federal Ministry of Defence has not disclosed the total number or the financial volume. A cautious estimate puts the cost of the 19 units at around 30 million euros."</t>
  </si>
  <si>
    <t>First delivery under the framework agreement at secondary source estimated price</t>
  </si>
  <si>
    <t>DE224</t>
  </si>
  <si>
    <t>NH90 simulator upgrade</t>
  </si>
  <si>
    <t>NHIndustries</t>
  </si>
  <si>
    <t>"Following a decision by the committee, the Navy's NH90 simulators are to be upgraded. The two simulators need to be adapted so that the ongoing development and current design status of the Navy helicopters can be integrated into the simulators and thus taken into account in training. The costs for this amount to around 46.5 million euros, which will be financed by the Bundeswehr special fund and the regular defence budget."</t>
  </si>
  <si>
    <t>"Since 2023, the Marienfliegerkommando has had five simulators at its disposal for training the crews of the NH90 Sea Lion naval helicopters. With ongoing development, the design of the helicopters has changed. These can now be integrated into the simulators and thus taken into account in training."</t>
  </si>
  <si>
    <t>DE225</t>
  </si>
  <si>
    <t>"Furthermore, the committee approved the conclusion of a framework agreement for the manufacture and delivery of 120 belts in 7.62 millimetre by 51 calibre for the MG3 and MG5 machine guns. The financial volume is around 300 million euros. The framework agreement will contribute to the planning and supply security of the German Armed Forces with ammunition. The investment requirements will be covered by the special fund and the regular defence budget."</t>
  </si>
  <si>
    <t>"With a multi-partner framework agreement for the procurement of 120-round cartridge belts, the German Armed Forces aims to ensure the supply of 7.62*51 mm calibre ammunition for training with MG 3 and MG 5 machine guns. The agreement lists several companies that can be called upon to deliver at short notice, depending on their current capacity. The financial volume of €300 million specified by the Federal Ministry of Defence is sufficient for 300 million rounds, which will cover training for several years. Procurement over the foreseeable future of several years can be seen from the financing from the Bundeswehr's special fund and the core budget."</t>
  </si>
  <si>
    <t>DE226</t>
  </si>
  <si>
    <t>IT services</t>
  </si>
  <si>
    <t>"The committee also approved the next expansion of services for the HERKULES follow-up project. HERKULES was a major IT project to modernise the non-military IT equipment of the German Armed Forces. The follow-up project will continue the development and operation of information and communication technology for the Bundeswehr. The 13th amendment agreement with the in-house company BWI GmbH, a limited liability company, which has now been approved, has a volume of just under 1.5 billion euros and will run until the end of 2030."</t>
  </si>
  <si>
    <t>"The 2025 service expansion includes, for example, IT support for the stationing of the Lithuanian brigade and enhancements in the area of cloud computing. Overall, the continuation and further development of BWI's IT services, as well as the new services, contribute to increasing the resilience and future-proof digitalisation of the German Armed Forces."</t>
  </si>
  <si>
    <t>"The largest volume is accounted for by the extension of the service contract with BWI in the HERKULES follow-up project, in which information and communication technology for the German Armed Forces is being further developed and operated. In the 13th amendment to the contract, worth just under 1.5 billion euros (running until 2030), IT support for the deployment of the brigade in Lithuania is to be agreed with BWI. In addition, the cloud computing system that went into operation at the beginning of the year is to be expanded. According to the Federal Ministry of Defence, the continuation and further development of BWI's IT services, as well as the new services, will contribute to increasing the resilience and future-proof digitalisation of the German Armed Forces.
Financing will be provided entirely from Section 14 of the budget."</t>
  </si>
  <si>
    <t>DE227</t>
  </si>
  <si>
    <t>Armoured and unarmoured transport vehicles (WLS)</t>
  </si>
  <si>
    <t>Rheinmetall MAN Military Vehicles GmbH</t>
  </si>
  <si>
    <t>https://www.bmvg.de/de/aktuelles/haushaltsausschuss-billigt-beschaffung-transportfahrzeuge-5961464</t>
  </si>
  <si>
    <t>https://www.rheinmetall.com/de/media/news-watch/news/2025/08/2025-08-04-bundeswehr-ruft-bei-rheinmetall-ueber-1-000-logistikfahrzeuge-ab</t>
  </si>
  <si>
    <t>"The German Armed Forces has commissioned Rheinmetall to supply more than 1,000 logistics vehicles with a total gross value of around €770 million. This includes 963 vehicles with swap body systems (WLS), some of which have protected cabs, as well as swap body flatbeds and tarpaulin bow structures. In addition, 425 unprotected transport vehicles (UTF) have been ordered. The UTF vehicles are available in 4x4 and 8x8 variants."</t>
  </si>
  <si>
    <t>"Delivery of the approximately 1,400 vehicles ordered will take place before the end of this year. The orders have been booked for the third quarter of 2025. "</t>
  </si>
  <si>
    <t>Own calculation based on Rheinmetall press statement</t>
  </si>
  <si>
    <t>DE228</t>
  </si>
  <si>
    <t>Unarmoured transport vehicles (UTF)</t>
  </si>
  <si>
    <t>"The UTFs are call-offs from the framework agreement concluded in July 2024 – the largest order in the company's history in the field of logistics vehicles to date. This agreement provides for the delivery of up to 6,500 vehicles with a gross value of up to €3.5 billion. The framework agreement gives the German Armed Forces the flexibility to order additional units of the already introduced UTF 5t and UTF 15t over a period of seven years. In addition, the new vehicle class, which is now part of the call-off, was introduced via the framework agreement. This is the 4x4 variant UTF 3.5 t, which has a maximum number of common parts with the UTF family."</t>
  </si>
  <si>
    <t>DE229</t>
  </si>
  <si>
    <t>German Heron TP</t>
  </si>
  <si>
    <t>https://www.bmvg.de/de/aktuelles/gruenes-licht-fuer-sieben-weitere-beschaffungsvertraege-5991106</t>
  </si>
  <si>
    <t>https://www.airbus.com/en/newsroom/press-releases/2024-05-the-heron-tp-rpas-produced-by-uav-peo-at-the-directorate-of-defense</t>
  </si>
  <si>
    <t>"The German Armed Forces currently has five German Heron TP drones. Now, additional armed surveillance and reconnaissance drones of the same type are to be procured as part of a government agreement. The Budget Committee has approved €630 million for this purpose. According to the information available, the delivery includes both the electronic surveillance capabilities and a spare parts package, as well as training for the operating personnel. "</t>
  </si>
  <si>
    <t>"The German Heron TP (GHTP), produced by UAV PEO at the Directorate of Defense, Research and Development at the IMoD and Israel Aerospace Industries, has today (15.5.2024) flown in German airspace for the first time. The Remotely Piloted Aircraft System (RPAS) was customized for the unique requirements of the German Ministry of Defence, as part of a joint venture between IAI, Israel’s Ministry of Defense’s Directorate of Defense Research and Development (DDR&amp;D), and Airbus."</t>
  </si>
  <si>
    <t>DE230</t>
  </si>
  <si>
    <t>PAC-2 GEM-T missiles</t>
  </si>
  <si>
    <t>https://esut.de/2025/09/meldungen/63489/vorhaben-fuer-luftverteidigung-und-aufklaerung-gebilligt/</t>
  </si>
  <si>
    <t xml:space="preserve">https://www.edrmagazine.eu/nspa-supports-germany-with-contract-for-additional-patriot-missiles </t>
  </si>
  <si>
    <t>"The Budget Committee also approved the procurement of additional Patriot Phased Array Tracking Radar to Intercept on Target GEM-T (Guidance Enhanced Missile – Tactical Ballistic Missile) guided missiles, including accessories and spare parts, as an emergency package."</t>
  </si>
  <si>
    <t>"The largest share is accounted for by the planned procurement of GEM-T (German Guidance Enhanced Missile – Tactical Ballistic Missile) missiles for the Patriot air defence system. The Budget Committee has allocated just under €1.3 billion for immediate procurement to supplement the Bundeswehr's inventory. Based on known prices, this will allow for the procurement of around 600 missiles. The funds are earmarked for the 2025 budget. As delivery this year is unlikely, the funds are expected to be paid out as an advance payment. A further €257 million is earmarked in Section 60 for the replacement procurement of GEM-T missiles for delivery to Ukraine. Based on the above calculation, this will allow for the order of around 100 missiles. "</t>
  </si>
  <si>
    <t>DE231</t>
  </si>
  <si>
    <t>DE232</t>
  </si>
  <si>
    <t>M903 launcher for PAC-3 MSE missiles</t>
  </si>
  <si>
    <t xml:space="preserve">https://news.lockheedmartin.com/2023-05-11-lockheed-martins-pac-3-mse-interceptor-launched-from-german-patriot-launcher </t>
  </si>
  <si>
    <t>"The purchase of M903 conversion kits for the Patriot Phased Array Tracking Radar to Intercept on Target launcher for firing PAC-3 MSEMissile Segment Enhancement guided missiles was also approved. These conversion kits will be used to supply the launcher electronics for the launchers ordered last year. The procurement is being carried out by the US government via the Foreign Military Sales (FMSFull-Mission Simulators) procedure. The contract value amounts to approximately 114 million euros."</t>
  </si>
  <si>
    <t>"While GEM-T guided missiles can be used against a wide range of threats, PAC-3 MSEMissile Segment Enhancement guided missiles are optimised for combating medium-range ballistic missiles. Together with the planned purchase of additional PAC-3 MSEMissile Segment Enhancement guided missiles, the German Armed Forces' missile defence capabilities will be significantly improved."</t>
  </si>
  <si>
    <t>"In order for the German Patriot system to be able to use the enhanced PAC-3 MSE (Missile Segment Enhancement) missile, the launchers need to be modified. The Budget Committee has approved €114 million for the purchase of M903 conversion kits. The kits are to be procured through the Foreign Military Sales process. "</t>
  </si>
  <si>
    <t>DE233</t>
  </si>
  <si>
    <t>Protected mobile command post for IT systems and work stations</t>
  </si>
  <si>
    <t>"The Bundestag's budget committee also approved two framework agreements, each worth over €25 million, for the design, manufacture and delivery of standardised functional container shells. These are intended for IT workstations and IT systems engineering. Some of the functional container shells are equipped with ballistic protection. They are to be used, for example, in command posts during land-based operations. The functional container shells are financed from Section 14 and the Bundeswehr Special Fund. The firm order from both contracts is to be placed in 2026. Further functional container shells of this type can be ordered in larger quantities for other projects."</t>
  </si>
  <si>
    <t>"In two framework agreements worth €351 million, the German Armed Forces intends to procure standardised, ballistically protected containers for the scaffolding of IT workstations and other system technology. The main area of application will be land-based operations. As a firm order, an undisclosed number of containers are to be called up in the first batch for delivery next year. The Budget Committee has approved €34 million for this purpose."</t>
  </si>
  <si>
    <t>2 framework that could not be split</t>
  </si>
  <si>
    <t>DE235</t>
  </si>
  <si>
    <t>Role 2B medical facilities</t>
  </si>
  <si>
    <t>Rheinmetall Technical Publications</t>
  </si>
  <si>
    <t>https://esut.de/2025/09/meldungen/63258/geschuetzte-hochmobile-sanitaetseinrichtungen-role-2b-fuer-die-bundeswehr/</t>
  </si>
  <si>
    <t>"At its meeting, the committee approved funds amounting to just under €400 million for the procurement of highly mobile medical facilities. The framework agreement with the manufacturer allows for the ordering of additional systems. Financing will come from the regular defence budget. Each of the medical facilities consists of a total of eleven vehicles with associated multifunctional containers. During operation, the containers remain on the vehicles. This enables highly mobile deployment adapted to the threat situation for national and alliance defence. In this way, even the most seriously injured can be treated close to the front line. The Bundeswehr already uses airborne rescue centres that can be quickly deployed. With the investment now planned, the troops will receive a protected system for life-saving emergency surgical and intensive care in the immediate vicinity of the mechanised land forces. The medical facilities will soon be needed, for example, by the German brigade in Lithuania."</t>
  </si>
  <si>
    <t>"With the conclusion of the framework agreement, which is to run for 15 years, six systems will be ordered. Of the additional 18 systems to be ordered, two ghmSanEinrR2B systems are to be ordered after the conclusion of the contract to cover the additional requirements of the brigade in Lithuania. The Budget Committee has approved €399 million for the eight systems. The main contractor will be Rheinmetall Technical Publications, which will involve the Rheinmetall companies Rheinmetall Electronics GmbH, Rheinmetall MAN Military Vehicles GmbH, Rheinmetall Mobile Systeme GmbH and Rheinmetall Project Solutions, as well as the companies Drehtainer and C-OMS as subcontractors."</t>
  </si>
  <si>
    <t>DE236</t>
  </si>
  <si>
    <t>Modernisation of Leopard 2 simulator (to A7)</t>
  </si>
  <si>
    <t>"In addition, a procurement project to modernise a battle tank training simulator was approved. It will be adapted to the current design status of the Leopard 2 A7. The modernisation of the other five training systems is fundamentally possible and planned. The project will be financed from the Bundeswehr's special fund and the regular defence budget. The Bundeswehr currently trains tank troops on Leopard 2 A5/A6 battle tank simulators. With the contract now approved, these systems can be adapted to the modern A7 variant of the tank, enabling training that is close to real-world conditions. The Leopard 2 A7 has been used by the Bundeswehr as a heavy battle tank since 2021. Compared to its predecessor, the drive, cannon and optics in particular have been improved, making the German battle tank one of the most modern in the world."</t>
  </si>
  <si>
    <t>"With the introduction of new variants of the Leopard 2 battle tank, the simulators, as an essential element of training, must be adapted to the new technology. The modernisation is intended to implement the technology of the Leopard 2 A7. To this end, the control unit of the simulators and a training system are to be brought up to date first. The modernisation of a further five training systems is planned. The total contract value for this project is around 40 million, which has been approved by the Budget Committee. Until now, the latest version has been the Leopard 2 A5/A6. The A7 features improvements to the drive, cannon and optics in particular."</t>
  </si>
  <si>
    <t>DE237</t>
  </si>
  <si>
    <t>CAVS 6x6 prototype</t>
  </si>
  <si>
    <t>Patria Land Oy</t>
  </si>
  <si>
    <t>KNDS Deutschland Maintenance</t>
  </si>
  <si>
    <t>Latvia</t>
  </si>
  <si>
    <t xml:space="preserve">https://www.bmvg.de/de/aktuelles/gruenes-licht-fuer-sieben-weitere-beschaffungsvertraege-5991106 </t>
  </si>
  <si>
    <t>https://esut.de/2025/09/meldungen/63247/entwicklung-cavs-variante-pioniergruppe-gebilligt/</t>
  </si>
  <si>
    <t>"The CAVS Common Armoured Vehicle System 6x6 is intended to replace the Fuchs armoured transport vehicles currently in use as a ‘new generation armoured transport vehicle’. Following the committee's decision, the first series-production vehicle can now be delivered to the engineer corps. The investment will be financed from the special fund. The procurement of the first vehicle of this new variant also includes integrated verification and adaptation developments for specific German requirements. These include, for example, the integration of a modern digital communication system and an NBC (nuclear, biological, chemical) protective ventilation system, as well as night combat capability. The contract for the series delivery of this vehicle variant is to be concluded in the near future. The international cooperation programme CAVS (Common Armoured Vehicle System) involves Finland, Sweden, Latvia, Denmark, Great Britain and Germany and includes the development of a uniform platform for a military wheeled vehicle with a 6x6 drive. The platform has a modular design and can be configured to suit specific countries using interfaces and modifications based on a commercially available basic variant (Military Common Platform). In January 2025, the Budget Committee approved funding for a contract to procure a mortar system based on the CAVS Common Armoured Vehicle System 6x6. Newly developed variants of the CAVS Common Armoured Vehicle System 6x6 complement the product range and can be adopted by cooperation partners."</t>
  </si>
  <si>
    <t>"The procurement of protected 6×6 wheeled vehicles in the joint Common Armoured Vehicle System (CAVS) project is continuing. Following the development contract for two NEMO mortar carriers, the procurement contract for a series vehicle CAVS variant pioneer group is now nearing completion. On 10 September, the German Bundestag's Budget Committee approved €30.9 million for the project. The contract will be awarded to the Finnish company Patria Land Oy, which will subcontract KNDS Deutschland Maintenance (Freisen) as the main contractor."</t>
  </si>
  <si>
    <t>"In the five-country project involving Finland, Latvia, Germany, Sweden and Denmark, Patria's protected 6×6 wheeled vehicle has been developed as a uniform platform. The modular platform can be configured into different variants from the basic Armoured Personal Carrier version via interfaces and modifications. In the German Armed Forces, CAVS vehicles are to replace the 939 Fuchs armoured transport vehicles, reducing the number of variants from 30 to 20."</t>
  </si>
  <si>
    <t>DE238</t>
  </si>
  <si>
    <t>GTK Boxer (sgSanKfz/ambulance)</t>
  </si>
  <si>
    <t>Artec GmbH</t>
  </si>
  <si>
    <t>KNDS Deutschland</t>
  </si>
  <si>
    <t>https://www.bmvg.de/de/aktuelles/bundestag-bewilligt-neue-technik-fuer-das-heer-5998536</t>
  </si>
  <si>
    <t>https://esut.de/2025/10/meldungen/64086/haushaltsausschuss-beraet-ueber-14-ruestungsprojekte-im-wert-von-sieben-milliarden-euro/</t>
  </si>
  <si>
    <t>"The German Bundestag's Budget Committee approved the supplementary procurement of series vehicles in the ‘heavy protected ambulance’ variant and driving school vehicles of the Boxer armoured transport vehicle. They are primarily used to provide medical support to armoured troops. The financial requirement amounts to around 418 million euros. Of this, around 351 million euros is for the medical vehicles and around 67 million euros for the Boxer driving school vehicles."</t>
  </si>
  <si>
    <t>"Several modernisation and replacement projects are planned in the area of land systems. These include the overhaul of the approximately ten-year-old Boxer variant as a heavy armoured ambulance vehicle and the procurement of 38 additional vehicles. A further ten Boxers are to be procured as driving school vehicles. A total of around €620 million has been earmarked for this purpose."</t>
  </si>
  <si>
    <t>DE239</t>
  </si>
  <si>
    <t>GTK Boxer (driving school)</t>
  </si>
  <si>
    <t>DE240</t>
  </si>
  <si>
    <t>https://de.wikipedia.org/wiki/Heer_(Bundeswehr)#Ausrüstung</t>
  </si>
  <si>
    <t>"A separate contract will also cover the refurbishment and conversion of existing heavy armoured medical vehicles. This contract was also approved by the Budget Committee. The financial requirements for this amount to around €139 million. The equipment package primarily concerns the mission module of this Boxer variant. The medical equipment and the radio and command equipment will be renewed, and the vehicles' on-board communication system will be modernised. This will enable connection to the new D-LBO situation display system (Digitalisation of Land-based Operations)."</t>
  </si>
  <si>
    <t>"Number of units: 274 (including 72 from the Central Medical Service) Plan: 404 (a second batch of 131 vehicles will be delivered from 2017 onwards)"</t>
  </si>
  <si>
    <t>DE241</t>
  </si>
  <si>
    <t>Integration of the D-LBO into the Army Combat Training Centre</t>
  </si>
  <si>
    <t>https://www.rheinmetall.com/de/media/news-watch/news/2024/12/2024-12-19-rheinmetall-gewinnt-d-lbo-auftrag-zur-it-integration</t>
  </si>
  <si>
    <t>"The Army Combat Training Centre is the central high-quality training facility for land forces, including those of allied partner nations. The Budget Committee approved a procurement contract for the modernisation of the Combat Training Centre. Its content: to establish the ability to send, receive, record and evaluate digital data from exercise participants, based on the new D-LBO communication and command system (Digitalisation of Land-based Operations)."</t>
  </si>
  <si>
    <t>"A further €60 million has been earmarked for the integration of the D-LBO digital situation and command transmission system into the Army Combat Training Centre."</t>
  </si>
  <si>
    <t>DE242</t>
  </si>
  <si>
    <t>Mobile tank farm</t>
  </si>
  <si>
    <t>Storage Tanks</t>
  </si>
  <si>
    <t>"The Budget Committee also approved the conclusion of a framework agreement for the procurement of up to 20 field tank farms in two variants. The firm order comprises 14 tank farms and two initial samples for testing and training purposes. The scalable field tank farms are a portable facility for the storage, handling and delivery of large quantities of fuel to own and allied armed forces."</t>
  </si>
  <si>
    <t>"Two procurement projects are also ahead of schedule: the establishment of field fuel depots (around €60 million) and the supplementary procurement of long-range AN/PRC-160 radio equipment (just under €100 million)."</t>
  </si>
  <si>
    <t>DE243</t>
  </si>
  <si>
    <t>Light airborne assault and combat vehicles (TAHR)</t>
  </si>
  <si>
    <t xml:space="preserve"> . </t>
  </si>
  <si>
    <t>Flensburg Technology Systems</t>
  </si>
  <si>
    <t>https://www.fts-flensburg.de/news/cooperation-with-german-armed-forces</t>
  </si>
  <si>
    <t>"The budget committee gave the green light for the conclusion of a framework agreement on the manufacture and delivery of light airborne combat and combat vehicles as well as light airborne support vehicles for special forces. For an initial firm order for light airborne combat and support vehicles, including a sample set of special tools. The project is being financed from the Bundeswehr's special fund. This will enable the procurement of highly mobile and all-terrain vehicles for airborne operations."</t>
  </si>
  <si>
    <t>"The procurement of up to 150 light airborne combat vehicles (EGF) and up to 50 light airborne support vehicles is also planned. These proposals have been pending for some time. The initial budget available for this purpose amounts to approximately 70 million euros."</t>
  </si>
  <si>
    <t>"The German Armed Forces (Bundeswehr) has awarded a multi-year framework contract that calls for the supply of up to 200 light airborne combat vehicles (le LL EGF) and support vehicles (le LL UstgFzg), known as TAHR to Flensburg Technology Systems GmbH (FTS), a subsidiary of FFG Flensburger Fahrzeugbau Gesellschaft mbH."</t>
  </si>
  <si>
    <t>DE244</t>
  </si>
  <si>
    <t>Development of floating bridge M3 EVO (Schwimmschnellbrücke 2)</t>
  </si>
  <si>
    <t>Bridges, Fixed and Floating</t>
  </si>
  <si>
    <t>General Dynamics European Land Systems–Bridge Systems</t>
  </si>
  <si>
    <t>https://esut.de/2025/10/meldungen/64795/vertrag-fuer-m3-evo-schwimmschnellbruecke-2-kommt-ab-2029/</t>
  </si>
  <si>
    <t>"The future Floating Rapid Bridge 2 system will be needed to transport our own forces, especially mechanised forces, across wide bodies of water. Floating Rapid Bridge 2 will replace and improve on the capabilities of the old Floating Rapid Bridge systems, which will be taken out of service once the new systems are in place. Development and procurement will be based on a commercially available system from Sweden, jointly for Germany and the United Kingdom. Thanks to its increased load capacity, Floating Rapid Bridge 2 will be able to carry even the heaviest battle tanks. The firm order has a volume of around 53 million euros, with around 331 million euros earmarked for the optional procurement ordered at the same time. Further contracts comprise around 104 million euros. All figures refer to the German share of the contract, which has been approved by the German Bundestag's Budget Committee."</t>
  </si>
  <si>
    <t>"In a first step, GDELS is developing the floating rapid bridge under the name M3 EVO based on the design status of the Swedish version currently being delivered, and will supply three verification samples to Germany and one to the United Kingdom by 2029. The latter will receive 35 systems in series configuration in this step. In a second step, Germany will receive 53 systems, which were agreed as an option and called up upon conclusion of the contract. Delivery is scheduled for 2036 and will ensure a total bridge length of more than 700 metres. For the first step, the BAAINBw cites an order value of €53 million for the German share and €331 million for the second step. In addition, there are further contracts for, among other things, federal government supplies and work boats worth €104 million. "</t>
  </si>
  <si>
    <t>DE245</t>
  </si>
  <si>
    <t>M3 EVO (Schwimmschnellbrücke 2)</t>
  </si>
  <si>
    <t>DE246</t>
  </si>
  <si>
    <t>Boats and other support material for M3 EVO</t>
  </si>
  <si>
    <t>DE247</t>
  </si>
  <si>
    <t>AN/PRC-160 Wideband HF/VHF Manpack Radio</t>
  </si>
  <si>
    <t>"A procurement contract for the delivery of AN/PRC Army/Navy Portable Radio Communications-160 HF (high frequency) radio equipment from the manufacturer L3 Harris (USA) was also approved. This procurement will be carried out via the Foreign Military Sales procedure. The scope of delivery includes sets of operating, transport and logistics containers and accessories. The new radios will provide Bundeswehr locations in the armed forces' shortwave communications network with an additional option for emergency communications."</t>
  </si>
  <si>
    <t>DE248</t>
  </si>
  <si>
    <t>Eurofighter Tranche 5</t>
  </si>
  <si>
    <t>https://www.bmvg.de/de/aktuelles/beschaffung-eurofighter-der-tranche-5-fuer-luftwaffe-5998542</t>
  </si>
  <si>
    <t>https://esut.de/2025/10/meldungen/featured/64485/zwanzig-eurofighter-tranche-5-fuer-die-bundeswehr/</t>
  </si>
  <si>
    <t>"The German Bundestag's Budget Committee approved the procurement of additional Eurofighters from Tranche 5, including engines and spare and replacement parts. The fighter jets will be equipped with modern radar with electronic beam scanning, known as EScan radar. The total value of the contract is around 3.75 billion euros. It is to be financed from the regular defence budget. Delivery of the aircraft to the German Armed Forces is planned for the period from 2031 to 2034. The Eurofighter is the mainstay of the German fighter jet fleet. The procurement of Tranche 5 serves to gradually transfer the capabilities of the ageing Tornado fighter jet in the area of electronic combat and reconnaissance (ECR) to a future-proof platform with which Germany will continue to fulfil its NATO obligations in the future."</t>
  </si>
  <si>
    <t>"The contract consists of four agreements covering the delivery of 20 Eurofighter airframes, the delivery of 52 engines, the delivery of spare and replacement parts, and obsolescence management. The engines are to be delivered to the German Armed Forces from 2029 and the aircraft from 2031. Deliveries are to be completed by 2033 (engines) and 2034. The spare parts are scheduled for 2031, together with the first aircraft. Obsolescence elimination is an ongoing process running parallel to production and is the only contract involving the other three Eurofighter nations (Italy, Spain, Great Britain). "</t>
  </si>
  <si>
    <t>"In order to meet demand – including orders from Italy (24 aircraft) and Spain (25) – production capacity must be increased. Funds will be provided for this purpose under a framework agreement. The aim is to increase the production rate to 20 aircraft per year. "</t>
  </si>
  <si>
    <t>DE249</t>
  </si>
  <si>
    <t>Eurofighter flight and tactical simulators</t>
  </si>
  <si>
    <t>"Modern flight and tactics simulators are used for flight training and further education as well as for maintaining pilots' licences for the Eurofighter weapon system. The simulators allow for realistic training regardless of weather conditions and are therefore an essential and economical training option. The contract will improve the simulation environment and at the same time prepare it for training in the new capabilities of future developments of the Eurofighter weapon system. The German Bundestag's budget committee has therefore approved a contract for the further development of these flight and tactical simulators. This contract also ensures that the modern EScan radar can be incorporated into the simulator for training and further education in the future. A total of around 412 million euros has been earmarked for this project, which will be financed from the Bundeswehr's special fund and the defence budget."</t>
  </si>
  <si>
    <t>DE250</t>
  </si>
  <si>
    <t>Eurofighter electronic warfare capabilities</t>
  </si>
  <si>
    <t>EuroDASS</t>
  </si>
  <si>
    <t>"A contract to further enhance the Eurofighter's electronic warfare capabilities was also approved. Specifically, this involves the suppression of ground-based air defence. The Eurofighter is to be optimised and further enhanced for electronic warfare through the AREXIS self-protection system and corresponding air-to-surface guided missiles. This will enable Germany to meet the capability requirements of the North Atlantic Treaty Organisation (NATO). The contract approved by the Budget Committee also provides for the procurement of components for test facilities at the Eurofighter System Support Centre. The project will require funding of around €1.13 billion. The procurement of the components is estimated to cost around €82 million. The project, which is scheduled to run until 2033, will be financed from the Bundeswehr's special fund and the regular defence budget. "</t>
  </si>
  <si>
    <t>"The Tranche 5 Eurofighters will be equipped with the latest components for reconnaissance, protection and electronic warfare. These include the ESCAN Mk1 Step1 radar from Euroradar (Hensoldt/Indra), which has been ready for production since mid-2025, and the FLIR (Forward Looking Infrared) infrared thermal imaging sensor. An improved version of the Defensive Aids Subsystem (DASS) Praetorian will be installed for self-protection. Praetorian is a combined system of antennas, sensors, radar and laser warning devices, decoy launchers and other decoy devices distributed across the fighter aircraft in such a way that threats around the aircraft can be detected and countermeasures taken automatically. Alongside the engine, DASS is the most financially demanding subsystem of the Eurofighter. The central element for electronic warfare will be Saab's Arexis sensor suite with AI components from Helsing, which can detect, locate and identify radar emitters in complex and crowded electromagnetic environments, among other things. "</t>
  </si>
  <si>
    <t>"Of the 20 aircraft, one will be delivered as an Instrumented Production Aircraft (IPA) and two as Instrumented Series Aircraft (ISAP). The aircraft are equipped with additional measurement technology and will be used to test new systems under real flight conditions and to validate and approve near-series systems. "</t>
  </si>
  <si>
    <t>DE251</t>
  </si>
  <si>
    <t>FAP munition</t>
  </si>
  <si>
    <t>https://www.rheinmetall.com/de/produkte/waffen-und-munition/waffen-und-munition/mittelkalibermunition#anchor-fap-munition</t>
  </si>
  <si>
    <t>"The Bundestag's budget committee also approved a procurement contract for armour-piercing ammunition. This ammunition is fired from the onboard cannons of Tornado and Eurofighter fighter jets and from light naval guns. It consists of 27 x 145 mm calibre frangible armour-piercing (FAP) cartridges, which are fired at a high rate of cadence. The ammunition is primarily used to combat ground targets. It is needed for training and to maintain the operational readiness of the crew. This procurement measure, which is scheduled to run until 2027, will cost around 53 million euros. The project is being financed from the Bundeswehr's special fund."</t>
  </si>
  <si>
    <t>"FAP is a new, powerful and non-explosive all-purpose ammunition for combat and fighter aircraft. The effective elements of this projectile are a penetrator consisting of individual frangible heavy metal pellets and sub-projectiles made of heavy metal. When penetrating the target surface, the heavy metal pellets break up into several pieces. As they penetrate deeper into the target structure, the number of fragments increases according to the cascade principle. Modern armoured air and ground targets can thus be effectively engaged in air-to-ground and air-to-air missions. Due to its special design, the FAP cartridge does not cause ricochets, unlike conventional aircraft ammunition, as the projectile (the core) disintegrates on impact."</t>
  </si>
  <si>
    <t>Rheinmetall is the only producer of this ammunition type</t>
  </si>
  <si>
    <t>DE252</t>
  </si>
  <si>
    <t>Special Operations Craft boats for special forces</t>
  </si>
  <si>
    <t>https://suv.report/bundestag-genehmigt-14-ruestungsprojekte-eurofighter-sanitaetsfahrzeuge-einsatzboote-uvm/</t>
  </si>
  <si>
    <t>"The committee also approved the procurement of medium-range patrol boats for the navy's special forces. The new boats are essential for medium-range and coastal operations by the navy's special forces and can be used for special missions worldwide. The new boats will replace the outdated RHIB H 1010 rigid-hull inflatable boats. Further contracts will be concluded as part of the project, for example for radio equipment."</t>
  </si>
  <si>
    <t>"The procurement of up to 26 patrol boats for around €120 million was also approved – nine as a firm order and 17 as an option. Delivery of the firm order boats is scheduled for 2027 to 2030. The boats are intended for medium-range operations by the navy's special forces in coastal areas and for special missions worldwide. They will replace the outdated RHIB H 1010 rigid-hull inflatable boats."</t>
  </si>
  <si>
    <t>DE253</t>
  </si>
  <si>
    <t>Satellite communication equipment for naval command units</t>
  </si>
  <si>
    <t>"The committee has also approved funding for the modernisation of telecommunications and command and control systems on naval vessels. Specifically, this involves the procurement and integration of new satellite communication transmitting and receiving equipment for naval command units. This affects the Class 124 frigates, the Class 404 tenders, the Class 702 combat support ships and the Class 130 corvettes, as well as a small number of Class 123 frigates. Land-based facilities will also undergo this modernisation. This measure is scheduled to begin in 2025. In this context, further contracts will be required for the procurement of crypto modules and for the necessary certification of the systems."</t>
  </si>
  <si>
    <t>"212.70 million euros have been released for the modernisation of telecommunications and command systems on naval vessels. Funding will come from the Bundeswehr special fund and the regular defence budget. This involves new satellite communication transmission and reception systems for frigates of classes 124 and 123, tenders of class 404, combat support ships of class 702 and corvettes of class 130. Land-based facilities will also be modernised. The measure is scheduled to begin in 2025."</t>
  </si>
  <si>
    <t>DE254</t>
  </si>
  <si>
    <t>Sonar systems for navy minehunters</t>
  </si>
  <si>
    <t>ATLAS ELEKTRONIK</t>
  </si>
  <si>
    <t>https://esut.de/2025/10/meldungen/64675/die-frankenthal-klasse-erhaelt-neue-minenjagdsonare/</t>
  </si>
  <si>
    <t>"The procurement of minehunting sonars is essential for maintaining sea mine defence capabilities. In this context, Germany has national obligations to NATO (North Atlantic Treaty Organisation). The Budget Committee therefore approved the procurement of minehunting sonar systems for Class 332 minehunters. The mine hunting sonar system is the main sensor on Class 332 mine hunting boats. It is used to locate, classify and track underwater targets. The replacement of the old system was necessary, among other things, because the signal processing electronics are obsolete. The detection performance no longer corresponds to the current state of the art."</t>
  </si>
  <si>
    <t>"The ten Frankenthal-class minehunters (MJ332 class) are being equipped with new Hull-Mounted Minehunting Sonar HMS-12M from ATLAS ELEKTRONIK. After the German Bundestag's Budget Committee approved €60 million for the project on 8 October as part of a €25 million bill, the Federal Office of Defence Procurement and Logistics (BAAINBw) has now signed a supply contract with the ATLAS ELEKTRONIK segment of ThyssenKrupp Marine Systems (TKMS). ATLAS ELEKTRONIK has been part of TKMS since 2017."</t>
  </si>
  <si>
    <t>DE255</t>
  </si>
  <si>
    <t>https://www.bmvg.de/de/aktuelles/beschaffung-bundestag-ruestungsprojekte-6027308</t>
  </si>
  <si>
    <t>https://esut.de/2025/10/meldungen/ruestung2/64254/25-millionen-euro-vorlagen/</t>
  </si>
  <si>
    <t xml:space="preserve">https://suv.report/bundestag-billigt-beschaffung-von-schakal-luchs-2-und-essm-raketen/ </t>
  </si>
  <si>
    <t>"The budget committee gave the green light for the procurement of additional Evolved Seasparrow Missile Block 2 guided missiles for a total of around €385.91 million. The project will be financed from the defence budget. ESSM is a guided missile system for close-range air defence. It is used on Class 124 frigates and will also be used on Classes 123 and 126 in the future. This project is based on a multilateral cooperation between twelve nations, including Germany, known as the NATO Seasparrow Project. This ammunition procurement will strengthen the air defence and endurance capabilities of surface combat units."</t>
  </si>
  <si>
    <t>DE256</t>
  </si>
  <si>
    <t>Luchs 2 reconnaissance vehicle</t>
  </si>
  <si>
    <t>GDELS</t>
  </si>
  <si>
    <t>Czechia</t>
  </si>
  <si>
    <t>Romania</t>
  </si>
  <si>
    <t>Switzerland</t>
  </si>
  <si>
    <t>https://esut.de/2025/10/meldungen/land/64546/auftrag-erteilt-274-spaehfahrzeuge-luchs-2-loesen-den-fennek-ab/</t>
  </si>
  <si>
    <t>"The German Bundestag's Budget Committee also approved a framework agreement for the development and production of the Luchs 2 ‘New Generation Reconnaissance Vehicle’ system, including an initial amendment agreement.The procurement contract covers the development of the reconnaissance vehicle, including the production and delivery of reference systems and series vehicles, along with accessories. The contract is worth around €3.54 billion. The Luchs 2 is intended to replace part of the fleet of Fennek reconnaissance vehicles currently in use and to strengthen vehicle-based reconnaissance. The first amendment to the contract also covers the development of the associated weapon system."</t>
  </si>
  <si>
    <t>"On 20 October, the German Armed Forces Procurement Office (BAAINBw) and Luchs 2 manufacturer General Dynamics European Land Systems (GDELS) announced the conclusion of a contract for the development and delivery of 274 new-generation reconnaissance vehicles (SpähFz NG). Five days earlier, the German Bundestag's Budget Committee approved the corresponding €25 million proposal and released €3.5 billion for the project. According to the BAAINBw, the project will be financed primarily from the Bundeswehr's special fund."</t>
  </si>
  <si>
    <t>DE257</t>
  </si>
  <si>
    <t>MK 25 KBA for Luchs 2</t>
  </si>
  <si>
    <t>https://www.rheinmetall.com/de/media/news-watch/news/2025/09/2025-09-09-rheinmetall-dsei-oerlikon-kba-25-mm-maschinenkanone</t>
  </si>
  <si>
    <t>"The framework agreement, including an authorisation to procure MK 25 KBA machine guns for the Luchs 2, was approved by the Budget Committee in a separate €25 million proposal. This project will be financed through the aforementioned New Generation Reconnaissance Vehicle project. The estimated cost is €138 million. The machine gun is part of the Luchs 2's weapon system. These budget items are financed from Section 14 and the Bundeswehr Special Fund."</t>
  </si>
  <si>
    <t>Units inferred</t>
  </si>
  <si>
    <t>DE258</t>
  </si>
  <si>
    <t>GTK Boxer RCT 30 "Schakal"</t>
  </si>
  <si>
    <t>https://www.rheinmetall.com/de/media/news-watch/news/2025/10/2025-10-20-radschuetzenpanzer-222-schakale-fuer-deutschland-und-die-niederlande</t>
  </si>
  <si>
    <t xml:space="preserve">https://de.wikipedia.org/wiki/GTK_Boxer </t>
  </si>
  <si>
    <t>"The Bundestag also gave the green light for the procurement of Schakal armoured personnel carriers, including a logistics package consisting of spare parts, training materials and special tools. The contract also includes optional additional services such as protection against anti-tank hand weapons, shell detection and identification, and drone defence. Further vehicles of this type can also be ordered. This project will realise a key capability of the German Army for the deployment of its medium forces."</t>
  </si>
  <si>
    <t>"Delivery is scheduled to take place between 2027 and 2031. The total cost amounts to €3.4 billion, which will be financed from the regular defence budget, Section 14. The Schakal armoured personnel carrier combines the chassis of the GTK Boxer wheeled armoured vehicle with the turret of the Puma armoured personnel carrier. The new vehicles are designed to be highly mobile and quickly deployable."</t>
  </si>
  <si>
    <t>"To strengthen the proven cooperation between the German and Dutch armies in the German-Dutch Corps, this contract will also cover orders for the Dutch army. The contract is being awarded by the European armaments organisation OCCAR."</t>
  </si>
  <si>
    <t>DE259</t>
  </si>
  <si>
    <t>P13 pistol (CZ P-10 C OR)</t>
  </si>
  <si>
    <t xml:space="preserve">Česká zbrojovka </t>
  </si>
  <si>
    <t>Radar 1957</t>
  </si>
  <si>
    <t>https://www.bmvg.de/de/aktuelles/bundestag-billigt-14-weitere-beschaffungsvertraege-fuer-truppe-6037382</t>
  </si>
  <si>
    <t>https://esut.de/2025/12/meldungen/66535/neue-standardpistole-p13-fuer-die-bundeswehr-cz-p-10-c-or/</t>
  </si>
  <si>
    <t xml:space="preserve">https://equipnor.no/en/portfolio-items/radar1957/ </t>
  </si>
  <si>
    <t>"The Budget Committee has approved two framework agreements for the procurement of the new P13 service pistol: one contractual partner will be responsible for manufacturing and supplying the pistols and accessories. The second contractual partner will produce and supply the associated carrying systems. The procurement is intended to eliminate technical and ergonomic shortcomings of the P8 pistol currently in use and to procure a modern pistol with a carrying system."</t>
  </si>
  <si>
    <t>"After reviewing the approved prototypes and making any necessary adjustments, series production is set to begin. Any further orders for pistols under the framework agreement exceeding a total order volume of €25 million will be submitted to the Budget Committee for approval. The procurement project will be taken into account in the Bundeswehr special fund and in the 2025 federal budget as required, and will be continued in future budgets."</t>
  </si>
  <si>
    <t xml:space="preserve">"The P13 system includes various holsters in security levels 2 and 3 from Radar 1957, as well as training weapons. Pol-Tec also supplies these components. The Fürth-based supplier to the armed forces and public authorities will be responsible for procuring the P13 and providing logistical support during its use. Pol-Tec can draw on decades of experience in maintaining and modernising the German Armed Forces' G22 sniper rifle stocks." </t>
  </si>
  <si>
    <t>Pistols and holsters procured via Pol-Tec</t>
  </si>
  <si>
    <t>DE260</t>
  </si>
  <si>
    <t>Small anti drone missile system for Skyranger 30</t>
  </si>
  <si>
    <t>https://esut.de/2025/11/meldungen/65265/neue-distanzwirkung-im-nahbereich-defendair-kommt/</t>
  </si>
  <si>
    <t xml:space="preserve">https://esut.de/2025/11/meldungen/65078/mehr-als-19-milliarden-euro-beschaffungsmittel-fuer-die-bundeswehr-gebilligt/ </t>
  </si>
  <si>
    <t>"The budgetary authorities have also approved a framework agreement with a fixed-price contract for the development, production and delivery of the Small Anti-Drone Missile guidance system for the Skyranger 30. The financial requirements for the fixed-price contract, which is scheduled to run until 2032, will be financed from the Bundeswehr special fund and Section 14 of the budget."</t>
  </si>
  <si>
    <t>"The Skyranger 30 air defence system, a prototype of which is currently being tested by the German Armed Forces, will be equipped with the DefendAir anti-drone guided missile as secondary armament in addition to the 30 mm cannon. The Budget Committee has approved €490 million for its development and procurement. This will enable the Skyranger to combat fully unmanned targets, including small and micro drones. A decision on whether to integrate nine or twelve missiles will be made during the development phase. "</t>
  </si>
  <si>
    <t>DE261</t>
  </si>
  <si>
    <t>Medical gear for A400M and C-130J</t>
  </si>
  <si>
    <t>Medical and Surgical Instruments, Equipment, and Supplies</t>
  </si>
  <si>
    <t>https://esut.de/2025/11/meldungen/65078/mehr-als-19-milliarden-euro-beschaffungsmittel-fuer-die-bundeswehr-gebilligt/</t>
  </si>
  <si>
    <t>"The Budget Committee has also approved the procurement of equipment kits with modular pallets for transporting patients and wounded personnel for use in the German Armed Forces' A400M and C-130J transport aircraft. The costs for the project will be covered by the German Armed Forces' special fund and the defence budget."</t>
  </si>
  <si>
    <t>"Transport capacities in this area will be expanded by 2029. The new equipment kits will make it possible to prepare equipment for patient transport outside the aircraft individually and to quickly load it into the cargo hold of the aircraft. This will significantly improve the German Armed Forces' ability to efficiently transport wounded personnel using military transport aircraft."</t>
  </si>
  <si>
    <t>"Equipment kits costing around €48 million are to be procured for installation in the A400M transport aircraft for the transport of patients with minor to moderate injuries and intensive care patients. The modular pallets, including modular medical equipment, will enable several A400Ms to be fully equipped. This will significantly increase the patient transport capacity per aircraft. The set-up times in the A400M for use in the MedEvac role will also be significantly reduced. At the same time, the Bundeswehr's operational capability in the area of tactical and strategic patient air transport will be strengthened."</t>
  </si>
  <si>
    <t>DE262</t>
  </si>
  <si>
    <t>Naval guided surface-to-air missile (SAM)</t>
  </si>
  <si>
    <t>Missile (Naval)</t>
  </si>
  <si>
    <t>"In addition, the second supplementary procurement of RAM Block 2B guided missiles was approved. The project will be paid for from the defence budget. The RAM Block 2B is one of the most modern self-defence systems for corvettes and frigates in the German Navy. Delivery is scheduled for 2030 to 2032. With this project, Germany is complying with NATO requirements for surface warships."</t>
  </si>
  <si>
    <t>"The Budget Committee has given the green light for the second supplementary procurement of the Rolling Airframe Missile (RAM) Block 2B guided missile and for the obsolescence elimination of the Launcher Servo Control Unit. A total of around €500 million has been earmarked for this. The RAM weapon system is primarily used on frigates and corvettes for air defence against incoming sea-skimming missiles, but can also engage asymmetric air and sea targets such as drones at close range. The LFKs are equipped with a state-of-the-art infrared seeker head."</t>
  </si>
  <si>
    <t>"The new RAM Block 2B guided missile is launched from the launchers that have been introduced. In October 2024, the German Armed Forces ordered 400 RAM LFKs, which are to be delivered from 2029 onwards. The main contractor is RAMSYS, which coordinates the work of the three cooperation partners. Diehl Defence is producing the infrared seeker head, the guidance unit and the launch container for the missile developed jointly with Raytheon, and is integrating the front section. MBDA Germany's share of the work includes the production of the radar seeker head, control unit and warhead, as well as the overall integration of the German RAM Block 2B guided missile."</t>
  </si>
  <si>
    <t>DE262_a</t>
  </si>
  <si>
    <t>DE262_b</t>
  </si>
  <si>
    <t>RAM Block 2B control unit update</t>
  </si>
  <si>
    <t>DE263</t>
  </si>
  <si>
    <t>"The amendment agreement is an update and extension of an existing framework agreement with BWI that has been planned since mid-2024. It covers support services for three important armament projects, including the ‘Digitalisation of Land-Based Operations’ (D-LBO), and ensures the seamless continuation of technical and logistical support services provided by BWI. Specifically, for example, BWI system engineers will be involved in the digitalisation of the land forces. The support provided by the Bundeswehr's own IT system house relates to long-term project requirements, is standard practice and also takes place in other major armament projects."</t>
  </si>
  <si>
    <t>"An existing framework agreement with BWI is to be updated and extended via an amendment agreement. The Budget Committee has approved around €68 million for this purpose. The agreement covers support services for three important armament projects: the ‘Digitalisation of Land-Based Operations’ (D-LBO), the Tactical Wide Area Network TaWAN and the German-Dutch cooperation Tactical Edge Networking (TEN). The technical and logistical support services provided by BWI will continue seamlessly. Specifically, for example, BWI system engineers are to be involved in the digitalisation of the land forces. The support provided by the Bundeswehr's own IT system house concerns long-term project requirements."</t>
  </si>
  <si>
    <t>DE264</t>
  </si>
  <si>
    <t>Mobile field kitchen</t>
  </si>
  <si>
    <t>Food Preparation and Serving Equipment</t>
  </si>
  <si>
    <t>Food Cooking, Baking, and Serving Equipment</t>
  </si>
  <si>
    <t>Kärcher Futuretech</t>
  </si>
  <si>
    <t>"The Ministry can now also call on additional mobile field kitchens under a framework agreement. Containerised mobile field kitchens are portable facilities for the storage, preparation, cooking and distribution of food and beverages to up to 250 people per system. All necessary equipment, operating supplies, drinking water and food for 24-hour operation are carried on board. Financing is provided by the Bundeswehr special fund and the defence budget."</t>
  </si>
  <si>
    <t>"Following approval by the Budget Committee, the second tranche of 115 mobile field kitchens with a procurement value of €144 million can now be called up under the framework agreement with Kärcher Futuretech. The German Armed Forces concluded the framework agreement in 2020 and placed a firm order for 85 systems. The first field kitchen was handed over in November 2023."</t>
  </si>
  <si>
    <t>DE265</t>
  </si>
  <si>
    <t>FüWES CMS 330</t>
  </si>
  <si>
    <t>Lockheed Martin Canada</t>
  </si>
  <si>
    <t>https://esut.de/2025/11/meldungen/65406/standardisierung-maritime-fuewes-mit-kanada/</t>
  </si>
  <si>
    <t>"The green light was also given for a framework agreement on the development and procurement of a standardised maritime command and weapon delivery system (FüWES). With the help of German-Canadian defence cooperation, a commercially available, battle-tested system will now be procured. The aim is to establish a uniform international standard. The contract term is limited to 31 December 2026."</t>
  </si>
  <si>
    <t xml:space="preserve">"In a government agreement dated 14 November, Germany and Canada agreed to modernise the weapon control systems (FüWES) of the German Navy's surface platforms. On 5 November, the German Bundestag's Budget Committee allocated €162 million for this purpose." </t>
  </si>
  <si>
    <t>"As the ‘IT heart’ of modern naval vessels, the FüWES links all operational and technical subsystems and is therefore a decisive factor in the combat effectiveness and command capability of a unit. The modernisation is intended to standardise the previously heterogeneous system landscape. In this way, the public client aims to regain system sovereignty. The project is scheduled to run for a total of 25 years and is planned to cost over one billion euros."</t>
  </si>
  <si>
    <t>DE266</t>
  </si>
  <si>
    <t>Thermis MK2 MR thermal imaging device for MG4/G95A1/G36</t>
  </si>
  <si>
    <t>https://esut.de/2025/11/meldungen/65689/bis-zu-25-000-waermebildzielgeraete-bei-theon-bestellt/</t>
  </si>
  <si>
    <t>"Through the conclusion of a framework agreement for additional thermal imaging target devices, the German Armed Forces will receive new thermal imaging target devices in a fixed order and two follow-up orders to cover its current total requirements. These have a medium range and are intended in particular for dismounted forces. The financial requirements of the fixed order and the two follow-up orders will be covered by the German Armed Forces Special Fund and the defence budget of Section 14. The thermal imaging target devices increase the combat effectiveness of the MG4 light machine guns and the G95A1 and G36 assault rifles."</t>
  </si>
  <si>
    <t>"The German Armed Forces has once again placed an order for thermal imaging target devices with the Greek company Theon International. Following approval by the German Bundestag's Budget Committee on 5 November, the Federal Office of Defence and Armed Forces Procurement (BAAINBw) has now concluded a multi-year framework agreement with Theon International, as the company reported on 26 November. In an initial firm order, the delivery of 6,000 device sets with a procurement value of around €100 million was agreed. The contract includes options for a further 19,000 sets. According to Theon, this is the largest procurement of such thermal imaging targeting devices within the European Union to date and the largest order for this product for the company to date."</t>
  </si>
  <si>
    <t>"The systems are to be assembled at Theon's plants in Wetzlar. This is in line with the ongoing expansion of product capacities in Germany. Theon has invested in four German companies in recent years."</t>
  </si>
  <si>
    <t>DE267</t>
  </si>
  <si>
    <t>"As planned, the German Bundestag's Budget Committee approved more than €1.9 billion for 14 Bundeswehr procurement projects at its meeting on 5 November. According to the Federal Ministry of Defence's figures, this means that 57 major projects have already been launched by Parliament this year. The major projects that have now been approved relate to the areas of air defence, small arms, support and medical services, endurance and IT."</t>
  </si>
  <si>
    <t>Sum of unassignable budget allocations from November 5 orders.</t>
  </si>
  <si>
    <t>DE267_a</t>
  </si>
  <si>
    <t>AN/PRC-160 radio and accessories</t>
  </si>
  <si>
    <t>"The Budget Committee has also approved the procurement of AN/PRC-163 and AN/PRC-167 radio equipment and AN/PYQ-10A key chargers, including specific accessories. Additional accessories were ordered for the PRC-160 (HF) device category. The procurement will be carried out via government purchase under the Foreign Military Sales procedure. The order volume will be financed from the Bundeswehr special fund."</t>
  </si>
  <si>
    <t>DE267_b</t>
  </si>
  <si>
    <t>Fire protection for roll-off containers</t>
  </si>
  <si>
    <t>"The procurement of modular fire protection equipment carriers (roll-off containers) in six variants, including firefighting equipment, special tools, training and documentation for the German Armed Forces, was also approved. With the conclusion of a framework agreement, a large proportion of the fire protection roll-off containers are to be firmly commissioned. They can be loaded onto swap body systems, transported and unloaded at the place of use. Delivery is planned for the period 2027 to 2031."</t>
  </si>
  <si>
    <t>DE267_c</t>
  </si>
  <si>
    <t>Secure Inter- Network Architecture (SINA) equipment</t>
  </si>
  <si>
    <t>"The Budget Committee finally approved the procurement of additional products from the SINA product family under an existing framework agreement in 2026. SINA stands for Secure Inter-Network Architecture. The financial requirements will be covered by the defence budget. The procurement measure mainly involves end devices and peripheral devices to enable secure communication using IP and storage encryption technology."</t>
  </si>
  <si>
    <t>DE267_d</t>
  </si>
  <si>
    <t>Hertz satellite communications contract</t>
  </si>
  <si>
    <t>DLR</t>
  </si>
  <si>
    <t>"The conclusion of an operating agreement with the German Aerospace Centre for the Heinrich Hertz satellite mission project was also approved. This agreement specifically concerns the operation of the satellite as well as project and frequency management. The contract will be financed from Section 14 of the budget. In addition to the civilian part of the mission, the project also includes a military component involving satellite-based transmission capacities to be used by the German Armed Forces for sovereign purposes – a capability gain for the troops. The Heinrich Hertz satellite mission is an interdepartmental project between the Ministry of Defence and the lead ministry, the Federal Ministry of Research, Technology and Space."</t>
  </si>
  <si>
    <t>DE268</t>
  </si>
  <si>
    <t>https://www.bmvg.de/de/aktuelles/fuenf-weitere-beschaffungsvorhaben-fuer-truppe-6038628</t>
  </si>
  <si>
    <t>https://esut.de/2025/11/meldungen/65337/20-leichte-kampfhubschrauber-h145m-gebilligt/</t>
  </si>
  <si>
    <t xml:space="preserve">"The call-off of 20 H145M light combat helicopters from the 2023 framework agreement was long awaited. This will meet the Bundeswehr's need for light combat helicopters to build up its new fleet and for training and further education, writes the Federal Ministry of Defence. Some of the light combat helicopters (another source mentioned the number 15) will be delivered in the Special Operation Forces configuration. The remaining five are intended for training. The light combat helicopter complements the Tiger combat helicopter, which will only remain in service with the armed forces until 2032. According to the BMVg, this will enable the Bundeswehr to continue to meet NATO requirements in the future. The helicopters are to be delivered to the armed forces between 2027 and 2029. The order is worth around one billion euros." </t>
  </si>
  <si>
    <t>DE269</t>
  </si>
  <si>
    <t>IRIS-T SLM missile</t>
  </si>
  <si>
    <t>"Another call-off from a framework agreement is the order for IRIS-T SLM guided missiles for the German Armed Forces' air defence systems, which are currently about to be introduced. The guided missiles have proven themselves in Ukraine's defence against Russia's attack and will therefore also be of use to the Bundeswehr, writes the BMVg. The additional guided missiles will increase the sustainability of air defence and thus strengthen air defence overall. From the total amount of €3.85 billion cited by the BMVg, which has been approved by the Budget Committee, and the known procurement amounts for the other projects, it can be deduced that guided missiles worth around €2 billion will be procured. The BMVg has not specified a delivery period."</t>
  </si>
  <si>
    <t>DE270</t>
  </si>
  <si>
    <t>Eurofighter development (P4E AMK)</t>
  </si>
  <si>
    <t>"The existing fleet of Eurofighter combat aircraft must be kept up to date with the latest technology. This includes the P4E Aerodynamic Modification Kit (AMK), the development of which has been approved at a cost of approximately €140 million. The kit is designed to significantly improve the Eurofighter's manoeuvrability and range in air-to-ground operations, as well as increasing flexibility in the integration and deployment of new weapons. According to the Federal Ministry of Defence, the planned measures will expand the weapon system's operational capability and range of applications – for example, in electronic warfare operations and in deep strikes. With this German-Spanish joint project, Germany is also meeting NATO requirements."</t>
  </si>
  <si>
    <t>DE271</t>
  </si>
  <si>
    <t>Camouflage equipment</t>
  </si>
  <si>
    <t>Camouflage and Deception Equipment</t>
  </si>
  <si>
    <t>Sioen Industries NV</t>
  </si>
  <si>
    <t>https://www.hartpunkt.de/stationaere-multispektrale-tarnausstattung-sioen-mit-der-lieferung-neuer-tarnausstattung-fuer-die-bundeswehr-beauftragt/</t>
  </si>
  <si>
    <t>"The Budget Committee has also approved the conclusion of a framework agreement with a fixed commission for the manufacture and delivery of camouflage nets and camouflage support material. Camouflage nets and camouflage support material together form what is known as ‘stationary multispectral camouflage equipment’. This is used to camouflage deployed forces and equipment, thereby protecting them from detection by the enemy. The stationary multispectral camouflage equipment is intended to meet the needs of all areas of the German Armed Forces. With its improved shielding properties, it replaces the previous generation of camouflage equipment."</t>
  </si>
  <si>
    <t>"Project number four is stationary multispectral camouflage equipment, which consists of camouflage nets and camouflage support material. According to the Federal Ministry of Defence, this is used to camouflage deployed forces and equipment, thereby protecting them from detection by the enemy. The stationary multispectral camouflage equipment is intended to meet the needs of all areas of the German Armed Forces. With its improved shielding properties, it replaces the previous generation of camouflage equipment. A framework agreement with a fixed order is planned. The estimated cost of the fixed order is 170 million euros."</t>
  </si>
  <si>
    <t>"After the Bundestag's Budget Committee had already approved the necessary funds for the conclusion of a framework agreement worth around €580 million in November, the Belgian company Sioen Industries NV was commissioned by the German Armed Forces Procurement Office (BAAINBw) on 18 December 2025 to supply the so-called Stationary Multispectral Camouflage Equipment (SMT). The framework agreement is intended to procure up to 219,261 multispectral camouflage net sets, divided into different types and net sizes, as well as up to 104,536 sets of support equipment for the Bundeswehr. This is according to a report published today by the BAAINBw on the European online procurement platform TED. In a first step, however, only camouflage equipment worth around 48 million euros will be procured, as hartpunkt reported some time ago with reference to well-informed circles."</t>
  </si>
  <si>
    <t>DE272</t>
  </si>
  <si>
    <t>https://esut.de/2025/12/meldungen/66123/24-milliarden-euro-fuer-mikron-nachtsichtgeraete-von-theon/</t>
  </si>
  <si>
    <t>https://theon.com/theon-signs-the-largest-contract-ever-for-100000-nvgs-with-occar-valued-at-c-e1-billion/</t>
  </si>
  <si>
    <t>"The next largest approved project is the procurement of several tens of thousands of sets of ‘image intensifier goggles, cross-sectional’ and the associated spare parts. To this end, an existing contract for the procurement of night vision goggles is to be extended this year. According to the Federal Ministry of Defence, the background to this is the growing demand due to the expansion of the German Armed Forces. However, the contract is not due to come into force until the 2026 federal budget comes into effect. The project can be allocated an amount in the mid three-digit million euro range."</t>
  </si>
  <si>
    <t>Own calculation based on Theon press statement</t>
  </si>
  <si>
    <t>DE273</t>
  </si>
  <si>
    <t>https://www.bmvg.de/de/aktuelles/marschflugkoerper-fuer-f-35-aufklaerungssysteme-6045062</t>
  </si>
  <si>
    <t>https://esut.de/2025/12/meldungen/65941/mehr-als-25-milliarden-euro-fuer-elf-beschaffungsvorhaben-gebilligt/</t>
  </si>
  <si>
    <t>https://www.politico.eu/article/german-parliament-to-approve-2-point-6-billion-euro-fresh-military-kit/</t>
  </si>
  <si>
    <t>"The F-35A multi-role fighter aircraft will replace the Tornado fighter-bomber for nuclear sharing. In addition, the F-35 – like the Tornado – will engage enemy targets on the ground and provide close air support to friendly forces. The first fighter jets are to be delivered to the USA in 2026 to enable the training of pilots there. The F-35A will be stationed at the Büchel air base from 2027.
In future, cruise missiles will also be included in the armament. In June, the Budget Committee had already given the green light for the procurement of Joint Strike Missiles (JSM) in cooperation with Norway. Now the committee has approved the purchase of additional guided missiles of this type. By increasing the number of units, the Bundeswehr is also meeting NATO's capability targets for ammunition stockpiling. 
The JSM has an advanced mission planning system for optimal use of sea and land geography. It uses a high-precision navigation system and automatic target detection is supported by an infrared image seeker. The JSM is an air-to-ground system that can combat threats on land and at sea."</t>
  </si>
  <si>
    <t>"The German F-35 A fighter jets will be armed with, among other things, the Joint Strike Missile (JSM) from Norwegian manufacturer Kongsberg. The German Armed Forces ordered an initial tranche worth €564 million in June. The Budget Committee has now approved the procurement of the second tranche. With this procurement, the German Armed Forces aims to ensure the sustainability of the weapon system and achieve NATO capability targets."</t>
  </si>
  <si>
    <t>"MPs are set to approve around €445 million for a new batch of Joint Strike Missiles, produced by Norway’s Kongsberg Defence &amp; Aerospace and integrated for Germany’s incoming Lockheed Martin F-35A fleet."</t>
  </si>
  <si>
    <t>DE274</t>
  </si>
  <si>
    <t>NH-90 naval radar development</t>
  </si>
  <si>
    <t>"The processor of the maritime surveillance radar in the naval versions of the NH-90 helicopter needs to be redesigned due to its age. This processor is responsible for generating radar signals and processing radar echoes. The countries participating in the NH-90 project – Germany, Belgium, Italy and the Netherlands – are contributing to the investment in the new development. The German share has now been approved by the Budget Committee."</t>
  </si>
  <si>
    <t>"The German Navy's NTH Sea Lion vessels are equipped with a powerful sensor for monitoring sea and airspace, hunting submarines and combating surface targets in the form of the distinctive maritime surveillance radar. The Budget Committee has approved around €30 million for the redevelopment of the 360-degree surveillance radar, which is to be carried out jointly with partner countries. According to the Federal Ministry of Defence, the focus is on the exciter receiver processor, which is essential for generating radar signals and processing radar echoes."</t>
  </si>
  <si>
    <t>DE275</t>
  </si>
  <si>
    <t>Eurofighter maintanance tools development</t>
  </si>
  <si>
    <t>Aircraft Maintenance and Repair Shop Specialized Equipment</t>
  </si>
  <si>
    <t>"In addition, the committee has approved funding for the development and delivery of special tooling and test equipment (STTE) for the Eurofighter radar. The test equipment is necessary for the reparability of the radar, which needs to be replaced due to age. All four Eurofighter partner nations are participating in the replacement procurement. The radar is the most important sensor for target acquisition, target tracking and target engagement. It supports the effective deployment of air-to-air guided missiles and provides target support for the fighter jet's 27-millimetre onboard cannon."</t>
  </si>
  <si>
    <t>"Together with the three Eurofighter partners (Great Britain, Italy, Spain), the German Armed Forces intends to invest in the development and delivery of special tools and test equipment. The Budget Committee has approved around €65 million for this purpose. According to the Federal Ministry of Defence, these funds will be used, for example, to maintain special electronic components (‘avionics’) and thus to preserve the capabilities of the Eurofighter weapon system."</t>
  </si>
  <si>
    <t>DE276</t>
  </si>
  <si>
    <t>Heron TP drone operation contract extension</t>
  </si>
  <si>
    <t>"A test phase for the German Heron TP (GHTP) drone is currently underway at Jagel Air Base. This weaponisable drone is used for reconnaissance tasks and can be deployed to support ground troops. It is a temporary solution until the Eurodrone is introduced. A total of five drones have been leased on the basis of an operating agreement. In future, the aircraft could make an important contribution to national and alliance defence and also play a role in monitoring critical infrastructure, for example. To improve defence capabilities, the monthly flight hour quota can now be significantly increased. The Budget Committee has approved the amendment agreement."</t>
  </si>
  <si>
    <t>"The unmanned aircraft provided by Airbus Defence and Space Airborne Solutions in Afghanistan and Mali under an operator contract must be adapted for operation in controlled airspace in Europe. The necessary flight operations are taking place at Jagel Air Base. The Budget Committee has approved around €630 million for the extension of the operator contract and the expansion of demonstration flight operations."</t>
  </si>
  <si>
    <t>DE277</t>
  </si>
  <si>
    <t>Uranos AI reconnaissance system</t>
  </si>
  <si>
    <t>Quantum Systems</t>
  </si>
  <si>
    <t>Lateration</t>
  </si>
  <si>
    <t>Helsing Germany</t>
  </si>
  <si>
    <t>ARX Robotics</t>
  </si>
  <si>
    <t>https://esut.de/2025/11/meldungen/65799/grossflaechige-aufklaerung-mit-uranos-ki/</t>
  </si>
  <si>
    <t>"Uranos AI is developing and procuring a novel system for monitoring large areas on NATO's eastern flank using artificial intelligence. The aim is to establish an AI-supported reconnaissance network of unmanned systems for the tactical level (combat battalions) for battlefield reconnaissance. With AI support, large amounts of data are collected and processed on sensor platforms deployed in the air and on the ground in order to achieve information superiority on the battlefield. Uranos AI will initially be supplied to the 45th Armoured Brigade in Lithuania. Later, the system will be available to all brigades. This will be achieved by integrating commercially available individual components into an overall system. Initially, eight complete systems will be procured in parallel from two manufacturers. Initial capability is to be achieved between 2026 and 2028. This will lay the foundation for further expansion of the system to equip additional army brigades."</t>
  </si>
  <si>
    <t>"Two consortia were selected for URANOS-KI: Airbus Defence and Space with Quantum Systems, B&amp;W International and Lateration, and Helsing Germany with Alpine Eagle and ARX Robotics. The contract volume for both consortia is estimated at up to €136.2 million if all options are exercised."</t>
  </si>
  <si>
    <t>"MPs will clear about €68 million for Uranos KI, an AI-enabled reconnaissance network built in competing versions by Airbus Defence and Space and German defense-AI company Helsing."</t>
  </si>
  <si>
    <t>DE278</t>
  </si>
  <si>
    <t>ALADIN drone</t>
  </si>
  <si>
    <t>https://esut.de/2025/12/meldungen/65929/twister-wird-aladin/</t>
  </si>
  <si>
    <t>"The Budget Committee has also approved investments for drone-based reconnaissance in the immediate vicinity. This will enable the German Armed Forces to conclude a framework agreement for the manufacture and delivery of a high three-digit number of ALADIN systems. The framework agreement is intended to gradually replace the predecessor system. ALADIN can be used to monitor and reconnoitre areas immediately in front of the German Armed Forces' own forces. The lightweight drone is ready for use in a few minutes and provides optical reconnaissance results in real time. It can be used day and night."</t>
  </si>
  <si>
    <t>"Under the seven-year framework agreement, an initial batch of 147 systems is to be delivered as a fixed order for around €16 million. The first deliveries are expected in 2026. The armed forces are expected to have all 147 systems at their disposal by 2028. For the additional 600 aircraft that can be ordered on demand, the manufacturer has committed to production capacities that will enable complete delivery by 2029."</t>
  </si>
  <si>
    <t>DE279</t>
  </si>
  <si>
    <t>https://www.bmvg.de/de/aktuelles/parlament-genehmigt-weitere-sturmgewehre-g95-6044676</t>
  </si>
  <si>
    <t>https://esut.de/2025/12/meldungen/65900/250-000-sturmgewehre-g95-fuer-die-bundeswehr/</t>
  </si>
  <si>
    <t>"The G95 will become the new standard rifle of the German Armed Forces. After extensive testing, it has been decided that the HK416A8 model from Heckler &amp; Koch will be introduced to the troops as the G95 and will replace the G36 as the assault rifle. As a ‘system assault rifle’, the G95's equipment also includes a main combat sight with reflex sight and a laser light module. At the end of 2022, the Budget Committee approved the procurement of almost 120,000 G95 assault rifles. The new decision now allows for the purchase of additional units in order to equip the entire force with the new assault rifle as quickly as possible. At its meeting, the Budget Committee also approved the procurement of the associated laser light modules. In conjunction with night vision goggles, this means that the G95 can be used in the dark. When used without night vision goggles, the G95's laser light module offers numerous advantages even in conditions of limited visibility."</t>
  </si>
  <si>
    <t>"On 3 December, the German Bundestag's Budget Committee approved the amendment to the 2023 framework agreement with Heckler &amp; Koch for the procurement of G 95 assault rifles. This increased the total number of assault rifles from 118,718 to 250,000 and extended the term of the agreement until 2032. At the same time, the firm order for 78,014 basic weapons worth €254.8 million was approved. Deliveries are to be made by 2028. A further 168,861 assault rifles worth €510.2 million have been agreed as an order, with a delivery date by 2032."</t>
  </si>
  <si>
    <t>DE280</t>
  </si>
  <si>
    <t>"The Bundeswehr assault rifle system consists of the base weapon, the laser light module and the optics, for which a framework agreement has been concluded for each. The ELCAN Specter DR 1-4x offered by Leonardo has been selected as the cross-sectional main combat sight. The LLM-VarioRay laser light module from Rheinmetall serves primarily to increase night combat capability."</t>
  </si>
  <si>
    <t>DE281</t>
  </si>
  <si>
    <t>https://www.hartpunkt.de/sturmgewehroptiken-werden-mehr-als-doppelt-so-teuer-wie-geplant/</t>
  </si>
  <si>
    <t>"The Bundeswehr assault rifle system consists of the base weapon, the laser light module and the optics, for which a framework agreement has been concluded for each. The ELCAN Specter DR 1-4x offered by Leonardo has been selected as the cross-sectional main combat sight."</t>
  </si>
  <si>
    <t>"Sources from the Bundestag told hartpunkt that the optics will be many times more expensive than originally planned. Instead of €128 million for up to 107,929 main combat sights, around €720 million will now be needed for up to 250,000 optics. The initial order of 50,000 systems alone will now cost around €144 million."</t>
  </si>
  <si>
    <t>DE282</t>
  </si>
  <si>
    <t>Intercommunication and Public Address Systems, Except Airborne</t>
  </si>
  <si>
    <t>"The committee also approved the purchase of additional communication sets with integrated hearing protection. Additional systems can now be ordered under an existing framework agreement and will be delivered starting next year. The communication sets are compatible with other equipment components, such as combat helmets, and minimise the risk of permanent hearing damage. At the same time, they enable communication under combat conditions and allow ambient noise to be heard. In this respect, the communication sets are particularly suitable for infantry deployment scenarios."</t>
  </si>
  <si>
    <t>"The third call-off has now been approved by the Budget Committee after a considerable delay. The procurement proposal was originally planned for September. Around €140 million has been released for the third call-off from the framework agreement. This corresponds to approximately 60,000 speech sentences, which are to be delivered from 2026 onwards. The framework agreement stipulates an upper limit of 191,000 speech sets for around €400 million. This leaves a remaining balance of 81,000 speech sets and around €114 million."</t>
  </si>
  <si>
    <t>DE283</t>
  </si>
  <si>
    <t>https://esut.de/2025/12/meldungen/65925/zweite-tranche-wolf-2-zur-beschaffung-freigegeben/</t>
  </si>
  <si>
    <t>"By resolution of the Budget Committee, additional vehicles of the type LkwLastkraftwagen mil gl le in the variants ‘command vehicle’ and ‘military police vehicle’ may be procured from an existing contract. They are to be delivered between 2026 and 2027. They are used to transport personnel and equipment and have excellent driving characteristics in difficult terrain. The vehicles are prepared to accommodate equipment sets from the Land-Based Operations Digitalisation System."</t>
  </si>
  <si>
    <t>"Following approval by the German Bundestag's Budget Committee, the German Armed Forces can order a further 1,744 light, off-road trucks from the framework agreement of July 2024, which are introduced into the troops as Wolf 2. 288 million euros have been released for this purpose."</t>
  </si>
  <si>
    <t>DE284</t>
  </si>
  <si>
    <t>https://esut.de/2025/12/meldungen/66390/sattelanhaenger-70t-baainbw/</t>
  </si>
  <si>
    <t>"With the amendment of a framework agreement for 70-tonne military semi-trailers, the German Armed Forces can now order additional semi-trailers. The committee has approved the contract amendment and, at the same time, approved the order for the first semi-trailers. When used with the appropriate tractor units, the semi-trailers enable the military to transport heavy equipment such as Leopard 2 battle tanks and other wheeled and tracked vehicles or containers. The semi-trailers can also be used in unfavourable environmental conditions, with poor transport infrastructure and on light terrain. In terms of functionality, operability and interfaces, they are designed to match the Mammut tractor units already in use and are scheduled for delivery from 2026."</t>
  </si>
  <si>
    <t>"With the amendment of a framework agreement for 70-tonne military semi-trailers, the German Armed Forces can now order additional semi-trailers. The committee has approved the contract amendment and, at the same time, approved the order for the first semi-trailers. When used with the appropriate tractor units, the semi-trailers enable the military to transport heavy equipment such as Leopard 2 battle tanks and other wheeled and tracked vehicles or containers. The semi-trailers can also be used in unfavourable environmental conditions, with poor transport infrastructure and on light terrain. In terms of functionality, operability and interfaces, they are designed to match the Mammut tractor units already in use and are scheduled for delivery from 2026. Since 2023, the German Armed Forces has been receiving 70-tonne semi-trailers from the medium-sized company Doll Fahrzeugbau. To date, 122 of 249 trailers have been called off under the framework agreement, with the delivery target for the last vehicle set for 2025. The framework agreement runs until 2029."</t>
  </si>
  <si>
    <t>"And in a sign of Berlin’s effort to rebuild military logistics at scale, MPs will approve roughly €380 million for off-road military trucks from Mercedes-Benz and around €175 million for heavy tank-transport trailers built by DOLL. These contracts directly feed Germany’s defense-industrial base as Berlin pushes industry to deliver at wartime speed."</t>
  </si>
  <si>
    <t>DE285</t>
  </si>
  <si>
    <t>RCH 155</t>
  </si>
  <si>
    <t>Guns, 150mm through 300mm</t>
  </si>
  <si>
    <t>https://www.bmvg.de/de/aktuelles/gruenes-licht-fuer-weitere-beschaffungsvorhaben-fuer-die-truppe-6052272</t>
  </si>
  <si>
    <t>https://esut.de/2025/12/meldungen/66528/rahmenvertrag-ueber-500-radhaubitzen-rch-155-abgeschlossen/</t>
  </si>
  <si>
    <t>"The Budget Committee also approved the procurement of self-propelled artillery guns (Remote Controlled Howitzer 155 Millimetre, RCH 155). This is a wheeled howitzer based on the chassis of the Boxer variant B0, which is currently under development, and comparable to the Panzerhaubitze 2000 in terms of its weapon system. Initially, verification samples will be delivered for qualification, followed by the series vehicles. The RCH 155 is intended to supplement the Bundeswehr's long-proven Panzerhaubitze 2000 self-propelled howitzers and provide support for armoured forces in mobile, mechanised operations against a predominantly mechanised enemy. In addition, the RCH 155 is intended to provide direct fire support to dismounted forces and to engage targets deep in the enemy's territory."</t>
  </si>
  <si>
    <t>"An immediate order was placed for 84 wheeled howitzers, which are to be delivered together with training equipment from 2028 onwards. Service and logistical support are also included. On 17 December, the German Bundestag's Budget Committee approved the project with a procurement volume of €1.2 billion. Of the 84 systems, four are advance models, three of which are to be used in Germany for integrated evidence management. One system is intended for the United Kingdom."</t>
  </si>
  <si>
    <t>DE286</t>
  </si>
  <si>
    <t>SPOCK reconnaissance satellite system</t>
  </si>
  <si>
    <t>Space Vehicles</t>
  </si>
  <si>
    <t>ICEYE</t>
  </si>
  <si>
    <t>https://esut.de/2025/12/meldungen/66362/haushalt-bundeswehr-grossvorhaben/</t>
  </si>
  <si>
    <t>"The German Armed Forces are getting a new space-based tactical reconnaissance system. The budget committee of the German Bundestag has approved funding for SPOCK (Spacesystem for persistent operational tracking). This is a key project aimed at strengthening the military reconnaissance capabilities of the German Armed Forces. The radar satellite system makes it possible to detect and monitor enemy mobilisation activities at an early stage. SPOCK thus strengthens the ability to defend the country and the alliance, particularly with regard to NATO's eastern flank and the safe deployment of the German brigade in Lithuania. With the procurement of SPOCK, the German Armed Forces is responding to the changed security situation in Europe. The Ministry of Defence considers the project to be particularly urgent. The project is aimed at achieving operational capability in the near future. This is of utmost importance in view of the current geopolitical situation."</t>
  </si>
  <si>
    <t>"The German Armed Forces are setting up the SPOCK (Spacesystem for persistent operational tracking) tactical radar satellite system, primarily for the early detection of mobilisation and deployment activities by enemy forces. The results are urgently needed for NATO's eastern flank and the exposed 45th Tank Brigade in Lithuania. The contractor will be the joint venture Rheinmetall ICEYE Space Solutions (RISS), which will provide reconnaissance results under an operating agreement. A total of €1.8 billion has been approved for the framework agreement, which runs until 2031. Full operational global capacity is expected to be achieved in April 2028."</t>
  </si>
  <si>
    <t>DE287</t>
  </si>
  <si>
    <t>"The German Armed Forces are also closing the capability gap in signal detection, airborne, long-range surveillance and reconnaissance. To this end, the budget committee has now approved a contract that is intended to ensure the implementation of initial functionalities in 2027. In particular, this contract implements a new system for integrated evidence management, which enables increased cooperation between the main contractor and the Bundeswehr during the testing of the system. In addition, this contract, among other things, redefines the provision of the military GPS system for the PEGASUS project and procures additional hardware for an interim reconnaissance and operations centre. In addition, a mission preparation and debriefing system will be provided in containers. PEGASUS is based on Global 6000 aircraft, which will be equipped with highly sensitive reconnaissance electronics."</t>
  </si>
  <si>
    <t>"The Pegasus (Persistent German Airborne Surveillance System) reconnaissance system, whose mission equipment has just begun, needs to close capability gaps in signal detection, airborne, long-range surveillance and reconnaissance. The financial requirement is €165 million."</t>
  </si>
  <si>
    <t>DE288</t>
  </si>
  <si>
    <t>TAURUS NEO cruise missile</t>
  </si>
  <si>
    <t>https://www.mbda-systems.com/de/mbda-joint-venture-erhaelt-taurus-neo-auftrag-zur-staerkung-der-deep-strike-faehigkeit</t>
  </si>
  <si>
    <t>"The committee members also gave the green light for a contract to prepare for series production of the TAURUS NEO airborne standoff weapon. TAURUS NEO is a cruise missile designed for the precise engagement of ground targets at long range. It can be used to engage heavily hardened and buried targets as well as so-called high-value targets. The munition is to be used on the Eurofighter and is based on the TAURUS guided missile already in service with the German Armed Forces and used on the Tornado. With this decision, preparations for series production of the new TAURUS NEO can begin. The aim is to set up the production line for the new version of the cruise missile at an early stage and to procure parts for production in good time. As a future joint procurement project involving several allied partner countries, it will be pursued under the umbrella of OCCAR. The organisation coordinates and manages European armaments projects."</t>
  </si>
  <si>
    <t>"The Taurus guided missile is being further developed. The modular standoff weapon ‘Target Adaptive Unitary and Dispenser Robotic Ubiquity System, Kinetic Energy Penetrator and Destroyer’ (MAW TAURUS KEPD 350) is to be adapted to the extended capability requirements and freed from obsolescence under the project name Taurus NEO. Preparations for series production, including the construction and qualification of a production line, are to be completed by 2029. 448 million euros have been earmarked for this, of which over 200 million euros are to be listed as advance payments."</t>
  </si>
  <si>
    <t>"On 18 December 2025, TAURUS Systems GmbH (TSG), a joint venture between MBDA and SAAB, and the Federal Office of Bundeswehr Equipment, Information Technology and In-Service Support (BAAINBw) signed a contract to prepare for series production of the TAURUS NEO standoff weapon. Against this backdrop, MBDA plans to produce large quantities in Germany."</t>
  </si>
  <si>
    <t>DE289</t>
  </si>
  <si>
    <t xml:space="preserve">FASER clothing and field equipment </t>
  </si>
  <si>
    <t>Bw Bekleidungsmanagement GmbH</t>
  </si>
  <si>
    <t>"The clothing project has caused quite a stir. The contract with Bundeswehr Bekleidungsmanagement GmbH is intended to ensure the continuous and ongoing supply of clothing and personal equipment for a total of 460,000 soldiers, as well as protective equipment for up to 80,000 civilian employees of the German Armed Forces. It is reported that the contract is worth €21 billion and will run for eight years from 2026. The subject of the contract is the production of uniform clothing sets for various tasks and environments and personal equipment. Up to 460,000 soldiers and – to a lesser extent – 80,000 civilian members of the German Armed Forces are to be equipped. The scope of clothing is to be aligned with expected personnel development."</t>
  </si>
  <si>
    <t>DE290</t>
  </si>
  <si>
    <t>"An amendment to the government purchase agreement is intended to increase the number of launchers and guided missiles for the Arrow Weapon System Germany (AWG). According to information from the Israeli Ministry of Defence, the procurement sum is to be increased from €3.6 billion to €6.7 billion. Previously, the plan envisaged three deployment locations for Arrow. With the expansion, the number of deployment locations could be doubled. Israel has agreed to significantly increase the production rate of the Arrow 3 interceptors and launchers to be delivered to Germany."</t>
  </si>
  <si>
    <t>DE291</t>
  </si>
  <si>
    <t>https://esut.de/2025/12/meldungen/66558/startgeraete-und-lenkraketen-pac-3-mse-fuer-das-luftverteidigungssystem-patriot/</t>
  </si>
  <si>
    <t>"The Air Force is focusing on expanding its air defence capabilities. Funds have been released for the conversion of Patriot weapon system launchers. Transport trucks, including trailers, swap bodies and semi-trailer trucks, can be procured for the transport of guided missiles. Last but not least, €1.7 billion has been released to supplement stocks of PAC-3 MSE guided missiles. At an estimated price of €4 million per unit, over 400 missiles can be procured. The missiles and conversion kits will be procured through the Foreign Military Sales (FMS) programme."</t>
  </si>
  <si>
    <t>"A year ago, the German Bundestag's Budget Committee approved an initial batch of 120 LFK PAC-3 MSEs for €764 million. The order was placed in March 2025. At its meeting on 17 December, the Budget Committee allocated a further €1.6 billion for the supplementary procurement of the LFKs. This amount is roughly double that of the first batch. Therefore, the number of LFKs to be ordered can be estimated at 240."</t>
  </si>
  <si>
    <t>DE292</t>
  </si>
  <si>
    <t>"Procurement of conversion kits for Patriot M903 launchers, enabling the firing of PAC 3 MSE guided missiles"</t>
  </si>
  <si>
    <t>"In order for the Patriot systems to be able to fire the PAC-3 MSE guided missile, they must be equipped with the M903 launcher. The German Armed Forces intends to procure the launchers for the systems in its inventory and for the newly ordered systems through the Foreign Military Sales process. On 17 December, the German Bundestag's Budget Committee approved just under €600 million for a double-digit number of conversion kits. The kits will be delivered mainly in 2028/2029. The project is scheduled for completion by 2032."</t>
  </si>
  <si>
    <t>DE293</t>
  </si>
  <si>
    <t>https://esut.de/2025/12/meldungen/66467/schuetzenpanzer-puma-auslieferung/</t>
  </si>
  <si>
    <t>"With the expansion of the second batch, the fleet of Puma armoured personnel carriers, the main weapon system of the armoured infantry, continues to grow. In addition to the 350 APCs from the first batch, up to 254 more Pumas will now be added in the second batch. The armoured vehicles from the first batch will be retrofitted. Shooting and combat simulators will be procured for training purposes. Last but not least, the equipment will be supplemented with multi-purpose ammunition for engaging ground and air targets."</t>
  </si>
  <si>
    <t>"The German Armed Forces is expanding its Puma fleet. It has commissioned Projekt System &amp; Management GmbH (PSM), a joint venture between Rheinmetall and KNDS Germany (KNDS), to supply 200 Puma infantry fighting vehicles. A corresponding amendment to the existing framework agreement was signed today in Koblenz at the Federal Office of Bundeswehr Equipment, Information Technology and In-Service Support (BAAINBw). The agreement will take legal effect in January 2026. The procurement has a total gross volume of €4.2 billion. Of this, €2.1 billion will go to KNDS and €2.1 billion to Rheinmetall subsidiary Rheinmetall Landsysteme GmbH. Both companies will implement the project as subcontractors. The first vehicles are scheduled for delivery in mid-2028."</t>
  </si>
  <si>
    <t>DE294</t>
  </si>
  <si>
    <t>Eagle V 4x4 vehicle</t>
  </si>
  <si>
    <t>https://www.gdels.com/de/media/news/gdels-erhaelt-grossauftrag-zur-beschaffung-weiterer-eagle-fahrzeuge-fuer-die-bundeswehr-cmsc6bux0pn59903n9sa2ab0</t>
  </si>
  <si>
    <t>"The Eagle V 4×4 fleet of Class 2 protected command and function vehicles (GFF 2) is also undergoing significant expansion. 2,610 vehicles worth €3.8 billion can be ordered. Delivery is planned for the period from 2027 to 2031."</t>
  </si>
  <si>
    <t>."General Dynamics European Land Systems (GDELS) has been commissioned by the Federal Office of Equipment, Information Technology and Use to supply the German Armed Forces with protected command and function vehicles of the EAGLE V 4x4 and EAGLE V 6x6 types in the medium protected ambulance vehicle variant as part of two supplementary procurements. The two framework agreements provide for the delivery of a total of 5,000 vehicles, of which just under 3,000 with a total value of €4 billion will be ordered immediately."</t>
  </si>
  <si>
    <t>DE295</t>
  </si>
  <si>
    <t>Eagle V 6x6 ambulance vehicle</t>
  </si>
  <si>
    <t>"The 80 medium-sized protected medical vehicles (mgSanKfz) Eagle V 6×6 ordered to date for mobile first aid and transporting the wounded will be significantly increased. Around one billion euros has been approved for almost 400 vehicles."</t>
  </si>
  <si>
    <t>DE296</t>
  </si>
  <si>
    <t>https://esut.de/2025/12/meldungen/66519/auftrag-fuer-49-agf-2-und-ufk-fuer-die-spezialkraefte-erteilt/</t>
  </si>
  <si>
    <t>"Following approval by the German Bundestag's Budget Committee on 17 December, the BAAINBw concluded a framework agreement with Dutch vehicle manufacturer Defenture for 80 combat platforms for special forces and immediately placed a firm order for 49 units. The contract is worth around €100 million. The firm order comprises 34 reconnaissance and combat vehicles for special forces (AGF-2) and eight medium tactical support vehicles for special forces (UFK). Eight AGF-2s are to be equipped with a 20 mm machine gun, thus becoming fire support vehicles. Delivery is scheduled to begin in 2027."</t>
  </si>
  <si>
    <t>DE297</t>
  </si>
  <si>
    <t>Patria 6x6</t>
  </si>
  <si>
    <t>Flensburger Fahrzeugbau</t>
  </si>
  <si>
    <t>https://esut.de/2025/12/meldungen/featured/66335/patria-cavs-bundeswehr/</t>
  </si>
  <si>
    <t>"The German Armed Forces intends to commence series production of the new generation of armoured transport vehicles, Patria 6×6, from the international cooperation programme Common Armoured Vehicles System (CAVS).  On 17 December, the German Bundestag's Budget Committee took note of a corresponding €25 million proposal and approved around €959 million for the order of 296 armoured transport vehicles. The main contractor is the Finnish vehicle manufacturer Patria Land, which will carry out part of the production in Germany through its subcontractors KNDS Deutschland Maintenance and FFG Flensburger Fahrzeugbau."</t>
  </si>
  <si>
    <t>DE298</t>
  </si>
  <si>
    <t>Multi-Mission Aircraft operating agreement</t>
  </si>
  <si>
    <t>"An operating agreement is to provide four multi-mission aircraft (MMA) for special reconnaissance in the air. The financial requirement is €224 million."</t>
  </si>
  <si>
    <t>DE299</t>
  </si>
  <si>
    <t>RRP-117 air defence radar upgrade</t>
  </si>
  <si>
    <t>"The RRP-117 long-range sensors used to monitor German airspace need to be upgraded. The aim is to eliminate obsolescence in signal and data processing technology. The kits are to be procured via the NSPA for €71 million."</t>
  </si>
  <si>
    <t>DE300</t>
  </si>
  <si>
    <t>MQ-9B SeaGuardian unmanned system</t>
  </si>
  <si>
    <t>General Atomics Aeronautical</t>
  </si>
  <si>
    <t>https://esut.de/2026/01/meldungen/66964/acht-mq-9b-seaguardian-fuer-seefernaufklaerung-und-u-boot-jagd/</t>
  </si>
  <si>
    <t>"Maritime reconnaissance will be further strengthened with eight unmanned MQ-9B aircraft from General Atomics. The UAS are scheduled to be delivered between 2028 and 2030. The manufacturer is to take on initial operation for two years, procurement and supply of spare parts, as well as service by the personnel required for operation in the contract. An optional extension of operation by three years has been agreed. The UAS form the unmanned part of the Maritime Airborne Warfare System (uMAWS)."</t>
  </si>
  <si>
    <t>"On 12 January, the German Armed Forces ordered eight MQ-9B SeaGuardian unmanned aerial systems from US manufacturer General Atomics Aeronautical Systems (GA-ASI) for maritime reconnaissance and submarine hunting. On 17 December 2025, the German Bundestag's Budget Committee allocated around €1.9 billion to the Unmanned Maritime Airborne Warfare System (uMAWS) project."</t>
  </si>
  <si>
    <t>"Procurement is being handled by the NATO Support and Procurement Agency (NSPA), which established the MQ-9B International Cooperation Support Partnership in 2024 to support the five member states – Belgium, Denmark, Germany, Canada and the United Kingdom – in the procurement and operation of the MQ-9B."</t>
  </si>
  <si>
    <t>DE301</t>
  </si>
  <si>
    <t>Same overall order as DE285 to DE300, less items with available costs</t>
  </si>
  <si>
    <t>DE301_a</t>
  </si>
  <si>
    <t>https://esut.de/2026/02/meldungen/67674/bundeswehr-bestellt-iris-t-flugkoerper-fuer-luft-luft-und-boden-luft-anwendungen/</t>
  </si>
  <si>
    <t>https://new.diehl.com/defence/de/presse-medien/news/vertraege-ueber-iris-t-lenkflugkoerper-mit-baainbw-unterzeichnet</t>
  </si>
  <si>
    <t>"The German Armed Forces may procure additional IRIS-T SLM guided missiles. A framework agreement is intended to cover the needs of the troops and meet the increased NATO requirements. In addition, partner nations within the European Sky Shield Initiative (ESSI) will be offered the opportunity to place orders via an opening clause contained in the agreement. The daily use of the IRIS-T SLM Infra Red Imaging System Tail Surface Launched Medium Range air defence system in Ukraine against Russian drones and cruise missiles clearly demonstrates the need for a sufficient number of appropriate guided missiles."</t>
  </si>
  <si>
    <t>DE301_b</t>
  </si>
  <si>
    <t>https://www.mbda-systems.com/de/mbda-erhaelt-auftrag-aus-deutschland-fuer-weitere-meteor-lenkflugkoerper</t>
  </si>
  <si>
    <t>"Additional Meteor guided missiles will be procured to arm the Eurofighters."</t>
  </si>
  <si>
    <t>"METEOR is the result of a collaboration between European partners led by MBDA. Germany, the United Kingdom, France, Italy, Spain and Sweden are cooperating in the programme. METEOR is equipped with an advanced solid-propellant ramjet engine. It is manufactured in Germany by MBDA subsidiary Bayern-Chemie. The controllable solid-propellant ramjet engine provides the missile with thrust until it reaches its target, giving it a unique ‘no escape zone’ that is larger than that of comparable air-to-air guided missiles."</t>
  </si>
  <si>
    <t>DE301_c</t>
  </si>
  <si>
    <t>DM2A5 heavyweight torpedo</t>
  </si>
  <si>
    <t>https://www.tkmsgroup.com/news/article/largest-torpedo-order-in-the-companys-history-tkms-and-baainbw-agree-on-delivery-of-heavyweight-torpedoes</t>
  </si>
  <si>
    <t>"Procurement of modernised DM2A5 heavyweight torpedoes as the main armament for the new U212 submarines."</t>
  </si>
  <si>
    <t>"TKMS and the Federal Office of Bundeswehr Equipment, Information Technology and In-Service Support (BAAINBw) today signed a framework agreement in Koblenz for the delivery of DM2A5 heavyweight torpedoes and associated equipment for the 212CD class submarines. The contract covers the development, production, and delivery of the heavyweight torpedoes. The parties have agreed not to disclose the contract value and volume. This order is the largest torpedo order in our Group's history to date."This order is the largest torpedo order in our Group's history to date. It is a strategic success for TKMS and the ATLAS ELEKTRONIK segment and underscores our leading role in the development and delivery of advanced underwater technology. The DM2A5 heavyweight torpedoes will significantly enhance the capabilities of the 212CD class submarines and make an important contribution to the security of Germany and its partners," emphasizes Michael Ozegowski, Executive Vice President of the ATLAS ELEKTRONIK segment."</t>
  </si>
  <si>
    <t>DE301_d</t>
  </si>
  <si>
    <t>"Leasing of additional EC 135 civil helicopters, including simulators for training and further education of Air Force pilots."</t>
  </si>
  <si>
    <t>DE301_e</t>
  </si>
  <si>
    <t>https://www.rheinmetall.com/de/media/news-watch/news/2025/12/2025-12-19-rheinmetall-und-knds-liefern-200-schuetzenpanzer</t>
  </si>
  <si>
    <t>"Procurement of vehicles for the Patriot system, here: guided missile transporters and trailers, swap bodies for power supply systems and articulated lorries"</t>
  </si>
  <si>
    <t>DE301_f</t>
  </si>
  <si>
    <t>"Procurement of additional 30-millimetre multi-purpose ammunition for the Puma; the maximum quantity available was increased to the maximum permitted under public procurement law."</t>
  </si>
  <si>
    <t>DE301_g</t>
  </si>
  <si>
    <t>DE301_h</t>
  </si>
  <si>
    <t>Armament Training Devices</t>
  </si>
  <si>
    <t>DE301_i</t>
  </si>
  <si>
    <t>Patria NEMO 120 mm turred mortar (CAVS)</t>
  </si>
  <si>
    <t>https://www.armyrecognition.com/news/army-news/2025/germany-orders-876-patria-6x6-cavs-vehicles-with-nemo-mortar-and-kongsberg-rs4-remote-weapon-station</t>
  </si>
  <si>
    <t>"Patria Group announced on 18 December 2025 that Patria and Germany concluded two serial procurement contracts within the Common Armoured Vehicle System programme worth more than 2 billion euros, combining a firm order valued at over 1 billion euros with options. The package covers up to 876 Patria 6x6 armoured vehicles in four variants, including configurations fitted with the Patria NEMO 120 mm turreted mortar and the Kongsberg PROTECTOR RS4 remote weapon station. Deliveries are set to start in 2026, with German industrial partners ramping up local production so that the first fully domestically built vehicles arrive in 2027."</t>
  </si>
  <si>
    <t>DE301_j</t>
  </si>
  <si>
    <t>E-scan radar equipment for Eurofighter</t>
  </si>
  <si>
    <t>"Two contracts for newly developed hardware components for the German-Spanish Eurofighter radar (ESCAN) for Eurofighter tranches 2 and 3a"</t>
  </si>
  <si>
    <t>"In cooperation with Spain, the Eurofighter will be equipped with a new ESCAN radar, for which newly developed hardware components must be procured. Additional Meteor guided missiles will be procured to arm the Eurofighter. Tools, workshop equipment and test devices for the fighter jet's self-protection system are also on the agenda."</t>
  </si>
  <si>
    <t>DE301_k</t>
  </si>
  <si>
    <t>Special operating equipment and test devices for the Eurofighter self-protection system Praetorian Defensive Aids Sub-System</t>
  </si>
  <si>
    <t>"New development and procurement of special operating resources and test equipment for the Eurofighter self-protection system Praetorian Defensive Aids Sub-System"</t>
  </si>
  <si>
    <t>DE301_l</t>
  </si>
  <si>
    <t>Electronic warfare system for frigate</t>
  </si>
  <si>
    <t>"Enhancement of the combat capabilities of the Class 123 frigates in the area of electronic warfare and the corresponding upgrading of the associated operations and training centre"</t>
  </si>
  <si>
    <t>"To ensure the operational readiness of frigate F123, the contract for the expansion of the electronic warfare segment is being amended."</t>
  </si>
  <si>
    <t>DE301_m</t>
  </si>
  <si>
    <t>FALKE reconnaissance drone development</t>
  </si>
  <si>
    <t>"The "remote-controlled reconnaissance system, airborne, short range" (Falke) is intended to support large-scale reconnaissance, primarily for combat troops, but also for military police surveillance tasks. The system is based on the Vector reconnaissance drone from Quantum Systems and is to be introduced in the near future."</t>
  </si>
  <si>
    <t>DE302</t>
  </si>
  <si>
    <t>MEKO A-200 DEU frigate preliminary contract</t>
  </si>
  <si>
    <t>https://www.bmvg.de/de/aktuelles/genehmigt-ausbildungsboote-vorvertrag-meko-a-200-6061846</t>
  </si>
  <si>
    <t>https://esut.de/2026/02/meldungen/67547/meko-a-200-deu-vorvertrag-unterzeichnet-projektstart-mit-technischem-fokus-auf-u-boot-jagd/</t>
  </si>
  <si>
    <t>"The Committee on Budgets approved a preliminary contract to comply with so-called “scheduling measures” in the event of the purchase of a possible alternative platform to the F126 project. The background is that the construction of F126 frigates by a Dutch shipyard is significantly delayed. That's why a German manufacturer had its product, ships of the type MEKOMultipurpose combination A-200 DEUGermany, presented as an alternative and a delivery of the first ship until December 2029 in prospect. However, the condition is the conclusion of a construction contract in January 2026. In order to be able to reserve production capacities in particular, a preliminary contract was negotiated with the manufacturer. Thus, the announced delivery date, even at a later conclusion of the contract, can still be guaranteed. The delivery by the end of 2029 serves to provide sufficiently powerful submarine hunting units, as they are the NATONorth Atlantic Treaty Organization demands. This solution is primarily for risk prevention. "</t>
  </si>
  <si>
    <t>"TKMS and the Federal Office for Equipment, Information Technology and Use of the Bundeswehr (BAAINBw) signed a preliminary contract for the MEKO A-200 DEU project on Tuesday. With the conclusion of the contract, the preparatory measures for the construction of at least three, possibly up to eight frigates of the proven MEKO-A-200 class, begin in a configuration specified for the German Navy.
Pre-contract secures delivery dates
The preliminary contract initially comprises up to 50 million euros for procurement and work until the end of March 2026, with the option of a gradual extension until the end of April (additional 100 million euros). “The preliminary contract will create the basis for the immediate project ramp-up. The contract enables us in particular to procure materials and to start immediate steel work at the construction yard," explained Dr. Oliver Juckenhöfel, Executive Vice President Surface Vessels at TKMS.
The target is the delivery of the first ship by the end of 2029, followed by further units less than twelve months apart. An official construction contract is still pending. The final decision is expected by the end of April 2026 and is related to the future of the delayed F-126 program.
With an estimated unit price of around 1 billion euros per unit, the MEKO A-200 DEU is less expensive than the F 126 (approx. 1.5–2 billion euros per ship). Should the F-126 program fail, up to eight MEKO frigates could be procured."</t>
  </si>
  <si>
    <t>DE303</t>
  </si>
  <si>
    <t>Naval training platform</t>
  </si>
  <si>
    <t>Operation Training Devices</t>
  </si>
  <si>
    <t>https://esut.de/2026/02/meldungen/68467/fassmer-erhaelt-grossauftrag-ueber-vier-ausbildungsboote-fuer-die-deutsche-marine/</t>
  </si>
  <si>
    <t>"In addition, the Committee on Budgets approved another amendment agreement on the construction and supply of four training units for the German Navy. The four boats are intended to serve as training platforms to train guard officers and to carry out the course “Survival at Sea”. Contractor is a German shipyard.
The first two boats commissioned with the original contract in 2021 have since been taken over. They are currently being tested and are planned for the sea tests coast of the military service in Eckernförde. From the experience gained so far, modifications have already emerged, which are taken into account in the current amendment contract. Improvements have been made in the area of technical equipment, accommodation and furnishing. As an additional equipment, the new boats will receive a take-off platform at the rear for the training share “Survival at Sea”, the crews of aircraft and helicopters."</t>
  </si>
  <si>
    <t>"The Fr. Fassmer GmbH &amp; Co. KG has on 23. February 2026 in Koblenz an order signed by the Federal Office for Equipment, Information Technology and Use of the Bundeswehr (BAAINBw) for the construction and delivery of four training boats. The contract was signed in the presence of the President of the BAAINBw, Annette Lehnigk-Emden, and Fassmer representative Harald Fassmer. The first unit is due to be delivered by the end of 2028. "</t>
  </si>
  <si>
    <t>GB1</t>
  </si>
  <si>
    <t>Helicopter training contract</t>
  </si>
  <si>
    <t>GBP</t>
  </si>
  <si>
    <t>Ascent Flight Training Management</t>
  </si>
  <si>
    <t>https://www.gov.uk/government/news/183-million-boost-for-military-helicopter-training</t>
  </si>
  <si>
    <t>"The MOD’s UK Military Flying Training System (UKMFTS) has signed a £183-million contract to boost training services for new Rotary Wing pilots.
The contract amendment includes:
    an uplift of four new Airbus H145 helicopters
    a state-of-the-art simulator and infrastructure improvements
    support in attracting and training personnel to meet the increased helicopter demand from the frontline.
The new H145 helicopters and simulator will enable students to learn how to fly a range of missions, covering expected scenarios on operational deployment. In addition, the H145s enable students to practice winching tasks and rear crew activities."</t>
  </si>
  <si>
    <t>"The Rotary Wing contract amendment was signed by UKMFTS, part of Defence Equipment &amp; Support (DE&amp;S) and Ascent Flight Training Management Ltd, which delivers pilot training for the UKMFTS in a partnering arrangement. It is part of a wider programme to increase training capacity for UK military pilots overall, as part of the £3.2-billion UKMFTS programme and helps address the increased demand for pilot training identified in the 2015 Strategic Defence and Security Review.
The 4 new H145 helicopters and simulator will be based at RAF Shawbury, Shropshire, which is where the Rotary Wing element of UKMFTS is delivered. The infrastructure improvements will cater for the increased student numbers."</t>
  </si>
  <si>
    <t>GB2</t>
  </si>
  <si>
    <t>Dreadnought</t>
  </si>
  <si>
    <t>Dreadnought-class submarine sonar</t>
  </si>
  <si>
    <t>Thales UK</t>
  </si>
  <si>
    <t>https://www.gov.uk/government/news/330-million-sonar-contract-for-dreadnought-submarines</t>
  </si>
  <si>
    <t>"BAE Systems Submarines, which is building 4 nuclear submarines for the Royal Navy, has awarded work worth around £330-million to Thales UK.
The Dreadnought sonar system will be developed at the global technology firm’s sites in Templecombe, Somerset, and Stockport. The periscope - known as the ‘Combat System Mast’ - will be developed and manufactured in Govan with technical input from the workforce in Crawley.
Thales UK has been a trusted Continuous at-Sea Deterrence (CASD) partner with the Ministry of Defence (MOD) and Royal Navy since the first operation in 1969."</t>
  </si>
  <si>
    <t>"The fleet will also be equipped with Thales Sonar 2076; providing them with the latest in acoustic detection capability. The visual and situational awareness sensor will combine electronic warfare technology with cameras to provide the Dreadnought crew with a visual link to the sea surface.
The next-generation Dreadnought submarines will be the Royal Navy’s most advanced submarines ever when they enter service from the early 2030s and will be vital in providing the UK’s nuclear deterrent, as they replace the Vanguard class of ballistic missile submarines"</t>
  </si>
  <si>
    <t>GB3</t>
  </si>
  <si>
    <t>Weapon-locating radar system</t>
  </si>
  <si>
    <t>https://des.mod.uk/contract-awarded-weapon-radar-systems/?portfolioCats=78%2C735%2C69%2C734</t>
  </si>
  <si>
    <t>"DE&amp;S have awarded a £46 million contract to extend the British Army’s use of its Mobile Artillery Monitoring Battlefield Asset (MAMBA) weapon-locating radar systems.
The contract secures the continued use of the life-saving critical operational counter-fire capability that has been in service since 2003, supporting operations in both Iraq and Afghanistan.
The contract, awarded to SAAB by the Artillery Systems team at DE&amp;S, will see the company work with the Royal Artillery’s 5th regiment based in Catterick, to ensure the capability remains in service until 2026."</t>
  </si>
  <si>
    <t>"Based on the calculations produced by MAMBA, priorities are made and directions are provided for effective counterbattery fire. In fire control mode, MAMBA will track the projectiles of own fire and extrapolate the points of impact. In sense and warn mode, extrapolation of points of impact of incoming fire will trigger a timely warning to its own troops.
Deliveries of the MAMBA mid-life extension will take place between 2022 and 2023, with the support contract covering 2020 to 2026.
SAAB will carry out the work in Gothenburg, Sweden, with support also taking place at 5th Regiment Royal Artillery’s Barracks in Catterick, UK."</t>
  </si>
  <si>
    <t>GB4</t>
  </si>
  <si>
    <t>Small boat engine support contract</t>
  </si>
  <si>
    <t>Ship and Marine Equipment</t>
  </si>
  <si>
    <t>Ship and Boat Propulsion Components</t>
  </si>
  <si>
    <t>EP Barrus</t>
  </si>
  <si>
    <t>https://www.gov.uk/government/news/267-million-engine-support-contract-for-oxfordshire-company</t>
  </si>
  <si>
    <t>"Oxfordshire-based EP Barrus secured the seven-year contract for the upkeep, update and supply of engines fitted to more than 1,100 craft.
The contract covers boats within the current MOD in-service fleet for craft under 25 metre, including Rigid Inflatable Boats (RIBs), the Mexeflote landing-raft system powered by the Thrustmaster propulsion unit, workboats, and planned future craft."</t>
  </si>
  <si>
    <t>GB5</t>
  </si>
  <si>
    <t>Protector</t>
  </si>
  <si>
    <t>Protector drone</t>
  </si>
  <si>
    <t>General Atomics Aeronautical Systems</t>
  </si>
  <si>
    <t>https://www.gov.uk/government/news/mod-signs-65-million-contract-for-protector-aircraft</t>
  </si>
  <si>
    <t>https://www.raf.mod.uk/news/articles/mod-signs-65m-contract-for-protector-aircraft/</t>
  </si>
  <si>
    <t>"A £65-million contract to build the UK’s first three Protector aircraft, the first UK operated system capable of strike missions anywhere in the world, has been signed."</t>
  </si>
  <si>
    <t>"After a successful development phase Protector is set to enter service by mid-2024, meaning that the Remotely Piloted Air System (RPAS) will deliver a step-change in capability for the RAF.
Protector is the world’s first certified RPAS, enabling it to fly in busy, unsegregated airspace, including civilian airspace, thanks to its ground-breaking ‘detect and avoid’ technology.
The contract was announced by Defence Secretary Ben Wallace at the virtual 2020 Air and Space Power Conference."</t>
  </si>
  <si>
    <t>"The contract follows a successful development phase by manufacturers General Atomics Aeronautical Systems Inc. which will build the first three Protector aircraft, plus three ground control stations and other associated support equipment.
It also includes an option to build 13 more aircraft and four ground control stations, which will complete the current planned fleet of 16 aircraft, more than doubling the capability currently provided by Reaper."</t>
  </si>
  <si>
    <t>GB6</t>
  </si>
  <si>
    <t>Fast patrol boat</t>
  </si>
  <si>
    <t>Marine Specialised Technology</t>
  </si>
  <si>
    <t>https://www.gov.uk/government/news/gibraltar-squadron-to-receive-two-cutting-edge-fast-patrol-craft</t>
  </si>
  <si>
    <t>"A £9.9-million contract has been signed with Merseyside-based Marine Specialised Technology (MST) for 2 new boats to replace the Gibraltar Squadron Fast Patrol Craft. "</t>
  </si>
  <si>
    <t>"The 6 year contract, which will support 30 jobs and create a further 25. The construction of the 2 boats begins in July 2020 and will take approximately 18 months. Boat 1 due to be delivered in quarter 3 2021/22 and Boat 2 in quarter 1 2022/23.
The remainder of the contract will provide an additional 4 years of local In-Service Support.
Both boats will be used to patrol HMNB Gibraltar and British Gibraltar Territorial Waters (BGTW).
They will also support British exercises and operations in the area and will keep close watch over Gibraltar’s shores."</t>
  </si>
  <si>
    <t>GB7</t>
  </si>
  <si>
    <t>Disruptive weapon technologies development contract</t>
  </si>
  <si>
    <t>Miscellaneous Weapons</t>
  </si>
  <si>
    <t>QinetiQ</t>
  </si>
  <si>
    <t>https://www.gov.uk/government/news/dstl-awards-300-million-weapons-research-contract</t>
  </si>
  <si>
    <t>"A contract for the accelerated development of disruptive weapon technologies has been awarded by the Defence Science and Technology Laboratory (Dstl) to QinetiQ.
The £300 million Weapons Sector Research Framework (WSRF) contract will run for five years with the aim of providing the armed forces with the battle winning technology to fight future conflicts. It succeeds the Weapons Science and Technology Centre (WSTC) contract, and offers a broader range of research activities including directed energy, complex and conventional weapons technologies.
The contract will run as an Enterprise Approach collaboration between Dstl, industry and academia. Stakeholders will work together, planning, tasking and delivering accelerated weapons science and technology (S&amp;T) research."</t>
  </si>
  <si>
    <t>GB8</t>
  </si>
  <si>
    <t>Semi-autonomous survey system development</t>
  </si>
  <si>
    <t>Digital Concepts Engineering</t>
  </si>
  <si>
    <t>Scytronix</t>
  </si>
  <si>
    <t>Wight Ocean</t>
  </si>
  <si>
    <t>Nordic Unmanned AS</t>
  </si>
  <si>
    <t>Foundry Cube</t>
  </si>
  <si>
    <t>https://www.gov.uk/government/news/12m-innovation-contracts-awarded-to-help-army-engineers-survey-water-crossings</t>
  </si>
  <si>
    <t>" £1.2m innovation contracts awarded to help Army engineers survey water crossings
DASA announces five small and medium-sized businesses to develop semi-autonomous reconnaissance and survey systems"</t>
  </si>
  <si>
    <t>"The Defence and Security Accelerator (DASA) has awarded contracts worth a total £1.3m to develop semi-autonomous reconnaissance and survey systems to help troops safely and stealthily advance into enemy territory across water obstacles such as rivers."</t>
  </si>
  <si>
    <t>Source 1 provides two monetary values for this entry: £1.2m and £1.3m. We take the lower of these two values, to estimate a lower bound.</t>
  </si>
  <si>
    <t>GB9</t>
  </si>
  <si>
    <t>Construction vehicle support contract</t>
  </si>
  <si>
    <t>Miscellaneous Construction Equipment</t>
  </si>
  <si>
    <t>AmeyBriggs</t>
  </si>
  <si>
    <t>Amey UK</t>
  </si>
  <si>
    <t>Briggs Equipment UK</t>
  </si>
  <si>
    <t>https://www.gov.uk/government/news/armys-construction-vehicles-boosted-by-240-million-contract</t>
  </si>
  <si>
    <t>https://www.ameybriggs.co.uk/about-us/</t>
  </si>
  <si>
    <t>" Army's construction vehicles boosted by £240-million contract
The military's fleet of bulldozers, cranes and forklifts will soon be refreshed thanks to a £240-million maintenance contract."</t>
  </si>
  <si>
    <t>"Now a new seven-year contract has been awarded to AmeyBriggs to maintain, manage and support the MOD’s fleet of construction and mechanical vehicles.
Vehicles in the MITER fleet include excavators, bulldozers, cranes and forklift trucks and meet the MOD’s need for earth-moving, engineer construction and mechanical handling capabilities."</t>
  </si>
  <si>
    <t>GB10</t>
  </si>
  <si>
    <t>Leonardo UK</t>
  </si>
  <si>
    <t>Parker Meggitt</t>
  </si>
  <si>
    <t>Parker</t>
  </si>
  <si>
    <t>https://www.gov.uk/government/news/scottish-defence-industry-wins-new-radar-contract</t>
  </si>
  <si>
    <t>https://www.gov.uk/government/news/counter-drone-tech-and-state-of-the-art-radar-for-the-raf</t>
  </si>
  <si>
    <t>"The work of four hundred Scottish Defence electronics workers has been bolstered by new MOD fast jet fighter radar contracts, the Minister for Defence Procurement Jeremy Quin MP announced today.
The Leonardo and BAE Systems plants in Edinburgh (300 jobs) and Dunfermline (100 jobs) pick up two-thirds of the 600 UK jobs that will be supported by the £317-million order."</t>
  </si>
  <si>
    <t>"Typhoon aircraft will be equipped with next-generation radar thanks to £317-million investment that will allow it to locate, identify and suppress enemy air defences using high-powered jamming.
The integration of the new European Common Radar System (ECRS) Mk2, which is based on Active Electronically Scanned Array (AESA) technology, will provide a capability edge in the increasingly contested battlespace."</t>
  </si>
  <si>
    <t>GB11</t>
  </si>
  <si>
    <t>Submarine rescue system contract extension</t>
  </si>
  <si>
    <t>JFD</t>
  </si>
  <si>
    <t>https://www.gov.uk/government/news/mod-extends-contract-for-nato-submarine-rescue-missions</t>
  </si>
  <si>
    <t>" MOD extends contract for NATO submarine rescue missions
A three-year contract extension to ensure NATO submariners are backed up by world-class rescue operations has been awarded to Scotland-based firm, JFD."</t>
  </si>
  <si>
    <t>"Worth more than seven million pounds, the contract extension will reach into 2023 and provide operational support to the NATO Submarine Rescue System (NSRS).
Created in 2008, NSRS is a collaborative project shared between the UK, France and Norway to ensure submarine operations are as a safe as possible. The dedicated system provides rescue to the three nations, as well as to allied NATO partners through signed agreements (MoUs)."</t>
  </si>
  <si>
    <t>GB12</t>
  </si>
  <si>
    <t>General support bridge system</t>
  </si>
  <si>
    <t>WFEL</t>
  </si>
  <si>
    <t>https://des.mod.uk/des-places-46-million-rapidly-deployable-bridges-contract-for-british-army-2/?portfolioCats=78%2C735%2C69%2C734</t>
  </si>
  <si>
    <t>"DE&amp;S have awarded a £46 million contract with UK industry to provide rapidly deployable bridges for the British Army.
WFEL, based in Stockport, have been contracted to provide 17 sets of its MGB Medium Girder Bridges which can be configured in several different ways to provide flexibility to the Commander on the ground.
They will be deployed by the Royal Engineers in both military operations and emergency disaster relief scenarios."</t>
  </si>
  <si>
    <t>"“The MGB will provide light weight medium gap capability to Very High Readiness forces and will form a significant element of the STRIKE Brigade’s manoeuvre support capability. MGB was chosen for its versatility and deployability to meet the challenges of the future integrated operating concept.”
The MGB contract will be fulfilled by December 2025, with the first two bridging sets delivered to the UK MOD by December 2021."</t>
  </si>
  <si>
    <t>GB13</t>
  </si>
  <si>
    <t>Sea mine disposal system development</t>
  </si>
  <si>
    <t>Demolition Materials</t>
  </si>
  <si>
    <t>L3Harris UK</t>
  </si>
  <si>
    <t>Alba Ultrasound</t>
  </si>
  <si>
    <t>https://www.gov.uk/government/news/world-class-autonomous-minehunters-to-protect-royal-navy</t>
  </si>
  <si>
    <t>"Speaking at the Franco-British Council Defence Conference, the Defence Secretary announced a £184-million investment in the joint Maritime Mine Counter Measure (MMCM) programme, which will create new systems to combat sea mines and keep ships and personnel away from danger."</t>
  </si>
  <si>
    <t>GB14</t>
  </si>
  <si>
    <t>Mixed munitions</t>
  </si>
  <si>
    <t>Miscellaneous Ammunition</t>
  </si>
  <si>
    <t>https://www.gov.uk/government/news/24-billion-munitions-deal-secures-thousands-of-uk-jobs</t>
  </si>
  <si>
    <t>https://www.defensenews.com/global/europe/2020/11/30/bae-systems-gets-32-billion-deal-so-british-forces-can-reload/</t>
  </si>
  <si>
    <t>"A new £2.4-billion contract to equip UK Armed Forces with essential fire power will sustain 4,000 jobs around the UK over 15 years, Defence Minister Jeremy Quin today announced. "</t>
  </si>
  <si>
    <t>"The Next Generation Munitions Solution (NGMS) will see BAE Systems manufacture 39 different munitions for the Royal Navy, Army, Royal Air Force and Strategic Command to use on the front line, including small arms ammunition, mortars, medium-calibre gun rounds and large-calibre artillery and tank shells."</t>
  </si>
  <si>
    <t>"Figures provided by MoD estimate BAE will annually produce approximately 70 million rounds of small-arms ammunition, 100,000 large-caliber rounds, 40,000 medium-caliber shells and 75,000 mortar rounds."</t>
  </si>
  <si>
    <t>GB15</t>
  </si>
  <si>
    <t>SPEAR3 missile for F-35B development</t>
  </si>
  <si>
    <t>MBDA UK</t>
  </si>
  <si>
    <t>https://www.gov.uk/government/news/550m-f-35-missile-contract-signed</t>
  </si>
  <si>
    <t>"A £550-million contract for new surface-attack missiles will secure hundreds of UK jobs and provide unrivalled lethality for the UK’s F-35B Lightning jets, Defence Minister Jeremy Quin announced today."</t>
  </si>
  <si>
    <t>"Known as SPEAR3, the next-generation missile can travel long distances at high-subsonic speed and over the next decade will become the F-35’s primary air-to-ground weapon."</t>
  </si>
  <si>
    <t>"The placement of this contract marks the next major stage of the SPEAR3 weapon system’s development and is a result of months of detailed negotiations between MBDA and the LMAS project team.
    Building on the successes and technology achievements of the previous four years’ work with MBDA, we now enter the exciting and challenging demonstration phase where we start to prove the system against the UK’s requirements and ramp up activities to integrate this highly-capable weapon system onto the F-35B aircraft.
With its unique combination of stealth, cutting-edge radar, sensor technology, and armed with SPEAR3, the F-35 will protect aircraft carriers from enemy ships, submarines, aircraft and missiles."</t>
  </si>
  <si>
    <t>GB16</t>
  </si>
  <si>
    <t>F-35 support contract</t>
  </si>
  <si>
    <t>https://www.gov.uk/government/news/76m-contract-boosts-f-35-lightning-fleet-support</t>
  </si>
  <si>
    <t>"A £76-million aircraft support contract, supporting more than 170 jobs, will maximise the availability and capability of the UK’s F-35 Lightning stealth jets, ensuring they are ready for combat operations across the globe. "</t>
  </si>
  <si>
    <t>"Signed by Lockheed Martin and the F-35 Joint Program Office, the Lightning Air system National Capability Enterprise (LANCE) contract will provide additional expertise on aircraft maintenance, bespoke UK training courses for pilots, groundcrew and engineers, and logistical and technical support for the fleet.
Providing additional experienced technical personnel at existing facilities, the contract will also allow three new capabilities to come into operation. These include an ejection seat maintenance workshop, a ‘Pilot fit facility’ to fit aircrew equipment, and component spray facility to transfer coatings onto aircraft components.
Giving the UK more freedom to operate its fleet of F-35s, it will also increase the number of flying hours available, alongside delivering important mission planning, training and maintenance capabilities."</t>
  </si>
  <si>
    <t>GB17</t>
  </si>
  <si>
    <t>Sea mine disposal system SWEEP</t>
  </si>
  <si>
    <t>Atlas Elektronic UK</t>
  </si>
  <si>
    <t>Atlas Elektronic</t>
  </si>
  <si>
    <t>https://www.gov.uk/government/news/new-autonomous-minesweepers-to-protect-sailors-at-sea</t>
  </si>
  <si>
    <t>https://www.royalnavy.mod.uk/news/2021/january/29/210129-autonomous-minesweeper</t>
  </si>
  <si>
    <t>"Three world-class autonomous minesweeping systems will detect and destroy sea mines on dangerous naval operations for the Royal Navy, thanks to a £25-million contract announced today. "</t>
  </si>
  <si>
    <t>"Using highly innovative technology, SWEEP will detect more modern and smarter digital sea mines, which target ships and submarines passing overhead.
Each SWEEP system comprises an Autonomous Surface Vessel that tows a sensor unit behind it. The unit uses magnetic, acoustic and electric technology to identify and neutralise different types of sea mines. The system is controlled by a Portable Command Centre which can be based at sea or on land.
The technology, which has been developed in the UK, can be rapidly deployed by land, sea and air and will offer increased protection to military and commercial vessels."</t>
  </si>
  <si>
    <t>GB18</t>
  </si>
  <si>
    <t>Remote targeting system</t>
  </si>
  <si>
    <t>Elbit Systems UK</t>
  </si>
  <si>
    <t>https://www.gov.uk/government/news/102-million-investment-in-detect-and-destroy-system-for-british-army</t>
  </si>
  <si>
    <t>"£102-million investment in detect and destroy system for British Army
The British Army has invested £102-million in a high-end surveillance system which allows frontline soldiers to detect and engage enemy targets in seconds."</t>
  </si>
  <si>
    <t>"Elbit Systems UK (ESUK) – which currently supports over 500 jobs across the UK – will deliver a state-of-the-art ‘sensor to shooter’ system creating an additional 40 highly-skilled engineering and manufacturing jobs split across Bristol and Sandwich, East Kent.
Utilising state-of-the-art thermal sight technology, the Dismounted Joint Fires Integrator (DJFI) will enhance soldiers’ ability to find and identify targets on the Battlefield. It then provides the crucial targeting information necessary to fire more quickly and accurately than ever before.
Using specialist software on a tablet, information gathered by the DJFI is sent digitally to an artillery system or aircraft to instantly engage the target, while the soldier operating the system remains hidden."</t>
  </si>
  <si>
    <t>"DJFI will deliver six distinct Fires Integration equipment suites – each tailored to specific battlefield mission roles – to be combined with existing hardware and software. The technology is designed to be integrated and used alongside similar equipment used by allied forces, meaning the UK can play a pivotal role in joint overseas operations."</t>
  </si>
  <si>
    <t>GB19</t>
  </si>
  <si>
    <t>MOSQUITO</t>
  </si>
  <si>
    <t>Uncrewed fighter aircraft prototype development</t>
  </si>
  <si>
    <t>Spirit AeroSystems</t>
  </si>
  <si>
    <t>Northrop Grumman UK</t>
  </si>
  <si>
    <t>https://www.gov.uk/government/news/30m-injection-for-uks-first-uncrewed-fighter-aircraft</t>
  </si>
  <si>
    <t>"£30-million injection for UK’s first uncrewed fighter aircraft
The UK’s first fleet of uncrewed fighter aircraft is one step closer to reality following a £30-million contract to design and manufacture a prototype in a three-year deal supporting more than 100 jobs in Belfast"</t>
  </si>
  <si>
    <t>"The uncrewed combat aircraft will be designed to fly at high-speed alongside fighter jets, armed with missiles, surveillance and electronic warfare technology to provide a battle-winning advantage over hostile forces. Known as a ‘loyal wingman’, these aircraft will be the UK’s first uncrewed platforms able to target and shoot down enemy aircraft and survive against surface to air missiles.
In a boost for Northern Ireland’s defence industry, Spirit AeroSystems, Belfast, have been selected to lead Team MOSQUITO in the next phase of the Project. Utilising ground-breaking engineering techniques, the team will further develop the RAF’s Lightweight Affordable Novel Combat Aircraft (LANCA) concept, with a full-scale vehicle flight-test programme expected by the end of 2023."</t>
  </si>
  <si>
    <t>"Team MOSQUITO, which also includes Northrop Grumman UK, will mature the designs and manufacture a technology demonstrator to generate evidence for a follow-on LANCA programme. If successful, Project Mosquito’s findings could lead to this revolutionary capability being deployed alongside the Typhoon and F-35 Lightning jets by the end of the decade."</t>
  </si>
  <si>
    <t>GB20</t>
  </si>
  <si>
    <t>Torpedo maintenance contract</t>
  </si>
  <si>
    <t>https://www.gov.uk/government/news/230-million-contract-to-bolster-royal-navy-torpedoes</t>
  </si>
  <si>
    <t>" £230-million contract to bolster Royal Navy torpedoes
Cutting-edge Spearfish and Sting Ray torpedoes carried by the Royal Navy are receiving a £230-million maintenance uplift."</t>
  </si>
  <si>
    <t>"Supporting over 100 skilled jobs at the British Aerospace Systems (BAE) Broad Oak facility in Portsmouth, the Torpedoes Repair and Maintenance (TRAM) contract will run for six years. TRAM supersedes the Torpedo Capability Contract (TCC) with BAE Systems which ran for 10 years."</t>
  </si>
  <si>
    <t>"The contract will help guarantee the Royal Navy’s inventory of Spearfish Heavyweight and Sting Ray Lightweight torpedoes. A full suite of maintenance activity is also included. This support ranges from technical repair, provision of spares, stock management, logistics and trials support.
Ensuring the torpedoes are safely stored is vital, so the contract also offers safety, environment and engineering advice to support the continued secure use of the weapons."</t>
  </si>
  <si>
    <t>GB21</t>
  </si>
  <si>
    <t>Remote weapons station for Boxer</t>
  </si>
  <si>
    <t>https://www.gov.uk/government/news/180m-army-vehicle-contract-protects-700-glasgow-jobs</t>
  </si>
  <si>
    <t>" £180-million British Army vehicle contract protects 700 Glasgow jobs
A £180-million contract to deliver cutting edge threat detection technology for the British Army’s new Boxer vehicles will support hundreds of jobs in Scotland, it is announced today."</t>
  </si>
  <si>
    <t>"The 10-year Remote Weapons Stations (RWS) contract will protect over 700 jobs at Thales UK’s Glasgow site while supporting 30 apprenticeships.
It uses a 360 degree high definition long range cameras attached to the outside of the vehicle to scan for enemy threats, even when Boxer is moving at speed. The RWS then alerts soldiers inside the armoured Boxer through a digital display – so they can keep a permanent watch outside while remaining safely inside the vehicle.
The system also offers key defensive capabilities, including a multi-barrel smoke grenade launcher, thermal imaging, and infra-red pointers."</t>
  </si>
  <si>
    <t>GB22</t>
  </si>
  <si>
    <t>Short-range air defence system (SHORAD)</t>
  </si>
  <si>
    <t>https://www.gov.uk/government/news/belfast-firm-secures-98-million-air-defence-missile-contract</t>
  </si>
  <si>
    <t>"Belfast firm secures £98-million air defence missile contract
A £98.4 million contract, supporting 119 jobs, has been extended to maintain Short-Range Air Defence (SHORAD) for the British Army and Royal Marines."</t>
  </si>
  <si>
    <t>"SHORAD is made up of High Velocity and Lightweight Multi-role Missile systems that can intercept air threats including fast jets, attack helicopters and unmanned air systems in a matter of seconds."</t>
  </si>
  <si>
    <t>"Thales UK won the initial contract in 2018, helping to modernise and develop the missile systems as part of the Future Air Defence Availability Project (F-ADAPT). This latest announcement confirms a five-year extension to the contract, sustaining over one hundred jobs at Thales UK’s Belfast site and within the wider Northern Ireland supply chain."</t>
  </si>
  <si>
    <t>GB23</t>
  </si>
  <si>
    <t>Challenger 3</t>
  </si>
  <si>
    <t>Rheinmetall BAE Systems Land</t>
  </si>
  <si>
    <t>https://www.gov.uk/government/news/british-army-to-possess-most-lethal-tank-in-europe</t>
  </si>
  <si>
    <t>"British Army to possess most lethal tank in Europe
The British Army will receive a fleet of 148 Challenger 3 main battle tanks as part of an £800 million contract with Rheinmetall BAE Systems Land (RBSL), the Defence Secretary has announced today."</t>
  </si>
  <si>
    <t>"As part of the Army’s commitments to adapt to meet future threats, Challenger 3 will be fully digitalised integrating information from all domains whilst being able to travel up to 60kph. The Challenger 3 tank is being developed to replace the current Challenger 2 tank which has been in service since 1998. Full Operating Capability for the tank is planned for 2030, with initial operating capability expected by 2027."</t>
  </si>
  <si>
    <t>GB24</t>
  </si>
  <si>
    <t>Multi domain mission support system support contract</t>
  </si>
  <si>
    <t>https://des.mod.uk/47-million-data-system-raf-navy-thales/?portfolioCats=78%2C735%2C69%2C734</t>
  </si>
  <si>
    <t>"A high-tech data system providing UK defence platforms with key operational information and improved situational awareness has received a £47-million spending boost.
DE&amp;S has awarded the new five-year support contract to Thales for the Multi Domain Mission Support System (MD MSS).
Both the Royal Air Force and Royal Navy use MD MSS to exploit operational information, which is crucial to dominating the battlespace."</t>
  </si>
  <si>
    <t>"The new contract will deliver full capability support, obsolescence management and a new online training solution. Around 150 jobs will be secured at Thales in the UK, including a team of 40 software engineers at the company’s Templecombe facility in Somerset."</t>
  </si>
  <si>
    <t>GB25</t>
  </si>
  <si>
    <t>C-17 Globemaster synthetic training course</t>
  </si>
  <si>
    <t>Boeing Defence UK</t>
  </si>
  <si>
    <t>https://www.gov.uk/government/news/274-million-training-boost-for-raf</t>
  </si>
  <si>
    <t>"£274-million training boost for RAF
Pilots and engineers who operate the UK’s C-17 Globemaster aircraft are to benefit from world-leading interactive training, following a £274-million contract award."</t>
  </si>
  <si>
    <t>"Awarded for the next 19 years, the contract with Boeing Defence UK will provide unique synthetic training courses for RAF personnel who operate the aircraft until 2040 and will support around 30 UK jobs at the International Training Centre (ITC) in Farnborough."</t>
  </si>
  <si>
    <t>GB26</t>
  </si>
  <si>
    <t>Police patrol craft</t>
  </si>
  <si>
    <t>https://www.gov.uk/government/news/36-million-contract-for-new-mod-police-patrol-crafts</t>
  </si>
  <si>
    <t>"£36 million contract for new MOD Police Patrol Craft
A £36 million contract has been awarded to Marine Specialised Technology to deliver 18 new police patrol craft for the MOD and Gibraltar Defence Police (GDP) Forces."</t>
  </si>
  <si>
    <t>"MOD police protect Royal Navy assets © Crown Copyright
To be used around Royal Naval bases in the UK and British Gibraltar Territorial Waters, the five-year contract will deliver 16 patrol craft to the MOD Police and two craft to the GDP, replacing those currently in use."</t>
  </si>
  <si>
    <t>GB27</t>
  </si>
  <si>
    <t>Inter-missile communication development</t>
  </si>
  <si>
    <t>Dstl Laboratory</t>
  </si>
  <si>
    <t>https://www.gov.uk/government/news/35-million-investment-for-smarter-missile-systems</t>
  </si>
  <si>
    <t>"£3.5-million investment for smarter missile systems
The Defence Science Technology Laboratory (Dstl) has been awarded £3.5 million to develop innovative new missile systems."</t>
  </si>
  <si>
    <t>"Known as the Co-operative Strike Weapons Technology Demonstrator (CSWTD), the Dstl-led project will explore how inter-missile communication can enable the weapons systems to work together and also improve the performance of current systems.
The project aims to increase the flexibility of missiles, ensuring that they can react to a changing threat or situation as it emerges, and improve their responsiveness. It will change the way missiles operate together with an upgrade to the software system that allows this co-operative behaviour."</t>
  </si>
  <si>
    <t>GB28</t>
  </si>
  <si>
    <t>https://www.gov.uk/government/news/500m-firepower-upgrade-for-type-45-destroyers</t>
  </si>
  <si>
    <t>"£500m firepower upgrade for Type 45 destroyers
The Royal Navy’s Type 45 destroyers will receive a £500 million upgrade to enhance their firepower capability."</t>
  </si>
  <si>
    <t>"Supporting over 100 highly-skilled jobs in Bristol, Stevenage, Gosport and Bolton, the two contracts will develop the cutting-edge air defence systems of the Type 45 destroyers.
MBDA UK has been awarded an 11-year contract to integrate the Common Anti-Air Modular Missile (CAMM) programme, often referred to as Sea Ceptor, into the Type 45 destroyers’ Sea Viper weapon systems. In addition to this, a 10-year contract with Eurosam will provide a refresh of the Aster 30 missiles system that are currently in use."</t>
  </si>
  <si>
    <t>GB28_a</t>
  </si>
  <si>
    <t>Aster 30 missile system refresh</t>
  </si>
  <si>
    <t>Eurosam</t>
  </si>
  <si>
    <t>GB28_b</t>
  </si>
  <si>
    <t>Sea Ceptor common anti-air modular missile integration</t>
  </si>
  <si>
    <t>GB29</t>
  </si>
  <si>
    <t>P-8A Poseidon support contract</t>
  </si>
  <si>
    <t>https://www.gov.uk/government/news/230m-boost-for-raf-submarine-hunter-fleet</t>
  </si>
  <si>
    <t>https://des.mod.uk/poseidon-support-training-contract-bduk-raf-lossiemouth/</t>
  </si>
  <si>
    <t>"£230m boost for RAF submarine-hunter fleet
A contract worth over £230 million for the RAF’s Poseidon Maritime Aircraft fleet has been signed with Boeing Defence UK (BDUK) creating more than 150 UK jobs."</t>
  </si>
  <si>
    <t>"The majority of the 153 BDUK jobs will be based at RAF Lossiemouth – the home of the Poseidon fleet – and will provide aircraft maintenance support and personnel alongside a comprehensive training package for aircraft crews. The remaining 46 jobs will be spread across sites at Bristol, Yeovil and Gosport.
Specialising in anti-submarine warfare, the Poseidon (P-8A) is the RAF’s multi-role maritime patrol aircraft. Working alongside the Royal Navy and close maritime allies such as the United States and Norway, Poseidon locates, identifies and tracks potentially hostile submarines operating around UK waters."</t>
  </si>
  <si>
    <t>GB30</t>
  </si>
  <si>
    <t>Ultrabeam</t>
  </si>
  <si>
    <t>ISS Aerospace</t>
  </si>
  <si>
    <t>https://www.gov.uk/government/news/2-million-in-contracts-awarded-to-enhance-army-engineers-with-autonomous-wet-gap-survey-systems</t>
  </si>
  <si>
    <t>"£2 million in contracts awarded to enhance Army Engineers with autonomous wet gap survey systems
Three SMEs have won contracts to develop semi-autonomous reconnaissance and survey systems to help the military cross rivers, streams and bogs"</t>
  </si>
  <si>
    <t>"The Defence and Security Accelerator (DASA) has awarded contracts worth £2 million during Map the Gap: Phase 2, a competition which aims to develop semi-autonomous reconnaissance and survey systems that help the military cross obstacles such as rivers, streams, bogs and other so-called ‘wet gaps’.
Map the Gap, run on behalf of the Defence Science and Technology Laboratory (Dstl), sought ideas from industry and academia to help reduce the risks to troops when surveying multiple crossing sites at the forward edge of the battle."</t>
  </si>
  <si>
    <t>GB31</t>
  </si>
  <si>
    <t>Missile innovation partnership programme</t>
  </si>
  <si>
    <t>Safran</t>
  </si>
  <si>
    <t>Roxel UK</t>
  </si>
  <si>
    <t>https://www.gov.uk/government/news/dstl-awards-a-new-contract-for-anglo-french-technology-partnership</t>
  </si>
  <si>
    <t>"Dstl awards a new contract for Anglo-French technology partnership
Dstl, the science inside UK defence, has awarded a new contract to MBDA to lead on the new Complex Weapons Innovation and Technology Partnership (CW ITP)."</t>
  </si>
  <si>
    <t>"CW ITP is a major Anglo-French collaborative programme for missile research and development. MBDA will act as the prime and will coordinate research with major suppliers in the UK and France on behalf of Dstl and the French Direction Générale de l’Armement (DGA).
The CW ITP is worth £40m over 4 years, with Dstl, DGA and UK and French industries all contributing towards this total amount.
The governments of both the UK and France have shown a commitment to harness the opportunities innovation can present for the benefit of their Defence capabilities. This new 4-year contract follows on from the work of the Materials and Components for Missiles Innovation Technology Partnership (MCM ITP) over the last 13 years. The CW ITP will collaboratively identify and develop revolutionary and innovative technology to enhance complex weapons capability in both nations for the 2030s and beyond."</t>
  </si>
  <si>
    <t xml:space="preserve">Source 1 indicates that the project is worth £40 million, "with Dstl, DGA and UK and French industries all contributing towards this total amount". Given that the project is a joint Franco-Anglo collaboration, we assume that the UK contributes half of the total cost, or £20 million. </t>
  </si>
  <si>
    <t>GB32</t>
  </si>
  <si>
    <t>https://www.gov.uk/government/news/440000-research-funding-for-next-generation-sea-mine-disposal</t>
  </si>
  <si>
    <t>"£440,000 research funding for next-generation sea mine disposal
Sea mine disposal could be transformed using an innovative technique that is being researched by Dstl (Defence Science and Technology Laboratory)."</t>
  </si>
  <si>
    <t>"The concept has received funding worth £440,000 from the Defence Innovation Unit to develop a working prototype and aims to provide a valuable capability for the Royal Navy, enabling minefields to be cleared more efficiently and quickly. Clearing minefields quicker will enhance freedom of operation without increasing risks to the disposal team."</t>
  </si>
  <si>
    <t>GB33</t>
  </si>
  <si>
    <t>GKN Aerospace</t>
  </si>
  <si>
    <t>https://www.gov.uk/government/news/195m-contract-signed-for-13-additional-raf-protectors</t>
  </si>
  <si>
    <t>"£195m contract signed for 13 additional RAF Protectors
A £195 million contract for a further 13 cutting-edge Protector aircraft has been signed. Defence Minister Jeremy Quin announced the new contract during a visit to GKN Aerospace (GKNA), who are manufacturing key parts of aircraft on the Isle of Wight."</t>
  </si>
  <si>
    <t>"Protector is a Remotely Piloted Aircraft System (RPAS) that will provide critical surveillance capability for the RAF and will be equipped with a suite of surveillance equipment and precision strike weapons to deploy against potential adversaries around the globe, all while being operated from RAF Waddington in Lincolnshire.
16 aircraft have now been ordered from General Atomics Aeronautical Systems Inc (GA-ASI) and are expected to enter service with the RAF by mid-2024, doubling the capability currently provided by Reaper. The investment also includes four additional ground control stations and associated support equipment."</t>
  </si>
  <si>
    <t>GB34</t>
  </si>
  <si>
    <t>Future Combat Air System (UK) concept phase</t>
  </si>
  <si>
    <t>Rolls-Royce</t>
  </si>
  <si>
    <t>https://www.gov.uk/government/news/250-million-contract-for-next-phase-for-future-combat-air-system</t>
  </si>
  <si>
    <t>"£250 million contract for next phase for Future Combat Air System
The new contract will drive forward the concept and assessment phase of the Future Combat Air System."</t>
  </si>
  <si>
    <t>"The Ministry of Defence has signed a £250 million contract with British industry ‘Team Tempest’ partners, driving forward the next phase of the major national and international endeavour to develop the next generation of combat air, the Defence Secretary has today announced.
Known as Tempest, the Future Combat Air System is expected to combine a core aircraft with a whole network of capabilities such as uncrewed aircraft and advanced data systems to form a next-generation mix designed to enter service from the mid-2030s.
Marking the formal start of the programme’s Concept and Assessment phase, the contract is worth an initial £250 million and is planned to grow further. The investment forms part of more than £2 billion worth of UK Government spending on the project over the next 4 years, as announced in the recent Defence Command Paper."</t>
  </si>
  <si>
    <t>"The contract has been signed with BAE Systems,one of the four founding members of ‘Team Tempest’, which also includes partners Leonardo UK, Rolls Royce and MBDA UK. Around 800 of the 2,000 jobs supported by the contract are based in the North of England, across sites in Warton, Samlesbury and Brough. BAE Systems has flowed collaborative support contracts directly with the core ‘Team Tempest’ partners Leonardo UK, Rolls-Royce and MBDA. As a result, further jobs supported by the programme are also spread across areas including Edinburgh, Luton, Stevenage and Bristol."</t>
  </si>
  <si>
    <t>GB35</t>
  </si>
  <si>
    <t>C-17 Globemaster aircraft upgrade</t>
  </si>
  <si>
    <t>US Air Force</t>
  </si>
  <si>
    <t>https://www.gov.uk/government/news/400m-investment-for-the-royal-air-force</t>
  </si>
  <si>
    <t>"UK’s C-17 fleet – which recently played a key role in the UK’s evacuation from Afghanistan – will receive a £324-million investment. This will upgrade software and hardware to improve airlift capability as part of a contract with the US Air Force."</t>
  </si>
  <si>
    <t>GB36</t>
  </si>
  <si>
    <t>Mk5/Mk6 Chinook helicopter upgrade</t>
  </si>
  <si>
    <t>"The UK’s fleet of Mk5 and Mk6 Chinook helicopters will be enhanced with state-of-the-art defensive systems, as part of a £64 million contract with Boeing Defence UK (BDUK) which will make them harder for adversaries to detect."</t>
  </si>
  <si>
    <t>GB37</t>
  </si>
  <si>
    <t>Laser and radio frequency demonstrator</t>
  </si>
  <si>
    <t>Raytheon UK</t>
  </si>
  <si>
    <t>https://www.gov.uk/government/news/725m-investment-for-laser-and-radio-frequency-weapons</t>
  </si>
  <si>
    <t>"£72.5-million investment for laser and radio frequency weapons
Three contracts awarded to produce new Directed Energy Weapons advanced demonstrators for British Army vehicles and Royal Navy frigate"</t>
  </si>
  <si>
    <t>"The MOD has awarded three contracts worth around £72.5-million to UK industry to produce advanced laser and radio frequency demonstrators as part of the Novel Weapons Programme (NWP).
Known collectively as Directed Energy Weapons (DEW), these next-generation technologies could revolutionise the battlefield and reduce the risk of collateral damage. The systems are powered by electricity and operate without ammunition, significantly reducing operating costs, increasing platform endurance and providing unprecedented offensive and defensive flexibility to personnel on the frontline.
Awarded to consortia headed by Thales and Raytheon UK, the four-year contracts will create at least 49 new jobs and sustain 249 jobs."</t>
  </si>
  <si>
    <t>GB38</t>
  </si>
  <si>
    <t>Astute-class submarine replacement design</t>
  </si>
  <si>
    <t>https://www.gov.uk/government/news/170m-investment-for-the-next-generation-of-royal-navy-submarines</t>
  </si>
  <si>
    <t>"£170-million investment for the next generation of Royal Navy submarines
BAE Systems and Rolls-Royce will undertake concept and design work for the Royal Navy submarines."</t>
  </si>
  <si>
    <t>"Design work for the next-generation of Royal Navy submarines is underway following the award of two contracts to UK industry, the Defence Secretary Ben Wallace has today announced.
Two contracts worth £85-million each had been awarded to BAE Systems and Rolls-Royce to deliver design and concept work for a future Class of Royal Navy submarine.
Over the next three years and supporting 350 jobs in the process, the contracts will deliver design work to inform a future decision which will help define the replacement approach for the Astute Class submarines – the nuclear powered fleet of submarines (SSNs) currently in service with the Royal Navy."</t>
  </si>
  <si>
    <t>GB39</t>
  </si>
  <si>
    <t>Air training contract</t>
  </si>
  <si>
    <t>Babcock</t>
  </si>
  <si>
    <t>Affinity Flight Training</t>
  </si>
  <si>
    <t>https://des.mod.uk/major-investment-for-uk-military-pilot-training-programme/?portfolioCats=78%2C735%2C69%2C734</t>
  </si>
  <si>
    <t>"More student pilots will be able to train for the UK armed forces than ever before, after a £175M contract uplift was signed, providing further capacity in training, including new aircraft and infrastructure upgrades.
This is a significant milestone for the UK Military Flying Training System (UKMFTS), which provides flying training to the military pilots of the future. Upon graduation, these pilots will be qualified to operate the UK’s most advanced combat aircraft such as the F-35 Lightning and Typhoon."</t>
  </si>
  <si>
    <t>"This latest contract was awarded by Defence Equipment and Support (DE&amp;S), to Ascent Flight Training which currently delivers the service provision for UKMFTS. The contract includes delivery of four new Texan T6 aircraft, which arrived at RAF Valley in November 2020, a new static flight simulator, nine Texan mission planning systems, and additional infrastructure facilities at RAF Valley including briefing rooms, classroom extensions and rooms for the new IT equipment.
The UKMFTS Basic Flying Training (BFT) course, through this upgrade, will increase capacity in the training system, enabling a greater throughput of students from a maximum of 36 per year to 53 per year, from 2024 onwards."</t>
  </si>
  <si>
    <t>GB40</t>
  </si>
  <si>
    <t>Surveillance aircraft</t>
  </si>
  <si>
    <t>https://www.gov.uk/government/news/110m-upgrade-for-raf-shadow-fleet</t>
  </si>
  <si>
    <t>"Awarded to Raytheon UK, the £110-million contract will see the current fleet of six aircraft increased to eight, and the integration of the latest UK Sovereign Defensive Aids Systems, ensuring this vital capability continues to provide battle-winning intelligence gathering for years to come."</t>
  </si>
  <si>
    <t>"Based at RAF Waddington and flown by 14 Squadron, Shadow forms a key part of the RAF’s Intelligence, Surveillance, Target Acquisition and Reconnaissance (ISTAR) force by gathering intelligence via its high-definition electro-optical and electronic sensors.
Once the data is gathered, satellite communication links enable the information to be assessed while the aircraft is airborne during a mission. To protect the aircraft from possible attack, the aircraft will be fitted with an improved state-of-the-art Defensive Aids System (DAS).
As part of the contract, the latest DAS will be installed across the fleet of 8 aircraft, increasing its ability to defend itself and operate in unfriendly airspace."</t>
  </si>
  <si>
    <t>GB40_a</t>
  </si>
  <si>
    <t>Shadow Mk2 surveillance aircraft</t>
  </si>
  <si>
    <t>GB40_b</t>
  </si>
  <si>
    <t>Defensive Aids Systems for surveillance aircraft</t>
  </si>
  <si>
    <t>GB41</t>
  </si>
  <si>
    <t>Type 26 and 31 frigate electronic warfare system</t>
  </si>
  <si>
    <t>https://des.mod.uk/electronic-warfare-royal-navy-des-mewsic-babcock-elbit/?portfolioCats=78%2C735%2C69%2C734</t>
  </si>
  <si>
    <t>"Defence Equipment and Support has awarded a £100-million contract to a Babcock-led partnership with Elbit Systems UK and QinetiQ to deliver cutting-edge electronic warfare (EW) systems to the Royal Navy.
The EW technology will allow more simultaneous detection and identification of radar signals over a greater frequency range than current capabilities. This will aid faster operational decision-making, enhanced situational awareness and anti-ship missile defence capability."</t>
  </si>
  <si>
    <t>"Vessels equipped with the new technology will include the Type 26 and Type 31 frigates"</t>
  </si>
  <si>
    <t>GB42</t>
  </si>
  <si>
    <t>Mobile robotic laboratory platform development</t>
  </si>
  <si>
    <t>Laboratory Equipment and Supplies</t>
  </si>
  <si>
    <t>https://www.gov.uk/government/news/102-million-research-funding-awarded-for-robotic-chemist-project</t>
  </si>
  <si>
    <t>"£1.02 million research funding awarded for robotic chemist project
Dstl (Defence Science and Technology Laboratory) is pioneering the use of autonomous mobile robotics within the scientific research laboratory."</t>
  </si>
  <si>
    <t>"To continue to deliver critical analytical capability for chemical, biological and explosives analysis, Dstl is working with industrial and academic partners to develop the application of mobile robotic platforms in laboratory (lab) environments. The majority of the £1,020,000 funding for this 2 year project is provided by the Defence Innovation Unit, with support from Defence Equipment and Support, and the Department for Transport."</t>
  </si>
  <si>
    <t>GB43</t>
  </si>
  <si>
    <t>Logistics information system contract</t>
  </si>
  <si>
    <t>https://www.gov.uk/government/news/460-million-logistics-contract-to-sustain-more-than-600-uk-jobs</t>
  </si>
  <si>
    <t>"£460 million logistics contract to sustain more than 600 UK jobs
A logistics system critical to UK Armed Forces operations worldwide will be supported under a new five-year, £460 million contract with Boeing Defence UK."</t>
  </si>
  <si>
    <t>"Logistics Information Systems (LogIS) support vital services including inventory, transport, engineering and general ledger management, ensuring the UK can successfully deploy military personnel and equipment globally.
Supporting the Ministry of Defence’s ongoing Modernising Defence Programme, this new contract will ensure all single services have access to a single technology-enabled system to support essential inventory services, covering everything from washers and bolts to replacement parts for nuclear missiles."</t>
  </si>
  <si>
    <t>GB44</t>
  </si>
  <si>
    <t>Air traffic management system contract</t>
  </si>
  <si>
    <t>Aquila</t>
  </si>
  <si>
    <t>NATS</t>
  </si>
  <si>
    <t>https://www.gov.uk/government/news/new-air-traffic-system-operational-with-300-uk-jobs-supported</t>
  </si>
  <si>
    <t>"A cutting-edge Air Traffic Management System is operational at RAF Shawbury in a £1.5 billion contract transforming air traffic management for the UK military. "</t>
  </si>
  <si>
    <t>"Designed to ensure safe and resilient military flying operations, the contract will integrate and support modern, innovative equipment with existing infrastructure. Variations will be rolled out across more than 60 Ministry of Defence sites in the UK and overseas by 2024, including Cyprus, Gibraltar and the Falkland Islands.
The equipment allows controllers improved situational awareness enhancing flight safety, with digital upgrades including touch screen communications, clearer radar pictures and improved flight information and positioning - all of which will be available on upgraded controller consoles.
Around 300 jobs have been secured in Fareham and other areas of the UK since the contract was awarded to Aquila Air Traffic Management Services Ltd in 2014 - a joint venture between Thales and NATS (formerly known as National Air Traffic Services)."</t>
  </si>
  <si>
    <t>GB45</t>
  </si>
  <si>
    <t>Diving equipment</t>
  </si>
  <si>
    <t>Marine Lifesaving and Diving Equipment</t>
  </si>
  <si>
    <t>Northern Diver</t>
  </si>
  <si>
    <t>https://des.mod.uk/des-awards-diving-equipment-contract-to-lancashire-based-company/?portfolioCats=78%2C735%2C69%2C734</t>
  </si>
  <si>
    <t>https://assets.publishing.service.gov.uk/media/6294e7e2d3bf7f037097bdc5/February_2022_Desider_-_Accessibility_-_DDC_3.pdf</t>
  </si>
  <si>
    <t>https://divernet.com/scuba-news/northern-diver-secures-24m-armed-forces-contract/</t>
  </si>
  <si>
    <t>"A £23.37M contract has been awarded to west-Lancashire based Northern Diver International to provide vital diving equipment to the UK Armed Forces.
Primarily delivering equipment to the Royal Navy and Army, the five-year contract enhances the UK’s diving capability by supplying diver’s apparel, specialist equipment and voice communication systems that can be used up to a depth of 30m underwater.
The contract will provide scuba sets, wet and dry dive suits, torches, knives, watches, floats and lines used by divers to conduct their role safely while deployed overseas or UK Homeland tasking."</t>
  </si>
  <si>
    <t>"Multiple requirements will be consolidated under one contract with a two-year extension option. Northern Diver International will manage the reliability, safety and availability of the equipment as well as leading equipment training and maintaining underwater tools."</t>
  </si>
  <si>
    <t>Source 1 says that the contract was made in 2021, though Source 2 and 3 confirm that it was actually 2022.</t>
  </si>
  <si>
    <t>GB46</t>
  </si>
  <si>
    <t>https://des.mod.uk/des-training-and-support-army-apache-ah-64e/?portfolioCats=78%2C735%2C69%2C734</t>
  </si>
  <si>
    <t>https://boeing.mediaroom.com/news-releases-statements?item=130988</t>
  </si>
  <si>
    <t>"DE&amp;S has secured a long-term training and support solution for the new fleet of Apache helicopters.
More than a dozen AH-64E Apaches – one of the most advanced attack helicopters anywhere in the world – are undergoing test flights with the British Army.
Wattisham Flying Station took delivery of 14 of the aircraft in recent months, with 36 more due to arrive by summer 2024.
A 20-year agreement has been signed with Boeing Defence UK to maintain and support the new fleet.
With £287 million confirmed for the first period of the contract, in place until July 2025, the agreement will create more than 200 jobs in the UK, including 165 for the Army Aviation Centre at Middle Wallop in Hampshire and 45 at Wattisham Flying Station in Suffolk.
The Long-Term Training and Support Service (LTTSS) will progressively take over from the initial support and conversion training provided by the US Government under Foreign Military Sale interim arrangements.
It will cover aircraft design organisation services, maintenance, logistics support, plus pilot, maintainer and groundcrew training."</t>
  </si>
  <si>
    <t>GB47</t>
  </si>
  <si>
    <t xml:space="preserve">Dassault 900LX </t>
  </si>
  <si>
    <t>Centreline</t>
  </si>
  <si>
    <t>https://des.mod.uk/aircraft-international-presence/?portfolioCats=78%2C735%2C69%2C734</t>
  </si>
  <si>
    <t>"Under a new £80 million contract with Bristol-based Centreline, four BAe 146 aircraft will be replaced by two more sustainable aircraft to continue the UK’s global engagement."</t>
  </si>
  <si>
    <t>"The new planes will be more sustainable thanks to their smaller engines, leading to a reduction in fuel burn and emissions. They will also be able to fly further, providing the UK greater opportunity to engage with key allies and partners.
The contract with Centreline includes the purchase of both Dassault 900LX aircraft, two years of initial support plus three option years if required."</t>
  </si>
  <si>
    <t>"Dassault 900LX was successful in this competition as the stand out candidate in performance, cost value and time requirements.
The two-phase programme will see the aircraft initially operated by a mixed crew of civilian and RAF personnel. The aircraft will be upgraded with military modifications such as defensive aid suites and military communications to deliver full capability and crewed by purely RAF personnel."</t>
  </si>
  <si>
    <t>GB48</t>
  </si>
  <si>
    <t>Hawk T1/T2 support contract</t>
  </si>
  <si>
    <t>https://des.mod.uk/hawk-jets-red-arrows-million-investment/?portfolioCats=78%2C735%2C69%2C734</t>
  </si>
  <si>
    <t>"The UK MOD is investing £695 million over the next 11 years to provide in-service support to the Royal Air Force’s fleet of Hawk T2 training aircraft and the Hawk T1 jets flown by the Red Arrows"</t>
  </si>
  <si>
    <t>"The Hawk contract with BAE Systems (BAES), valued at £590 million, will cover all Hawk T2 airframe support elements. This work will ensure the Hawk aircraft continue as global ambassadors for the UK."</t>
  </si>
  <si>
    <t>GB49</t>
  </si>
  <si>
    <t>Hawk T1/T2 engine support contract</t>
  </si>
  <si>
    <t>"The UK MOD is investing £695 million over the next 11 years to provide in-service support to the Royal Air Force’s fleet of Hawk T2 training aircraft and the Hawk T1 jets flown by the Red Arrows."</t>
  </si>
  <si>
    <t>"In addition, a separate £105 million contract for engine support has been placed with Rolls-Royce."</t>
  </si>
  <si>
    <t>GB50</t>
  </si>
  <si>
    <t>MINERVA satellite</t>
  </si>
  <si>
    <t>Surrey Satellite Technology</t>
  </si>
  <si>
    <t>https://www.gov.uk/government/news/first-22-million-minerva-satellite-supports-100-uk-jobs</t>
  </si>
  <si>
    <t>"First £22 million MINERVA satellite supports 100 UK jobs
The first in a network of new satellites will be designed and built in a new three-year, £22 million contract with Surrey Satellite Technology Ltd (SSTL)."</t>
  </si>
  <si>
    <t>"The first in a network of new satellites to support military operations will be designed and built under a new three-year, £22 million contract with Surrey Satellite Technology Ltd (SSTL).
Helping to improve the UK’s ability to collect and process data from UK and allied space assets, the washing-machine-sized satellite is the first to be designed and built under MINERVA - a £127 million science, technology and innovation programme focussed on integrating space with land, air, sea and cyber technologies.
Supporting 100 high-skilled roles at the Guildford-based company, the contract covers the design and build of the 150-kilogram satellite. It is the critical first step in identifying the processing power, radio frequencies and imagery capabilities UK Space Command requires to provide timely space-based intelligence in support of UK Armed Forces."</t>
  </si>
  <si>
    <t>GB51</t>
  </si>
  <si>
    <t>https://des.mod.uk/wildcat-helicopter-support-leonardo-navy-army-jobs/?portfolioCats=78%2C735%2C69%2C734</t>
  </si>
  <si>
    <t>"A five-year £360 million support and training contract for the Wildcat helicopter has been renewed with Leonardo Helicopters UK.
A total of 340 jobs will be sustained at RNAS Yeovilton and Leonardo with jobs also supported at second and third-tier suppliers including Morson Group and Light Helicopter Turbine Engine Company.
Part of the 34-year Wildcat Integrated Support and Training (WIST) arrangement, the contract awarded by DE&amp;S includes spares provisions, a three-year scheduled maintenance service, enhanced technical support including aircraft safety management, as well as delivering synthetic and ground-based training for aircrew and aircraft maintainers."</t>
  </si>
  <si>
    <t>GB52</t>
  </si>
  <si>
    <t>Sea mine detection system</t>
  </si>
  <si>
    <t>https://des.mod.uk/mine-hunting-systems-contract/?portfolioCats=78%2C735%2C69%2C734</t>
  </si>
  <si>
    <t>"A £32-million contract to provide cutting-edge autonomous mine-hunting systems to the Royal Navy has been awarded to Atlas Elektronik (UK) in Dorset."</t>
  </si>
  <si>
    <t>"Building on ambitions outlined in the Integrated Review, the three sets of Medium Autonomous Underwater Vessel (MAUV) systems will help to ensure Royal Navy personnel can combat the rapidly evolving threat of naval mines."</t>
  </si>
  <si>
    <t>GB53</t>
  </si>
  <si>
    <t>Dreadnought-class submarine phase 3</t>
  </si>
  <si>
    <t>https://www.gov.uk/government/news/more-than-2-billion-to-boost-uk-submarine-programme</t>
  </si>
  <si>
    <t>"More than £2 billion to boost UK submarine programme
Defence contracts of over £2 billion have been awarded to begin the third major phase of the Dreadnought submarine nuclear deterrent programme"</t>
  </si>
  <si>
    <t>"Defence contracts worth more than £2 billion have been awarded to BAE Systems and Rolls-Royce to begin the third major phase of the future submarine nuclear deterrent programme – Dreadnought.
With the overall programme supporting around 30,000 jobs across the UK, from design through to build, Delivery Phase 3 (DP3) represents the most significant stage of the Dreadnought programme so far. In 2021 alone, it supported around 13,500 jobs in the Northwest of England and a further 16,300 over the rest of the UK, making a significant contribution to the Government’s levelling-up agenda.
The investment is the latest financial commitment between the Ministry of Defence, BAE Systems and Rolls-Royce, and is the initial investment within a planned overall total of nearly £10 billion for the whole delivery phase."</t>
  </si>
  <si>
    <t>GB54</t>
  </si>
  <si>
    <t>ASTER Block 1 missile programme</t>
  </si>
  <si>
    <t>https://www.gov.uk/government/news/type-45-ballistic-missile-defence-upgrade-to-support-more-than-100-uk-jobs</t>
  </si>
  <si>
    <t>"Type 45 Ballistic Missile Defence upgrade to support more than 100 UK jobs
The UK will become the first European nation to operate a Maritime Ballistic Missile Defence capability that can detect and destroy Anti-Ship Ballistic Missiles"</t>
  </si>
  <si>
    <t>"The UK is set to become the first European nation to operate a Maritime Ballistic Missile Defence capability that can detect and destroy Anti-Ship Ballistic Missiles as it commits to a significant upgrade of Britain’s fleet of Type 45 destroyers.
The upgraded defence system, using the ASTER 30 Block 1 missile previously used only in French and Italian land systems, will help UK forces combat the increasing threats posed by anti-ship ballistic missiles at sea by developing the missile into a maritime variant.
The Ministry of Defence has placed an initial contract for this work with MBDA which, when delivered, will be worth more than £300 million and support more than 100 jobs across the UK - including highly skilled technology roles in areas such as system design and software engineering in Stevenage, Cowes, Bristol and Bolton."</t>
  </si>
  <si>
    <t>GB55</t>
  </si>
  <si>
    <t>Tomahawk Land Attack Missile Block V upgrade</t>
  </si>
  <si>
    <t>https://www.gov.uk/government/news/265-million-missile-upgrade-for-uk-submarines</t>
  </si>
  <si>
    <t>"The UK’s stock of Tomahawk Land Attack Missiles (TLAM) will be upgraded on Royal Navy submarines to ensure the weapon is even more effective against future threats.
In a £265 million contract with the US Government, with maintenance and technical support at the UK sites of BAE Systems, Babcock International and Lockheed Martin, the Royal Navy’s Astute-Class submarines will be armed with an enhanced Block V standard missile, capable of striking severe threats at a range of up to 1,000 miles.
The upgraded missile will be able to travel further than the previous Block IV iteration, maintaining a precision-strike capability that is unmatched in range and accuracy. The upgrade will also make the weapon less vulnerable to external threats, with modernised in-flight communication and target selection."</t>
  </si>
  <si>
    <t>"The Tomahawk missiles will be upgraded as part of a Foreign Military Sale with the US Government, which was negotiated by the MOD’s procurement arm, Defence Equipment and Support and will be active from July.
Making use of existing US research and expertise on the upgraded missile, the contract will mean the UK continues to receive full access to the US Tomahawk programme, support package and upgrades."</t>
  </si>
  <si>
    <t>"As Block IV is upgraded to Block V from 2024, it will modernise and improve in-flight communications and navigation, making the missile more effective against future threats around the globe.
The Foreign Military Sale also includes missile maintenance, recertification of existing missiles, spares, operational flight testing, software, hardware and training provisions."</t>
  </si>
  <si>
    <t>GB56</t>
  </si>
  <si>
    <t>Science &amp; technology mixed development portfolio</t>
  </si>
  <si>
    <t>https://www.gov.uk/government/news/science-technology-drive-to-deliver-uk-space-launch</t>
  </si>
  <si>
    <t>"A new, ambitious Defence Science &amp; Technology agenda, backed by £2 billion of investment and including an exciting new satellite launch, has been commissioned today.
Aimed at driving forward cutting-edge research and developing new Defence capabilities, the Science &amp; Technology Portfolio outlines a series of ambitious programmes, encouraging industry collaboration and input to meet future Defence needs."</t>
  </si>
  <si>
    <t>"£2 billion will be invested between now and 2026 to develop programmes which underpin the development of the generation-after-next of military capabilities Key elements of the future-facing portfolio include:
    Plans to develop a new weapon demonstrator capable of operating up to hypersonic speeds to better equip our Armed Forces against future threats.
    Expanded research into AI technologies, better understanding how they can benefit service personnel on the front line.
    Investment to build defence capabilities in space, improving intelligence, communication, and surveillance."</t>
  </si>
  <si>
    <t>GB57</t>
  </si>
  <si>
    <t>Virtual reality training system</t>
  </si>
  <si>
    <t>Bohemia Interactive Simulations</t>
  </si>
  <si>
    <t>https://www.gov.uk/government/news/uk-military-enhancing-training-through-virtual-reality</t>
  </si>
  <si>
    <t>"DE&amp;S has secured a £7.2 million contract with Bohemia Interactive Simulations (BISim) to deliver DVS2 – a training environment capable of simulating multiple military environments and operations. Personnel will be able to train anywhere in the world, across multiple terrains and with a range of weapons and equipment.
Front-Line Commands are set to receive the state-of-the art game-based simulation for immersive training opportunities that can be used individually, as a team or for training alongside NATO allies.
The capability will revolutionise training for the armed forces, bringing the forefront of virtual reality innovation to military exercises. DVS2 has already begun its rollout across UK military sites home and abroad supporting existing jobs at BISim."</t>
  </si>
  <si>
    <t>GB58</t>
  </si>
  <si>
    <t>https://www.gov.uk/government/news/235-billion-typhoon-upgrade-sustains-1300-uk-jobs</t>
  </si>
  <si>
    <t>"£2.35 billion Typhoon upgrade sustains 1,300 UK jobs
Typhoon fighter jets will be fitted with the world’s most advanced radar - part of a £2.35 billion investment at the Royal International Air Tattoo"</t>
  </si>
  <si>
    <t>"The state-of-the-art European Common Radar System (ECRS) Mk 2 radar will further transform the Eurofighter Typhoon’s control of the air, bringing a world-leading electronic warfare capability which will allow the aircraft to simultaneously detect, identify and track multiple targets in the air and on the ground.
It will support operations in the most challenging situations, equipping pilots with the ability to suppress enemy air defences using high-powered jamming and engage targets whilst beyond the reach of threats."</t>
  </si>
  <si>
    <t>"The work also ensures the aircraft can integrate additional capabilities and weapons later in the decade to counter emerging threats until 2040 and beyond.
This sees Typhoon enhanced with the latest mission computer and cockpit interface, as well as an improved navigation system and signal jamming technology.
ECRS Mk2 will be delivered into service towards the end of the decade and today’s announcement ensures that the advanced technical skills and expertise needed to develop, integrate and deliver these complex projects remain in the UK and are available to support the Future Combat Air System (FCAS) programme.
The radar is a prime example of the UK’s world-leading onshore technology, being developed by Leonardo UK in Edinburgh and Luton and integrated by BAE Systems in Warton."</t>
  </si>
  <si>
    <t>GB59</t>
  </si>
  <si>
    <t>Space capability development</t>
  </si>
  <si>
    <t>Fraunhofer Centre for Applied Photonics</t>
  </si>
  <si>
    <t>Slipstream Engineering Design</t>
  </si>
  <si>
    <t>Astroscale</t>
  </si>
  <si>
    <t>Avoptics</t>
  </si>
  <si>
    <t>AltaRange</t>
  </si>
  <si>
    <t>Japan</t>
  </si>
  <si>
    <t>https://www.gov.uk/government/news/1-million-in-contracts-awarded-to-enhance-the-uks-space-capabilities</t>
  </si>
  <si>
    <t>https://www.gov.uk/government/news/1-million-for-innovation-to-enhance-uk-space-capabilities</t>
  </si>
  <si>
    <t>"£1 million in contracts awarded to enhance the UK’s space capabilities
Secured through the Space to Innovate Campaign – Bravo Drop, five innovative organisations have won funding to develop technologies that enhance the UK’s ability to safely operate in space"</t>
  </si>
  <si>
    <t>"The Defence Science and Technology Laboratory (Dstl), UK Space Agency and Defence and Security Accelerator (DASA) are pleased to announce that five innovators have won £1 million in funding to develop technologies for the space domain."</t>
  </si>
  <si>
    <t>"The space domain, which includes satellites and space-based services, is vital to modern life, enabling a range of civilian and military activities. Any form of disturbance to UK space capabilities, whether that is natural or intentional, can cause a severe disruption to UK prosperity.
The Space to Innovate Campaign seeks proposals that can maintain the UK’s freedom of action in the space domain by developing future space technologies that enhance and protect space military and civil potential.
The campaign format is unique from other DASA competitions and comprises space-related challenges that are released periodically."</t>
  </si>
  <si>
    <t>GB60</t>
  </si>
  <si>
    <t>Uncrewed helicopter prototype development</t>
  </si>
  <si>
    <t>https://www.gov.uk/government/news/60-million-development-of-uncrewed-helicopter-supports-100-uk-jobs</t>
  </si>
  <si>
    <t>"£60 million development of uncrewed helicopter supports 100 UK jobs
A cutting-edge uncrewed aircraft demonstrator will be designed and developed in a £60 million contract awarded to Leonardo."</t>
  </si>
  <si>
    <t>"Driving innovation in future naval capability, the project will support up to 100 highly skilled engineering jobs at Leonardo’s Yeovil site.
Testing the viability of larger uncrewed aircraft for the Royal Navy, the three-tonne demonstrator, less than a fifth of the weight of a Merlin helicopter, could provide an innovative alternative to existing aircraft for tracking adversary submarines.
Trials will test the capability of the aircraft to drop “sonobuoys”; small tube-shaped buoys that track and communicate submarine activity enabling the aircraft to alert a crewed helicopter and call for support if a submarine is located. Designed to operate at lower cost than crewed aircraft, capabilities derived from the demonstrator could also reduce the exposure of Royal Navy personnel to hostile threats."</t>
  </si>
  <si>
    <t>GB61</t>
  </si>
  <si>
    <t>Bomb disposal digital protection device</t>
  </si>
  <si>
    <t>https://www.gov.uk/government/news/41-million-contract-for-bomb-disposal-protection-supports-100-uk-jobs</t>
  </si>
  <si>
    <t>"£41 million contract for bomb disposal protection supports 100 UK jobs
Personnel disposing of suspected bombs in the UK are being equipped with next-generation digital protection"</t>
  </si>
  <si>
    <t>"Military specialists called on to dispose of suspected bombs in the UK are being equipped with next-generation digital protection against remotely-triggered devices.
The life-saving technology will search the airwaves for remote control signals that may be attempting to detonate an explosive device, allowing skilled Explosive Ordnance Disposal (EOD) personnel to block them using this cutting-edge digital technique.
A £41 million contract placed with Leonardo has created 10 jobs with 100 roles supported around the country, including 35 at Leonardo in Basildon and Southampton. Around 50% of the contract value will be delivered by small and medium-sized enterprises across the UK."</t>
  </si>
  <si>
    <t>GB62</t>
  </si>
  <si>
    <t>BG62</t>
  </si>
  <si>
    <t>Armoured vehicle protection systems development</t>
  </si>
  <si>
    <t>https://www.gov.uk/government/news/funding-boost-for-protection-systems-for-the-british-army</t>
  </si>
  <si>
    <t>"Funding boost for protection systems for the British Army
The Defence Science and Technology Laboratory (Dstl) confirms new investment that will increase scalable protection options for the UK’s armoured land vehicles."</t>
  </si>
  <si>
    <t>"Funded by the British Army, the investment of £15 million over 3 years will enable Dstl to deliver the follow-on phase of the successful Icarus Technology Demonstrator Programme (TDP). The Icarus TDP, through Chief Scientific Advisor (CSA) funding, developed and demonstrated the Modular Integrated Protection System (MIPS) Open Architecture Standard (the MIPS standard) to Technology Readiness Level 5 (TRL 5).
This new investment will exploit and build on the MIPS standard to demonstrate a modular, flexible Active Protection System (APS) at high maturity (TRL 7)."</t>
  </si>
  <si>
    <t>GB63</t>
  </si>
  <si>
    <t>Type 23 Frigate weapon systems upgrade</t>
  </si>
  <si>
    <t>Systems Engineering &amp; Assessment</t>
  </si>
  <si>
    <t>https://www.gov.uk/government/news/34-million-boost-to-frigate-weapon-systems-sustains-150-uk-jobs</t>
  </si>
  <si>
    <t>"£34 million boost to frigate weapon systems sustains 150 UK jobs
Weapon systems on board the Royal Navy’s Type 23 frigates will be upgraded in a £34 million contract awarded by the UK Ministry of Defence."</t>
  </si>
  <si>
    <t>"During the next five years, Royal Navy ships will undergo a series of technical upgrades to their Magazine Torpedo Launch Systems and threat countermeasure capabilities, the latter of which will help ensure the ships continue to counter the threat of hostile anti-ship missiles.
The contract was award to Systems Engineering &amp; Assessment (SEA) in Devon.
Sustaining 150 UK jobs across Barnstaple, Beckington and Bristol in the south west of England, the upgrades will ensure that critical systems on Type 23 frigates continue to operate reliably, and that upgrades can be seamlessly adopted and installed until their out of service dates."</t>
  </si>
  <si>
    <t>"In addition to Type 23 updates, the contract will also upgrade Seagnat systems during the next five years on Type 45 destroyers and Royal Fleet Auxiliary (RFA) tankers, which provide fuel, food, fresh water, ammunition and other supplies to Royal Navy vessels around the world.
The contract also secures five further years of support for the systems on board the vessels with improved provision for spares."</t>
  </si>
  <si>
    <t>GB64</t>
  </si>
  <si>
    <t>IED digital protection system</t>
  </si>
  <si>
    <t>Team Protect</t>
  </si>
  <si>
    <t>PA Consulting</t>
  </si>
  <si>
    <t>Leidos Innovations UK</t>
  </si>
  <si>
    <t>Marshall Land Systems</t>
  </si>
  <si>
    <t>https://www.gov.uk/government/news/armed-forces-to-benefit-from-45-million-contract-for-life-saving-explosive-devices-protection-system</t>
  </si>
  <si>
    <t>"Armed Forces to benefit from £45 million contract for life-saving explosive devices protection system
Soldiers, vehicles and UK military bases to receive innovative digital protection against Improvised Explosive Devices (IEDs) through a £45 million contract."</t>
  </si>
  <si>
    <t>"Soldiers, vehicles and UK military bases around the world will receive innovative digital protection against remote and radio controlled Improvised Explosive Devices (IEDs) through a £45 million contract with British industry.
Under the contract awarded to Team Protect, the work – called Project CRENIC – sees UK military experts collaborate with small and medium businesses during the next five years.
Team Protect compromises of PA Consulting, Leonardo, Leidos Innovations UK, and Marshall Land Systems. This contract will sustain more than 50 jobs around the country, including in the North-West, East and South-West of England. The project aims to support and create further jobs through contracts with small and medium enterprises.
The project will develop equipment designed to be carried by soldiers, fitted to vehicles and protect military bases by detecting and disrupting explosive devices using advanced techniques across the electromagnetic spectrum."</t>
  </si>
  <si>
    <t>GB65</t>
  </si>
  <si>
    <t>Type 26 Frigate</t>
  </si>
  <si>
    <t>https://www.gov.uk/government/news/british-shipyard-awarded-42-billion-to-build-royal-navy-ships</t>
  </si>
  <si>
    <t>"British shipyard awarded £4.2 billion to build Royal Navy ships
4,000 UK jobs will be supported by the new contract, awarded to BAE Systems, to build the second batch of Type 26 frigates."</t>
  </si>
  <si>
    <t>"A British shipyard has been awarded a £4.2 billion contract to build the second batch of Type 26 frigates for the Royal Navy.
Delivering on ambitions laid out in the National Shipbuilding Strategy Refresh earlier this year, the contract awarded to BAE Systems will support 1,700 British jobs over the next decade at BAE Systems sites in Govan and Scotstoun, Glasgow.
As part of the contract, BAE Systems has committed to invest £1.2 billion in the UK supply chain, supporting a further 2,300 jobs with more than 120 suppliers all over the UK.
Leading the Royal Navy’s anti-submarine warfare surface fleet, the five new City-class ships – HMS Birmingham, HMS Sheffield, HMS Newcastle, HMS Edinburgh and HMS London – will join the first three T26s already in build at Govan – HMS Glasgow, HMS Cardiff and HMS Belfast.
Construction of all eight frigates is expected to be completed by the mid-2030s, with the first, HMS Glasgow, entering service by the end of 2028."</t>
  </si>
  <si>
    <t>GB66</t>
  </si>
  <si>
    <t>FCAS (UK)</t>
  </si>
  <si>
    <t>Future Combat Air System (UK) technical support contract</t>
  </si>
  <si>
    <t>https://www.gov.uk/government/news/31-million-contract-supports-specialist-jobs-on-future-fighter-jet-programme</t>
  </si>
  <si>
    <t>"£31 million contract supports specialist jobs on future fighter jet programme
A £31 million contract for highly specialised engineering support for the Future Combat Air Systems (FCAS) programme has been awarded to UK Defence firm – QinetiQ."</t>
  </si>
  <si>
    <t>"Under a three-year contract, the Aurora Engineering Delivery Partnership (EDP) led by QinetiQ, will provide technical support to FCAS and the Defence Equipment &amp; Support (DE&amp;S) Catalyst delivery team, which is responsible for delivering the latest combat air capabilities to UK frontline commands."</t>
  </si>
  <si>
    <t>GB67</t>
  </si>
  <si>
    <t>Multi-mode radio</t>
  </si>
  <si>
    <t>L3Harris</t>
  </si>
  <si>
    <t>https://www.gov.uk/government/news/new-90-million-battlefield-radio-programme-to-benefit-over-200-jobs</t>
  </si>
  <si>
    <t>"New £90 million battlefield radio programme to benefit over 200 jobs
A £90 million contract to upgrade land-based radio capabilities will improve battlefield effectiveness while supporting over 200 jobs in Hampshire."</t>
  </si>
  <si>
    <t>"The new deal for 1,300 new Multi-Mode Radios (MMR), which has been awarded to L3 Harris Communications Systems, will see the portable radios operated by foot soldiers or those mounted on vehicles.
Technical advances and upgrades will allow the radios to work across a range of security classifications, with the first ones being delivered to the British Army before the end of the year, ahead of further deliveries in 2023."</t>
  </si>
  <si>
    <t>GB68</t>
  </si>
  <si>
    <t>Project Cetus crewless submarine</t>
  </si>
  <si>
    <t>Msubs</t>
  </si>
  <si>
    <t>https://www.gov.uk/government/news/154-million-contract-for-first-cutting-edge-navy-crewless-submarine</t>
  </si>
  <si>
    <t>"£15.4 million contract for first cutting-edge Navy crewless submarine
Project Cetus will deliver the largest and most complex crewless submarine operated by a European Navy."</t>
  </si>
  <si>
    <t>"A £15.4 million contract for a cutting-edge crewless submarine has been awarded to Plymouth firm MSubs by the Royal Navy. The vessel will be delivered to the Navy in two years’ time and will further advance the UK’s ability to protect our critical national infrastructure and monitor sub-sea activity.
Project Cetus – named after a mythological sea monster – enhances the Royal Navy’s experimentation with autonomous underwater systems. It is the first step in developing an operational autonomous submarine that will work side-by-side with crewed submarines – including the Astute-class hunter-killers and their successors – or independently."</t>
  </si>
  <si>
    <t>GB69</t>
  </si>
  <si>
    <t>NLAW anti-tank system</t>
  </si>
  <si>
    <t>https://www.gov.uk/government/news/uk-orders-thousands-more-anti-tank-weapons-to-bolster-stockpiles</t>
  </si>
  <si>
    <t>"UK orders thousands more anti-tank weapons to bolster stockpiles
A £229 million deal will see thousands of Next Generation Light Anti-Tank Weapon (NLAW) systems assembled in Northern Ireland and delivered to the British Army."</t>
  </si>
  <si>
    <t>"Thousands of new anti-tank weapons will be assembled in Northern Ireland and delivered to the British Army, Defence Secretary Ben Wallace announced today (7 December).
A £229 million deal has been agreed with Swedish manufacturer Saab for Next Generation Light Anti-Tank Weapon (NLAW) systems, which are assembled at Thales’ facility in Belfast, Northern Ireland."</t>
  </si>
  <si>
    <t>GB70</t>
  </si>
  <si>
    <t>Surveillance drone</t>
  </si>
  <si>
    <t>Drone</t>
  </si>
  <si>
    <t>Lockheed Martin UK</t>
  </si>
  <si>
    <t>https://www.gov.uk/government/news/129-million-to-deliver-cutting-edge-mini-drones-for-uk-forces</t>
  </si>
  <si>
    <t>"£129 million to deliver cutting-edge mini drones for UK forces
More than 250 “portable” and “packable” mini drones will be delivered to the Armed Forces after the award of a contract worth £129 million to Lockheed Martin UK"</t>
  </si>
  <si>
    <t>"Replacing existing Mini Uncrewed Aerial Systems (MUAS) such as Desert Hawk 3, the 159 rotary-wing Indago 4 devices and 105 fixed-wing Stalker VXE30 drones, which are both capable of locating and identifying targets far from the operator, are due to be operational by the end of 2024.
Weighing a little over 20 kilograms and with a 4.88 metre wingspan, the portable Stalker is an operationally proven, vertical-launched, near-silent drone providing more than eight hours of imaging capability and able to cover around 60 miles."</t>
  </si>
  <si>
    <t>"With proven effectiveness in this technology, Lockheed Martin UK will be the Systems Integrator for the duration of the 10-year contract, working with numerous Small and Medium Enterprises as well as larger UAV manufacturers to iteratively develop the capability through life. This will ensure operational advantage is maintained by UK Armed Forces by upgrading the drones, keeping pace with technological changes and emerging threats when required.
Already used by the US military, the drones are designed to provide small military formations with immediate ISTAR (intelligence, surveillance, target acquisition and reconnaissance) capability - an increasingly vital component of modern battle spaces."</t>
  </si>
  <si>
    <t>GB70_a</t>
  </si>
  <si>
    <t>Indago 4 packable drone</t>
  </si>
  <si>
    <t>GB70_b</t>
  </si>
  <si>
    <t>Stalker VXE30 portable drone</t>
  </si>
  <si>
    <t>GB71</t>
  </si>
  <si>
    <t>Future All-Terrain Vehicle</t>
  </si>
  <si>
    <t>Cummins</t>
  </si>
  <si>
    <t>https://www.gov.uk/government/news/british-military-to-receive-60-all-terrain-vehicles-under-international-agreement</t>
  </si>
  <si>
    <t>"British military to receive 60 All-Terrain Vehicles under international agreement
UK troops will receive 60 amphibious all-terrain armoured vehicles to support operations in the harshest environments, as part of a trilateral agreement."</t>
  </si>
  <si>
    <t>"Under the international Collaborative All-Terrain Vehicle (CATV) programme – including Sweden and Germany - the UK Commando Force will receive 60 Future All-Terrain Vehicles (FATV) starting from February 2025, under a £140 million contract.
The deal will see a total of 436 of the vehicles delivered by BAE Systems across the three European partners, with the engines for all FATVs produced by Cummins in Darlington."</t>
  </si>
  <si>
    <t>GB72</t>
  </si>
  <si>
    <t>Fleet Solid Support ship</t>
  </si>
  <si>
    <t>BMT</t>
  </si>
  <si>
    <t>Harland &amp; Wolff</t>
  </si>
  <si>
    <t>Navantia UK</t>
  </si>
  <si>
    <t>Navantia</t>
  </si>
  <si>
    <t>https://www.gov.uk/government/news/100-million-boost-as-naval-shipbuilding-confirms-return-to-belfast</t>
  </si>
  <si>
    <t>"£100 million boost as naval shipbuilding confirms return to Belfast
A £1.6 billion contract has been awarded to Team Resolute to manufacture the vessels providing munitions, stores and provisions to Royal Navy ships."</t>
  </si>
  <si>
    <t>"Creating 1,200 UK shipyard jobs, hundreds of graduate and apprentice opportunities, and an expected 800 further jobs across the UK supply chain, Team Resolute, comprising BMT, Harland &amp; Wolff and Navantia UK, will deliver three Fleet Solid Support ships for the Royal Fleet Auxiliary (RFA)."</t>
  </si>
  <si>
    <t>GB73</t>
  </si>
  <si>
    <t>Multi role ocean surveillance ship</t>
  </si>
  <si>
    <t>Vard</t>
  </si>
  <si>
    <t>https://www.gov.uk/government/news/des-purchase-specialist-ship-to-protect-our-underwater-cables</t>
  </si>
  <si>
    <t>"DE&amp;S purchase specialist ship to protect our underwater cables
A ‘mother ship’ has been purchased by DE&amp;S to carry cutting-edge equipment that will protect Britain’s critical subsea cables and pipelines from hostile attack."</t>
  </si>
  <si>
    <t>"The adaptable 6,000-tonne, 98-metre long offshore patrol vessel will provide a range of capabilities, such as operating remote and autonomous offboard systems for underwater surveillance and seabed warfare.
It is the first of two Multi-Role Ocean Surveillance (MROS) ships which will be operated by the Royal Fleet Auxiliary (RFA) and are vital to our national security by protecting the UK’s critical national infrastructure.
This is because key energy and communication cables, on the seabed have become an increasingly attractive target for adversaries. As a result of this heightened threat, Defence Secretary Ben Wallace accelerated the procurement of the MROS vessels.
And the first ‘Topaz Tangaroa’, built in 2019 by Vard and purchased for £65 million, will arrive at Cammell Laird in Birkenhead soon where it will undergo a short period of modification before a planned entry into service with the RFA as a Seabed Warfare ship later this year."</t>
  </si>
  <si>
    <t>GB74</t>
  </si>
  <si>
    <t>Peregrine remotely piloted air system</t>
  </si>
  <si>
    <t>Schiebel</t>
  </si>
  <si>
    <t>https://www.gov.uk/government/news/des-procures-royal-navys-new-eye-in-the-sky-capability</t>
  </si>
  <si>
    <t>"DE&amp;S procures Royal Navy’s new “eye in the sky” capability
The Royal Navy will have new uncrewed aerial technology to find and track surface contacts of interest to enable freedom of navigation and good order at sea."</t>
  </si>
  <si>
    <t>"Powerful surveillance sensors from Thales will be fitted to an S-100 uncrewed air system provided by Schiebel, as part of a c£20m contract. The uncrewed aircraft will feed real-time images and radar data back to Royal Navy warships on the front line from 2024.
This new flexible and tactical uncrewed air system, procured by Defence Equipment and Support, will be known as “Peregrine” – a name with strong historic links to the Fleet Air Arm.
Alongside the Navy’s Wildcat patrol helicopters, Peregrine will enable round-the-clock surveillance of targets over Gulf waters and will be available for a spectrum of operational tasks to support allies and partners in the region.
Peregrine can be launched in challenging conditions, day and night, and will be deployed to protect warships, greatly extending detection range and fidelity, for enhanced intelligence, surveillance and reconnaissance gathering."</t>
  </si>
  <si>
    <t>GB75</t>
  </si>
  <si>
    <t>Skynet satellite operations contract</t>
  </si>
  <si>
    <t>https://www.gov.uk/government/news/400-million-contract-to-operate-military-satellite-communications-system-supports-400-uk-jobs</t>
  </si>
  <si>
    <t>"£400 million contract to operate military satellite communications system supports 400 UK jobs
Babcock has been awarded a six-year contract to manage and operate Skynet, the MOD’s military satellite communications system."</t>
  </si>
  <si>
    <t>"As part of the £400 million Skynet Service Delivery Wrap (SDW) contract, Babcock and their partners will operate and manage the UK MOD’s constellation of military satellites, ground stations and integrate new user terminals.
Skynet operations deliver information to UK and allied forces around the world, enabling a battlefield information advantage anywhere, anytime."</t>
  </si>
  <si>
    <t>"The SDW contract is part of the wider satellite communications SKYNET 6 programme which will provide space-based communications to 2041 and beyond, with an overall government investment of £6 billion."</t>
  </si>
  <si>
    <t>GB76</t>
  </si>
  <si>
    <t>IFU</t>
  </si>
  <si>
    <t>https://www.gov.uk/government/news/ukraine-to-receive-multi-million-pound-capability-boost-from-international-fund</t>
  </si>
  <si>
    <t>"Ukraine to receive multi-million pound capability boost from international fund
The boost to Ukraine’s defence capability includes drones, ammunition, air defence, and electronic warfare"</t>
  </si>
  <si>
    <t>"Ukraine will receive capabilities worth millions including tank spares, uncrewed air systems, electronic warfare, and air defence, from the first package of multi-million pound funding from the International Fund for Ukraine (IFU).
The first equipment package was agreed by the UK, Netherlands, Norway, Sweden, and Denmark. These partners, along with Iceland and Lithuania, have contributed a collective total of more than £520 million to the fund."</t>
  </si>
  <si>
    <t>"With an expected value of more than £200m, the first package will include vital capabilities in the form of artillery ammunition, maritime intelligence, surveillance and reconnaissance, and spare parts for equipment, including Ukraine’s current tanks.
The first package of IFU support drew bids from both UK and international industry suppliers to meet Ukraine’s lethal and non-lethal equipment provision priorities, with more than 40 countries submitting more than 1,500 proposals across 11 capability areas. The funding agreement demonstrates the UK’s commitment to standing with Ukraine for as long as it takes. Alongside Allies, we continue to provide training and equipment to the country, with the ability to surge that support should Ukraine come under threat. By making this commitment we will strengthen Ukraine’s position in negotiations, guard its long-term sovereignty and enable Ukraine to deter by denial."</t>
  </si>
  <si>
    <t>GB76_a</t>
  </si>
  <si>
    <t>Ammunition (unspecified)</t>
  </si>
  <si>
    <t>GB76_b</t>
  </si>
  <si>
    <t>Maintenance contract (unspecified)</t>
  </si>
  <si>
    <t>Miscellaneous Maintenance and Repair Shop Specialized Equipment</t>
  </si>
  <si>
    <t>GB76_c</t>
  </si>
  <si>
    <t>Drone (unspecified)</t>
  </si>
  <si>
    <t>GB76_d</t>
  </si>
  <si>
    <t>Air defence system (unspecified)</t>
  </si>
  <si>
    <t>GB77</t>
  </si>
  <si>
    <t>Jackal high mobility transporter</t>
  </si>
  <si>
    <t>Supacat</t>
  </si>
  <si>
    <t>https://www.gov.uk/government/news/des-awards-90m-contract-for-jackal-high-mobility-transporters</t>
  </si>
  <si>
    <t>https://www.army-technology.com/projects/jackal-3-high-mobility-truck-hmt-400-series-uk/</t>
  </si>
  <si>
    <t>"DE&amp;S awards £90M contract for Jackal High Mobility Transporters
The contract awarded to Supacat will secure 70 High Mobility Truck Variant (HMTV) Mk 2 Extenda platforms."</t>
  </si>
  <si>
    <t>"On completion of validation trials this procurement will result in an uplift of 69 vehicles to the HMTV fleet. These platforms offer increased flexibility to Defence and due to their modular design can be used either as a Jackal (L400) or Coyote (L600) vehicle.
The uplift will be used by the British Army to enhance our fleet numbers, and enable greater support to operations and readiness.
They will be manufactured at Supacat’s Devon based factory with support from fellow defence company Babcock at their site in Plymouth. The contract is likely to secure 10 jobs at Supacat and a further 90 jobs at Babcock.
The vehicle was brought into service under urgent operational requirements (UOR) to provide British forces in Afghanistan with an off-road patrol and fire-support vehicle with increased performance. It has been since integrated into the British Army’s fleet of versatile, battle-winning capabilities."</t>
  </si>
  <si>
    <t>"The contract is expected to deliver the initial 70 vehicles to the British Army by the end of FY 23/24 with an option to manufacture up to a total of 240 of the light armoured vehicles, should operational requirements demand."</t>
  </si>
  <si>
    <t>GB78</t>
  </si>
  <si>
    <t>King Air 350 simulator</t>
  </si>
  <si>
    <t>https://www.gov.uk/government/news/des-secures-uk-based-training-for-shadow-crews</t>
  </si>
  <si>
    <t>"DE&amp;S secures UK-based training for Shadow crews
Crews primed to operate the Royal Air Force’s updated Shadow Mk2 surveillance aircraft fleet are set to benefit from a bespoke UK-based training system."</t>
  </si>
  <si>
    <t>"Royal Air Force personnel currently travel overseas for simulator training, but under a new £11.5M contract placed by DE&amp;S with Raytheon UK, crews will be able to train on a Full Flight Simulator for Shadow Mk2 on home soil."</t>
  </si>
  <si>
    <t>GB79</t>
  </si>
  <si>
    <t>GB_155mm</t>
  </si>
  <si>
    <t>Archer heavy gun</t>
  </si>
  <si>
    <t>BAE Systems AB</t>
  </si>
  <si>
    <t>https://www.gov.uk/government/news/british-army-announces-new-artillery-deal-with-sweden</t>
  </si>
  <si>
    <t>"British Army announces new artillery deal with Sweden
The British Army will receive modern artillery platforms to replace those supplied to Ukraine, as part of an agreement struck with Sweden."</t>
  </si>
  <si>
    <t>"The first 14 Archer artillery systems will have ownership transferred to the British Army this month and be fully operational by next April, forming an interim replacement for the 32 AS90 artillery systems the UK gifted to the Armed Forces of Ukraine.
Designed and built by BAE Systems Bofors in Sweden, Archer has double the maximum range of AS90, greater operational mobility, greater availability and reduced time into action. Operated by 3-4 crew, it has a lower requirement for personnel than the AS90’s five, and benefits from a higher top speed of 70kph compared to the current 53kph."</t>
  </si>
  <si>
    <t>GB80</t>
  </si>
  <si>
    <t>Carl-Gustaf M4 recoilless rifle</t>
  </si>
  <si>
    <t>https://www.gov.uk/government/news/des-order-carl-gustaf-m4-weapons-systems-for-british-army</t>
  </si>
  <si>
    <t>"DE&amp;S order Carl-Gustaf M4 weapons systems for British Army
Defence Equipment &amp; Support (DE&amp;S) has procured a new multi-role weapon system to equip the British Army on operations."</t>
  </si>
  <si>
    <t>"A £4.6 million order has been placed with Saab for a delivery of Carl-Gustaf M4s, plus a package of ammunition and training.
They will replace the Anti-Structure Munitions the UK sent to support Ukraine against the Russian invasion last year.
The Carl-Gustaf recoilless rifle is a multi-role weapon system that allows dismounted soldiers to effectively deal with multiple challenges and targets on the modern battlefield. It can fire a range of 84mm calibre munitions for various operational objectives."</t>
  </si>
  <si>
    <t>GB81</t>
  </si>
  <si>
    <t>https://www.gov.uk/government/news/161-million-contract-for-f-35-jet-maintenance-supports-140-uk-jobs</t>
  </si>
  <si>
    <t>"£161 million contract for F-35 jet maintenance supports 140 UK jobs
The UK’s fleet of F-35 Lightning stealth jets will be maintained and supported in a new £161 million contract, keeping them ready for global combat operations"</t>
  </si>
  <si>
    <t>"A successor to a previous agreement due to conclude this year, the contract was signed by the US Joint Program Office and Lockheed Martin as F-35 prime contractor, with BAE Systems to carry out the work as a sub-contractor.
Providing support to the F-35 fleet until 2027, the arrangement offers the UK more freedom to operate the aircraft, increases the number of flying hours available and delivers important mission planning, training, and maintenance capabilities."</t>
  </si>
  <si>
    <t>GB82</t>
  </si>
  <si>
    <t>GCAP</t>
  </si>
  <si>
    <t>GCAP design and development</t>
  </si>
  <si>
    <t>https://www.gov.uk/government/news/major-funding-boost-to-progress-future-fighter-jet-programme</t>
  </si>
  <si>
    <t>"Major funding boost to progress future fighter jet programme
A £656 million funding allocation will propel the sixth-generation fighter jet programme into the next phase, focusing on technology."</t>
  </si>
  <si>
    <t>"As part of the Global Combat Air Programme (GCAP) – a trilateral collaboration with Japan and Italy to develop the next generation of fighter jet - the Ministry of Defence (MOD) has awarded the major contract to BAE Systems on behalf of British defence firms; Leonardo UK, MBDA UK and Rolls-Royce, to progress the design and development of this aircraft. Tempest is the UK name for the aircraft in development under GCAP.
The contract will build on the ground-breaking science, research and engineering already completed. The UK MOD and our industry partners are working in close collaboration with GCAP partners Japan and Italy. Together, the partners will now progress the maturity of more than 60 cutting-edge technology demonstrations, digital concepts and new technologies.
These are critical to the UK’s sovereign defence capability and will help shape the final requirements with Japan and Italy for the combat air platform, due to enter service by 2035."</t>
  </si>
  <si>
    <t>"This investment forms part of more than £2 billion worth of UK Government spending on the project up to May 2025, announced in the 2021 Defence Command Paper."</t>
  </si>
  <si>
    <t>GB83</t>
  </si>
  <si>
    <t>Offshore patrol vessel support contract</t>
  </si>
  <si>
    <t>https://www.gov.uk/government/news/320-million-for-opvs-supports-more-than-100-jobs</t>
  </si>
  <si>
    <t>"£320 million for OPVs supports more than 100 jobs
Two new support contracts have been secured for the Royal Navy’s versatile Offshore Patrol Vessels (OPVs)."</t>
  </si>
  <si>
    <t>"A second contract, worth £70 million over 5 years, has been secured with BAE Systems to sustain the first three Batch 1 OPVs - HMS Mersey, HMS Severn and HMS Tyne – which entered service in 2003. Sustaining more than a dozen UK jobs in Portsmouth, the contract will aim to maintain the high availability of these essential ships in home waters and on deployments around the globe. The contract will also secure spares, repairs and maintenance out to 2028, when the ships are due to retire from Naval service."</t>
  </si>
  <si>
    <t>GB84</t>
  </si>
  <si>
    <t>UK Docks Marine Services</t>
  </si>
  <si>
    <t>"An 8-year contract worth around £250 million has been awarded to UK Docks Marine Services, based in the Northeast of England, which will support the second batch of OPVs - HMS Forth, HMS Medway, HMS Trent, HMS Tamar and HMS Spey."</t>
  </si>
  <si>
    <t>GB85</t>
  </si>
  <si>
    <t>Aircrew training contract</t>
  </si>
  <si>
    <t>https://www.gov.uk/government/news/125-million-air-crew-contract-supports-uk-jobs-in-the-southwest</t>
  </si>
  <si>
    <t>"£125 million air crew contract supports UK jobs in the Southwest
A £125 million contract has been awarded to Ascent Flight Training, a joint venture, to create the next generation of aircrew."</t>
  </si>
  <si>
    <t>"A £125 million contract has been awarded to Ascent Flight Training, a joint venture between Lockheed Martin UK and Babcock International, to create the next generation of aircrew."</t>
  </si>
  <si>
    <t>"Lasting three years, the contract will run until June 2026 the future intelligence, surveillance, target acquisition, and reconnaissance (ISTAR) and Rear Crew Training System (FIRCTS) programme replaces it."</t>
  </si>
  <si>
    <t>GB86</t>
  </si>
  <si>
    <t>Naval radar upgrade and support contract</t>
  </si>
  <si>
    <t>https://www.gov.uk/government/news/uks-specialist-radar-workforce-receives-270-million-boost</t>
  </si>
  <si>
    <t>"UK’s specialist radar workforce receives £270 million boost
Critical radars that protect the Royal Navy’s warships against hostile airborne and seaborne attacks will be upgraded and maintained under a £270 million deal."</t>
  </si>
  <si>
    <t>"Critical radars that protect the Royal Navy’s fleet of warships against hostile airborne and seaborne attacks will be upgraded and maintained under a deal worth £270 million.
The 10-year contract, which has been awarded to BAE Systems to run until 2032, will support Artisan, Sampson and Long-Range Radars which are found on warships including Type 23 and Type 26 frigates, Type 45 destroyers, and the Queen Elizabeth Class Aircraft Carriers.
As well as securing 400 highly skilled jobs in Cowes, Portsmouth, Essex and in Hillend near Edinburgh, the contract, which includes upgrading existing radars as well as maintenance and other in-service support, ensures the UK retains the highly-specialist skills required for a sovereign option in future radar development."</t>
  </si>
  <si>
    <t>GB87</t>
  </si>
  <si>
    <t>https://www.gov.uk/government/news/major-air-defence-package-for-ukraine-announced-at-meeting-of-joint-expeditionary-force-ministers</t>
  </si>
  <si>
    <t>" Major air defence package for Ukraine announced at meeting of Joint Expeditionary Force ministers
The £92m air defence package is being provided through the International Fund for Ukraine, in which the UK is investing a further £250m"</t>
  </si>
  <si>
    <t>"A new package of vital air defence capabilities for Ukraine was announced today at a meeting of defence ministers from the Joint Expeditionary Force (JEF).
The equipment, worth £92 million, will be procured in the coming months through the International Fund for Ukraine (IFU) to bolster Ukraine’s ability to protect its critical national infrastructure, civilian population, and front-line personnel. The package will provide radars to help protect from indiscriminate Russian strikes as well as guns and a significant amount of ammunition."</t>
  </si>
  <si>
    <t>GB87_a</t>
  </si>
  <si>
    <t>GB87_b</t>
  </si>
  <si>
    <t>Radar</t>
  </si>
  <si>
    <t>GB87_c</t>
  </si>
  <si>
    <t>Small arms (unspecified)</t>
  </si>
  <si>
    <t>GB88</t>
  </si>
  <si>
    <t>Geographic information systems</t>
  </si>
  <si>
    <t>ESRI UK</t>
  </si>
  <si>
    <t>ESRI</t>
  </si>
  <si>
    <t>https://www.gov.uk/government/news/46-million-contract-awarded-to-support-armed-forces-information-access-globally</t>
  </si>
  <si>
    <t>"£46 million contract awarded to support Armed Forces information access globally
The Ministry of Defence has signed a new Enterprise Agreement with Esri UK worth £46 million, helping UK Armed Forces personnel access the right information, in any situation, across any network and on any device."</t>
  </si>
  <si>
    <t>"The Ministry of Defence has signed a new Enterprise Agreement with Esri UK worth £46 million, helping UK Armed Forces personnel access the right information, in any situation, across any network and on any device.
Over the next three years, this contract - for the continuation and supply of Geographic Information Systems - will support the MOD’s digital transformation journey to achieve and maintain the information advantage, as well as to shorten decision-making cycles. It will sustain 25 jobs across the UK with plans to increase roles across multiple sites by 50% over that time.
As the Ministry of Defence’s Strategic Geospatial Partner, Esri UK provides users across the MOD with access to its world-leading Geographic Information Systems (GIS), ArcGIS. Offering unique capabilities and deployed on most of the Department’s networks, military personnel use ArcGIS to gain greater insights by applying contextual tools to visualise and analyse their data and then collaborate via maps, apps, dashboards, and reports."</t>
  </si>
  <si>
    <t>"This partnership will maintain the provision of live instant Geographic Information to British troops in remote locations around the world by providing broader and easier access to location-based technologies and services, with some of its uses including Field Operations, mapping, data science, imagery, and data collection and management.
The technology will also enable specialist users to do high-end geospatial information (GEOINT) analysis from deployed front-line units to UK based Defence Intelligence analysts."</t>
  </si>
  <si>
    <t>GB89</t>
  </si>
  <si>
    <t>Ukraine military vehicles support contract</t>
  </si>
  <si>
    <t>https://des.mod.uk/des-awards-contract-to-support-military-vehicles-sent-to-ukraine/?portfolioCats=78%2C735%2C69%2C734</t>
  </si>
  <si>
    <t>"DE&amp;S has awarded Babcock International a £50-million contract to support vital UK military vehicles gifted to Ukraine.
Babcock will provide technical support and training for vehicles such as Challenger 2 tanks and the Combat Vehicle Reconnaissance (Tracked) – known as CVR(T) – that are helping to repel Russia’s ongoing illegal invasion.
Babcock will provide technical assistance to Ukraine’s military land assets, delivering spares, managing vital equipment supply chains and providing ad hoc training to Ukrainian mechanics and engineers during the life of the initial one-year contract."</t>
  </si>
  <si>
    <t>GB90</t>
  </si>
  <si>
    <t>Active protection system for Challenger 3 tank</t>
  </si>
  <si>
    <t>https://des.mod.uk/20-million-contract-awarded-by-des-marks-big-steps-towards-challenger3-missile-protection-system/?portfolioCats=78%2C735%2C69%2C734</t>
  </si>
  <si>
    <t>"We have awarded a £20 million contract to secure the hardware for the next phase of tests on a cutting-edge new rocket and missile protection system for Britain’s Challenger 3 tanks.
The Trophy Active Protection System (APS) will be tested and integrated with Challenger 3 to provide enhanced protection against rocket and missile threats, while simultaneously finding the origin of the hostile fire for immediate response. The system can locate an incoming rocket or missile in less than a second, destroying it by firing back its own ammunition.
The system, which is being supplied by industry partner Rafael, has completed three weeks of assessment phase trials on the Challenger 3 representative system with a total 25 shots, including live intercept shots. The contract will secure a number of Trophy systems, and counter measures and test equipment required for the qualification and integration activity planned for the upcoming demonstration phase.
The Challenger 3 is being manufactured by Rheinmetall BAE Systems Land (RBSL), creating hundreds of jobs across the UK supply chain – supporting the Prime Minister’s priority to grow the economy – and the tank is expected to enter service in 2027.
Our early procurement of these ‘long-lead items’ will allow the Demonstration Phase to start in 2024."</t>
  </si>
  <si>
    <t>GB91</t>
  </si>
  <si>
    <t>Optronic mast for submarine</t>
  </si>
  <si>
    <t>Semiconductor Devices and Associated Hardware</t>
  </si>
  <si>
    <t>https://www.gov.uk/government/news/new-working-group-to-help-turbocharge-scotlands-defence-sector</t>
  </si>
  <si>
    <t>https://www.royalnavy.mod.uk/news/2023/july/13/20230713-scope-for-success-as-historic-glasgow-firm-wins-169m-contract-for-dreadnought-periscopes</t>
  </si>
  <si>
    <t>"The meeting comes as it was confirmed that a defence contract worth £169 million has been awarded to Thales Glasgow to build the integrated optronic combat system mast, the above water ‘eyes’ for the Royal Navy future nuclear deterrent submarine class - Dreadnought."</t>
  </si>
  <si>
    <t>"Thales Glasgow has been selected to provide state-of-the-art ‘optronic masts’ – 21st Century successors to the iconic periscope – for all four future nuclear deterrent submarines (HMS Dreadnought, Valiant, Warspite, and George VI).
The Glasgow arm of the huge international defence firm traces its history back to 1917 and Glaswegian engineering and optical firm Barr and Stroud, who were asked to produce a periscope for new Royal Navy M-class submarines.
Since then the firm, which was taken over by Thales in 2000, has become a world-leader in optics/periscope design and progress through to the modern-day optronic masts.  
These masts - periscopes which do not penetrate a submarine’s hull, but do record a 360-degee digital image for the command team to analyse at their leisure – also provide night vision and thermal imaging and support communications on top of assisting with targeting, navigation and situational awareness."</t>
  </si>
  <si>
    <t>GB92</t>
  </si>
  <si>
    <t>Flying electronics laboratory</t>
  </si>
  <si>
    <t>2Excel</t>
  </si>
  <si>
    <t>https://www.gov.uk/government/news/aviation-climate-commitment-and-115-million-combat-air-technology-boosts-at-riat</t>
  </si>
  <si>
    <t>"Aviation climate commitment and £115 million combat air technology boosts at RIAT
A £115m contract will create a ‘flying electronics laboratory’ to develop our future combat air technology, it has been announced at the Royal International Air Tattoo (RIAT)."</t>
  </si>
  <si>
    <t>"A £115m contract will create a ‘flying electronics laboratory’ to develop our future combat air technology, it has been announced at the Royal International Air Tattoo (RIAT).
The contract – awarded to Leonardo and which will be delivered in partnership with 2Excel - will launch the next stage of the Excalibur Flight Test Aircraft (FTA) project. This will see a Boeing 757 completely overhauled and turned into a flight test aircraft that will resemble a ‘flying electronics laboratory’. The aircraft will test some of the innovative technology that could be deployed on the fighter jet being developed by the Global Combat Air Programme (GCAP).
The Excalibur project is a key element of the UK’s Future Combat Air System (FCAS) that could include the crewed fighter and a broader range of capabilities such as uncrewed aircraft, information systems and weapon systems."</t>
  </si>
  <si>
    <t>"The Excalibur aircraft will be adapted to host integrated sensors, digital technology and integrated communications. This aircraft is expected to fly with the new technology within the next three years, when on-board scientists and engineers will test the sensors and communications systems whilst in flight.
Supporting the Government’s priority to grow the UK economy, the Excalibur programme is sustaining around 300 highly skilled jobs across the UK.
The aircraft is designed in Yorkshire and built in Hampshire with the concepts conceived by Leonardo in Bedfordshire and 2Excel in Northamptonshire. The Excalibur project is part of the UK’s drive to grow our air industrial capability, securing the nation’s future at the cutting edge of combat air design and development."</t>
  </si>
  <si>
    <t>GB93</t>
  </si>
  <si>
    <t>Deployable wide area network development</t>
  </si>
  <si>
    <t>KBR</t>
  </si>
  <si>
    <t>https://www.gov.uk/government/news/armed-forces-to-benefit-from-89-million-battlefield-network</t>
  </si>
  <si>
    <t>"Armed Forces to benefit from £89 million battlefield network
Military personnel deployed on the battlefield will benefit from enhanced connectivity, following the award of an £89 million contract."</t>
  </si>
  <si>
    <t>"Military personnel deployed on the battlefield will benefit from enhanced connectivity, following the award of an £89 million contract.
The five-year contract has been awarded to BAE Systems to design and manufacture a deployable tactical Wide Area Network (WAN) known as ‘TRINITY’ – delivering a highly secure and state-of-the-art battlefield internet capability to UK forces.
This contract named Design and Systems Integration Delivery (DSID) will directly support the Prime Minister’s priority to grow the economy by backing 60 UK jobs based in Dorset. It will also see further investment into UK skills from BAE Systems, their partners and across the supporting supply chain."</t>
  </si>
  <si>
    <t>"Working together with trusted partners, including L3 Harris, KBR and PA Consulting, BAE Systems will combine its defence communications systems expertise and experience to develop, deliver and deploy world-leading network capability to the UK Armed Forces.
Trinity’s resilience is based on its composition. It is made up of a series of nodes, each able to add, access and move data in a secure network. If a number of nodes are damaged in warfare, the rest automatically re-route to maintain optimum network speed and flow of information, making it highly effective.
Replacing the existing Falcon network, due to be retired in 2026, ‘TRINITY’ will ensure UK Armed Forces on land can interact faster with allies, whether operating as a single nation or as part of an international coalition, across different battlefield domains."</t>
  </si>
  <si>
    <t>GB94</t>
  </si>
  <si>
    <t>L403A1 AIW rifle</t>
  </si>
  <si>
    <t>Edgar Brothers</t>
  </si>
  <si>
    <t>Knights Armament Corporation</t>
  </si>
  <si>
    <t>Vortex Optics</t>
  </si>
  <si>
    <t>https://www.gov.uk/government/news/90-million-contract-equips-armed-forces-with-advanced-new-rifle</t>
  </si>
  <si>
    <t>"British troops will soon be more lethal on the battlefield, as a new £90 million contract delivers modern, high precision rifles.
The Alternative Individual Weapon (AIW) system - known as the L403A1 and procured by Defence Equipment &amp; Support (DE&amp;S) under Project HUNTER – is made up of a new assault rifle fitted with a muzzle signature reduction system and an improved optical sighting system.
The AIW is a modern rifle using the latest in design technology and manufacturing methods, to produce an exceptionally reliable and accurate weapon. The magnified optic means the user is able to engage threats from greater distances; whilst the signature reduction system works to mask the AIW from detection from sight and hearing.
Supplementing the current in-service L85A3, the AIW system has been secured under a £90 million contract with Macclesfield-based company Edgar Brothers, supporting the Prime Minister’s priority to grow the economy by helping sustain approximately 50 jobs at the family-owned company"</t>
  </si>
  <si>
    <t>"An initial £15 million order of 1,620 AIW systems has been placed, with options to procure up to 10,000 systems – totalling £90 million - under the contract over the next decade. The systems will initially be fielded to the Army Special Operations Brigade (ASOB) who operate in complex, high threat environments."</t>
  </si>
  <si>
    <t>"Edgar Brothers (trading as Ian Edgar LTD) are the UK based prime contractor, who are responsible for sourcing and assembling the sub-systems that make up the Hunter system. The rifle is manufactured by Knights Armament Corporation (US) and the magnified optic sight is manufactured Vortex Optics (US)."</t>
  </si>
  <si>
    <t>GB95</t>
  </si>
  <si>
    <t>https://des.mod.uk/des-invest-in-futuristic-fighter-jet-helmet/?portfolioCats=78%2C735%2C69%2C734</t>
  </si>
  <si>
    <t>"DE&amp;S has invested £40 million with the intention of developing a cutting-edge fighter jet helmet for pilots within the Typhoon fleet.
Striker II is considered one of the world’s most advanced helmets and displays all mission-critical data in colour on a pilot’s visor for enhanced situational awareness.
The helmet will provide pilots with an all-digital night vision system, reduced noise, unparalleled comfort and can be upgraded to meet new battlespace demands, all critical in what can be a highly complex and pressurised environment.
Under the £40 million contract with BAE Systems, specialist engineers are developing the helmet’s capabilities to produce a set of assets to undertake testing on at the company’s combat air site based in Warton in Lancashire."</t>
  </si>
  <si>
    <t>GB96</t>
  </si>
  <si>
    <t>AUKUS</t>
  </si>
  <si>
    <t xml:space="preserve">AUKUS submarine long leads parts </t>
  </si>
  <si>
    <t>https://www.gov.uk/government/news/4-billion-uk-contracts-progresses-aukus-submarine-design</t>
  </si>
  <si>
    <t>"UK businesses will be behind the design and manufacture of the world’s most advanced submarines, following the awarding of £4 billion of contracts today [1 October].
The signing of the Detailed Design and Long Leads (D2L2) Phase with BAE Systems (BAES), Rolls-Royce and Babcock represents a significant milestone for both the UK and the trilateral AUKUS programme as a whole, in the lead up to build the future class of nuclear-powered attack submarines, known as SSN-AUKUS.
The contracts totalling £4 billion will progress the programme through the design, prototyping and purchase of main long lead components for the first UK submarines, allowing construction to commence in the coming years and ensure the stability and resilience of our domestic supply chain."</t>
  </si>
  <si>
    <t>GB97</t>
  </si>
  <si>
    <t>Chemical detection sensor</t>
  </si>
  <si>
    <t>Safety and Rescue Equipment</t>
  </si>
  <si>
    <t>Smiths Detection</t>
  </si>
  <si>
    <t>https://www.gov.uk/government/news/new-88-million-sensing-equipment-to-protect-uk-armed-forces</t>
  </si>
  <si>
    <t>"New £88 million sensing equipment to protect UK Armed Forces
New technology with capability to detect, identify and monitor the presence of toxic industrial chemicals and chemical warfare agents to be operational by 2028."</t>
  </si>
  <si>
    <t>"UK Armed Forces personnel will be better protected on the battlefield through world-leading chemical detection sensors, under an £88 million contract announced today.
Led by Strategic Command alongside a pan-defence team, thousands of personnel across the British Army, Royal Navy and Royal Air Force will benefit from wearable personal chemical agent sensors, ensuring they can detect dozens of toxic chemical threats and take immediate action to protect themselves and others.
It will be a first of its kind for UK Armed Forces, as the wearable sensor will be able to detect multiple chemical threats from both vapours and aerosol – different ways in which chemical threats can be dispersed and affect an individual.
Under the contract, UK company Smiths Detection will develop three next-generation chemical sensor products for the MOD, to be operational by 2028."</t>
  </si>
  <si>
    <t>GB98</t>
  </si>
  <si>
    <t>https://www.gov.uk/government/news/major-new-package-of-support-for-ukraines-counter-offensive-announced-by-grant-shapps</t>
  </si>
  <si>
    <t>"A new package of military support for Ukraine, worth more than £100m, will be announced by the Defence Secretary today. It will help its armed forces clear minefields, maintain its vehicles, and shore up defensive fortifications to protect critical national infrastructure.
The support package, which will be provided using money from the International Fund for Ukraine (IFU), will be jointly announced today by the Defence Secretary and his counterparts from the IFU partner nations at a meeting of the Ukraine Defence Contact Group at NATO headquarters in Brussels.
It comes as the final contract from the previously announced IFU package of air defence capability was signed, which will see more than £70m of capabilities provided to Ukraine – including the MSI-DS Terrahawk Paladin, a platform which can track and destroy drones and protect critical national infrastructure.
The UK and Denmark launched the IFU in 2022 and the UK engages closely with Ukraine to procure capability that best meets the needs of its armed forces. Since then, five other nations have contributed to the IFU, demonstrating the unity and resolve of allies and partners in supporting Ukraine."</t>
  </si>
  <si>
    <t>"This latest package will also provide crucial equipment to help Ukrainian soldiers cross minefields, bridging capabilities to assist with river and trench crossings, and heavy duty plant vehicles to destroy Russian non-explosive obstacles and help build defensive positions to protect Ukraine’s critical national infrastructure."</t>
  </si>
  <si>
    <t>GB98_a</t>
  </si>
  <si>
    <t>Mine clearing equipment</t>
  </si>
  <si>
    <t>GB98_b</t>
  </si>
  <si>
    <t>GB98_c</t>
  </si>
  <si>
    <t>GB98_d</t>
  </si>
  <si>
    <t>GB99</t>
  </si>
  <si>
    <t>Anduril</t>
  </si>
  <si>
    <t>https://www.gov.uk/government/news/17million-contract-awarded-for-force-protection-technology</t>
  </si>
  <si>
    <t>"£17million contract awarded for force protection technology
The MoD has awarded defence technology company Anduril Industries a 31-month contract to explore future capabilities."</t>
  </si>
  <si>
    <t>"Strategic Command’s innovation team, jHub, are working with Anduril on the third phase of Programme TALOS.
TALOS aims to accelerate a defence-wide approach to Integrated Command and Control (C2) for Force Protection, with Phase 3 focused on experimenting with technological advancements that could inform future capabilities and platforms.
This builds on earlier work which established an understanding of Anduril’s autonomous Sentry Towers, and their utility at active Royal Air Force (RAF) air bases, and introduced multiple Force Protection layers at locations across the MoD.
This new contract will further develop these capabilities, experimenting with integrated technologies to better understand ways of providing end-to-end solutions."</t>
  </si>
  <si>
    <t>GB100</t>
  </si>
  <si>
    <t>https://des.mod.uk/des-awards-additional-20m-contract-to-bae-systems-for-small-arms-ammunition/?portfolioCats=78%2C735%2C69%2C734</t>
  </si>
  <si>
    <t>"Defence Equipment and Support (DE&amp;S) has placed a new £20 million contract with BAE Systems for the supply of additional small arms munitions over the next two years.
The announcement follows the signing of a £410 million order earlier this year for the supply of vital battlefield munitions when it exercised an option to increase a £280 million supply contract announced in July."</t>
  </si>
  <si>
    <t>"The 5.56mm and 7.62mm rounds will be produced at the Company’s state of the art manufacturing facility at Radway Green, which has recently undergone an £83 million upgrade to give it some of the most advanced ammunition production capabilities in the world."</t>
  </si>
  <si>
    <t>GB100_a</t>
  </si>
  <si>
    <t>GB100_b</t>
  </si>
  <si>
    <t>5.56mm cartridge</t>
  </si>
  <si>
    <t>GB101</t>
  </si>
  <si>
    <t>Teberg DTS UK</t>
  </si>
  <si>
    <t>Teberg</t>
  </si>
  <si>
    <t>https://des.mod.uk/vital-aircraft-refuellers-upgraded-to-serve-uk-armed-forces-home-and-abroad/?portfolioCats=78%2C735%2C69%2C734</t>
  </si>
  <si>
    <t>"Vehicles used to fuel and defuel a range of military helicopters are being upgraded and will support UK Armed Forces for up to 15 more years.
The 5,000l-capacity Small Capacity Aircraft Refuellers (SCARs), which will supply the bulk of the fuel for RAF, Royal Navy and British Army helicopters, including Chinook, Merlin and Apache Mk1, have reached Initial Operating Capability (IOC). 
In total 90 SCARs will be delivered through the Small Capacity Aircraft Refueller Life Extension Project (SCAR LEP) with improved deployability, availability and flexibility.
This is in addition to a similar improvement and refurbishment project for Large Capacity Aircraft Refueller (LCAR) vehicles announced last this year.
In total the LEP for both SCAR and LCAR will cost around £50m.
The SCAR project is a collaboration between Defence Equipment and Support, the RAF and an industry consortium led by Terberg DTS UK with Full Operating Capability expected by 2025."</t>
  </si>
  <si>
    <t xml:space="preserve">Source 1 says that the life extension of both types of aircraft refuelers, small capacity and large capacity, costs £50m. Even though the project for the large capacity vehciles was announced earlier, we include it in this entry. </t>
  </si>
  <si>
    <t>GB101_a</t>
  </si>
  <si>
    <t>Small capacity aircraft refueller lifetime extension</t>
  </si>
  <si>
    <t>Lubrication and Fuel Dispensing Equipment</t>
  </si>
  <si>
    <t>GB101_b</t>
  </si>
  <si>
    <t>Large capacity aircraft refueller lifetime extension</t>
  </si>
  <si>
    <t>GB102</t>
  </si>
  <si>
    <t>IT services expansion contract</t>
  </si>
  <si>
    <t>Computacenter</t>
  </si>
  <si>
    <t>https://www.gov.uk/government/news/digital-defence-transformation-boosted-by-150-million-uk-contract</t>
  </si>
  <si>
    <t>"Digital defence transformation boosted by £150 million UK contract
Digital services across Defence will be transformed in a £150 million contract awarded to UK-based technology services provider, Computacenter."</t>
  </si>
  <si>
    <t>"Digital services across Defence will be transformed in a £150 million contract awarded to UK-based technology services provider, Computacenter. 
The four-year contract will support tens of thousands of laptops and desktop computers used by MOD personnel worldwide, from head office to the front line, as well as creating additional jobs at Computacenter’s Hatfield and Nottingham sites.  "</t>
  </si>
  <si>
    <t>GB103</t>
  </si>
  <si>
    <t>Sea Viper Air Defence system upgrade</t>
  </si>
  <si>
    <t>https://www.gov.uk/government/news/navy-missile-system-used-to-destroy-red-sea-drones-to-be-upgraded</t>
  </si>
  <si>
    <t>"Navy Missile System used to destroy Red Sea drones to be upgraded
Cutting-edge Royal Navy missiles – recently used to shoot down multiple hostile drones in the Red Sea – will receive significant enhancements through an upgrade programme supporting hundreds of UK jobs."</t>
  </si>
  <si>
    <t>"Crucial to defend sailors, surface fleet and air threats, the Sea Viper Air Defence system will be upgraded with updated missiles featuring a new warhead and software update that will enable it to defeat ballistic missile threats. The system will protect the UK’s Carrier Strike group and can track, target and destroy a variety of air threats over 70 miles away.  
Worth £405 million, the contracts will make Sea Viper the most capable naval air defence system ever developed for the Royal Navy, investing in vital capability used in recent weeks to protect one of the world’s busiest shipping lanes from multiple drone attacks.  
The missile upgrades comprise three contracts awarded to MBDA UK, including two to significantly enhance the Sea Viper capability on board Type 45 warships, and a third to cover enhanced in-service support and availability of the system for the next five years.  "</t>
  </si>
  <si>
    <t>GB104</t>
  </si>
  <si>
    <t>KNDS UK</t>
  </si>
  <si>
    <t>https://www.gov.uk/government/news/bridging-the-gap-essential-military-bridging-contract-secures-300-uk-jobs</t>
  </si>
  <si>
    <t>"Bridging the gap: Essential military bridging contract secures 300 UK jobs
British Army battlefield mobility will be bolstered in a new £150 million contract for military-grade general support bridges which will secure 300 UK jobs."</t>
  </si>
  <si>
    <t>"British Army battlefield mobility will be bolstered in a new £150 million contract for military-grade general support bridges which will secure 300 UK jobs.
Stockport-based company KNDS UK (Krauss-Maffei Wegmann and Nexter), which has a long history of manufacturing military bridge systems, will deliver the support bridges based on their Dry Support Bridge design."</t>
  </si>
  <si>
    <t>GB105</t>
  </si>
  <si>
    <t>Maritime Sensor Enhancement Team (MSET) contract</t>
  </si>
  <si>
    <t>https://www.gov.uk/government/news/smarter-maintenance-for-navy-fleet-under-185-billion-contract</t>
  </si>
  <si>
    <t>https://des.mod.uk/smarter-maintenance-for-navy-fleet-under-1-85bn-contract-placed-by-des/?portfolioCats=78%2C735%2C69%2C734</t>
  </si>
  <si>
    <t>"Smarter maintenance for Navy Fleet under £1.85 billion contract
UK security will be boosted through a vast new contract – worth nearly £2 billion - that will ensure the long-term availability and resilience of critical naval assets."</t>
  </si>
  <si>
    <t>"UK security will be boosted through a vast new contract – worth nearly £2 billion - that will ensure the long-term availability and resilience of critical assets used by Royal Navy ships and submarines over the next 15 years.     
Announced by Defence Secretary, Grant Shapps, on his first visit to His Majesty’s Naval Base Devonport, the Maritime Sensor Enhancement Team (MSET) contract with Thales UK will aim to provide full availability of the equipment that is the eyes and ears of the Royal Navy. 
Utilising data technology, including AI and virtual reality to be more proactive and predictive maintenance systems, the contract will see the Royal Navy maximise the days they are ready to deploy."</t>
  </si>
  <si>
    <t>"The contract will support sonar - our ability to hear underneath the water – masts, periscopes and also electronic warfare equipment that enable the Royal Navy to detect and target potential threats. Crucially, by increasing the longevity of our sensor and sonar capability, it will significantly increase equipment availability which is critical for the Continuous at Sea Deterrent (CASD) and wider ship and submarine capabilities."</t>
  </si>
  <si>
    <t>GB106</t>
  </si>
  <si>
    <t>https://des.mod.uk/500-man-trucks-british-army/?portfolioCats=78%2C735%2C69%2C734</t>
  </si>
  <si>
    <t>"500 support trucks will be delivered to the British Army this year to support operational activity following our rapid procurement of the vehicles.
Collaboration between our delivery team, Army Headquarters and the Field Army has helped push the boundaries of Defence procurement, acquiring all the vehicles in just seven months.
Under a £282 million contract, Rheinmetall MAN Military Vehicles will deliver the multipurpose trucks that will allow personnel to load flat racks onto the platform, which can carry essential logistics such as ammunition, food, water, and support materiel, to operational locations.
The newly procured vehicles will be from the HX family, which are a range of purpose-designed military trucks equipped with a multitude of protection capabilities, keeping our most important asset – our people – safe."</t>
  </si>
  <si>
    <t>GB107</t>
  </si>
  <si>
    <t>Automated satellite control system development</t>
  </si>
  <si>
    <t>Rhea</t>
  </si>
  <si>
    <t>Lockheed Martin Space Systems UK</t>
  </si>
  <si>
    <t>https://www.gov.uk/government/news/contracts-awarded-for-novel-software-that-will-control-future-uk-mod-satellites</t>
  </si>
  <si>
    <t>"Contracts awarded for novel software that will control future UK MOD satellites
The contracts will develop innovative software to provide a robust, secure and automated satellite control system for future UK MOD satellites."</t>
  </si>
  <si>
    <t>"The awards, as part of Project Beroe, will underpin government control of future satellite constellations, further enhancing the UK’s multi-domain integration efforts.
Worth a total of £4 million, the contracts were placed with Rhea in Bath and Lockheed Martin’s Space Systems UK in Oxfordshire. They will aid the agile development of software for satellite system management, designed to capture and process onboard system data to control and monitor the performance of the satellite."</t>
  </si>
  <si>
    <t>GB108</t>
  </si>
  <si>
    <t>Artillery ammunition (unspecified)</t>
  </si>
  <si>
    <t>https://www.gov.uk/government/news/uk-to-boost-ukraines-artillery-reserves-with-245-million-munitions-package</t>
  </si>
  <si>
    <t>"UK to boost Ukraine's artillery reserves with £245 million munitions package
The UK will spend £245 million throughout the next year to procure and invigorate supply chains to produce urgently needed artillery ammunition for Ukraine."</t>
  </si>
  <si>
    <t>"The UK will spend nearly a quarter of a billion pounds throughout the next year to procure and invigorate supply chains to produce urgently needed artillery ammunition to boost Ukraine’s reserves."</t>
  </si>
  <si>
    <t>GB109</t>
  </si>
  <si>
    <t>Caterpillar tracks for tanks and armoured vehicles</t>
  </si>
  <si>
    <t>Vehicular Brake, Steering, Axle, Wheel, and Track Components</t>
  </si>
  <si>
    <t>Cook Defence Systems</t>
  </si>
  <si>
    <t>"Further to the artillery funding and missiles package, a new multi-million pound series of contracts has been signed between the MOD’s procurement arm, Defence Equipment &amp; Support (DE&amp;S), and UK-based Cook Defence Systems to provide hundreds of spare caterpillar tracks for tanks and armoured vehicles – which will allow the AFU to recover and restore vehicles damaged by anti-tank weapons and landmines. The contracts will involve a mixture of UK funding and funds from the International Fund for Ukraine."</t>
  </si>
  <si>
    <t>GB110</t>
  </si>
  <si>
    <t>First-person view (FPV) drone</t>
  </si>
  <si>
    <t>https://www.gov.uk/government/news/uk-to-supply-more-than-10000-drones-to-ukraine</t>
  </si>
  <si>
    <t>"Britain steps up support to Ukraine today with a complete package of £325 million for cutting-edge drones to help fight Putin’s illegal invasion.
The investment, which will deliver more than 10,000 drones for the Ukrainian Armed Forces will harness the UK’s world-leading defence industries to deliver advanced new drone capabilities to Ukraine throughout 2024."</t>
  </si>
  <si>
    <t>"In a significant boost to the £200m drone package announced by the Prime Minister in January, the now £325m overall funding commitment will deliver over 10,000 uncrewed platforms – the majority of which are first-person view (FPV) drones,1000 one-way attack drones which have been researched and developed in the UK, as well as surveillance and maritime drones. "</t>
  </si>
  <si>
    <t>GB111</t>
  </si>
  <si>
    <t>EV ARC mobile charging station</t>
  </si>
  <si>
    <t>Beam Global</t>
  </si>
  <si>
    <t>https://www.gov.uk/government/news/british-forces-cyprus-invests-in-electric-vehicle-charging-solutions</t>
  </si>
  <si>
    <t>"British Forces Cyprus (BFC) has awarded an £820,000 contract to Beam Global to provide electric vehicle (EV) charging solutions with delivery expected by summer 2024."</t>
  </si>
  <si>
    <t>"The contract will provide British Forces Cyprus with ten transportable EV charging points and an accompanying trailer to allow movement of chargers. Beam experts will also provide onsite training upon delivery of the equipment.
The chargers are completely grid independent and are deployable in minutes with no construction or electrical work required. Given this flexibility, they are rapidly moveable to new locations for events, emergencies or simply to move to a more optimal location.
Fitting inside a single standard parking space, reaching as many as 12 vehicles and charging any electric vehicle charger type, each EV ARC™ system generates and stores its own electricity. They have ‘follow the sun technology’ allowing up to 25% more solar power capture, and battery storage allowing charging to take place during the night, inclement weather, and even power outages."</t>
  </si>
  <si>
    <t>GB112</t>
  </si>
  <si>
    <t>CH-47ER Chinook helicopter</t>
  </si>
  <si>
    <t>https://www.gov.uk/government/news/capability-boost-for-uks-global-military-operations-as-contract-confirmed-for-new-chinooks</t>
  </si>
  <si>
    <t>https://euro-sd.com/2024/03/major-news/37115/raf-to-get-14-new-chinooks/</t>
  </si>
  <si>
    <t>"Britain’s heavy lift capability will be bolstered with the purchase of 14 extended-range Chinooks (CH47-ER), which will pump an estimated £151 million into the UK economy.
The new Chinooks significantly enhance the UK’s strategic mobility with its ability to operate in challenging environments. From the desert to the arctic, the helicopter has double the range of a standard Chinook and is capable of air-to-air refuelling, with the ability to carry up to 55 personnel or 10,000 kg of cargo."</t>
  </si>
  <si>
    <t>"As part of the deal, UK companies will also produce components critical for manufacturing and maintaining the Chinooks, supporting jobs in areas such as aircraft avionics and electric power, supporting skills development and wider UK industry."</t>
  </si>
  <si>
    <t>"The UK Royal Air Force (RAF) is to receive 14 new Boeing H-47 Chinook Extended Range (ER) heavylift helicopters under a deal agreed with the US government, the UK Ministry of Defence (MoD) officially announced on 14 March 2024.
Deliveries of the new aircraft are scheduled to commence in 2027.
While the MoD declined to confirm the contract value of the Chinook buy to ESD, Defence Secretary Grant Shapps indicated on 13 March during a press conference in Poland that the contract value was GBP 2 billion (EUR 2.34 billion). He credited his predecessor as defence secretary, Ben Wallace, as having contributed to a negotiating down of the contract price by GBP 300 million in refusing to sign the deal after its price tag had grown significantly from an original figure of GBP 1.4 billion in April 2021, when the prospective purchase was first announced. "</t>
  </si>
  <si>
    <t>GB113</t>
  </si>
  <si>
    <t>https://www.gov.uk/government/news/uk-and-australia-celebrate-closer-ties-with-aukus-progress-and-new-defence-treaty</t>
  </si>
  <si>
    <t>"The £60 million package will be rapidly procured in the coming months in a further boost for the Armed Forces of Ukraine. £40 million will be spent on more than 150 surveillance drones, and a further £20 million will be spent on additional air defence systems, including radars to detect incoming missiles and drones targeted at Ukraine’s cities and military positions, as well as mobile workshops to help quickly repair equipment near the frontline."</t>
  </si>
  <si>
    <t>GB114</t>
  </si>
  <si>
    <t>GB115</t>
  </si>
  <si>
    <t>Trainable Decoy Launcher system</t>
  </si>
  <si>
    <t xml:space="preserve">Chess Dynamics </t>
  </si>
  <si>
    <t xml:space="preserve">Frazer-Nash Consultancy </t>
  </si>
  <si>
    <t>https://www.gov.uk/government/news/royal-navy-warships-to-be-boosted-with-new-cutting-edge-launchers</t>
  </si>
  <si>
    <t>"Royal Navy warships to be boosted with new cutting-edge launchers
UK security will be bolstered through a new contract worth £135 million that will equip the Royal Navy with new decoy launchers to counter missile and drone threats."</t>
  </si>
  <si>
    <t>"UK security will be bolstered through a new contract worth £135 million that will equip the Royal Navy with new decoy launchers to counter missile and drone threats, ensuring the long-term availability and resilience of warships.      
Following the signing of the new contract, Trainable Decoy Launcher technology will increase the protection of Royal Navy ships and sailors, further strengthening the Navy’s ability to defend Britain’s interests across the world, including the Red Sea.  
It comes as new missile and drone technology creates greater threats to the UK’s fleet and the latest decoy launchers will help counter this, providing optimised manoeuvrability that provides the capability to defend warships without the need to alter course.  
The innovative new system, which uses high-end technology, will be manufactured in Systems Engineering &amp; Assessment Ltd (SEA) site in North Devon and Chess’s facilities in Sussex, sustaining up to 150 jobs to help grow the economy. Both SEA and Chess are part of the UK-based Cohort plc group. "</t>
  </si>
  <si>
    <t>GB116</t>
  </si>
  <si>
    <t>Merlin helicopter support contract</t>
  </si>
  <si>
    <t xml:space="preserve">Safran Helicopter Engines UK </t>
  </si>
  <si>
    <t>Safran Helicopter Engines</t>
  </si>
  <si>
    <t>https://des.mod.uk/new-support-contract-award-for-merlin-helicopter-engines/?portfolioCats=78%2C735%2C69%2C734</t>
  </si>
  <si>
    <t>"Availability of the Royal Navy’s fleet of 55 Merlin helicopters is set to increase thanks to a new engine support contract award which runs through to 2030.
Defence Equipment &amp; Support (DE&amp;S) has placed a £241m, six-year contract with Safran Helicopter Engines UK to deliver continuous support for the helicopter’s RTM322 engine and support British jobs.
The six-year contract, which starts on 1 April 2024, will deliver an improved, flexible arrangement that optimises availability and grades success against agreed performance outputs, ensuring Merlin’s capability while carrying out its vital roles delivering UK maritime force protection, anti-submarine warfare and amphibious medium lift capability."</t>
  </si>
  <si>
    <t>GB117</t>
  </si>
  <si>
    <t>Lynx Brutal Over Snow Reconnaissance Vehicle</t>
  </si>
  <si>
    <t>Bombardier Recreational Products</t>
  </si>
  <si>
    <t>https://des.mod.uk/10m-investment-in-snowmobiles-for-royal-marines/?portfolioCats=78%2C735%2C69%2C734</t>
  </si>
  <si>
    <t>"DE&amp;S has secured a £10M contract to provide the Royal Marines with new snowmobiles , meaning they can strike faster and further across the Arctic on reconnaissance and raiding operations.
The vehicles will be used by the UK Commando Force, the nation’s specialist extreme cold weather troops who are capable of surviving, moving, and fighting across the Arctic’s inhospitable terrain. Royal Marines have traditionally moved across the snow on skis, snowshoes or towed by their armoured vehicles (known as skijoring) to get into combat.
However, due to the growing need to move more quickly over longer distances and across very difficult terrain the Specialist &amp; Autonomous Mobility (SAM) team, part of the Land Equipment Operating Centre, has secured up to 159 Lynx Brutal Over Snow Reconnaissance Vehicles made by Finnish subsidiary of Canadian firm Bombardier Recreational Products (BRP)."</t>
  </si>
  <si>
    <t>GB118</t>
  </si>
  <si>
    <t>H145 helicopter</t>
  </si>
  <si>
    <t>https://des.mod.uk/122m-contract-sees-uks-fleet-of-airbus-h145s-expanded-with-six-procured-for-overseas-duties/?portfolioCats=78%2C735%2C69%2C734</t>
  </si>
  <si>
    <t>"Defence Equipment &amp; Support has awarded a £122m contract for six Airbus H145 helicopters to provide aviation support for UK troops in Brunei and the island of Cyprus."</t>
  </si>
  <si>
    <t>GB119</t>
  </si>
  <si>
    <t>Heavy equipment transport vehicles</t>
  </si>
  <si>
    <t>https://des.mod.uk/des-secures-vital-transport-vehicles-for-british-army/?portfolioCats=78%2C735%2C69%2C734</t>
  </si>
  <si>
    <t>"DE&amp;S has secured a contract for the British Army’s Heavy Equipment Transport (HET) capability.
HET enables the Army to rapidly move heavy armour, such as Challenger 2 tanks, to where it is needed, using an operationally proven vehicle platform.
The vehicles were secured under an £80 million interim capability solution over the next three years, with industry partners KBR Ltd.
The agreement forms part of a wider Materiel Distribution Land Programme, which incorporates HET, bulk liquid transportation (such as fuel tankers) and palletised load-carrying vehicles for the Army."</t>
  </si>
  <si>
    <t>GB120</t>
  </si>
  <si>
    <t>T4 bomb disposal robot</t>
  </si>
  <si>
    <t>https://www.gov.uk/government/news/new-bomb-disposal-robots-for-the-british-army</t>
  </si>
  <si>
    <t>"New high-tech bomb disposal robots will provide greater protection for soldiers and the public in a new deal for the British Army announced today (10 May).
50 of the T4 bomb disposal robots will be able to be used in situations of bomb and hazardous material disposal, helping the explosives team who attend thousands of call outs every year, all over the country. This will greatly reduce the risk to service personnel and the public when neutralising bomb and chemical threats.
A £21 million contract with L3 Harris Technologies – based in Tewkesbury - will deliver with the first T4 units before the end of 2024."</t>
  </si>
  <si>
    <t>"The systems, which underwent rigorous testing, have been contracted by Defence Equipment and Support (DE&amp;S), the procurement arm of the UK MOD and include an initial three years of in-service maintenance and repair support."</t>
  </si>
  <si>
    <t>GB121</t>
  </si>
  <si>
    <t>152mm artillery round for Ukraine</t>
  </si>
  <si>
    <t>https://www.gov.uk/government/news/uk-to-stand-with-ukraine-for-as-long-as-it-takes-pm-to-tell-nato</t>
  </si>
  <si>
    <t>"In addition, the UK-administered International Fund for Ukraine will place a new order, worth £300 million, for 120,000 rounds of 152mm soviet-era ammunition bolstering Ukraine’s defences against Russia."</t>
  </si>
  <si>
    <t>GB122</t>
  </si>
  <si>
    <t>MBDA portfolio management agreement contract</t>
  </si>
  <si>
    <t>https://des.mod.uk/battle-winning-complex-weapons-for-uk-armed-forces-secured-for-another-decade/?portfolioCats=78%2C735%2C69%2C734</t>
  </si>
  <si>
    <t>" The UK will be able to deliver battle-winning complex weapons to the Armed Forces faster thanks to a £6.5 billion planned investment in UK industry by the MOD.
The 10-year Portfolio Management Agreement 2 (PMA2) with MBDA represents the renewal of a long-term strategic relationship through which weapon systems design, development, production and support will be conducted. It presents a significant opportunity to counter current and future threats, providing military capability choice to the UK and Europe.
The agreement, secured by the Complex Weapons Team at Defence Equipment &amp; Support – the MOD’s procurement arm – is a continuation and enhancement of a strategic partnership with MBDA that started in 2010. It has enabled the UK to respond to conflicts on its own terms whilst also creating savings of around £2.6 billion."</t>
  </si>
  <si>
    <t>GB123</t>
  </si>
  <si>
    <t>Lightweight multirole missile</t>
  </si>
  <si>
    <t>https://www.gov.uk/government/news/new-order-of-missiles-secures-future-supply-for-uk-armed-forces</t>
  </si>
  <si>
    <t>"New order of missiles secures future supply for UK Armed Forces
A significant number of Lightweight Multirole Missiles (LMM) have been ordered by the Government from Thales UK for the supply of the versatile, precision weapon to UK Armed Forces."</t>
  </si>
  <si>
    <t>"The order is worth £176 million and will equip current and future short-range air defence capabilities for the British Army, such as Stormer combat vehicles, and be fired by the Royal Navy’s Martlet maritime anti-surface missile system deployed from Wildcat helicopters.  
Weighing only 13kg each, LMM provides a precision solution against threats such as drones, helicopters, other aircraft, and small, fast maritime targets.
Supporting 135 jobs at Thales’ site in Belfast, Northern Ireland, the contract placed by Defence Equipment &amp; Support (DE&amp;S) – the MOD’s procurement arm – will also support economic growth through small and medium enterprises and the local supply chain. "</t>
  </si>
  <si>
    <t>"The order follows a £69 million contract placed by DE&amp;S earlier this year, also with Thales UK, to secure the supply chain for key components used in the manufacture of the missiles."</t>
  </si>
  <si>
    <t>GB124</t>
  </si>
  <si>
    <t>Anechoic hangar</t>
  </si>
  <si>
    <t>https://www.gov.uk/government/news/military-silent-hangar-to-help-protect-against-foreign-gps-jamming</t>
  </si>
  <si>
    <t>"Military 'silent hangar' to help protect against foreign GPS jamming
A new test facility, one of the largest in Europe, will help military kit to be better protected from attempts to jam GPS devices."</t>
  </si>
  <si>
    <t>"The facility will provide a key capability to develop UK assets that can perform in the harshest electromagnetic environments on operations. 
Under the new £20 million contract, QinetiQ will build a radio frequency, anti-jamming test facility at the Ministry of Defence’s Boscombe Down site in Wiltshire.  
The ‘silent hangar’ will be large enough to fit some of the biggest military assets, including Protector drones, Chinook helicopters, and F-35 fighter jets – a far greater capacity than existing UK facilities. 
Due to open in 2026, the anechoic hangar creates the perfect environment to test the integrity of the UK’s military equipment. The hangar also prevents testing affecting other users, such as the emergency services and air traffic control. "</t>
  </si>
  <si>
    <t>GB125</t>
  </si>
  <si>
    <t>Command Professional Edition</t>
  </si>
  <si>
    <t>Matrix Pro Sims</t>
  </si>
  <si>
    <t>https://www.gov.uk/government/news/new-wargaming-and-analysis-software-for-defence</t>
  </si>
  <si>
    <t>https://www.matrixprosims.com/news/strategic-command-acquires-command-enterprise-license-for-uk-mod</t>
  </si>
  <si>
    <t>"New wargaming and analysis software for Defence
Strategic Command’s Defence Modelling and Simulation Office acquires initial one year contract for Command Professional Edition"</t>
  </si>
  <si>
    <t>"UK Strategic Command’s Defence Modelling and Simulation Office (DMSO) has awarded a contract for the supply of Command Professional Edition (Command PE) software for Defence users. 
The software, developed by Matrix Pro Sims, is used for wargaming and analysis at the operational level. This new tool gives users in Defence the ability to test ideas and is particularly valuable for Strategic Command’s new Defence Experimentation and Wargaming Hub in Portsmouth."</t>
  </si>
  <si>
    <t>GB126</t>
  </si>
  <si>
    <t>https://www.gov.uk/government/news/uk-to-provide-162-million-package-of-air-defence-missiles-for-ukraine-as-defence-secretary-meets-international-partners</t>
  </si>
  <si>
    <t>" UK to provide £162 million package of air defence missiles for Ukraine as Defence Secretary meets international partners
UK to supply 650 Lightweight Multirole Missiles (LMM) through £162 million contract to boost Ukraine’s air defences."</t>
  </si>
  <si>
    <t>"In keeping with the new government’s commitment to speed up deliveries of aid, the first batch of LMM missiles announced today are also expected to be delivered by the end of this year. 
Today’s package is part of the UK’s work to help step up UK and European defence production - with today’s £162 million order helping to energise the supply chain for the future.  Built by Thales at their Belfast factory, the missiles are highly versatile and can be fired from a variety of platforms on land, sea, and air.   
The package is primarily funded through the UK’s £3 billion a year financial package for Ukraine, and contributions from Norway through the International Fund for Ukraine (IFU) and follows the Prime Minister and Defence Secretary’s commitment to stand by Ukraine will continue for as long as it takes."</t>
  </si>
  <si>
    <t>GB127</t>
  </si>
  <si>
    <t>Sting Ray Mod 2 upgrade</t>
  </si>
  <si>
    <t>https://www.royalnavy.mod.uk/news/2024/september/13/20240913-work-begins-on-60m-next-generation-sting-ray-torpedo-to-protect-the-fleet</t>
  </si>
  <si>
    <t>"The Fleet’s mainstay lightweight torpedo is to receive a £60m upgrade to counter the latest underwater threat.
Whitehall has awarded BAE Systems a contract to enhance Sting Ray, the standard torpedo carried by Royal Navy ships and helicopters… as well as by the RAF’s new Poseidon P8 long-range maritime patrol aircraft."</t>
  </si>
  <si>
    <t>"Over the next four years experts from BAE Systems in Portsmouth and Fife will design, develop and the construct prototypes of Sting Ray Mod 2, before conducting in-water trials. 
The upgrade will introduce new technological features, including added deployment options, ensuring that Sting Ray continues to meet the challenge of emerging threats now and into the future. "</t>
  </si>
  <si>
    <t>GB128</t>
  </si>
  <si>
    <t>Spares and post design services contract</t>
  </si>
  <si>
    <t>NP Aerospace</t>
  </si>
  <si>
    <t>https://www.gov.uk/government/news/state-of-the-art-armoured-vehicle-fleet-supported-under-new-contract</t>
  </si>
  <si>
    <t>"State-of-the-art armoured vehicle fleet supported under new contract
Thousands of UK military land vehicles will be maintained under a new £71 million contract, supporting the government’s growth mission by creating hundreds of jobs."</t>
  </si>
  <si>
    <t>"The contract award to NP Aerospace was announced during the British Army’s Defence Vehicle Dynamic (DVD) event taking place at the vehicle testing grounds at Millbrook.
Called the Conventional Vehicle Systems Spares and Post Design Services (CVSSP), the contract will be for spares and post design services for a range of legacy utility and combat vehicles and ancillary equipment, helping to create and sustain around 100 skilled jobs in Coventry.   
The contract will help to extend the life of the entire Land Rover fleet; Pinzgauer fleet; protected Land Rover; RWMIK and the Lightweight Trailer fleet. This will deliver greater value for money and fill the gaps of new vehicle programmes being delivered, maintaining capability in the interim. 
The contract will help to maintain a fleet of more than 15,000 land vehicles for the next 4 years by consolidating former individual contracts, providing a new single point of contact. The CVSSP contract will ensure that vehicle fleet availability is maintained at the required levels to meet operational and training needs."</t>
  </si>
  <si>
    <t>GB129</t>
  </si>
  <si>
    <t>Redwing microsatellite payload</t>
  </si>
  <si>
    <t xml:space="preserve">Magellan Aerospace </t>
  </si>
  <si>
    <t>Bornea Dynamics</t>
  </si>
  <si>
    <t>https://www.gov.uk/government/news/uk-and-canada-announce-satellite-collaboration</t>
  </si>
  <si>
    <t>"UK and Canada announce satellite collaboration
Dstl will test a short wave infrared camera to identify objects in orbit over the South Pole as part of a space domain awareness trial."</t>
  </si>
  <si>
    <t>"The UK is to collaborate with Canada on the Redwing microsatellite Space Domain Awareness (SDA) mission scheduled to launch in 2027.
Redwing will track objects in congested orbits with improved sensors, and provide near real-time tasking in response to evolving space events.
Redwing, which is the size of a small washing machine, will be directed and tasked by the Department of National Defence’s science and technology organisation, Defence Research and Development Canada (DRDC). The satellite will itself deploy a smaller nanosatellite that will incorporate a payload from the UK’s Defence Science and Technology Laboratory (Dstl) on behalf of the Ministry of Defence (MOD) and UK Space Command."</t>
  </si>
  <si>
    <t>"This international research cooperation between the countries provides the opportunity for joint collaboration and for developing prototype infrastructure and data processing architecture.
Magellan Aerospace will design, build, prepare for launch, and operate the Redwing microsatellite and LISSA nanosatellite. LISSA will be built by the University of Manitoba. Bornea Dynamics has been contracted by Dstl to produce and qualify the SWIR camera payload hardware.</t>
  </si>
  <si>
    <t>GB130</t>
  </si>
  <si>
    <t>Juno satellite system</t>
  </si>
  <si>
    <t>https://www.gov.uk/government/news/satellite-deal-signed-for-advanced-military-tech</t>
  </si>
  <si>
    <t>"Satellite deal signed for advanced military tech
New Juno satellite to support military operations will be designed and built in the UK."</t>
  </si>
  <si>
    <t>"Armed forces personnel are to have access to the latest space technology for military operations, following a deal signed for a new satellite.
The £40 million project with Surrey Satellite Technology Ltd will support around 200 skilled jobs, boosting the UK’s space sector and helping to grow the economy."</t>
  </si>
  <si>
    <t>"Named Juno, the satellite will be able to capture daytime images of the Earth’s surface, strengthening the UK’s Intelligence, Surveillance, and Reconnaissance (ISR) capabilities. Expected to launch in 2027, Juno will have advanced imagery sensors, building on the capabilities of Tyche, UK Space Command’s first satellite which successfully launched in August this year.
Both satellites form part of the Ministry of Defence’s space-based Intelligence, Surveillance, and Reconnaissance programme, which will deliver a constellation of satellites and supporting ground systems by 2031.
These satellites will support military operations, for instance by monitoring adversary activities, and also contribute to other government tasks, including natural disaster monitoring, the development of mapping information, environmental monitoring and tracking the impact of climate change around the world."</t>
  </si>
  <si>
    <t>GB131</t>
  </si>
  <si>
    <t>https://www.gov.uk/government/news/uk-leadership-on-ukraine-continues-as-defence-secretary-announced-225m-support-package-during-kyiv-visit</t>
  </si>
  <si>
    <t>"The UK’s ironclad support for Ukraine continues with a new £225m package of military support announced today. The package announced by the Defence Secretary will increase Ukraine’s military capability with new maritime drones and boats, air defence systems, and counter-drone systems."</t>
  </si>
  <si>
    <t>"£39m to provide more than 1,000 counter-drone electronic warfare systems and for joint-procurement of respirators and equipment to enhance the protective capabilities of Ukraine’s Armed Forces"</t>
  </si>
  <si>
    <t>GB131_a</t>
  </si>
  <si>
    <t>GB131_b</t>
  </si>
  <si>
    <t>Counter-drone electronic warfare system</t>
  </si>
  <si>
    <t>GB132</t>
  </si>
  <si>
    <t>Mixed naval equipment</t>
  </si>
  <si>
    <t>Naval</t>
  </si>
  <si>
    <t>"£92m for equipment to bolster Ukraine’s navy, including small boats, reconnaissance drones, uncrewed surface vessels, loitering munitions, and mine countermeasure drones, directly supporting the maritime coalition co-led by the UK and Norway"</t>
  </si>
  <si>
    <t>GB132_a</t>
  </si>
  <si>
    <t>GB132_b</t>
  </si>
  <si>
    <t>GB132_c</t>
  </si>
  <si>
    <t>Uncrewed surface vessel</t>
  </si>
  <si>
    <t>GB132_d</t>
  </si>
  <si>
    <t>Loitering munitions drone</t>
  </si>
  <si>
    <t>GB132_e</t>
  </si>
  <si>
    <t>Sea mine disposal system</t>
  </si>
  <si>
    <t>GB133</t>
  </si>
  <si>
    <t>Mixed air defence equipment</t>
  </si>
  <si>
    <t>Air defence system</t>
  </si>
  <si>
    <t>"£68m for air defence equipment including radars, decoy land equipment, and counter-drone electronic warfare systems"</t>
  </si>
  <si>
    <t>GB133_a</t>
  </si>
  <si>
    <t>GB133_b</t>
  </si>
  <si>
    <t>Decoy land equipment</t>
  </si>
  <si>
    <t>GB133_c</t>
  </si>
  <si>
    <t>GB134</t>
  </si>
  <si>
    <t>"£26m to provide support and spare parts for critical systems previously delivered to Ukraine"</t>
  </si>
  <si>
    <t>GB135</t>
  </si>
  <si>
    <t>Roll-on roll-off shipping vessel operations contract</t>
  </si>
  <si>
    <t>Foreland Shipping Limited</t>
  </si>
  <si>
    <t>https://www.gov.uk/government/news/global-strategic-sealift-contract-secures-military-operations</t>
  </si>
  <si>
    <t>https://ukdefencejournal.org.uk/uk-awards-476m-sealift-contract-to-foreland-shipping/</t>
  </si>
  <si>
    <t>"Global Strategic Sealift Contract secures military operations
New seven-year contract worth £476 million will protect UK jobs, and ensure continued support of military operations across the globe."</t>
  </si>
  <si>
    <t>"UK Armed Forces will benefit from a new long-term strategic sealift contract supporting the transport of crucial defence equipment and supplies, as well as sustaining 150 UK jobs.
The Ministry of Defence has awarded the seven-year contract, worth £476 million, to UK-based Foreland Shipping Limited (FSL), ensuring the continued support of military operations and strengthening national security, through strategic sea lift."</t>
  </si>
  <si>
    <t>"Under the contract, FSL will provide four roll-on roll-off shipping vessels capable of transporting essential equipment and supplies, including armoured vehicles, emergency medical supplies and complex weapons, across the globe."</t>
  </si>
  <si>
    <t>GB136</t>
  </si>
  <si>
    <t>DCC</t>
  </si>
  <si>
    <t>https://www.gov.uk/government/news/30000-new-drones-for-ukraine-in-boost-to-european-security</t>
  </si>
  <si>
    <t>"30,000 drones will be sent to Ukraine after £45 million worth of contracts were placed by the international Drone Capability Coalition, co-led by the UK and Latvia as the UK steps up leadership supporting Ukraine in 2025."</t>
  </si>
  <si>
    <t>"The Drone Capability Coalition supports Ukraine with uncrewed surveillance and attack capabilities. Funding for the new 30,000 drones comes from UK, Denmark, Netherlands, Latvia and Sweden. 
These state-of-the-art, first-person view drones will help Ukraine fight against Russian aggression, allowing Ukraine’s Armed Forces to manoeuvre past Russian air defences to target enemy positions and armoured vehicles."</t>
  </si>
  <si>
    <t>GB137</t>
  </si>
  <si>
    <t>Artillery barrel</t>
  </si>
  <si>
    <t>Sheffield Forgemasters</t>
  </si>
  <si>
    <t>https://www.gov.uk/government/news/45-billion-military-boost-to-ukraine-front-line-to-support-uk-growth-and-jobs</t>
  </si>
  <si>
    <t>"A Yorkshire-based defence company will begin the production of barrels for the first time in almost two decades, as the UK ramps up its military supplies to Ukraine in 2025.
The UK placed a £61 million contract with defence giant BAE Systems to produce the barrel forgings, working with Sheffield Forgemasters. The barrels will be produced in Yorkshire, before being sent to Ukraine for finishing and integration. "</t>
  </si>
  <si>
    <t>GB138</t>
  </si>
  <si>
    <t>Submarine nuclear reactor support contract</t>
  </si>
  <si>
    <t>Engines, Turbines, and Components</t>
  </si>
  <si>
    <t>Nuclear Reactors</t>
  </si>
  <si>
    <t>https://www.gov.uk/government/news/landmark-9-billion-contract-for-british-business-to-boost-jobs-growth-and-nuclear-deterrent</t>
  </si>
  <si>
    <t>"A major deal, worth approximately £9 billion, has been struck with British firm Rolls-Royce to bolster support to the Royal Navy’s fleet of nuclear submarines, boosting national security and economic growth and delivering on the government’s Plan for Change 
Creating more than 1,000 UK jobs and safeguarding 4,000 other roles, the contract with Rolls-Royce Submarines Ltd – dubbed ‘Unity’ - will deliver the design, manufacture and support services to nuclear reactors to power our submarines."</t>
  </si>
  <si>
    <t>"The eight-year contract represents long-term certainty for a major British business, building in resilience and capability across the supply-chain. This will generate more efficiency and allow for effective risk and opportunity management, providing incentives to produce more for no increase in cost, including on work such as the building of Dreadnought Class submarines.  
The agreement will also help streamline decision-making and foster close partnership with industry, supporting the aims of the new Defence Industrial Strategy. "</t>
  </si>
  <si>
    <t>GB139</t>
  </si>
  <si>
    <t>RECODE combat management system modernisation</t>
  </si>
  <si>
    <t>https://www.gov.uk/government/news/threat-detection-systems-on-royal-navy-warships-upgraded</t>
  </si>
  <si>
    <t>"More than 200 UK jobs will be supported through a new contract to boost the Royal Navy’s warship combat systems and increase their ability to track, analyse and respond to threats in combat.  
The contract, worth £285 million, has been awarded to BAE Systems, to maintain and modernise vital combat management systems (CMS) on Royal Navy vessels, including Type 23 frigates, Type 45 destroyers, Queen Elizabeth Class aircraft carriers and Type 26 frigates.
Such systems provide warship crews with all the information they need to track, analyse and respond to threats in combat. The contract will support hundreds of jobs across the UK delivering on the government’s Plan for Change."</t>
  </si>
  <si>
    <t>GB140</t>
  </si>
  <si>
    <t>Oberon satellite system</t>
  </si>
  <si>
    <t>Airbus Defence and Space UK</t>
  </si>
  <si>
    <t>https://www.gov.uk/government/news/new-satellite-deal-to-boost-military-operations-jobs-and-growth</t>
  </si>
  <si>
    <t>"Armed forces personnel will have access to the latest space-based imagery for military operations, following a deal signed for a new satellite system, named Oberon. 
The £127 million deal with Airbus will support around 200 skilled jobs in Stevenage and Portsmouth, boosting the UK’s space capabilities and delivering on the Government’s Plan for Change. "</t>
  </si>
  <si>
    <t>"The Oberon satellite system, made up of two Synthetic Aperture Radar (SAR) satellites, will be able to capture day and night-time images of the Earth’s surface, strengthening the UK’s Intelligence, Surveillance, and Reconnaissance (ISR) capabilities. Expected to launch in 2027, Oberon will have advanced imagery sensors, building on the capabilities of Tyche, UK Space Command’s first satellite which successfully launched in August last year. "</t>
  </si>
  <si>
    <t>"The deal comes as UK Space Command has published the first images captured by Tyche. The images of Heathrow Airport, Sydney, Washington DC, and the California wildfires, demonstrate Tyche’s ability to capture imagery from anywhere on earth when Defence needs it.  
Both satellites form part of the Ministry of Defence’s space-based Intelligence, Surveillance, and Reconnaissance programme, known as ISTARI, which will deliver a constellation of satellites and supporting ground systems by 2031.  
These satellites will support military operations, for example by monitoring adversary activities, and contribute to other government tasks, including natural disaster monitoring, the development of mapping information, and tracking the impact of climate change around the world."</t>
  </si>
  <si>
    <t>GB141</t>
  </si>
  <si>
    <t>Maritime Communications Capability Support (MCCS)</t>
  </si>
  <si>
    <t>https://www.gov.uk/government/news/new-investment-in-royal-navy-fleet-communications-to-boost-jobs</t>
  </si>
  <si>
    <t>"More than 100 high-skilled jobs will be secured in the UK thanks to a new £250 million contract to upgrade the communications systems of the Royal Navy’s warship and submarine fleet.
Jobs at Thales sites in Portsmouth, Plymouth, Crawley, Reading and Bristol will be supported after the company was awarded the largest-ever contract for the provision of naval communication capabilities."</t>
  </si>
  <si>
    <t>"The 10-year long contract for Maritime Communications Capability Support (MCCS), awarded by Defence Equipment &amp; Support, will upgrade the Royal Navy’s internal and external fleet communications, strengthening the UK’s continuous at sea deterrent and supporting global operations."</t>
  </si>
  <si>
    <t>GB142</t>
  </si>
  <si>
    <t>https://www.gov.uk/government/news/uk-leads-major-ukraine-summit-and-announces-150-million-firepower-package</t>
  </si>
  <si>
    <t>https://des.mod.uk/des-poised-to-deliver-on-uk-governments-150m-ukraine-firepower-package/</t>
  </si>
  <si>
    <t>"Today’s £150 million package includes thousands of drones, dozens of battle tanks and armoured vehicles and air defence systems.   
More than 50 armoured and protective vehicles, including modernised T-72 tanks will be deployed to Ukraine by the end of spring, building on the thousands of pieces of equipment the UK has already given to Ukraine.   
The air defence equipment will support more than 100 Ukrainian air defence teams, and has a 90% success rate of shooting down kamikaze drones, protecting Ukrainian critical national infrastructure including electricity sites frequently targeted by Russia. Announced by the Prime Minister Keir Starmer in Kyiv last month, the UK and Denmark are also providing fifteen Gravehawks to Ukraine.  
Today’s package also includes major new maintenance contracts to support in-country repairs to critical kit – helping keep Ukraine’s tanks and artillery in the fight and bringing broken equipment back into use."</t>
  </si>
  <si>
    <t>GB142_a</t>
  </si>
  <si>
    <t>GB142_b</t>
  </si>
  <si>
    <t>Armoured vehicle (unspecified)</t>
  </si>
  <si>
    <t>GB142_c</t>
  </si>
  <si>
    <t>GB142_d</t>
  </si>
  <si>
    <t>Gravehawk air defence system</t>
  </si>
  <si>
    <t>GB142_e</t>
  </si>
  <si>
    <t>GB143</t>
  </si>
  <si>
    <t>https://www.gov.uk/government/news/historic-16bn-deal-provides-thousands-of-air-defence-missiles-for-ukraine-and-boosts-uk-jobs-and-growth</t>
  </si>
  <si>
    <t>"The latest measures in the UK’s support for Ukraine to achieve peace through strength, the deal will also provide a major boost to the UK economy and support 700 existing jobs at Thales in Belfast, which will manufacture more than 5,000 lightweight-multirole missiles (LMM) for Ukraine’s defence. The deal will see production of LMMs at Thales’s factory treble and will also benefit companies in the Thales Supply Chain across the UK – putting more money in working people’s pockets.
It is the largest contract ever received by Thales in Belfast and the second largest MOD has placed with Thales, building on a previous contract with Thales, signed in September 2024 for 650 missiles. The first batch of missiles were delivered before Christmas, and this new contract will continue deliveries."</t>
  </si>
  <si>
    <t>"Ukraine has already put the highly capable LMM missile to use as part of its air defences where it has proven to be incredibly effective in protecting civilians and critical infrastructure from Russia’s bombardment. A £162 million contract announced in September last year saw 650 LMM missiles supplied to Ukraine as an initial order to ramp up production – deliveries started in December 2024.
Thales Northern Ireland will deliver the contract – worth an initial £1.16 billion with the potential for around a further £500 million of work to be added – in collaboration with a Ukrainian industry partner, which will manufacture launchers and command and control vehicles for the missiles in Ukraine."</t>
  </si>
  <si>
    <t>GB144</t>
  </si>
  <si>
    <t>Altius drone</t>
  </si>
  <si>
    <t>Anduril UK</t>
  </si>
  <si>
    <t>https://www.gov.uk/government/news/advanced-attack-drones-for-ukraine-in-new-deal-struck-by-uk-government-and-anduril-uk</t>
  </si>
  <si>
    <t>"The new contracts, totalling nearly £30 million and backed by the International Fund for Ukraine, will result in Anduril UK supplying cutting-edge Altius 600m and Altius 700m drones – known as loitering munitions – that are designed to monitor an area before striking targets that enter it."</t>
  </si>
  <si>
    <t>GB145</t>
  </si>
  <si>
    <t>Borealis satellite command and control system</t>
  </si>
  <si>
    <t>CGI UK</t>
  </si>
  <si>
    <t>https://www.gov.uk/government/news/new-uk-made-space-system-to-help-protect-military-satellites</t>
  </si>
  <si>
    <t>"New UK-made space system to help protect military satellites
Innovative UK-made tech will help the military monitor space following a new £65 million deal agreed today, in British Science Week."</t>
  </si>
  <si>
    <t>"The Borealis command, control and data processing system will help the UK military the UK Space Agency to better monitor and protect satellites, through new software which compiles and processes data from multiple sources, more quickly, to monitor space.  
The £65 million deal with CGI UK, an IT systems integration specialist, will support around 100 skilled jobs in Leatherhead, Reading and Bristol, boosting the UK’s space capabilities and delivering on the Government’s Plan for Change"</t>
  </si>
  <si>
    <t>"The new technology will provide UK military with a better understanding of the Space Domain, improving military commanders decision-making process and supporting operations, both at home and overseas.  
Under the five-year contract, Borealis will provide software for the National Space Operations Centre, which develops and operates the UK’s space surveillance and protection capabilities. It will be a unique, UK-made system which support military operations around the world."</t>
  </si>
  <si>
    <t>GB146</t>
  </si>
  <si>
    <t>https://www.gov.uk/government/news/major-16-billion-equipment-contract-to-support-british-defence-jobs-and-boost-army-readiness</t>
  </si>
  <si>
    <t>"British Army equipment, including tanks and armoured vehicles, will receive world-class maintenance and spare parts under a contract which supports 1,600 UK jobs.    
The five-year £1.6 billion contract extension with British defence firm Babcock will cover vital military assets including Challenger 2 tanks, 105mm artillery guns and Trojan armoured vehicles, ensuring they remain combat-ready to meet emerging threats."</t>
  </si>
  <si>
    <t>"Maintenance services will cover preventative maintenance, emergency repairs and spare parts management. It will also include digital transformation to improve fleet management efficiency, keeping more vehicles and equipment primed for soldiers to use – boosting national security and renewing Britain’s economy as we deliver on our Plan for Change."</t>
  </si>
  <si>
    <t>GB147</t>
  </si>
  <si>
    <t>SERCO</t>
  </si>
  <si>
    <t>https://www.gov.uk/government/news/1000-british-jobs-supported-by-deal-to-bolster-fleet-of-sub-hunting-helicopters</t>
  </si>
  <si>
    <t>"1,000 British jobs supported by deal to bolster fleet of sub-hunting helicopters
The Royal Navy’s submarine-hunting Merlin helicopters will receive world-class maintenance under a £165 million contract extension, supporting 1,000 skilled UK jobs."</t>
  </si>
  <si>
    <t>"£165 million contract with Leonardo to secure upkeep of the Royal Navy’s fleet of 54 Merlin helicopters"</t>
  </si>
  <si>
    <t>GB148</t>
  </si>
  <si>
    <t>Anti-ballistic and hypersonic missile development contract</t>
  </si>
  <si>
    <t>Roke</t>
  </si>
  <si>
    <t>https://www.gov.uk/government/news/new-partnership-between-defence-and-private-sector-set-to-boost-uk-defence-sector</t>
  </si>
  <si>
    <t>"In a sign of the Government backing British firms with long-term public investment, the meeting comes as the Government confirms up to £250 million investment across the next six years with UK defence tech firm Roke – supporting around 150 jobs and delivering analysis, trials and technology development against ballistic and hypersonic missile threats."</t>
  </si>
  <si>
    <t>"Roke – based in Hampshire and focused on innovation and AI development – have been awarded a contract up to six-years in length, known as Science and Technology Oriented Research and development in Missile defence (STORM). The framework streamlines crucial research into innovative technologies, helping enhance the UK’s ability to detect, identify, and defeat ballistic and hypersonic missile threats – work that is essential to safeguarding the UK and its allies."</t>
  </si>
  <si>
    <t>GB149</t>
  </si>
  <si>
    <t>https://www.gov.uk/government/news/450m-surge-of-military-support-to-boost-ukraines-armed-forces-as-uk-and-germany-chair-meeting-of-50-nations</t>
  </si>
  <si>
    <t>"Today’s package, worth £450 million, includes £350 million from the UK from this year’s record £4.5 billion military support funding for Ukraine. Further funding is being provided by Norway, via the UK-led International Fund for Ukraine.
The support package will be announced by Defence Secretary John Healey when he chairs the contact group alongside German Defence Minister Boris Pistorius later today, where 50 nations will come together to coordinate urgent military support for Ukraine."</t>
  </si>
  <si>
    <t>"It will include £160 million of UK funding to provide repairs and maintenance to vehicles and equipment the UK has already provided to Ukraine – partnering UK companies with Ukrainian industry, supporting the UK economy and skilled jobs."</t>
  </si>
  <si>
    <t>"The £160 million package for equipment repairs and maintenance will ensure vital armoured vehicles and other equipment can get back to the battlefield as quickly as possible. It will be implemented through the UK’s Taskforce HIRST, linking UK and Ukrainian companies to ensure repairs can be conducted in country to ensure that vital equipment is returned to the frontline as quickly as possible."</t>
  </si>
  <si>
    <t>GB150</t>
  </si>
  <si>
    <t>"Today’s support also includes a new ‘close fight’ military aid package – with funding for radar systems, anti-tank mines and hundreds of thousands of drones - worth more than £250 million, using funding from the UK and Norway. The package builds on the work of the drone capability coalition, led by the UK and Latvia.
This will include high manoeuvrable first-person view (FPV) drones to attack targets, and drones which can drop explosives on Russian positions. These two types of drones are reported to be responsible for 60-70% of damage currently caused to Russian equipment.
The new kit will be procured from a mixture of UK and Ukrainian suppliers, demonstrating how investment into Ukraine’s defence supports jobs and the economies of both the UK and Ukraine."</t>
  </si>
  <si>
    <t>Source 1 says that the 'close fight' military aid package is worth £250 million. The UK contributes £190 million of this (bringing the UK total support today to £350 million) and Norway commits an additional £100 million through the IFU.</t>
  </si>
  <si>
    <t>GB150_a</t>
  </si>
  <si>
    <t>GB150_b</t>
  </si>
  <si>
    <t>Anti-tank mine</t>
  </si>
  <si>
    <t>GB150_c</t>
  </si>
  <si>
    <t>GB151</t>
  </si>
  <si>
    <t>StormShroud drone</t>
  </si>
  <si>
    <t>Tekever</t>
  </si>
  <si>
    <t>Portugal</t>
  </si>
  <si>
    <t>https://www.gov.uk/government/news/prime-minister-hails-game-changing-uk-made-raf-drones</t>
  </si>
  <si>
    <t>"The RAF is investing an initial £19 million into the cutting-edge drones, which are made in the UK and directly support 200 highly skilled engineering jobs at multiple UK locations already from West Wales to Somerset, with further opportunities expected in future." </t>
  </si>
  <si>
    <t>GB152</t>
  </si>
  <si>
    <t>Eurofighter support contract</t>
  </si>
  <si>
    <t>https://des.mod.uk/contract-worth-563m-awarded-to-rolls-royce-for-typhoon-engines-sustains-120-uk-jobs/?portfolioCats=78%2C735%2C69%2C734</t>
  </si>
  <si>
    <t>https://www.gov.uk/government/speeches/prime-ministers-remarks-at-the-london-defence-conference-8-may-2025</t>
  </si>
  <si>
    <t>"The five-year Typhoon Engine Support Solution (TESS), worth £563 million, will support approximately 200 direct jobs, with the majority based in Bristol."</t>
  </si>
  <si>
    <t>GB153</t>
  </si>
  <si>
    <t>Underwater glue development</t>
  </si>
  <si>
    <t>Brushes, Paints, Sealers, and Adhesives</t>
  </si>
  <si>
    <t>Adhesives</t>
  </si>
  <si>
    <t>Zentraxa</t>
  </si>
  <si>
    <t xml:space="preserve">United Kingdom </t>
  </si>
  <si>
    <t>https://www.gov.uk/government/news/uk-armed-forces-to-benefit-from-ground-breaking-underwater-glue-developed-with-industry</t>
  </si>
  <si>
    <t>"Dstl has supported the project with approximately £300,000 of funding and will collaborate with other parts of Defence in the further development of the glue technology."</t>
  </si>
  <si>
    <t>GB154</t>
  </si>
  <si>
    <t>https://des.mod.uk/new-300-million-contract-to-train-140-raf-and-navy-aircrew-per-year-and-boost-uk-jobs/?portfolioCats=78%2C735%2C69%2C734</t>
  </si>
  <si>
    <t>"DE&amp;S, the procurement arm of the MOD, has awarded a £300 million contract to Ascent Flight Training to significantly improve flying training for RAF and Royal Navy trainees, while investing in local communities.  
The massive scaling of this service will result in a four-fold increase in critically important Mission Aircrew trainees to 140 per year, preparing them for the demands of modern worldwide operating environments and equipping them with the skills to operate a large variety of aircraft.  
Rear crew personnel at Royal Naval Air Station (RNAS) Culdrose and Royal Air Force (RAF) Cranwell will be trained in new buildings, using advanced technology and in a safe, cost-effective manner that reduces both flying hours and carbon footprint.  
Around 68 highly skilled workers will also be hired or retained for the duration of the eight-year contract up to 2033 and £180 million spent in the British supply chain with investments in Cornwall, Lincolnshire and Bristol."</t>
  </si>
  <si>
    <t>GB155</t>
  </si>
  <si>
    <t>Test, Trials, Training and Evaluation contract extension</t>
  </si>
  <si>
    <t>QintiQ</t>
  </si>
  <si>
    <t>https://www.gov.uk/government/news/major-15-billion-defence-contract-with-british-firm-ensures-world-class-equipment-testing-for-uk-forces-and-secures-1200-jobs</t>
  </si>
  <si>
    <t>https://des.mod.uk/1-5-billion-contract-with-qinetiq-for-test-and-evaluation-services-secures-1200-uk-jobs/?portfolioCats=78%2C735%2C69%2C734</t>
  </si>
  <si>
    <t>"The five-year £1.5 billion contract extension with British defence firm QinetiQ provides test, trial, training and evaluation of defence equipment and capabilities at 16 Ministry of Defence sites."</t>
  </si>
  <si>
    <t>"The jobs being sustained up to 2033 include more than 200 in Scotland and 200 in Wales. Jobs at larger sites in England include 400 at Boscombe Down in Wiltshire and 200 at Shoeburyness in Essex."</t>
  </si>
  <si>
    <t>GB156</t>
  </si>
  <si>
    <t>Digital Targeting Web battlefield system</t>
  </si>
  <si>
    <t> https://www.gov.uk/government/news/uk-to-deliver-pioneering-battlefield-system-and-bolster-cyber-warfare-capabilities-under-strategic-defence-review</t>
  </si>
  <si>
    <t>"More than £1 billion to be invested in pioneering ‘Digital Targeting Web’ to spearhead battlefield engagements, applying lessons learnt from Ukraine to the UK Armed Forces. 
    New Cyber and Electromagnetic Command will oversee cyber operations for Defence as careers pathway accelerated.
    Innovation delivers on the Government’s Plan for Change by bolstering national security and creating skilled jobs. 
Pinpointing and eliminating enemy targets will take place faster than ever before, as the Government invests more than £1 billion to equip the UK Armed Forces with a pioneering battlefield system."</t>
  </si>
  <si>
    <t>GB157</t>
  </si>
  <si>
    <t>Munitions and energetics factory</t>
  </si>
  <si>
    <t>Ammunition Maintenance, Repair, and Checkout Specialized Equipment</t>
  </si>
  <si>
    <t>https://www.gov.uk/government/news/new-munitions-factories-and-long-range-weapons-to-back-nearly-2000-jobs-under-strategic-defence-review</t>
  </si>
  <si>
    <t>https://des.mod.uk/new-munitions-factories-and-long-range-weapons-to-back-nearly-2000-jobs-under-strategic-defence-review/?portfolioCats=78%2C735%2C69%2C734</t>
  </si>
  <si>
    <t>"Commitments include:
    £1.5 billion in an “always on” pipeline for munitions and building at least 6 new energetics and munitions factories in the UK. Creating more than 1,000 skilled manufacturing jobs, the factories will produce munitions and energetics, which are key components of weapons, including propellants, explosives, and pyrotechnics.
"</t>
  </si>
  <si>
    <t>GB158</t>
  </si>
  <si>
    <t>https://www.gov.uk/government/news/tenfold-increase-in-uk-drone-deliveries-for-ukraine-at-50-nation-ukraine-summit</t>
  </si>
  <si>
    <t>"The UK is ramping up its support for Ukraine with a target to achieve a tenfold increase in production and procurement of drones to deliver to Ukraine this year.
With more than 10,000 drones delivered to Ukraine last year by the UK, tens of thousands more have already been delivered towards an ambitious new target of 100,000 drones for the current financial year. The record £350m investment in drones for Ukraine is part of the UK’s £4.5bn military support this year."</t>
  </si>
  <si>
    <t>GB159</t>
  </si>
  <si>
    <t>https://des.mod.uk/funding-for-innovative-new-radar-for-typhoon-fighter-jets-is-given-the-green-light/?portfolioCats=78%2C735%2C69%2C734</t>
  </si>
  <si>
    <t>"The investment of £204.6m will go towards the production and integration of the innovative new ECRS Mk2 radar for the Royal Air Force (RAF)’s Eurofighter Typhoon combat aircraft following successful flight trials which concluded earlier this year. The radar, which is being delivered by the DE&amp;S Typhoon delivery team, alongside mission partners Leonardo and BAE Systems"</t>
  </si>
  <si>
    <t>GB160</t>
  </si>
  <si>
    <t>Orpheus satellite</t>
  </si>
  <si>
    <t>Astroscale UK</t>
  </si>
  <si>
    <t>Open Cosmos Limited</t>
  </si>
  <si>
    <t>https://www.gov.uk/government/news/dstl-announces-orpheus-satellite-mission-contract</t>
  </si>
  <si>
    <t>"The Defence Science and Technology Laboratory (Dstl) has awarded the £5.15 million satellite contract for the Orpheus space domain awareness mission to Astroscale UK.
This will be a successor to the Prometheus-2 and CIRCE missions that were lost aboard the Virgin Orbit launch in 2023. Orpheus is a collaborative effort between UK industry, government and academia–as well as international government partners in Canada and the US.
The launch is anticipated to be in 2027.
Astroscale UK is working with subcontractor Open Cosmos Limited who will design and build 2 near identical cubesats that Astroscale UK will operate for the mission. The satellites will fly in formation in Low Earth, Sun Synchronous Orbit to observe and collect critical data using in-situ and remote sensing techniques."</t>
  </si>
  <si>
    <t>GB161</t>
  </si>
  <si>
    <t>F-35 fighter jet</t>
  </si>
  <si>
    <t>https://www.gov.uk/government/news/uk-to-purchase-f-35as-and-join-nato-nuclear-mission-as-government-steps-up-national-security-and-delivers-defence-dividend</t>
  </si>
  <si>
    <t>https://des.mod.uk/uk-to-purchase-f-35as-and-join-nato-nuclear-mission/?portfolioCats=78%2C735%2C69%2C734</t>
  </si>
  <si>
    <t>https://www.reuters.com/business/aerospace-defense/uk-buy-fighter-jets-capable-carrying-tactical-nuclear-weapons-2025-06-25/</t>
  </si>
  <si>
    <t>"The UK will purchase 12 new F-35A fighter jets and join NATO’s dual capable aircraft nuclear mission in a major boost for national security.
The Prime Minister will announce at the NATO summit tomorrow [Wednesday] that the UK intends to buy at least a dozen of the dual capable aircraft, which can carry both nuclear and conventional weapons.
The decision will support 20,000 jobs in the F35 programme in the UK, with 15% of the global supply chain for the jets based in Britain, supporting highly skilled jobs and opportunities for working people and delivering a defence dividend across the country.
The new fast jets will be based at RAF Marham, with the Government expected to procure 138 F35s over the lifetime of the programme. The procurement of 12 F-35A rather than 12 F-35B as part of the next procurement package will deliver a saving of up to 25% per aircraft for the taxpayer. "</t>
  </si>
  <si>
    <t>"The cost of each F-35A jet is about 80 million pounds ($109 million), putting the total bill for the 12 planes at just under 1 billion pounds, according to another British official, who asked not to be named."</t>
  </si>
  <si>
    <t>GB162</t>
  </si>
  <si>
    <t>ASRAAM air defence missile</t>
  </si>
  <si>
    <t>https://www.gov.uk/government/news/uk-to-provide-hundreds-of-air-defence-missiles-for-ukraine-with-money-from-seized-russian-assets</t>
  </si>
  <si>
    <t>"UK to provide 350 ASRAAM air defence missiles using £70m of funding, to be repaid using revenues from sanctioned Russian assets
    The new package of missiles can be used with UK-provided air defence launchers, helping to protect Ukrainian citizens from Russian missile and drone attacks 
    Comes as the Prime Minister and Defence Secretary visit The Hague for an annual summit of NATO leaders, with de-escalation in the Middle East and support for Ukraine topping the agenda 
The UK will boost Ukraine’s air defence with 350 missiles using funds from seized Russian assets, helping to protect Ukrainians from Putin’s attacks.
The ASRAAM missiles can be fired using the RAVEN Ground Based Air Defence System supplied by the UK to Ukraine, with five more RAVEN systems due for imminent delivery, bringing the total to 13.  
Initially used as air-to-air missiles fired from fighter jets, RAF engineers adapted ASRAAM in just three months to be launched from the back of a UK designed and built truck, working with a British defence industry team from MBDA UK, based in Bolton."</t>
  </si>
  <si>
    <t>GB163</t>
  </si>
  <si>
    <t>AFU training programme contract extension</t>
  </si>
  <si>
    <t>https://www.gov.uk/government/news/operation-interflex-reaches-three-year-milestone</t>
  </si>
  <si>
    <t>"At a recent meeting of the Ukraine Defence Contact Group (UDCG) on the 4 June, the Defence Secretary announced that the UK will spend a further £247m this year on training the Armed Forces of Ukraine, supporting Operation Interflex’s highly successful training programmes."</t>
  </si>
  <si>
    <t>GB164</t>
  </si>
  <si>
    <t>Nuclear submarine base modernisation</t>
  </si>
  <si>
    <t>https://www.gov.uk/government/news/scottish-defence-dividend-250m-investment-launched</t>
  </si>
  <si>
    <t>https://ukdefencejournal.org.uk/uk-government-launches-massive-upgrade-of-clyde-naval-base/</t>
  </si>
  <si>
    <t>"The Ministers will meet navy chiefs and tour key facilities and receive briefing on how the £250 million will support upgrades to infrastructure and the working environment, ensuring the site is ready to accommodate next-generation nuclear submarines including the Dreadnought-class (which will carry the nuclear deterrent) and SSN-AUKUS (the Royal Navy’s future attack class that will replace the Astute-class fleet).[...] The initial £250 million of funding over 3 years will support jobs, skills and growth across the West of Scotland. This Government will keep the UK safe for generations to come while delivering on the Plan for Change and making defence an engine for growth."</t>
  </si>
  <si>
    <t>"The announcement marks the official start of a Spending Review defence dividend for Scotland, funding infrastructure upgrades over the next three years and supporting skilled jobs in the West of Scotland. HMNB Clyde is Scotland’s largest military establishment and second biggest employment site, hosting over 6,500 military and civilian personnel. [...]The £250 million commitment will focus on enabling activity, master planning, and the development of major programme approvals, including preparations for the arrival of the next-generation Dreadnought-class and SSN-AUKUS submarines. The base’s infrastructure and working environment will be overhauled to meet the requirements of these future platforms."</t>
  </si>
  <si>
    <t>GB165</t>
  </si>
  <si>
    <t>AW139 helicopter transport operations contract</t>
  </si>
  <si>
    <t>HeliOperations</t>
  </si>
  <si>
    <t>https://des.mod.uk/41-million-contract-supports-95-dorset-jobs-and-boosts-royal-navy-helicopter-support-services/?portfolioCats=78%2C735%2C69%2C734</t>
  </si>
  <si>
    <t>"The Royal Navy will benefit from world-class helicopter support services following a £41 million, five-year contract awarded by DE&amp;S to Dorset-based small-medium enterprise, HeliOperations, creating 15 new jobs and sustaining 80 existing roles." </t>
  </si>
  <si>
    <t>GB166</t>
  </si>
  <si>
    <t>Combat vehicle spare parts</t>
  </si>
  <si>
    <t>https://www.gov.uk/government/news/new-multi-million-pound-army-support-deal-for-north-east-firm-to-boost-national-security-and-growth</t>
  </si>
  <si>
    <t>https://www.army-technology.com/news/cook-supply-tracks-combat-vehicles/</t>
  </si>
  <si>
    <t>"The three-year deal announced today (18 August), worth up to £125 million, will see the company supplying spare parts for all the Army’s principal combat vehicles including its new Challenger 3 tanks, securing investment in advanced manufacturing techniques and supporting skilled jobs at Cook’s County Durham site. 
[...]
The agreement comes ahead of Ukrainian Independence Day on Sunday 24 August."</t>
  </si>
  <si>
    <t>"The agreement comes into effect on Ukraine’s Independence Day on 24 August 2025."</t>
  </si>
  <si>
    <t>GB167</t>
  </si>
  <si>
    <t>https://www.gov.uk/government/news/30-by-30-new-funding-to-boost-cadet-force-by-over-40000-by-2030</t>
  </si>
  <si>
    <t>"Under a new ‘30 by 30’ campaign, launched today, the Government is expanding cadet opportunities for a new generation of young people – boosting cadet forces by 30% by 2030 – backed by £70 million of new investment."</t>
  </si>
  <si>
    <t>GB168</t>
  </si>
  <si>
    <t>Anti-aircraft surface-to-air missile (SAM) system</t>
  </si>
  <si>
    <t>https://www.gov.uk/government/news/uk-jobs-and-air-defences-boost-with-purchase-of-new-missile-launchers</t>
  </si>
  <si>
    <t>https://des.mod.uk/des-secures-118m-contract-to-deliver-six-new-land-ceptor-missile-systems-strengthening-uk-air-defence/?portfolioCats=78%2C735%2C69%2C734</t>
  </si>
  <si>
    <t>"Britain’s air defences are to be strengthened with the purchase of six new surface-to-air Land Ceptor missile systems, the Ministry of Defence has announced today (Friday 22 August). The £118 million purchase will secure jobs and growth"</t>
  </si>
  <si>
    <t>"The three-year contract will deliver not only the six MRAD (Medium Range Air Defence) Land Ceptor launchers but also a suite of supporting equipment, including 12 fire unit support vehicles for ammunition, eight vehicles for baggage, and eight threat evaluation and weapon assignment systems. Additionally, the contract includes resources for spares to support the Land Ceptor and the wider Sky Sabre system of systems."</t>
  </si>
  <si>
    <t>GB168_a</t>
  </si>
  <si>
    <t>Land Ceptor air defence system</t>
  </si>
  <si>
    <t>GB168_b</t>
  </si>
  <si>
    <t>Fire unit support vehicle for Land Ceptor</t>
  </si>
  <si>
    <t>GB168_c</t>
  </si>
  <si>
    <t>Baggage vehicle for Land Ceptor</t>
  </si>
  <si>
    <t>GB168_d</t>
  </si>
  <si>
    <t>Threat evaluation and weapon assignment system for Land Ceptor</t>
  </si>
  <si>
    <t>Fire Control Systems, Complete</t>
  </si>
  <si>
    <t>GB168_e</t>
  </si>
  <si>
    <t>Land Ceptor air defence system spare parts</t>
  </si>
  <si>
    <t>GB169</t>
  </si>
  <si>
    <t>Defence Technical Excellence College</t>
  </si>
  <si>
    <t>United kingdom</t>
  </si>
  <si>
    <t>https://www.gov.uk/government/news/major-skills-boost-at-the-heart-of-transformative-new-defence-industrial-strategy</t>
  </si>
  <si>
    <t>"£182 million boost for defence talent pipeline, delivering on economic growth through the Plan for Change. In-demand defence technical skills to be boosted through five Defence Technical Excellence Colleges, offering new opportunities into defence jobs."</t>
  </si>
  <si>
    <t>£182 million of which £102 million to colleges and £80 million to bolster 'short courses'</t>
  </si>
  <si>
    <t>GB170</t>
  </si>
  <si>
    <t>Project OCTOPUS air defence interceptor drone</t>
  </si>
  <si>
    <t>Ukrspecsystems</t>
  </si>
  <si>
    <t>https://www.gov.uk/government/news/groundbreaking-ukraine-tech-sharing-agreement-to-deliver-drones-and-support-jobs</t>
  </si>
  <si>
    <t>https://www.edrmagazine.eu/dsei-2025-the-uk-to-manufacture-ukraine-drones-under-project-octopus</t>
  </si>
  <si>
    <t>"The first joint project, to be announced at the DSEI trade show in London tomorrow (Thursday), is an advanced new air defence interceptor drone, named Project OCTOPUS, which will be mass produced in the UK, with a target to produce thousands per month to provide to Ukraine to support its ongoing fight for freedom against Putin’s illegal full-scale invasion."</t>
  </si>
  <si>
    <t>"The drone developed under Project Octopus, was designed by Ukraine’s largest drone manufacturer, Ukrspecsystems with support from UK scientists and technicians and has already proved successful on the battlefield, proving highly effective against the Shahed one-way attack drone variants used by Russia despite costing less than 10% to produce than the drones they are designed to intercept.
The drones which will be used by the Ukrainian military are due to be built as part of a £ 200 million investment by the British government. A new company has been formed, Ukrspecsystems UK managed by Rory Chamberlain; it will build an 11,000 m² factory in Mildenhall in eastern England, along with a testing and training facility established at Elmsett Airfield about 70 km away near Ipswich, creating hundreds of jobs and apprenticeships."</t>
  </si>
  <si>
    <t>GB171</t>
  </si>
  <si>
    <t>Google Cloud</t>
  </si>
  <si>
    <t>Google</t>
  </si>
  <si>
    <t>https://www.gov.uk/government/news/security-delivered-for-working-people-as-uk-us-ties-strengthened-with-new-google-cloud-partnership-for-classified-information-sharing</t>
  </si>
  <si>
    <t>"The Ministry of Defence helped secure the £400 million contract, which will strengthen secure communication links between the UK and US, in addition to the extensive intelligence and security partnership our two countries already share."</t>
  </si>
  <si>
    <t>GB172</t>
  </si>
  <si>
    <t>L111A1 Heavy Machine Gun upgrade and support contract</t>
  </si>
  <si>
    <t>FN UK</t>
  </si>
  <si>
    <t>FN</t>
  </si>
  <si>
    <t>https://des.mod.uk/des-awards-fn-uk-20m-contract-to-upgrade-uk-armed-forces-heavy-machine-gun/?portfolioCats=78%2C735%2C69%2C734</t>
  </si>
  <si>
    <t>"A new 10-year contract worth £20m to upgrade and provide through-life support for the UK Armed Forces’ L111A1 Heavy Machine Gun will create 10 new jobs in the UK whilst sustaining 80 existing positions.
Defence Equipment &amp; Support, the procurement arm of the UK MOD, through its Dismounted Close Combat Portfolio team, has awarded the contract to FN UK, the only manufacturer and assembler of machine guns in the UK.
The contract will see FN UK undertake a comprehensive mid-life improvement programme for the weapon system over two years, followed by eight years of in-service support. All upgrade work will be carried out at FN UK’s manufacturing facility in Kent."</t>
  </si>
  <si>
    <t>GB173</t>
  </si>
  <si>
    <t>Defence Equiptment Engineering Asset Management System</t>
  </si>
  <si>
    <t>IBM UK</t>
  </si>
  <si>
    <t>IBM</t>
  </si>
  <si>
    <t>https://www.gov.uk/government/news/boost-to-jobs-and-military-capability-with-new-defence-equipment-system</t>
  </si>
  <si>
    <t>https://des.mod.uk/boost-to-jobs-and-military-capability-with-new-defence-equipment-system/?portfolioCats=78%2C735%2C69%2C734</t>
  </si>
  <si>
    <t>"The £320 million contract with IBM UK for the Defence Equipment Engineering Asset Management Systems (DEEAMS) will create 100 new highly-skilled jobs in the UK, making defence an engine for growth and delivering on the Government’s Plan for Change."</t>
  </si>
  <si>
    <t>GB174</t>
  </si>
  <si>
    <t>Serco</t>
  </si>
  <si>
    <t>https://des.mod.uk/des-awards-serco-contract-to-overhaul-typhoon-aircraft-engines</t>
  </si>
  <si>
    <t>"Royal Air Force (RAF) Typhoon aircraft will continue to receive mission-essential EJ200 engine support following a new five-year maintenance contract awarded to Serco. The £7.8 million deal will ensure Serco delivers maintenance and logistics services for EJ200 engines, which power the RAF’s Typhoon aircraft."</t>
  </si>
  <si>
    <t>GB175</t>
  </si>
  <si>
    <t>Large amphibious bridging vehicle</t>
  </si>
  <si>
    <t>https://www.gov.uk/government/news/boost-for-british-armed-forces-as-uk-and-germany-sign-major-contract-for-next-generation-bridging-equipment</t>
  </si>
  <si>
    <t>https://des.mod.uk/boost-for-british-armed-forces-as-uk-and-germany-sign-major-contract-for-next-gen-bridging-equipment/?portfolioCats=78%2C735%2C69%2C734</t>
  </si>
  <si>
    <t>"UK investing £200 million in new bridge and ferrying capability, with plans to also export a Stockport-built bridging system to Germany."</t>
  </si>
  <si>
    <t>GB176</t>
  </si>
  <si>
    <t>DragonFire Laser system</t>
  </si>
  <si>
    <t>MBDA UK</t>
  </si>
  <si>
    <t>https://www.gov.uk/government/news/boost-for-armed-forces-as-new-laser-weapon-takes-down-high-speed-drones</t>
  </si>
  <si>
    <t>https://des.mod.uk/boost-for-armed-forces-as-new-laser-weapon-takes-down-high-speed-drones/?portfolioCats=78%2C735%2C69%2C734</t>
  </si>
  <si>
    <t>"Britain’s ground-breaking DragonFire laser has shot down high-speed drones in new trials, as a £316 million contract is awarded to MBDA deliver new systems to the Royal Navy from 2027. "</t>
  </si>
  <si>
    <t>GB177</t>
  </si>
  <si>
    <t>Mobile brain scanner development</t>
  </si>
  <si>
    <t>Cerca Magnetics</t>
  </si>
  <si>
    <t>https://www.gov.uk/government/news/worlds-first-mobile-quantum-brain-scanner-being-developed-to-measure-blast-effects-on-troops</t>
  </si>
  <si>
    <t>"Government provides £3.1m for transformational tech which will assess how blast exposure from weapons training affects the brain to better protect personnel."</t>
  </si>
  <si>
    <t>GB178</t>
  </si>
  <si>
    <t>Drone (unspecified) development</t>
  </si>
  <si>
    <t>https://www.gov.uk/government/news/rapid-140-million-boost-for-drone-and-counter-drone-tech-from-newly-formed-uk-defence-innovation</t>
  </si>
  <si>
    <t>"UK Defence Innovation (UKDI) – launched earlier this year – will inject over £142 million rapid investment into drones and anti-drone weapons this year, its first year in operation."</t>
  </si>
  <si>
    <t>GB179</t>
  </si>
  <si>
    <t>Counter drone technology development</t>
  </si>
  <si>
    <t>GB180</t>
  </si>
  <si>
    <t>H145 helicopter support contract</t>
  </si>
  <si>
    <t>Airbus Helicopters UK</t>
  </si>
  <si>
    <t>https://des.mod.uk/two-year-h145-support-and-services-contract-awarded-to-airbus/?portfolioCats=78%2C735%2C69%2C734</t>
  </si>
  <si>
    <t>"Our Armed Forces will be better equipped thanks to a two-year £33.6 million contract we have awarded to Airbus Helicopters (Airbus) in the UK for initial support and service of six H145 helicopters."</t>
  </si>
  <si>
    <t>GB181</t>
  </si>
  <si>
    <t>Gladiator sythentic training environment contract extension</t>
  </si>
  <si>
    <t>https://des.mod.uk/boeing-defence-uk-awarded-16-9m-contract-for-gladiator-synthetic-training-system/?portfolioCats=78%2C735%2C69%2C734</t>
  </si>
  <si>
    <t>"Boeing Defence UK has been awarded a two-year and three-month contract extension, with option to extend by a further three months, worth £16.9 million to continue supporting the Gladiator synthetic training environment."</t>
  </si>
  <si>
    <t>GB182</t>
  </si>
  <si>
    <t>https://www.gov.uk/government/news/uk-and-germany-sign-52m-contract-for-cutting-edge-artillery</t>
  </si>
  <si>
    <t>https://des.mod.uk/uk-and-germany-sign-52m-contract-for-cutting-edge-artillery/?portfolioCats=78%2C735%2C69%2C734</t>
  </si>
  <si>
    <t>"The UK has signed a £52 million contract with Germany for state-of-the-art military artillery."</t>
  </si>
  <si>
    <t>GB183</t>
  </si>
  <si>
    <t>Remote Command Centre for mine hunting</t>
  </si>
  <si>
    <t>TKMS Atlas UK</t>
  </si>
  <si>
    <t>SeeByte</t>
  </si>
  <si>
    <t>https://des.mod.uk/mine-clearing-command-hubs-hybrid-royal-navy-thales/?portfolioCats=78%2C735%2C69%2C734</t>
  </si>
  <si>
    <t>"To tackle the issue of remotely controlling underwater mine detection and neutralising the threat from a safe distance, DE&amp;S has awarded a £10 million contract to Thales UK for Remote Command Centres (RCCs) which will allow personnel to quickly deploy command centres and control autonomous Mine Hunting Systems anywhere in the world."</t>
  </si>
  <si>
    <t>GB184</t>
  </si>
  <si>
    <t>Deployed clinical record system</t>
  </si>
  <si>
    <t>Avenue3</t>
  </si>
  <si>
    <t>https://www.gov.uk/government/news/25-million-contract-to-revolutionise-deployed-military-healthcare</t>
  </si>
  <si>
    <t>"Defence Medical Services awards £2.5 million contract to Avenue3 for Project Mercury, enabling secure military medical records access worldwide."</t>
  </si>
  <si>
    <t>GB185</t>
  </si>
  <si>
    <t>Project Nightfall tactical ballistic missile development</t>
  </si>
  <si>
    <t>https://www.gov.uk/government/news/uk-to-develop-new-deep-strike-ballistic-missile-for-ukraine</t>
  </si>
  <si>
    <t>"“The project aims for three industry teams to each be awarded a £9 million development contract to design, develop and deliver their first three missiles within 12 months for test firings.”"</t>
  </si>
  <si>
    <t>GB186</t>
  </si>
  <si>
    <t>https://www.gov.uk/government/news/britains-fighter-jet-fleet-strengthened-in-205-million-boost-for-british-jobs</t>
  </si>
  <si>
    <t>https://des.mod.uk/typhoon-fleet-strengthened-with-205m-engineering-delivery-partnership-contract/?portfolioCats=78%2C735%2C69%2C734</t>
  </si>
  <si>
    <t>"Awarded to British company QinetiQ, the work will deliver specialist technical and engineering support to the Typhoon fleet over five years. The £205 million contract shows how the MOD is investing in capabilities across the country, underlining how defence is an engine for growth."</t>
  </si>
  <si>
    <t>GB187</t>
  </si>
  <si>
    <t>https://www.gov.uk/government/news/half-a-a-billion-investment-to-upgrade-raf-typhoons-and-secure-1500-british-jobs</t>
  </si>
  <si>
    <t>https://des.mod.uk/state-of-the-art-radar-production-contract-secures-1300-uk-defence-jobs/?portfolioCats=78%2C735%2C69%2C734</t>
  </si>
  <si>
    <t>"DE&amp;S has awarded a £453.5 million contract to BAE Systems, Leonardo UK and Parker Meggitt to manufacture and deliver 40 production standard Eurofighter Common Radar System (ECRS) Mk2 active electronically scanned array (AESA) radars and supporting equipment for RAF Typhoons. They are planned to start being delivered later this decade."</t>
  </si>
  <si>
    <t>GB188</t>
  </si>
  <si>
    <t>The Phoenix Partnership</t>
  </si>
  <si>
    <t>https://www.gov.uk/government/news/new-digital-medical-records-to-speed-up-armed-forces-recruitment</t>
  </si>
  <si>
    <t>"Military records are to be digitised and integrated with the NHS for the first time, in a move which will boost recruitment, improve deployability and transform the experience for recruits and service leavers. The MOD has awarded a £7.8 million contract to Leeds-based software company The Phoenix Partnership for the new tech. By 2027, the new system will help get recruits through the door and into training faster, and ensuring serving personnel are ready when needed."</t>
  </si>
  <si>
    <t>Anti-submarine sonobuoys for Merlin helicopter</t>
  </si>
  <si>
    <t>PL1</t>
  </si>
  <si>
    <t>Poland</t>
  </si>
  <si>
    <t>S-70i Black Hawk Helicopter</t>
  </si>
  <si>
    <t>PLN</t>
  </si>
  <si>
    <t>PZL-Mielec</t>
  </si>
  <si>
    <t>https://www.gov.pl/web/obrona-narodowa/nowe-smiglowce-dla-wojsk-specjalnych</t>
  </si>
  <si>
    <t>https://www.gov.pl/web/obrona-narodowa/black-hawk</t>
  </si>
  <si>
    <t>https://breakingdefense.com/2023/07/poland-announced-plans-to-buy-more-black-hawks-but-how-many-more-will-be-coming/</t>
  </si>
  <si>
    <t>"On Friday, in the Polish Aviation Works in Mielec, in the presence of Prime Minister Mateusz Morawiecki, Mariusz Błaszczak, the head of the Ministry of National Defence, signed a contract for the delivery of four S-70i Black Hawk helicopters to the Polish Army.
The subject of the contract is the delivery of 4 S-70i Black Hawk helicopters to conduct special air operations with a logistics and training package."</t>
  </si>
  <si>
    <t>"The cost of one helicopter with equipment is about 75 million zlotys. The entire amount of the contract is PLN 683.4 million gross with packages: logistics and training and retrofitting. The logistics package includes a stock of spare and operational parts and equipment for ground handling of helicopters. The training package includes comprehensive training of pilots and technical staff. The equipment of the ordered helicopters is classified information.
The delivery dates for helicopters were scheduled for the end of 2019."</t>
  </si>
  <si>
    <t>PL2</t>
  </si>
  <si>
    <t>HOMAR</t>
  </si>
  <si>
    <t>M142 HIMARS launcher</t>
  </si>
  <si>
    <t>USD</t>
  </si>
  <si>
    <t>https://www.gov.pl/web/obrona-narodowa/himars-to-bron-ktora-zapewni-polsce-bezpieczenstwo</t>
  </si>
  <si>
    <t>https://www.gov.pl/web/obrona-narodowa/system-himars</t>
  </si>
  <si>
    <t>https://www.defensenews.com/land/2023/09/11/poland-to-buy-486-himars-launchers-from-lockheed-martin/</t>
  </si>
  <si>
    <t>"The Polish Army will acquire the first divisional fire module of the multi-role rocket launchers of the Himars system. The contract is $414 million net. The purchase was carried out in the Foreign Military Sales formula, i.e. through the conclusion of an agreement between the governments of the Republic of Poland and the United States of America. The agreement was implemented as part of the “Homar” modernization task."</t>
  </si>
  <si>
    <t>"The subject of the contract is the delivery of the first squadron, which will include 18 combat launchers and two for M-142 Himars training, together with a supply of GMLRS and ATACMS missile ammunition and school LCRR. Command vehicles, ammunition vehicles and evacuation tractors will also be provided. The agreement also includes logistical, training and technical support. The first division of the system will be obtained in a configuration as close as possible to those on U.S. equipment.
Deliveries of system elements will be carried out successively until 2023."</t>
  </si>
  <si>
    <t>PL3</t>
  </si>
  <si>
    <t>Modern crypto and IT equipment</t>
  </si>
  <si>
    <t>https://www.gov.pl/web/obrona-narodowa/3-miliardy-zlotych-na-cyberbezpieczenstwo</t>
  </si>
  <si>
    <t>https://www.gov.pl/web/obrona-narodowa/plan-modernizacji-technicznej-mapa-drogowa-rozwoju-wojska-polskiego</t>
  </si>
  <si>
    <t>"“In the technical modernization plan, we put emphasis on the purchase of modern crypto and IT equipment for cyberspace defense troops. Expenditure will amount to PLN 3 billion – said Mariusz Błaszczak, Minister of National Defence during the conference on the plans for the modernization of the Polish Army for the coming years."</t>
  </si>
  <si>
    <t>"On Thursday, in the General Command of the Ministry of Foreign Affairs, Mariusz Błaszczak, the Minister of National Defence, announced the assumptions of the Technical Modernization Plan until 2026, in which the area of cybersecurity was also included, and more precisely the CYBER.MIL program, for which the Ministry of Defence will allocate PLN 3 billion in the coming years.
During the meeting, the Minister stressed that the Ministry of National Defence focuses on the sustainable development of all types of armed forces. The priority programs will concern both the Air Forces, Land Forces, the Navy, the Special Forces, the Territorial Defense Forces and the area of cyberspace.
As part of the operational program from the areas of cybersecurity, the Ministry will acquire national tools and software that will allow to carry out effective operations in cyberspace and equip the Polish Armed Forces with the most modern Polish cryptographic technologies."</t>
  </si>
  <si>
    <t>"In February 2019, Minister Mariusz Błaszczak inaugurated the program of the Ministry of Defence under the name CYBER.MIL.PL, whose aim is to increase the security of the state and citizens in cyberspace. It covers two strategic areas. Firstly, comprehensive support for the process of forming cyberspace defense troops, and secondly, the integration of the cybersecurity environment of the Ministry of National Defense. On the basis of the Cyber Operations Center, the Cyberspace Defense Forces will be formed, which will eventually be transformed into cyberspace defense troops. In the new unit, the number of vacancies will be increased as many as three times. The task of forming troops was entrusted to the newly appointed Plenipotentiary for the creation of cyberspace defense troops.
One of the most important examples of consolidation will be the establishment of the National Centre for Cyberspace Security on the basis of the National Centre for Cryptology and the Inspectorate of Information Technology."</t>
  </si>
  <si>
    <t>PL4</t>
  </si>
  <si>
    <t>WISŁA</t>
  </si>
  <si>
    <t>Offset agreements for Patriot air defence system</t>
  </si>
  <si>
    <t>PGZ S.A.</t>
  </si>
  <si>
    <t>Huta Stalowa Wola</t>
  </si>
  <si>
    <t>https://www.gov.pl/web/obrona-narodowa/offset-podpisany-wzmacniamy-mozliwosci-polskiej-zbrojeniowki</t>
  </si>
  <si>
    <t>https://www.gov.pl/web/obrona-narodowa/system-patriot</t>
  </si>
  <si>
    <t>"On Tuesday, March 26, at Wojskowe Zakłady Elektroniczne S.A. in Zielonka, the head of the Ministry of National Defence participated in the ceremonial signing of offset agreements regarding the implementation of offset obligations as part of the implementation of the first phase of the “Wisła” program. These agreements were signed between the companies of the Polish Armaments Group and Lockheed Martin, and their value is PLN 724,764,000. "</t>
  </si>
  <si>
    <t>"The agreements signed today include 15 offset commitments, which concern primarily the acquisition of the capacity to produce selected elements of PAC-3 MSE missiles, production and servicing of elements of their launcher and raising the level of service of the air fleet of the SZ RP.
The Polish Armaments Group will also set up a laboratory for simulation of missiles. The agreements strengthen the industrial partnership of the Polish Armaments Group and Lockheed Martin in the supply of modern weapons to the Polish Arms. "</t>
  </si>
  <si>
    <t>PL5</t>
  </si>
  <si>
    <t>Offset agreements for AW101 helicopter</t>
  </si>
  <si>
    <t>Leonardo MW</t>
  </si>
  <si>
    <t>Wojskowe Zakłady Lotnicze Nr 1 S.A.</t>
  </si>
  <si>
    <t>https://www.gov.pl/web/obrona-narodowa/offset-podpisany-powstanie-centrum-serwisowe-dla-smiglowcow-do-zwalczania-okretow-podwodnych</t>
  </si>
  <si>
    <t>"“We have just signed an offset agreement with Leonardo, which precedes the main agreement regarding the purchase by the Polish government, for the needs of the Polish Navy, helicopters for combating submarines and conducting search and rescue operations,” said Mariusz Błaszczak, Minister of National Defence, commenting on the current offset agreement to obtain helicopters for the Polish military."</t>
  </si>
  <si>
    <t>"Monday, April 8th. Marek Lapinski, Secretary of State in the Ministry of National Defence, signed offset agreements related to the acquisition by the Polish Armed Forces of helicopters for combating submarines (ZOP) equipped with medical equipment allowing to conduct CSAR search and rescue operations. The next step will be to conclude a contract for the delivery of helicopters."</t>
  </si>
  <si>
    <t>"“We will sign the main agreement later this month, in April this year. I am very happy that after the agreement signed in Mielec for the purchase of helicopters for the Special Forces we have prepared and negotiated another contract. This time it will be signed in Świdnik. It will be an agreement on helicopters for the Polish Navy, so we are proceeding in such a way that contracts for equipment are concluded with companies that produce in Poland – said the head of the Ministry of National Defence.
The main offset recipient, in accordance with the agreement concluded between the State Treasury of the Republic of Poland represented by the Minister of National Defence and Leonardo MW Ltd., are Wojskowe Zakłady Lotnicze Nr 1 S.A. and the Centre for Maritime Military Technologies of the Gdańsk University of Technology. The value of the technology transfer is PLN 395,882,751 and includes 9 offset liabilities. The most important of them will be the creation of a licensed Sliced Exploitation Support Centre in WZL-1, where full technical service, services and repairs of new machines will be carried out. The agreement will also ensure that Leonardo has continued its technical assistance for 10 years.
“The offset agreement concerns the creation of a service center in Lodz, which will handle the service of helicopters for combating submarines and will enable activities related to research and development for the Gdańsk University of Technology,” said the head of the Ministry of National Defence.
The agreement will also allow offsets to perform complete technical handling activities of purchased helicopters by offsets and obtaining technologies and know-how related to technical service."</t>
  </si>
  <si>
    <t>PL6</t>
  </si>
  <si>
    <t>AW101 helicopter</t>
  </si>
  <si>
    <t>PZL-Swidnik</t>
  </si>
  <si>
    <t>https://www.gov.pl/web/obrona-narodowa/nowe-smiglowce-dla-marynarki-wojennej2</t>
  </si>
  <si>
    <t>https://www.gov.pl/web/obrona-narodowa/smiglowce-aw101-dla-marynarki-wojennej-rp</t>
  </si>
  <si>
    <t>https://www.defensenews.com/global/europe/2019/04/29/poland-acquires-aw101-helos-for-navy-under-430m-deal/</t>
  </si>
  <si>
    <t>"The value of the contract is PLN 1.65 billion gross, and the delivery dates of helicopters were set by the end of 2022.
At the beginning of April, the Ministry of Internal Affairs signed an offset agreement worth almost PLN 400 million, which was a condition for the conclusion of a main contract for the delivery of machines."</t>
  </si>
  <si>
    <t>"The agreement concerns the delivery of four AW101 helicopters intended for combating submarines (ZOP) additionally equipped with medical equipment allowing for CSAR missions - combat search and rescue. The agreement was concluded with the Communication Equipment Factory “PZL-Świdnik” S.A., which delivered helicopters to the Polish Army together with a logistics and training package.
The logistics package includes a stock of spare and operational parts and equipment for ground handling of helicopters. The training package includes comprehensive training of pilots and technical staff.
The new helicopters are adapted to carry out the anti-submarine missions, ensure the navigability of maritime communication routes, port protection and surface area protection. Helicopters have the ability to conduct CSAR combat search and rescue operations."</t>
  </si>
  <si>
    <t>"As part of efforts to replace Soviet-designed copters with new aircraft, the Polish Ministry of Defence has signed a deal to acquire four AW101 helos from Leonardo for the country’s Navy.
The deal is worth some 1.65 billion zloty (US $430 million), and the aircraft are scheduled to be delivered to Poland by the end of 2022, the ministry said in a statement.
The contract was inked April 26 at the European group’s Polish subsidiary PZL Swidnik. Leonardo was the only bidder in the tender to supply the copters after Airbus Helicopters decided to pull out of the contest last December."</t>
  </si>
  <si>
    <t>PL7</t>
  </si>
  <si>
    <t>JELCZ vehicle (assorted types)</t>
  </si>
  <si>
    <t>Jelcz</t>
  </si>
  <si>
    <t>https://www.gov.pl/web/obrona-narodowa/umowa-na-dostawe-pojazdow-dla-komponentow-specjalnych-systemu-wisla-podpisana</t>
  </si>
  <si>
    <t>"73 Jelcz vehicles, together with the logistics and training package, will be delivered to the special components of the WIS-A system. The value of the contract signed today by the Uzbrojenia Inspectorate with Jelcz Sp. z o.o. for the delivery in 2019 - 2022 of vehicles is PLN 170,908,438 gross."</t>
  </si>
  <si>
    <t>"The contract applies to the delivery of Jelcz vehicles in 6 versions:
- tractor unit CSS 8x8,
- tractor IFCN 4x4,
- transporter TS EPP,
- transporter TS LRPT,
- the TS EOC transporter,
- TS DOW transporter, on which Polish components of the command and communication system will be built.
These vehicles will replace the cars of the US company Oshkosh, as standard, used in the IBCS/PATRIOT system.
As part of the agreement, the Contractor will also create a potential for state security (PIBP), according to which the manufacturer will provide support for the operation of vehicles in crisis situations."</t>
  </si>
  <si>
    <t>"The “ISISA” system will be one of the main elements forming the country’s Air Defense system.
Its main task will be to combat short-range tactical ballistic missiles (including maneuvering), cruise missiles and piloted air raid measures over the entire range of speed and flight altitude, used by tactical aviation, as well as combating pilotless aircraft.
The system will monitor the airspace 24 hours a day, independently recognize the threat, e.g. a rocket or an enemy aircraft, and will be able to neutralize it within a few seconds. It will allow the Armed Forces of the Republic of Poland to achieve operational capacity to provide cover for important facilities, administrative and economic centers, troops in operational areas to develop and during the combined defense operation, in the national and allied system."</t>
  </si>
  <si>
    <t>PL8</t>
  </si>
  <si>
    <t>S-34C Spycharko loader</t>
  </si>
  <si>
    <t>Huta Stalowa Wola </t>
  </si>
  <si>
    <t>https://www.gov.pl/web/obrona-narodowa/nowe-spycharko-ladowarki-trafia-do-wojska-polskiego</t>
  </si>
  <si>
    <t>"34 spycharko loaders S-34C, used, among others, during the removal of the effects of floods and storms will be found on the equipment of the Polish Army. The contract for the delivery of new equipment was signed on July 11. Armament Inspectorate of the Ministry of National Defence with Huta Stalowa Wola S.A."</t>
  </si>
  <si>
    <t>"This engineering equipment produced by the Polish armaments industry is used by soldiers during crisis situations, e.g. during the removal of floods and storms. The subject of the contract is the delivery of 34 sets of Spycharka-loaders S-34C, half of which falls on the guaranteed part, and another 17 sets were provided for by the right of option.
The value of the contract amounts to PLN 53.67 million gross, of which the amount for the guaranteed order is PLN 26.83 million. The optional order accounts for another PLN 26.83 million. Delivery times have been set for 2020-21. "</t>
  </si>
  <si>
    <t>"Spycharko-loaders are used for loading and transporting equipment at close ranges, pushing and breaking the ground, leveling the area, excavating excavators, transporting tree trunks and building blanks for small distances, innding the trunks of felled trees and performing other engineering work."</t>
  </si>
  <si>
    <t>PL9</t>
  </si>
  <si>
    <t>T-72 tank (retrofit)</t>
  </si>
  <si>
    <t>PGZ Bumar-Labedy</t>
  </si>
  <si>
    <t>https://www.gov.pl/web/obrona-narodowa/czolgi-t-72-beda-nowoczesniejsze</t>
  </si>
  <si>
    <t>"On Monday, July 22, in the Mechanical Works "BUMAR - LABEDY" S.A. in Gliwice, with the participation of the head of the Ministry of National Defence and Mateusz Morawiecki, the Prime Minister, the ceremony of signing the contract for the renovation and modernization of T-72 tanks took place.
- We modernize, we modify this equipment, which is available in the Polish Army. Thanks to the renovation, the tanks will be equipped with modern sights, navigation, observation, as well as modern digital communication. There will also be a thorough overhaul of these tanks, said the head of the Ministry of National Defence."</t>
  </si>
  <si>
    <t>"The agreement worth PLN 1.75 billion provides for the implementation of repair and modernization of tanks by the domestic armaments industry in 2019-2025.
The head of the defense ministry also stressed that the contract signed today will allow the preservation of jobs in the "Bumar-Labędy" plants."</t>
  </si>
  <si>
    <t>PL10</t>
  </si>
  <si>
    <t>NSM Rocket Production and Guard Centre investment</t>
  </si>
  <si>
    <t>WZE Zielonka</t>
  </si>
  <si>
    <t>https://www.gov.pl/web/obrona-narodowa/impuls-rozwojowy-dla-polskiego-przemyslu-zbrojeniowego</t>
  </si>
  <si>
    <t>"“Today we have built a time capsule for investment, which will culminate in the Production and Service Centre. The center will be designed for the production and service of rockets, both rockets, which are used by the Morgotian Unit and the missiles that will be used in the Patriot system. So here, in the area of the Volomin district already to existing jobs, over time more will come. This is undoubtedly a development impulse for the Wołomno district, it is a development impulse for the Polish armaments industry, this is also a development impulse for the Polish Army. I am very happy that the missiles will no longer be certified and serviced abroad only here in the Military Electronic Works – said the head of the Ministry of National Defence."</t>
  </si>
  <si>
    <t>"Centrum is a new investment of PGZ S.A. related to the offset project carried out in WZE S.A. in Zielonka by the manufacturer of NSM systems. Naval Strike Missile (NSM) is a fifth-generation anti-ship anti-ship, precision maneuvering missile. The offset project assumes the ability to carry out the certification and recertification of rockets after June 2020. WZE S.A. is a beneficiary of two offset agreements with the Norwegian company Kongsberg. As part of the implementation of the first contract, the NSM System Service Support and Management Support and Management Center was built and launched. The second offset agreement assumed the creation of infrastructure for the so-called mid-life upgrade (MLU) and the re-certification of NSM missiles, which are equipped with the Maritime Missile Unit."</t>
  </si>
  <si>
    <t>PL11</t>
  </si>
  <si>
    <t>Artillery ammunition vehicle AWA</t>
  </si>
  <si>
    <t>https://www.gov.pl/web/obrona-narodowa/silny-przemysl-zbrojeniowy-to-silna-i-bezpieczna-polska</t>
  </si>
  <si>
    <t>"On August 13, at Huta Stalowa Wola, the Minister of National Defense took part in the ceremony of signing a contract for the delivery of 24 Artillery Ammunition Vehicles for the company's 120 mm self-propelled mortar fire modules "Rak". The contract signed between HSW SA and the Armament Inspectorate provides for deliveries in 2019-2020."</t>
  </si>
  <si>
    <t>PL12</t>
  </si>
  <si>
    <t>Modernisation of W-3 helicopters including SAR equipment</t>
  </si>
  <si>
    <t>PZL-Świdnik</t>
  </si>
  <si>
    <t>https://www.gov.pl/web/obrona-narodowa/modernizacja-smiglowcow-w-3-wraz-z-doposazeniem-sar</t>
  </si>
  <si>
    <t>"The W-3 helicopters will be equipped with, among other things, rescue and medical equipment designed to lift victims from the crash site. This is the result of a contract signed today for the modernization of 4 helicopters to the W-3WA SAR version, along with the transfer of a logistics package. The contract with the Communication Equipment Factory "PZL-Świdnik" SA was concluded by the Armament Inspectorate. According to the contract, the delivery dates of the modernized helicopters have been set for 2021-2022."</t>
  </si>
  <si>
    <t xml:space="preserve">"The ceremony of signing the agreement was attended by Marek Łapiński, Secretary of State in the Ministry of National Defense. The Deputy Minister emphasized that this is another agreement concluded with the company in Świdnik and certainly not the last. He also thanked all those involved in preparing the agreement signed today, the value of which is PLN 99.5 million gross."
</t>
  </si>
  <si>
    <t>PL13</t>
  </si>
  <si>
    <t>122mm Feniks extended range rocket</t>
  </si>
  <si>
    <t>MESKO SA</t>
  </si>
  <si>
    <t>https://www.gov.pl/web/obrona-narodowa/nowe-pociski-rakietowe-dla-wojska-polskiego</t>
  </si>
  <si>
    <t>"- These missiles have a range almost twice as long as those used so far. Thanks to this process, which we are inaugurating today, the capabilities of the Polish Army will be strengthened. This is the first stage. This is the initial stage of orders directed to MESKO regarding equipping the Polish Army with these missiles. (...) This year, PLN 6.851 billion is the value of contracts placed by the Ministry of National Defense agencies in the Polish arms industry - informed Mariusz Błaszczak, Minister of National Defense during the ceremony of signing the contract for the supply of missiles for the Polish Army.
"</t>
  </si>
  <si>
    <t>"The agreement signed on Thursday, September 19 between MESKO SA and the Ministry of National Defense, worth nearly PLN 25 million, provides for the purchase of 820 "Feniks" extended range missiles. The missiles will be used in the WR-40 "Langusta", RM-70 and BM-21 launchers used by the Polish Army."</t>
  </si>
  <si>
    <t>PL14</t>
  </si>
  <si>
    <t>Small Arms and Light Weapons (SALW)</t>
  </si>
  <si>
    <t>Radom arms factory</t>
  </si>
  <si>
    <t>https://www.gov.pl/web/obrona-narodowa/wiecej-karabinkow-grot-i-pistoletow-vis-dla-wojska-polskiego</t>
  </si>
  <si>
    <t>" The Polish Army has ordered 18,000 GROT rifles and 2,000 VIS 100 pistols from the Arms Factory in Radom. This means that by 2022, every third soldier of the Polish Army will be equipped with the most modern Polish-made GROT rifle - said Mariusz Błaszczak, Minister of National Defense in Radom."</t>
  </si>
  <si>
    <t>PL14_a</t>
  </si>
  <si>
    <t>GROT rifle</t>
  </si>
  <si>
    <t>PL14_b</t>
  </si>
  <si>
    <t>VIS 100 pistol</t>
  </si>
  <si>
    <t>PL15</t>
  </si>
  <si>
    <t>120mm mobile mortar system</t>
  </si>
  <si>
    <t>Artillery</t>
  </si>
  <si>
    <t>Huta Stalowa Wola SA</t>
  </si>
  <si>
    <t>Zakłady Rosomak SA</t>
  </si>
  <si>
    <t>https://www.gov.pl/web/obrona-narodowa/kolejne-mozdzierze-rak-trafia-do-wojska-polskiego</t>
  </si>
  <si>
    <t>"The value of the contract between the Armament Inspectorate and the consortium created by Huta Stalowa Wola SA and Zakłady Rosomak SA amounts to PLN 275.5 million gross. The subject of the contract is the delivery of 16 self-propelled wheeled mortars RAK and 8 artillery command vehicles on the KTO Rosomak chassis for two company fire modules, as well as 2 self-propelled wheeled mortars Rak for training at the Artillery and Armament Training Center in Toruń."</t>
  </si>
  <si>
    <t>PL15_a</t>
  </si>
  <si>
    <t>Rak self-propelled wheeled mortar</t>
  </si>
  <si>
    <t>PL15_b</t>
  </si>
  <si>
    <t>Artillery command vehicle, KTO Rossomak chassis</t>
  </si>
  <si>
    <t>PL16</t>
  </si>
  <si>
    <t>Modern night vision goggles</t>
  </si>
  <si>
    <t>PCO SA</t>
  </si>
  <si>
    <t>https://www.gov.pl/web/obrona-narodowa/nowoczesne-gogle-noktowizyjne-dla-wojska-polskiego</t>
  </si>
  <si>
    <t>The contract signed on Thursday, October 24 between PCO SA and the Armament Inspectorate provides for the delivery of 128 sets of MU-3 night vision goggles, 554 sets of MU-3AM night vision goggles and 655 sets of MU-3ADM night vision goggles for the needs of the Polish Army. </t>
  </si>
  <si>
    <t>PL17</t>
  </si>
  <si>
    <t>Gunpowder manufacturing capacity</t>
  </si>
  <si>
    <t>Surface Use Explosive Ordnance Disposal Tools and Equipment</t>
  </si>
  <si>
    <t>Mesko SA</t>
  </si>
  <si>
    <t>https://www.gov.pl/web/obrona-narodowa/produkcja-prochu-wraca-do-zakladow-w-pionkach2</t>
  </si>
  <si>
    <t>The agreement signed between the State Treasury and PGZ SA concerns the increase in the company's capital and the allocation of additional funds for investments carried out by the subsidiary, i.e. Mesko SA in the plants in Pionki and Skarżysko-Kamienna. The funds obtained in this way will be used to implement projects related to the production of gunpowder, ammunition and rockets in the years 2019-2022. The total investment will amount to over PLN 430 million (they did not disclose the specific amount to the public).</t>
  </si>
  <si>
    <t>PL18</t>
  </si>
  <si>
    <t>https://www.gov.pl/web/obrona-narodowa/f-35-dla-polski</t>
  </si>
  <si>
    <t>"On January 31 this year in Dęblin, the head of the Ministry of National Defense signed an agreement for the purchase of 32 multi-role fifth-generation F-35 aircraft for the Air Force. The value of the agreement is USD 4.6 billion. Its subject is the delivery of 32 F-35A aircraft along with a training and logistics package."</t>
  </si>
  <si>
    <t>"What are the elements of the Polish order for F-35 aircraft?
The subject of the contract is the delivery of 32 F-35A aircraft with a logistics and training package. The logistics package includes a stock of spare and operational parts, an IT system for operational management and equipment for the operation of ground aircraft. As part of the agreement, full logistical support for aircraft and other equipment will be provided by 2030. The training package includes comprehensive training of pilots and technical personnel and a ground training system, including the Integrated Training Centre and 8 flight simulators.
What is the cost of the order?
The value of the LOA (Letter of Offer and Acceptance) agreement is 4.6 billion. The USD.
What is the unit price of an F-35 aircraft obtained under this agreement?
The unit price of the F-35A aircraft (including engine) is USD 87.3 million net. "</t>
  </si>
  <si>
    <t>PL19</t>
  </si>
  <si>
    <t>Rosomak SA</t>
  </si>
  <si>
    <t>https://www.gov.pl/web/obrona-narodowa/kolejne-mozdzierze-rak-dla-wojska-polskiego</t>
  </si>
  <si>
    <t xml:space="preserve">On Friday, May 22 in Giżycko, on the premises of the 15th Mechanized Brigade, the head of the Ministry of National Defense participated in the signing of a contract for the delivery of 40 units of 120 mm self-propelled wheeled mortars RAK and 20 units of artillery command vehicles. The delivery of equipment in the years 2022-2024 will be provided by the consortium of Huta Stalowa Wola SA and ROSOMAK SA
</t>
  </si>
  <si>
    <t>"The total value of the contract for the purchase of the Rak mortars is PLN 703.1 million."</t>
  </si>
  <si>
    <t>PL19_a</t>
  </si>
  <si>
    <t>PL19_b</t>
  </si>
  <si>
    <t>PL20</t>
  </si>
  <si>
    <t>Fabryka Broni "Łucznik</t>
  </si>
  <si>
    <t>https://www.gov.pl/web/obrona-narodowa/kolejne-18-tysiecy-karabinkow-msbs-grot-dla-wojska-polskiego</t>
  </si>
  <si>
    <t>According to the agreement, the Polish Armed Forces will receive another 18,000 MSBS GROT rifles. The weapon will be delivered to all branches of the military. Deliveries will take place in 2020-26. The value of the agreement signed today with the Polish arms company - Fabryka Broni "Łucznik" amounts to over PLN 177 million. This means that after the implementation of previous agreements for the delivery of 50,000 MSBS Grot rifles, the army will have almost 70,000 of these weapons.</t>
  </si>
  <si>
    <t>PL21</t>
  </si>
  <si>
    <t>Rosomak personnel carrier</t>
  </si>
  <si>
    <t>https://www.gov.pl/web/obrona-narodowa/wojsko-otrzyma-nowe-rosomaki-i-tysiace-sztuk-amunicji</t>
  </si>
  <si>
    <t>"The contracts signed with the companies Mesko SA and Rosomak SA concern the delivery of Rosomaks-S APCs to the Polish Army, adapted to transport crews of Spike anti-tank missile sets and missiles for Dana gun-howitzers, missiles for guns and missiles for Gvozdika howitzers."</t>
  </si>
  <si>
    <t>"– The Polish Army will receive ammunition for cannons, gun-howitzers and howitzers. I want to emphasize that last year, over 60% of the orders of the Ministry of National Defense were directed to the Polish arms industry, and in absolute numbers this amounts to PLN 6.8 billion, which is practically doubling the size of orders from years ago – said Minister Mariusz Błaszczak after signing contracts for the supply of equipment for the army."</t>
  </si>
  <si>
    <t>PL22</t>
  </si>
  <si>
    <t>PL23</t>
  </si>
  <si>
    <t>Ambulance vehicle</t>
  </si>
  <si>
    <t>Iveco</t>
  </si>
  <si>
    <t>https://www.gov.pl/web/obrona-narodowa/nowe-samochody-sanitarne-dla-sil-zbrojnych-rp</t>
  </si>
  <si>
    <t>"The subject of the agreement, within the guaranteed part, is the delivery of 175 multi-stretcher ambulance vehicles for the Polish Armed Forces. The order includes, among others, user training, transfer of technical documentation and repair and maintenance of vehicles during the warranty period. The agreement also includes an option right enabling the increase of the order by additional vehicles, up to 202 units. The value of the guaranteed part of the order is PLN 166 million gross."</t>
  </si>
  <si>
    <t>PL24</t>
  </si>
  <si>
    <t>Road transport vehicle</t>
  </si>
  <si>
    <t>Ford</t>
  </si>
  <si>
    <t>https://www.gov.pl/web/obrona-narodowa/nowe-pojazdy-dla-wojska</t>
  </si>
  <si>
    <t>"Today's handover of the vehicles is the first part of deliveries resulting from the agreement signed on March 31, which provides for the delivery of a total of 648 trucks and passenger cars. "</t>
  </si>
  <si>
    <t>PL25</t>
  </si>
  <si>
    <t>RAK-HE-1 mortar ammunition</t>
  </si>
  <si>
    <t>PGZ</t>
  </si>
  <si>
    <t>https://www.gov.pl/web/obrona-narodowa/wzmocnienie-wspolpracy-mon-z-polskim-przemyslem-zbrojeniowym2</t>
  </si>
  <si>
    <t>"The RAK-HE-1 mortar ammunition is designed to hit unarmored targets and enemy field fortifications. Deliveries are planned for 2022-2024. The total value of the contract will exceed PLN 256 million."</t>
  </si>
  <si>
    <t>"In the presence of the Minister of National Defense, contracts were also signed for the supply of ammunition for Rak self-propelled mortars and rocket missiles used in WR-40 Langusta, RM-70 and BM-21 launchers to the Polish Army. The signed contracts provide for the supply of over 23 thousand pieces of mortar ammunition and over 2.3 thousand pieces of rocket missiles for the needs of the rocket forces - artillery."</t>
  </si>
  <si>
    <t>PL26</t>
  </si>
  <si>
    <t>M-21 FHD missile</t>
  </si>
  <si>
    <t>"The M-21 FHD missiles are designed to carry high-explosive fragmentation warheads. Thanks to the use of modern fuel, the missiles have twice the range of previously used ammunition of this type. Deliveries will be completed by the end of 2023. The total value of the contract will amount to almost PLN 96 million.  "</t>
  </si>
  <si>
    <t>PL27</t>
  </si>
  <si>
    <t>Ammunition and weapon repair vehicle</t>
  </si>
  <si>
    <t>https://www.gov.pl/web/obrona-narodowa/nowe-wozy-amunicyjne-i-wozy-remontu-uzbrojenia</t>
  </si>
  <si>
    <t>"On May 22, at Huta Stalowa Wola, the head of the Ministry of National Defense took part in the ceremony of signing a contract for the delivery of 21 Artillery Ammunition Vehicles and 7 Artillery Armament Repair Vehicles along with a training package. Deliveries will be made in 2022-2024."</t>
  </si>
  <si>
    <t>PL28</t>
  </si>
  <si>
    <t>Bayraktar TB2 drone</t>
  </si>
  <si>
    <t>Bayraktar</t>
  </si>
  <si>
    <t>https://www.gov.pl/web/obrona-narodowa/bezzalogowce-bayraktar-tb2-trafia-do-sil-zbrojnych-rp</t>
  </si>
  <si>
    <t>"The subject of the contract is the delivery of 4 sets of MALE Bayraktar TB2 unmanned aerial systems (UAVs). Each set includes 6 armed Bayraktar TB2 drones. In total, the Polish Armed Forces will receive 24 UAVs. The contract also includes the delivery of, among others, mobile control stations, SAR radars, simulators and a stock of spare parts. The contract also provides for the delivery of laser-guided MAM-L and MAM–C missiles, which will enable the implementation of the full spectrum of tactical tasks in accordance with the operational purpose of the system and training ammunition. The value of one acquired Bayraktar TB2 set was approximately $67 million."</t>
  </si>
  <si>
    <t>PL29</t>
  </si>
  <si>
    <t>M1A2 ABRAMS SEPv3 tank</t>
  </si>
  <si>
    <t>General Dynamics</t>
  </si>
  <si>
    <t>https://www.gov.pl/web/obrona-narodowa/abramsy-dla-polski-wojska-ladowe-zostana-wyposazone-w-250-nowoczesnych-czolgow</t>
  </si>
  <si>
    <t>https://www.gov.pl/web/obrona-narodowa/abramsy-dla-polski--wzmacniamy-potencjal-wojska-polskiego</t>
  </si>
  <si>
    <t>"Poland will acquire 250 third-generation ABRAMS M1A2 SEPv3 tanks. This is the most modern version of the ABRAMS tank in terms of technology, which entered service in 2019-2020."</t>
  </si>
  <si>
    <t>"The agreement provides for the purchase of tanks with accompanying equipment, including 26 M88A2 HERCULES armored personnel carriers and 17 M1074 JOINT ASSAULT BRIDGE accompanying bridges, as well as a training and logistics package and ammunition supplies. Its value is approximately USD 4.75 billion."</t>
  </si>
  <si>
    <t>PL30</t>
  </si>
  <si>
    <t>MIECZNIK</t>
  </si>
  <si>
    <t>Miecznik frigate</t>
  </si>
  <si>
    <t>Remontowa Shipbuilding</t>
  </si>
  <si>
    <t>https://www.gov.pl/web/obrona-narodowa/nowoczesne-fregaty-dla-marynarki-wojennej-</t>
  </si>
  <si>
    <t>https://www.gov.pl/web/obrona-narodowa/miecznik-dla-marynarki-wojennej-rp</t>
  </si>
  <si>
    <t>https://www.navalnews.com/naval-news/2023/12/miecznik-for-eur-3-6-billion-all-frigates-fully-armed/</t>
  </si>
  <si>
    <t>"The program of obtaining new frigate-class ships for the Navy under the code name “Miecznik” is one of the projects of the 2021-35 Technical Modernization Plan. The Navy will receive three frigates equipped with modern radiolocation, artillery and rocket systems. The new frigates will carry out a wide range of tasks in Polish maritime areas and in cooperation with the Allies as part of joint missions, operations and exercises."</t>
  </si>
  <si>
    <t>"The program of obtaining new frigate class ships for the Polish Navy under the code name “Miecznik” is one of the projects of the Technical Modernization Plan 2021-35. The Polish Navy will receive three frigates equipped with modern radio, artillery and rocket systems. The new frigates will carry out a wide range of tasks in Polish maritime areas and in cooperation with the Allies as part of joint missions, operations and exercises."</t>
  </si>
  <si>
    <t>"The launch of the first ship is planned for 2026, and its incorporation into the structures of the Polish Navy for 2029. The finalization of the entire program codenamed MIECZNIK (i.e. the remaining ships of this type - ORP Burza and ORP Huragan) is planned for 2032."</t>
  </si>
  <si>
    <t>Source 3 says that as of December 2023, after the signing of Annex 4, the total value of the project had risen to PLN 14.8 billion gross. This represents an almost doubling of the original expected cost, which was PLN 8 billion. We attribute the original price estimate to this order. See also https://www.gov.pl/web/obrona-narodowa/nowe-fregaty-wzmocnia-marynarke-wojenna-rp</t>
  </si>
  <si>
    <t>PL31</t>
  </si>
  <si>
    <t>NAREW</t>
  </si>
  <si>
    <t>NAREW short-range air defense system</t>
  </si>
  <si>
    <t>https://www.gov.pl/web/obrona-narodowa/wazne-umowy-na-modernizacje-wojska-polskiego-podpisano-w-kielcach</t>
  </si>
  <si>
    <t>"On Tuesday, September 7, the 29th International Defense Industry Exhibition in Kielce was inaugurated, during which the head of the Ministry of National Defense signed one of the most important agreements this year with the PGZ-NAREW Consortium for the purchase of 23 sets of the NAREW short-range air defense system. The agreement was signed in the presence of President Andrzej Duda, the Supreme Commander of the Polish Armed Forces."</t>
  </si>
  <si>
    <t>PL32</t>
  </si>
  <si>
    <t>S-70i Black Hawk helicopter</t>
  </si>
  <si>
    <t>PZL Mielec</t>
  </si>
  <si>
    <t>https://www.gov.pl/web/obrona-narodowa/kolejne-smiglowce-black-hawk-trafia-do-sil-zbrojnych-rp</t>
  </si>
  <si>
    <t>"On Wednesday, December 15, 2021, the head of the Ministry of National Defense approved a contract for the acquisition of S-70i Black Hawk helicopters. The contract concerns the acquisition of four helicopters for conducting special operations along with a logistics and training package. The purchase of another batch of S-70i Black Hawk helicopters is dictated by the need for further development of the Special Forces."</t>
  </si>
  <si>
    <t>PL33</t>
  </si>
  <si>
    <t>WIZJER unmanned aerial system</t>
  </si>
  <si>
    <t>Military Aviation Works</t>
  </si>
  <si>
    <t>Air Force Institute of Technology</t>
  </si>
  <si>
    <t>https://www.gov.pl/web/obrona-narodowa/kolejne-drony-dla-zolnierzy-wojska-polskiego</t>
  </si>
  <si>
    <t>"- This is modern equipment of Polish production. This is equipment that was developed in a Polish company, and the development of this equipment also resulted from gaining experience related to the war that is taking place beyond our eastern border - said Minister Mariusz Błaszczak during a meeting devoted to equipping the Polish Army with modern weapons. On Friday, May 6 this year, the head of the Ministry of National Defense approved a contract for the delivery of 4 battery modules of unmanned search and strike systems GLADIUS along with training and logistics packages. This year, the Polish Army will receive more drones, which will significantly increase the possibilities of conducting operational activities."</t>
  </si>
  <si>
    <t>"As the head of the Ministry of National Defense pointed out, it is important that the mini-class unmanned aerial systems codenamed WIZJER are Polish drones. Their design was developed by the Air Force Institute of Technology, and they will be manufactured by a consortium consisting of the Polish Armaments Group together with the Military Aviation Works in Łódź and Bydgoszcz.
The drone delivery agreement provides that each set includes 4 air platforms with EO/IR electro-optical heads, 1 ground control station set (NSK), 1 ground data terminal (NTD) and 1 portable video terminal (PTV). In total, under the contract worth 174 million gross, the Polish Army will receive one hundred drones along with a logistics and training package. Delivery dates are planned for 2024-2027."</t>
  </si>
  <si>
    <t>PL34</t>
  </si>
  <si>
    <t>GLADIUS unmanned search and strike system</t>
  </si>
  <si>
    <t>WB Electronics S.A.</t>
  </si>
  <si>
    <t>https://www.gov.pl/web/obrona-narodowa/pulki-artylerii-otrzymaja-drony-gladius</t>
  </si>
  <si>
    <t>PL35</t>
  </si>
  <si>
    <t>Man-portable surface-to-air missile system (MANPADS)</t>
  </si>
  <si>
    <t>https://www.gov.pl/web/obrona-narodowa/wojsko-polskie-otrzyma-kolejne-zestawy-piorun</t>
  </si>
  <si>
    <t>https://www.defensenews.com/global/europe/2022/09/08/estonia-joins-poland-in-buying-piorun-anti-aircraft-missiles/</t>
  </si>
  <si>
    <t>""I have just approved an agreement to acquire 3.5 thousand missiles and 600 launch mechanisms of the Piorun anti-aircraft system to equip the Polish Army. We are perfectly aware of the challenges that Poland faces. We know what is happening beyond our eastern border. Ukraine was attacked by Russia. The Polish authorities are drawing conclusions from the war. That is why we are strengthening the Polish armed forces, that is why we are equipping the Polish Army with modern equipment. An example of such modern equipment is the Piorun anti-aircraft system," said Deputy Prime Minister Mariusz Błaszczak during the approval of the agreement for the supply of Piorun anti-aircraft missile systems."</t>
  </si>
  <si>
    <t>"In June, Poland’s Defence Ministry placed an order with Mesko to acquire 600 Piorun gripstocks and 3,500 missiles under a deal worth about 3.5 billion zloty (U.S. $735.8 million). Mesko said deliveries to the Polish military are to begin this year."</t>
  </si>
  <si>
    <t>PL35_a</t>
  </si>
  <si>
    <t>Piorun anti-aircraft missile</t>
  </si>
  <si>
    <t>PL35_b</t>
  </si>
  <si>
    <t>Piorun anti-aircraft missile launcher</t>
  </si>
  <si>
    <t>PL36</t>
  </si>
  <si>
    <t>KORMORAN II class mine destroyer</t>
  </si>
  <si>
    <t>Stocznia Remontowa Shipbuilding S.A.</t>
  </si>
  <si>
    <t>PGZ Stocznia Wojenna Sp.</t>
  </si>
  <si>
    <t>Research and Development Center of Centrum Techniki Morskiej S.A</t>
  </si>
  <si>
    <t>https://www.gov.pl/web/obrona-narodowa/marynarka-wojenna-rp-otrzyma-kolejne-niszczycieli-min-typu-kormoran-ii</t>
  </si>
  <si>
    <t>https://www.navalnews.com/naval-news/2022/06/poland-orders-three-more-kormoran-ii-mcm-vessels/</t>
  </si>
  <si>
    <t>"The contract value was announced as “less than PLN 2.5 billion gross” ($564 million USD) with vessels set to be delivered in 2026 and 2027"</t>
  </si>
  <si>
    <t>PL37</t>
  </si>
  <si>
    <t>AW149 helicopter</t>
  </si>
  <si>
    <t>PZL Świdnik</t>
  </si>
  <si>
    <t>https://www.gov.pl/web/obrona-narodowa/32-nowoczesnych-smiglowcow-aw149-dla-lotnictwa-wojsk-ladowych</t>
  </si>
  <si>
    <t>"The Deputy Prime Minister announced that the contract for the purchase of 32 AW 149 helicopters amounts to PLN 8.25 billion. Deliveries of the helicopters will be completed in 2023-2029."</t>
  </si>
  <si>
    <t>PL38</t>
  </si>
  <si>
    <t>Integrated turret system for Rosomak personnel carrier</t>
  </si>
  <si>
    <t>Rosomak S.A.</t>
  </si>
  <si>
    <t>https://www.gov.pl/web/obrona-narodowa/huta-stalowa-wola-dostarczy-wojsku-nowoczesne-systemy-wiezowe-zintegrowane-z-transporterami-rosomak</t>
  </si>
  <si>
    <t>"- I often talk to soldiers who say that the weapons produced here are high-quality weapons. This is a turret that was designed and manufactured by the Polish arms industry. The contract is worth PLN 1.7 billion. The subject of the contract is 70 turrets that will be integrated with the Rosomak APC. Initially, we thought that the first deliveries would take place in two years, but today, after intensive consultations, it turned out that Huta Stalowa Wola is able to deliver the first units next year. I am very grateful for that, because it is very good news."</t>
  </si>
  <si>
    <t>"As part of the agreement, it is planned to acquire 70 ex. remotely controlled ZSSW-30 tower systems integrated with the SPIKE-LR anti-tank missile launcher for integration with wheeled armored transporters (KTOs). In addition, the agreement includes a logistics package covering spare parts for each of the ordered towers and a training package for crews. The parties to the agreement are the State Treasury represented by the Armaments Agency and a consortium of the plants Huta Stalowa Wola S.A., WB Electronics S.A., Rosomak S.A. and PGZ S.A. Deliveries are scheduled until 2027."</t>
  </si>
  <si>
    <t>PL39</t>
  </si>
  <si>
    <t>K9 howitzer</t>
  </si>
  <si>
    <t>Guns, 125mm through 150mm</t>
  </si>
  <si>
    <t>Hanwha Aerospace</t>
  </si>
  <si>
    <t>South Korea</t>
  </si>
  <si>
    <t>https://www.gov.pl/web/obrona-narodowa/armatohaubica-samobiezna-k9</t>
  </si>
  <si>
    <t>https://defence-industry.eu/hanwha-strengthens-cooperation-with-polish-industry-in-k9-howitzer-programme/</t>
  </si>
  <si>
    <t>"The first contract, inked in August 2022 and valued at USD 2.4 billion, entails the delivery of 212 K9A1 howitzers to the Polish Armed Forces over the period from 2023 to 2026."</t>
  </si>
  <si>
    <t>"The subject of the framework agreement concluded with Hanwha Defense is the acquisition of a total of 672 Cracks K9A1 and its produced development version of K9PL (based on ready-made technologies obtained as a result of work on K9A2 howitzers) together with accompanying wagons, i.e. K10 ammunition vehicles and K11 command vehicles and Polish elements, as well as a training package and a logistical support.
The training package includes simulator equipment and training of personnel in Poland. The contractor will also provide service support in Poland, from the moment the first K9A1 self-propelled howitzers arrive. The agreement also provides for the transfer of technology, as a result of which the existing industrial capabilities in the field of barrel artillery technology will be maintained, which will allow to acquire service competences in the first stage and the target launch of the production of K9PL hembics in Poland, and thus the polonization of spare parts supply chains."</t>
  </si>
  <si>
    <t>PL40</t>
  </si>
  <si>
    <t>KRAB howitzer</t>
  </si>
  <si>
    <t>https://www.gov.pl/web/obrona-narodowa/kolejne-kraby-trafia-na-wyposazenie-wojska</t>
  </si>
  <si>
    <t>"- I have approved another contract for the order of 48 gun-howitzers and 36 accompanying vehicles. The value of the contract is over PLN 3.8 billion. This is another contract, as the first one was concluded in 2016 - said Mariusz Błaszczak, Deputy Prime Minister, Minister of National Defence after approving the contract for the purchase of equipment for the Polish Army in Kielce."</t>
  </si>
  <si>
    <t>PL41</t>
  </si>
  <si>
    <t>https://www.gov.pl/web/obrona-narodowa/wzmacniamy-wojsko-polskie-i-rozwijamy-krajowy-przemysl-zbrojeniowy-priorytetem-rzadu-jest-bezpieczenstwo</t>
  </si>
  <si>
    <t>"Orders for further deliveries of equipment and weapons for the army worth approximately PLN 3 billion include:
Agreement with ROSOMAK SA for the supply of artillery reconnaissance vehicles (AWR) for the needs of the RAK company fire modules;
Contract with Wojskowe Zakłady Łączności No. 1 SA for the supply of digital communication equipment – ​​transmission AŁC-T;  
Agreement with the Consortium led by Wojskowe Zakłady Elektroniczne SA for the supply of command cabins for the WISŁA System - phase 1;
Two Agreements with Jelcz Sp. z o. o. for the delivery of JELCZ 442.2 and 662.D43 vehicles;
Agreement with PCO SA for the supply of individual optoelectronic equipment;  
An agreement with WB Electronics SA for the implementation of development work aimed at developing the Gladius-2 unmanned search and strike vehicle under the Gladius program."</t>
  </si>
  <si>
    <t>PL41_a</t>
  </si>
  <si>
    <t>Artillery reconnaissance vehicle (AWR)</t>
  </si>
  <si>
    <t>PL41_b</t>
  </si>
  <si>
    <t>Digital communication equipment – ​​transmission AŁC-T</t>
  </si>
  <si>
    <t>Wojskowe Zakłady Łączności No. 1 SA</t>
  </si>
  <si>
    <t>PL41_c</t>
  </si>
  <si>
    <t>Command cabins for the WISŁA Phase 1 System</t>
  </si>
  <si>
    <t>Wojskowe Zakłady Elektroniczne SA</t>
  </si>
  <si>
    <t>PL41_d</t>
  </si>
  <si>
    <t>JELCZ 442.2 and 662.D43 vehicles</t>
  </si>
  <si>
    <t>Jelcz Sp. z o. o.</t>
  </si>
  <si>
    <t>PL41_e</t>
  </si>
  <si>
    <t>Individual optoelectronic equipment</t>
  </si>
  <si>
    <t>PL41_f</t>
  </si>
  <si>
    <t>Gladius</t>
  </si>
  <si>
    <t>Gladius-2 unmanned search and strike vehicle development</t>
  </si>
  <si>
    <t>WB Electronics SA</t>
  </si>
  <si>
    <t>PL42</t>
  </si>
  <si>
    <t>FA-50 fighter jet</t>
  </si>
  <si>
    <t>Korea Aerospace Industries (KAI)</t>
  </si>
  <si>
    <t>https://www.gov.pl/web/obrona-narodowa/samoloty-fa-50-wzmocnia-zdolnosci-sil-powietrznych</t>
  </si>
  <si>
    <t>https://defence-industry.eu/kai-completes-deliveries-of-fa-50-block-10-light-combat-aircraft-to-poland/</t>
  </si>
  <si>
    <t>"The agreements concluded with the South Korean side include a training package (including the delivery of flight and mission simulators), training of pilots and ground personnel, and a logistics package (including a supply of spare parts and consumables). A total of 48 FA-50 aircraft will be delivered to Poland, of which all aircraft in a configuration similar to that ordered by the Republic of Korea Air Force will be delivered in 2023, while deliveries of 36 aircraft configured in accordance with additional requirements presented by the Polish Air Force, FA-50PL, will begin in 2025 and will be completed by the end of 2028."</t>
  </si>
  <si>
    <t>"This delivery fulfills one of two contracts signed between Poland’s Ministry of Defence and KAI in September 2022. Last year, Poland secured a deal for 12 FA-50 Block 10 jets from KAI valued at USD 705 million. This contract stipulated that the deliveries would be concluded by the end of 2023 and included a comprehensive package of training, logistics, and technical support."</t>
  </si>
  <si>
    <t>"The second contract, signed in September 2023, involves the delivery of 36 FA-50 Block 20 aircraft (locally designated as “FA-50PL”) between 2025 and 2028.  These aircraft will be equipped with AESA radar, and the Polish Air Force has expressed the intent to integrate AIM-120 AMRAAM missiles into this air platform.  The contract for these advanced jets is estimated to be worth approximately USD 2.3 billion."</t>
  </si>
  <si>
    <t>PL43</t>
  </si>
  <si>
    <t>K2 tank</t>
  </si>
  <si>
    <t>Hyundai Rotem</t>
  </si>
  <si>
    <t>https://www.gov.pl/web/obrona-narodowa/czolgi-k2-beda-stacjonowac-w-braniewie-to-efekt-duzych-nakladow-na-modernizacje</t>
  </si>
  <si>
    <t>https://www.gov.pl/web/obrona-narodowa/czolgi-k2</t>
  </si>
  <si>
    <t>https://koreajoongangdaily.joins.com/news/2025-03-06/national/diplomacy/Korean-Polish-foreign-ministers-discuss-defense-get-K2-tank-deal-back-on-track--/2256318</t>
  </si>
  <si>
    <t>"The delivery dates of the first 180 K2 tanks are planned for 2022-2025"</t>
  </si>
  <si>
    <t>"The first-phase contract, signed the same year, covered 180 tanks worth $3.4 billion. However, the second-phase contract for the remaining 820 tanks, initially expected to be finalized by late 2024, is facing delays."</t>
  </si>
  <si>
    <t>"The delivery dates for the first 180 K2 tanks were scheduled in 2022-2025, while the deliveries of 820 K2PL tanks will begin in 2026 and production in Poland will be launched in the same year. From 2026, the configuration of the first 180 K2 tanks to the K2PL standard was also planned. In the long term, it is planned to develop a new generation tank as part of the cooperation between the Polish-South Korean tank."</t>
  </si>
  <si>
    <t>PL44</t>
  </si>
  <si>
    <t>K239 Chunmoo launcher</t>
  </si>
  <si>
    <t>https://www.gov.pl/web/obrona-narodowa/wyrzutnie-k239-chunmoo-zwieksza-potencjal-odstraszania-wojska-polskiego</t>
  </si>
  <si>
    <t>https://www.gov.pl/web/obrona-narodowa/zwiekszamy-zdolnosci-do-produkcji-kierowanych-pociskow-rakietowych-w-polsce</t>
  </si>
  <si>
    <t>https://www.gov.pl/web/obrona-narodowa/homar-k</t>
  </si>
  <si>
    <t>"On November 4, 2022, the first executive agreement related to the acquisition of missile launcher modules from the Korean side was concluded in Warsaw. The subject of the agreement, concluded between the State Treasury - Armaments Agency and the Korean entity Hanwha Aerospace Co. Ltd., is the delivery of 218 multiple-rotor missile launcher modules and their integration with the Jelcz chassis along with logistics and training packages and an ammunition supply, including several thousand precision-guided missiles, at a distance of 80 km and 290 km, as well as technical support from the manufacturer for a total amount of USD 3.55 billion net."</t>
  </si>
  <si>
    <t>PL45</t>
  </si>
  <si>
    <t>Observation satellite</t>
  </si>
  <si>
    <t>https://www.gov.pl/web/obrona-narodowa/satelity-obserwacyjne-wzmocnia-zdolnosci-rozpoznawcze-wojska-polskiego</t>
  </si>
  <si>
    <t>"On Tuesday, December 27, 2022, Deputy Prime Minister M. Błaszczak hosted the French Minister of Defense in Warsaw. During the meeting, an agreement was concluded for the delivery of 2 observation satellites with a receiving station in Poland. The head of the Polish Ministry of National Defense noted that the Polish side will have access to satellite imagery after signing the agreement."</t>
  </si>
  <si>
    <t>"“Our agreement concerns the acquisition of two satellites to the Polish Army, which we will have under Polish colours by 2027. It is extremely important that we will use the imaging now, since signing the contract. Our agreement concerns two satellites, but also a ground station where these images will be processed. Ultimately, our Polish satellites will operate as part of the French constellation, which will further increase the reconnaissance capabilities.”"</t>
  </si>
  <si>
    <t>PL46</t>
  </si>
  <si>
    <t>Fabryka Broni "Łucznik" - Radom Sp. z o. o.</t>
  </si>
  <si>
    <t>https://www.gov.pl/web/obrona-narodowa/kolejne-karabinki-grot-dla-zolnierzy-wojska-polskiego</t>
  </si>
  <si>
    <t>"- We are ordering almost 70 thousand additional GROT rifles, but we are also talking about signing another annex within the next few weeks. Our needs are large. We are maintaining our goal, which is at least 300 thousand soldiers of the Polish Army, so we can talk about this number in the context of rifle orders. Of course, this is not all, because we also have to have rifles prepared, which will constitute the equipment of reservists. At least 300 thousand soldiers of the Polish Army plus reservists - this is the number they talked about in terms of orders for GROT rifles."</t>
  </si>
  <si>
    <t>PL47</t>
  </si>
  <si>
    <t>M101 ABRAMS</t>
  </si>
  <si>
    <t>https://www.gov.pl/web/obrona-narodowa/116-czolgow-abrams-m1a1-trafi-na-wyposazenie-wojska-polskiego</t>
  </si>
  <si>
    <t>"The total value of the contract amounts to approximately USD 1.4 billion net, of which nearly USD 200 million is financed by the American side as part of the aid funds granted to Poland, while deliveries of tanks and other military equipment will begin this year and will be completed by the end of 2024."</t>
  </si>
  <si>
    <t>"The subject of the contract concluded with the American side is the delivery of 116 M1A1 ABRAMS tanks, which will be adapted to the requirements of the Polish Armed Forces, along with accompanying equipment, including 12 M88A2 HERCULES recovery vehicles, 8 M1074 JOINT ASSAULT BRIDGE accompanying bridges, 6 M577 command vehicles and 26 NG SECM workshops on the HMMWV chassis, as well as a training and logistics package."</t>
  </si>
  <si>
    <t>"The subject of the agreement, concluded with the American side, is the delivery of 116 M1A1 ABRAMS tanks, which will be adapted to the requirements of the Polish Armed Forces, together with accompanying equipment, including 12 technical security vehicles M88A2 HERCULES, 8 bridges accompanying M1074 JOINT ASSAULT BRIDGE, 6 command vehicles M577 and 26 NG SECM workshops on the HMM.
The contract is the first stage of the project, which also includes a significant number of modern types of combat ammunition, as well as school ammunition, in accordance with the maximum scope of the contract approved by the United States Congress. The above orders, including anti-tank ammunition sub-calibre or multi-purpose programminated ammunition, will be carried out successively."</t>
  </si>
  <si>
    <t>PL48</t>
  </si>
  <si>
    <t>https://www.gov.pl/web/obrona-narodowa/kolejne-dziesiatki-tysiecy-karabinkow-trafi-do-wojska-polskiego</t>
  </si>
  <si>
    <t>"Thanks to the annex to the current agreement of July 2020, the deliveries of MSBS GROT carbines for the Polish Armed Forces will increase. This was made possible by the consistent development of the contractor’s production capacity. According to the annex, worth about PLN 1 billion, Fabryka Broni “Lucznik” - Radom Sp. z o.o. will deliver to the Polish Armed Forces by the end of 2026 nearly 88,000 more GRP C16 FB-A2 carbines 5.56 x 45 mm.
As a result, the order will cover a total of nearly 184,000 rifles, and the total value of the contract will amount to about PLN 2.1 billion gross."</t>
  </si>
  <si>
    <t>PL49</t>
  </si>
  <si>
    <t>7.62mm SKBW semi-automatic sniper rifle</t>
  </si>
  <si>
    <t>"The next contract concerns the delivery of 250 sets of 7.62x51 mm semi-automatic sniper rifles (7.62 mm SKBW). The value of the order is approximately PLN 11 million gross, and the deliveries of weapons will be completed in 2024."</t>
  </si>
  <si>
    <t>PL50</t>
  </si>
  <si>
    <t>Bystra radar station</t>
  </si>
  <si>
    <t>https://www.gov.pl/web/obrona-narodowa/wzmacniamy-zdolnosci-obrony-powietrznej-wojska-polskiego</t>
  </si>
  <si>
    <t>""I have approved another agreement on the acquisition of Bystra radar stations for the Polish Army. The first agreement is already being implemented. This year, the first radar stations will reach the Polish Army. This agreement covers another 22 radar stations. Its value is PLN 1.1 billion. The mechanism for the production of the stations has already been formed. We have a delivery of the first units this year. We are building the anti-aircraft and anti-missile capabilities of the Polish Army. Such capabilities already exist, of course, but we are strengthening them with successive layers," said Deputy Prime Minister and Minister of National Defence Mariusz Błaszczak at the PIT-RADWAR SA plant."</t>
  </si>
  <si>
    <t>"On Wednesday, March 29, the head of the Ministry of National Defence approved the implementation agreement concluded between the State Treasury – Armaments Agency and the PGZ-PILICA+ Consortium."</t>
  </si>
  <si>
    <t>PL51</t>
  </si>
  <si>
    <t>BAOBAB-K scattered mine-laying vehicle</t>
  </si>
  <si>
    <t>Polska Grupa Zbrojeniowa SA</t>
  </si>
  <si>
    <t>https://www.gov.pl/web/obrona-narodowa/baobab-k-trafi-na-wyposazenie-wojska-polskiego</t>
  </si>
  <si>
    <t>"The subject of the first contract, which was concluded between the State Treasury - Armaments Agency and the consortium consisting of: Polska Grupa Zbrojeniowa SA (leader) and Huta Stalowa Wola SA is the delivery of 24 BAOBAB-K scattered mine-laying vehicles together with a logistics and training package. The value of the order is approx. PLN 510 million gross. Deliveries of new vehicles will be completed in 2026-2028."</t>
  </si>
  <si>
    <t>PL52</t>
  </si>
  <si>
    <t>Saab 340 AEW Aircraft</t>
  </si>
  <si>
    <t>https://www.gov.pl/web/obrona-narodowa/saab-340-aew</t>
  </si>
  <si>
    <t>https://www.reuters.com/business/aerospace-defense/poland-signs-contract-buy-2-swedish-saab-340-aew-300-aircraft-2023-07-25/</t>
  </si>
  <si>
    <t>"WARSAW, July 25 (Reuters) - Poland signed a contract to buy two Swedish airborne early warning and control Saab 340 AEW-300 planes for approximately 600 million Swedish crowns ($57.81 million), the Polish defence minister said on Tuesday."</t>
  </si>
  <si>
    <t>"The introduction of Saab machines is a significant reinforcement for the Air Force. These machines, thanks to the ERIEYE radars, give the ability to detect targets flying at a low altitude from a distance of several hundred kilometers. Early warning aircraft play a key role in the state’s defence system – they provide completely new and advanced capabilities to monitor airspace and early detection and hazard identification. "</t>
  </si>
  <si>
    <t>PL53</t>
  </si>
  <si>
    <t>LPR light reconnaissance vehicle</t>
  </si>
  <si>
    <t>https://www.gov.pl/web/obrona-narodowa/umowy-zatwierdzone-kolejne-wozy-bojowe-wzmocnia-potencjal-wojsk-ladowych</t>
  </si>
  <si>
    <t>https://breakingdefense.com/2023/08/poland-signs-deals-for-light-recon-vehicles-heavy-infantry-combat-vehicles-and-apcs/</t>
  </si>
  <si>
    <t xml:space="preserve">"- The three agreements that I approved are important agreements. The first concerns the Heavy Infantry Fighting Vehicle. This is the implementation of the idea of ​​using technology that was previously in the possession of the Polish Armaments Group for the benefit of the Polish Army. We will acquire 700 pieces of Heavy Infantry Fighting Vehicles, which will be constructed in such a way that we will use the KRABA chassis, and on this chassis we will mount an unmanned tower, which was developed and manufactured in a consortium led by the Polish Armaments Group. We are dealing here with an idea that goes beyond the framework, but this idea is carried out in such a way as to equip the army with a Heavy Infantry Fighting Vehicle in a short time - said Mariusz Błaszczak, Minister of National Defense."
</t>
  </si>
  <si>
    <t>"The first of the approved documents concerns the development of a Heavy Infantry Fighting Vehicle (CBWP)." "The contract for the development of the New Wheeled Armoured Personnel Carrier in the combat version provides that the carrier will initially supplement and in the long run replace the Rosomak APC." "Light Reconnaissance Vehicles will be designed for reconnaissance units in armored-mechanized forces. "</t>
  </si>
  <si>
    <t>"The first of today’s three contracts, signed by the consortium of PGZ and Rosomak, covers the supply of approximately 400 LPRs in a 4×4 chassis. The approximately PLN 1.2 billion ($290 million) contract comes with a delivery period between 2024 and 2030.
“The LPRs that we ordered in the amount of 400 units will be produced in a very short time at the Rosomak plant (in Siemianowice Śląskie in Poland).  The vehicle meets the needs of the Polish Army. We are already going down in history with the era of the [Polish multi-purpose off-road vehicle] Honkers and various such vehicles. We intend to introduce this vehicle to the Polish Army as soon as possible,” said Polish Defense Minister Mariusz Błaszczak.
The LPR is a polonization of the Korean family of KIA KLTV vehicles, continuing the growing military relationship between South Korea and Poland. The vehicle will receive a new, modernized body prepared for the needs of the Polish military; the MND expects to adjust the design over time as it gets more feedback from Polish military users. Over the next few years, Rosomak plans to gradually transfer the production of vehicle components to Poland, starting with the transfer of body production technology."</t>
  </si>
  <si>
    <t>PL54</t>
  </si>
  <si>
    <t>Offset agreements for WISŁA programme Phase 2</t>
  </si>
  <si>
    <t>https://www.gov.pl/web/obrona-narodowa/wzmacniamy-system-obrony-powietrznej-umowy-offsetowe-do-ii-fazy-programu-wisla-podpisane</t>
  </si>
  <si>
    <t>"On Friday, August 25 this year, the head of the Ministry of National Defence approved offset contracts for elements for anti-aircraft and missile missile sets of medium-range missiles in the second phase of the Wisła program.
Thanks to offset agreements with Raytheon and Lockheed Martin, whose total value is about PLN 1 billion, in Poland there will be service, repair and production facilities supporting the WISLA system, consisting of elements such as LTAMDS radar and PAC-3 MSE rockets."</t>
  </si>
  <si>
    <t>"Thanks to offset agreements with Raytheon and Lockheed Martin, whose total value is about PLN 1 billion, in Poland there will be service, repair and production facilities supporting the WISLA system, consisting of elements such as LTAMDS radar and PAC-3 MSE rockets."</t>
  </si>
  <si>
    <t>PL55</t>
  </si>
  <si>
    <t>Patriot/IBCS air defence battery</t>
  </si>
  <si>
    <t>https://www.gov.pl/web/obrona-narodowa/wojsko-polskie-buduje-kompleksowy-system-obrony-przeciwlotniczej-i-przeciwrakietowej</t>
  </si>
  <si>
    <t xml:space="preserve">"A moment ago I approved the contract for the second phase of the Patriot system. (...) The second contract concerns the Narew system. (...) Our great achievement is also that the Polish Army will be equipped with 360-degree radars - this is a novelty. (...) We are already implementing the IBCS command system. The most modern system in the world, which gives us network-centricity. Patriots will be connected to one network together with i-Launchers, together with the Narew system. Additionally, artillery launchers will be connected to this network. F-35 aircraft, which will be included in the equipment of the Polish Army next year, will also operate in this network. (...) Today we have one Naval Missile Unit. We have just ordered two more. This is also a very good weapon. This is a weapon that effectively deters the aggressor"
</t>
  </si>
  <si>
    <t>"Contracts for the supply of military equipment will include, among others, the acquisition of elements of 3 divisions, i.e. 6 more batteries, of the PATRIOT/IBCS system as part of the implementation of Phase II of the WISŁA program; a contract for two more Naval Missile Units; a contract for the ZENIT-MP+ Automated Command Post dedicated to PILICA+ sets and a framework contract for FlyEye unmanned aerial vehicles."</t>
  </si>
  <si>
    <t>Here the units refer to the 6 Patriot batteries mentioned in the press release, rather than the whole system.</t>
  </si>
  <si>
    <t>PL56</t>
  </si>
  <si>
    <t>Naval Strike Missile (NSM) system</t>
  </si>
  <si>
    <t>https://www.gov.pl/web/obrona-narodowa/morska-jednostka-rakietowa</t>
  </si>
  <si>
    <t>"The subject of the contract concluded between the State Treasury – Armaments Agency and Kongsberg Defence &amp; Aerospace is the delivery of Naval Strike Missile (NSM) system components for two MJRs, including command vehicles, launchers and several hundred NSM anti-ship missiles. The value of the order is approximately PLN 8 billion gross, and the deliveries will be made in 2026-2032."</t>
  </si>
  <si>
    <t>"The Marine Rocket Unit is designed to combat enemy ships, the main covers of the Naval Marine Bases, regions convenient for landing the sea landing, and important military and industrial facilities deployed on the coast. Due to its manoeuvrability and high fire efficiency, MJR plays a significant role in ensuring the freedom of operation of its own ship forces in the Baltic Sea. The MJR is able, in cooperation with the main naval forces, to defend the sea coast, cover maritime communication on coastal waterways and support the combat activities of the Navy and the Land Forces in defensive operations. MJR is based on elements of the NSM system integrated with the JELCZ chassis. The significant part of the supply as part of the acquisition of two more MJR will be the responsibility of the entities of the Polish defence industry."</t>
  </si>
  <si>
    <t>PL57</t>
  </si>
  <si>
    <t>ZENIT-MP+ Automated Command Post</t>
  </si>
  <si>
    <t>"Contracts for the supply of military equipment will include, among others, obtaining elements of 3 squadrons, i.e. 6 consecutive batteries, the PATRIOT/IBCS system as part of the implementation of the second phase of the WIS-A program; a contract for two more Morgokeeping and missile units agreement; an agreement for the Automated Command Post of ZENIT-MP+ dedicated to the PILICA+ sets and a framework agreement for FlyEye unmanned aircraft."</t>
  </si>
  <si>
    <t>PL58</t>
  </si>
  <si>
    <t>AH-64E</t>
  </si>
  <si>
    <t>Offset agreements for AH-64E Apache helicopter</t>
  </si>
  <si>
    <t>https://www.gov.pl/web/obrona-narodowa/smiglowce-apache-dla-wojska-polskie-coraz-blizej-jedna-z-umow-offsetowych-podpisana</t>
  </si>
  <si>
    <t>"The offset agreement includes two commitments with a total value of approximately PLN 300 million, which will be implemented within 5 years. This is the first of several agreements that the State Treasury intends to conclude as part of the acquisition of AH-64E attack helicopters."</t>
  </si>
  <si>
    <t>"The subject of the offset agreement is, among others, the acquisition of capabilities in the scope of support, repairs and technical maintenance of key helicopter components used in combat and reconnaissance, including guidance and target designation systems. Thanks to this agreement, the Polish defense industry will also establish capabilities in the scope of diagnosing and verifying possible malfunctions and partial servicing of LONGBOW fire control radars."</t>
  </si>
  <si>
    <t>PL59</t>
  </si>
  <si>
    <t>MS-20 Daglezja-S accompanying bridge</t>
  </si>
  <si>
    <t>https://www.gov.pl/web/obrona-narodowa/kolejne-umowy-na-sprzet-dla-wojska-polskiego-zatwierdzone</t>
  </si>
  <si>
    <t>"On October 11, 2023, Minister Mariusz Błaszczak approved contracts for MS-20 Daglezja-S accompanying bridges, Zawilec command vehicles, motor vehicles for Naval Missile Units and an annex for the supply of 120 mm ammunition for RAK self-propelled mortars. During a visit to the training ground in Nowa Dęba, the head of the Ministry of National Defense presented certificates to the commanders of the 18th Anti-Aircraft Regiment from Zamość and the 18th Artillery Regiment from Nowa Dęba, whose units were certified during the WYDRA-23 command and staff exercise. "</t>
  </si>
  <si>
    <t>PL60</t>
  </si>
  <si>
    <t>Zawilec command vehicle</t>
  </si>
  <si>
    <t>PL61</t>
  </si>
  <si>
    <t>Motor vehicle for Naval Missile Units</t>
  </si>
  <si>
    <t>PL62</t>
  </si>
  <si>
    <t>120 mm ammunition for RAK self-propelled mortars</t>
  </si>
  <si>
    <t>PL63</t>
  </si>
  <si>
    <t>WB Electronics</t>
  </si>
  <si>
    <t>https://www.gov.pl/web/obrona-narodowa/umowa-na-152-kraby-dla-wojska-polskiego-zatwierdzona</t>
  </si>
  <si>
    <t>https://www.reuters.com/world/europe/poland-buys-more-k9-howitzers-south-korea-26-billion-deal-2023-12-01/</t>
  </si>
  <si>
    <t>"On December 8, the head of the Ministry of National Defense approved a contract for the acquisition of another 152 self-propelled howitzers KRAB. The value of the contract is approximately PLN 10 billion. The funds for the implementation of the contract have been secured in the Ministry of National Defense budget. "</t>
  </si>
  <si>
    <t>"Under the agreement with Hanwha Defence, Poland will acquire another six self-propelled K9 howitzers in 2025, and 146 self-propelled howitzers of the K9PL version in 2026-2027, the agency said."</t>
  </si>
  <si>
    <t>The purchase refers to howitzers developed by Hanwha Aerospace, from South Korea, and not to the Polish KRAB howitzer developed by Huta Stalowa Wola.</t>
  </si>
  <si>
    <t>PL64</t>
  </si>
  <si>
    <t>Offset agreement various equipment</t>
  </si>
  <si>
    <t>Northrop Grumman International Trading, Inc.</t>
  </si>
  <si>
    <t>Centre of Maritime Technology SA</t>
  </si>
  <si>
    <t>Military Armament Works SA</t>
  </si>
  <si>
    <t>Military University of Technology</t>
  </si>
  <si>
    <t>https://www.gov.pl/web/obrona-narodowa/kolejna-umowa-offsetowa-w-programie-wisla</t>
  </si>
  <si>
    <t>"The signed offset agreement with Northrop Grumman International Trading, Inc. covers a total of 8 obligations with a total value of over PLN 300 million."</t>
  </si>
  <si>
    <t>"The offset agreement in question envisages, among other things, the integration of the SAJNA radar systems, NAREW sets and BYSTRA deployable radar stations with the IBCS air and missile defence command system, acquiring the capacity to produce new types of ammunition for the Bushmaster guns used in the Rosomak APC and Borsuk IFV, 120 mm ammunition used by the M1 ABRAMS tanks and ammunition for the on-board armament of the AH-64E APACHE attack helicopters."</t>
  </si>
  <si>
    <t>PL65</t>
  </si>
  <si>
    <t>Integrated air and missile defense command system IBCS</t>
  </si>
  <si>
    <t>https://www.gov.pl/web/obrona-narodowa/wojsko-polskie-otrzyma-najnowoczesniejszy-system-dowodzenia-obrona-przeciwlotnicza-i-przeciwrakietowa</t>
  </si>
  <si>
    <t xml:space="preserve">"On Thursday (29 February) in Warsaw, the Vice-President of the Council of Ministers, Minister of National Defence W. Kosiniak – Kamysz, Mark Brzezinski, the US ambassador to Poland and Paweł Bejda, the Secretary of State in the Ministry of National Defence, participated in the signing of the agreement to acquire an integrated anti-aircraft and missile defense command system IBCS for the second phase of the WISLA program and the NAREW program." </t>
  </si>
  <si>
    <t>"The agreement was concluded between the State Treasury – Ministry of National Defense and the United States government. The value of the order is approximately USD 2.53 billion net. The agreement will be implemented in the years 2024-2031. Its subject is the acquisition of an integrated air and missile defense command system IBCS, including the necessary command and communication equipment, which is required for the 6 WISŁA batteries and 23 NAREW sets acquired as part of the implementation of Phase II."</t>
  </si>
  <si>
    <t>"The detailed scope of the contract includes the purchase of selected communication devices for WISLA and NAREW systems, IFF passive identification systems, cryptographic devices, implementation of software development, development of laboratory infrastructure, integration within the IBCS system of radars for the WISLA and NAREW system and the NAREW launcher, as well as the conduct of point-grave field tests covering the interaction of all elements of NAREW and WISA sets. The agreement also provides for logistical, technical support and spare parts."</t>
  </si>
  <si>
    <t>PL66</t>
  </si>
  <si>
    <t>Carl-Gustaf M4 grenade launcher</t>
  </si>
  <si>
    <t>https://www.gov.pl/web/obrona-narodowa/tysiace-granatnikow-trafi-na-wyposazenie-zolnierzy-wojska-polskiego</t>
  </si>
  <si>
    <t>https://www.pap.pl/en/news/poland-buys-anti-tank-grenade-launchers-sweden</t>
  </si>
  <si>
    <t>https://www.gov.pl/web/obrona-narodowa/granatniki-carl-gustaf-m4</t>
  </si>
  <si>
    <t>"During the meeting, in the presence of the heads of the defense ministries of Poland and Sweden, a contract was signed for the delivery of several thousand Carl-Gustaf M4 grenade launchers to the Polish Armed Forces. As part of the agreement, the Polish Army will also receive ammunition: anti-tank, shrapnel, anti-paying, stormy, multifunctional, smoky, illuminating, school, training and training. The RP Armed Forces together with grenade launchers will also receive logistic and training packages as well as technical documentation."</t>
  </si>
  <si>
    <t>"Poland has signed a EUR 1.5 billion contract with the Swedish company Saab for the purchase of anti-tank grenade launchers and ammunition."</t>
  </si>
  <si>
    <t>"The subject of the contract is the delivery of more than 6,000 Carl-Gustaf M4 grenade launchers, together with FCD558 sights and anti-tank ammunition: anti-tank, sprising, anti-paying, stormy, multifunctional, smoke, lighting, school, training and exercise, several hundred thousand.
The RP Armed Forces together with grenade launchers will also receive logistic and training packages as well as technical documentation. The logistics package includes sets of spare parts and specialty tools, while the training package includes the delivery of simulators, conducting training in the use of sourcing grenade launchers, servicing, servicing and repairing grenade launchers and using ammunition."</t>
  </si>
  <si>
    <t>PL67</t>
  </si>
  <si>
    <t>FlyEye</t>
  </si>
  <si>
    <t>FlyEye drone</t>
  </si>
  <si>
    <t>https://www.gov.pl/web/obrona-narodowa/do-konca-roku-wojsko-otrzyma-najnowsze-wersje-bezzalogowcow-flyeye</t>
  </si>
  <si>
    <t>https://www.gov.pl/web/obrona-narodowa/bsp-fly-eye</t>
  </si>
  <si>
    <t>https://www.gov.pl/web/obrona-narodowa/kolejne-bsp-flyeeye-wzmocnia-zdolnosci-rozpoznawcze-wojska-polskiego</t>
  </si>
  <si>
    <t>" Polish company will produce drones for the Polish army. An executive agreement has been signed. It is the fulfillment of the framework agreement. The framework agreement covers about 400 sets."</t>
  </si>
  <si>
    <t xml:space="preserve">"The subject of the executive agreement concluded between the State Treasury – Armaments Agency and WB Electronics SA is the delivery of 7 FlyEye Unmanned Aerial Systems sets together with technical documentation and repair, logistics and training packages to the Polish Armed Forces. The value of the agreement is approximately PLN 57.6 million gross."
</t>
  </si>
  <si>
    <t>"On Friday, November 15 this year, at the headquarters of the Ministry of National Defence, in the presence of Władysław Kosiniak-Kamysz, Deputy Prime Minister, Minister of National Defence and Paweł Bejda, Secretary of State in the Ministry of National Defence, another executing agreement for 13 sets of BSP FlyEye for the Polish Armed Forces was signed. According to the contract, the deliveries were to be completed in 2024.
The head of the Ministry of National Defence reminded that this is another purchase from which the funds will go to the domestic armaments industry.
“Today we are ordering 52 FlyEye drones in the latest version, which will be delivered by the end of the year. The value of the contract is about 100 million zlotys."</t>
  </si>
  <si>
    <t>Source 3 says that Poland is ordering 13 sets of FlyEye drones, or 52 drones. Hence, we assume that each set comprises 4 drones, and that the 7 sets ordered here amounts to 28 drones.</t>
  </si>
  <si>
    <t>PL68</t>
  </si>
  <si>
    <t>https://www.gov.pl/web/obrona-narodowa/druga-umowa-wykonawcza-na-dostawy-wyrzutni-rakietowych-homar-k-podpisana</t>
  </si>
  <si>
    <t>https://thedefensepost.com/2024/04/26/poland-chunmoo-mrl-1-6/</t>
  </si>
  <si>
    <t xml:space="preserve">"During the stay of the government delegation led by the Secretary of State in the Ministry of National Defense, Paweł Bejda, in the Republic of Korea, a second implementation agreement was signed for the delivery of 72 HOMAR-K (K 239 Chunmoo) multiple rocket launcher modules and several thousand tactical guided missiles with a range of 80 to 290 km."
</t>
  </si>
  <si>
    <t>"The Polish Ministry of Defense has signed a $1.6-billion contract to procure 72 K239 Chunmoo multiple rocket launchers (MRL) from South Korea’s Hanwha Aerospace."</t>
  </si>
  <si>
    <t>"The agreement will have a major impact on the development of the Polish defence industry. The acquired technologies will allow to establish the capacity for production and repairs and modernization, as well as the production of spare parts for purchased launchers.
At the same time, as part of the acquired technologies, the Polish industry will acquire the ability to produce transport and start containers enabling the use of 122 mm rocket ammunition launchers manufactured in the plants of MESKO S.A., which are part of the Polish Armaments Group."</t>
  </si>
  <si>
    <t>PL69</t>
  </si>
  <si>
    <t>Barbara</t>
  </si>
  <si>
    <t>Barbara aerostat radar system</t>
  </si>
  <si>
    <t>https://www.gov.pl/web/obrona-narodowa/aerostaty-barbara-zwieksza-zdolnosci-do-rozpoznania-zagrozen-w-przestrzeni-powietrznej</t>
  </si>
  <si>
    <t>"“We start the day with the ceremonial signing of the contract for the purchase of aerostats in the Barbara program. These are radiolocation systems that will change the position of Poland’s security, will raise it to a higher level. Recognition, radiolocation, any imaging activities, targeting. (...) Radiolocation systems are supplemented in Poland. At higher levels, readiness and abilities in this area are raised. They are Saab aircraft, various types of equipment, also Polish production. The contract for this most modern equipment - Barbara aerostats, four sets together with all the logistics, all additional elements related to their functioning, have been signed today" - said Deputy Prime Minister Władysław Kosiniak-Kamysz after signing the contract for the purchase of aerostats in the Barbara program."</t>
  </si>
  <si>
    <t>"The reconnaissance aeropathics in the BARBARA system are part of the radiolocation recognition system, complementing the current Air Defense System and the Shore Observation System. They have the ability to detect a wide range of objects, such as missiles, aircraft, drones and surface units.
The detection range of objects by aerostats is more than 300 km. The agreement concerns the delivery of four such aircraft, which will be stationed at the posts along the eastern and north-eastern border of Poland. The value of the contract is about USD 960 million."</t>
  </si>
  <si>
    <t>PL70</t>
  </si>
  <si>
    <t>JASSM-ER missile</t>
  </si>
  <si>
    <t>https://www.gov.pl/web/obrona-narodowa/nowoczesne-pociski-dalekiego-zasiegu-jassm-er-dla-wojska-polskiego</t>
  </si>
  <si>
    <t>"The value of the contract with the United States government is approximately $735 million. Deliveries will be made in the years 2026-2030."</t>
  </si>
  <si>
    <t>PL71</t>
  </si>
  <si>
    <t>Pilica+</t>
  </si>
  <si>
    <t>Anti-aircraft missile and artillery systems</t>
  </si>
  <si>
    <t>https://www.gov.pl/web/obrona-narodowa/umowa-na-logistyczne-wzmocnienie-pilicy-podpisana</t>
  </si>
  <si>
    <t>"This is the lowest layer of air defense, anti-aircraft, anti-missile defense, but it is crucial. (…) Pilica+, Narew, Wisła, all this is becoming a fact. (…) The value of the contract signed today is PLN 1 billion 400 million. All this money will go to the Polish arms industry. "</t>
  </si>
  <si>
    <t>"ZRA PILICA+ will include iLauncher short-range rocket launchers with CAMM missiles, BYSTRA radars and elements of the PILICA anti-aircraft missile-artillery systems (PSR-A), i.e.: a command post, short-range radar, 6 fire units with artillery tractors, a communication subsystem, and ammunition and transport vehicles, and subsequently a system designed to combat unmanned aerial vehicles."</t>
  </si>
  <si>
    <t>PL72</t>
  </si>
  <si>
    <t>https://www.gov.pl/web/obrona-narodowa/umowa-na-kolejne-rosomaki-podpisana</t>
  </si>
  <si>
    <t>"The value of the contract is approximately PLN 2.6 billion gross, and deliveries will be completed in 2026-2027."</t>
  </si>
  <si>
    <t>"The subject of the contract is the acquisition of 58 additional ROSOMAK wheeled armoured personnel carriers (KTO), integrated with remotely controlled ZSSW-30 turret systems, equipped with a SPIKE-LR anti-tank guided missile launcher. Additionally, the contract includes a logistics package, which includes spare parts."</t>
  </si>
  <si>
    <t>PL73</t>
  </si>
  <si>
    <t>https://www.gov.pl/web/obrona-narodowa/umowy-offsetowe-zapewnia-transfer-technologii-do-krajowego-przemyslu-zbrojeniowego</t>
  </si>
  <si>
    <t>"The subject of the first offset agreement concluded between the State Treasury and Boeing Company is the implementation of 7 offset obligations with a total value of over PLN 400 million. Under the agreement, competences will be acquired to: carry out inspections, repairs and overhauls of selected AH-64E components at WZL-1 in Łódź, train AH-64E maintenance personnel at WAT and assess the Ground Aircraft Maintenance equipment manufactured by WCBKT SA in terms of their compatibility with AH-64E helicopters."</t>
  </si>
  <si>
    <t>PL74</t>
  </si>
  <si>
    <t>Technical maintenance knowledge transfer</t>
  </si>
  <si>
    <t>General Electric</t>
  </si>
  <si>
    <t>"The subject of the second offset agreement concluded between the State Treasury and General Electric Company is the implementation of 6 offset liabilities with a total value of over PLN 530 million. As part of the implementation of this agreement, the technical support of turbo engines T-700-701D, CT7-2E1 and CT7-8E in WZL-1 Branch in Dęblin will be acquired. This will transfer the technology and knowledge of ‘know-how’ enabling the plant to perform maintenance (service) and repair activities of this type of engine up to and including D level D. These engines are also used in other helicopters remaining in the RP Armed Forces equipped, such as the AW101, AW149 or S-70i Black Hawk."</t>
  </si>
  <si>
    <t>PL75</t>
  </si>
  <si>
    <t>M903 launcher for Patriot system</t>
  </si>
  <si>
    <t>Raytheon Polska</t>
  </si>
  <si>
    <t>https://www.gov.pl/web/obrona-narodowa/wyrzutnie-m903-w-ramach-systemu-patriot-beda-produkowane-w-polsce</t>
  </si>
  <si>
    <t>https://notesfrompoland.com/2024/08/12/poland-signs-1-2bn-deal-to-produce-launchers-for-patriot-missile-systems/</t>
  </si>
  <si>
    <t>"On 12 August, in the presence of Deputy Prime Minister Władysław Kosiniak - Kamysz and the Secretary of State at the Ministry of National Defence Paweł Bejda, an agreement was signed between Huta Stalowa Wola S.A. and Raytheon Polska for the production of 48 M903 launchers, which are part of the Patriot air and missile defense systems under the second phase of the WISA program."</t>
  </si>
  <si>
    <t>"Poland’s defence ministry has announced a $1.2 billion (4.7 billion zloty) deal to domestically produce launchers for Patriot air defence systems. The 48 M903 launchers will be produced by Polish state-owned defence contractor Huta Stalowa Wola S.A. in cooperation with US defence giant Raytheon."</t>
  </si>
  <si>
    <t>PL76</t>
  </si>
  <si>
    <t>AH-64E Apache attack helicopter</t>
  </si>
  <si>
    <t>https://www.gov.pl/web/obrona-narodowa/umowa-na-96-smiglowcow-uderzeniowych-ah-64e-apache-podpisana</t>
  </si>
  <si>
    <t>https://euro-sd.com/2024/08/major-news/39860/poland-signs-loa-for-96-ah-64e/</t>
  </si>
  <si>
    <t>"These are huge expenses, because it costs 10 billion dollars, the purchase of 96 helicopters - said Deputy Prime Minister Władysław Kosiniak-Kamysz during a visit to the 1st Land Forces Aviation Brigade."</t>
  </si>
  <si>
    <t>"The subject of the agreement signed today with the U.S. government is the delivery of 96 AH-64E Apache impact helicopters with a logistics package (including helicopter handling equipment, airport-hangar equipment and technical support) and training (specialized training for pilots and technical personnel and comprehensive simulators and partial tasks) and a supply of ammunition and spare parts. "</t>
  </si>
  <si>
    <t>PL77</t>
  </si>
  <si>
    <t>KLESZCZ light armoured reconnaissance carrier</t>
  </si>
  <si>
    <t>AMZ KUTNO</t>
  </si>
  <si>
    <t>Military Institute of Communications (WIŁ)</t>
  </si>
  <si>
    <t>Military Institute of Armament Technology (WITU)</t>
  </si>
  <si>
    <t>Military Institute of Chemistry and Radiometry (WICHiR)</t>
  </si>
  <si>
    <t>https://www.gov.pl/web/obrona-narodowa/wielki-tydzien-dla-wojska-polskiego-po-umowach-na-wyrzutnie-patriot-i-smiglowce-apache-nadszedl-kleszcz---transportery-rozpoznawcze</t>
  </si>
  <si>
    <t>"The contract signed today worth about PLN 800 million includes deliveries of 28 vehicles together with a logistics and training package. Deliveries under the agreement are to be completed in the years 2026-2028."</t>
  </si>
  <si>
    <t>"Contract No. 1 commences the implementation of the framework agreement concluded on 28 February for deliveries (in the years 2026-2035) 286 copies of KLESZCZ reconnaissance transporters. The transporter is the result of cooperation within the consortium consisting of AMZ KUTNO (leader) and the Military Institute of Communications (WIs), the Military Institute of Armament Technology (WITU) and the Military Institute of Chemistry and Radiometry (WICHiR). The cooperation is an example of the development of development by a private Polish armament company in cooperation with three Polish military institutes of a completely new military vehicle for the needs of the Polish Armed Forces."</t>
  </si>
  <si>
    <t>PL78</t>
  </si>
  <si>
    <t>"On September 4, 2024, the second implementation agreement to the framework agreement was signed.
The subject of the executive agreement concluded between the State Treasury – Armaments Agency and WB Electronics SA is the delivery of 6 sets of FlyEye Unmanned Aerial Systems to the Polish Armed Forces along with technical documentation and packages: repair, logistics and training. The value of the agreement is approx. PLN 66.7 million gross."</t>
  </si>
  <si>
    <t>Source 3 says that Poland is ordering 13 sets of FlyEye drones, or 52 drones. Hence, we assume that each set comprises 4 drones, and that the 6 sets ordered here amounts to 24 drones.</t>
  </si>
  <si>
    <t>PL79</t>
  </si>
  <si>
    <t>Accompanying vehicles for WR-40 LANGUSTA multiple rocket launchers</t>
  </si>
  <si>
    <t>https://www.gov.pl/web/obrona-narodowa/umowa-na-wozy-towarzyszace-dla-wr-40-langusta-podpisana</t>
  </si>
  <si>
    <t>"The value of the order is over PLN 1 billion gross. The detailed scope of the contract includes deliveries in the years 2027-2028 of command-and-staff and command vehicles, ammunition vehicles and weapons repair workshops equipped with the Polish command and control system ZZKO TOPAZ. In addition, as part of the value of the contract, a modification of ZZKO TOPAZ will be carried out in all already delivered WR-40 Langusta launchers, consisting in the use of the latest means of communication, computers and software for cooperation with newly acquired command vehicles."</t>
  </si>
  <si>
    <t>"The subject of the contract between the State Treasury – Armaments Agency and the consortium composed of: Polska Grupa Zbrojeniowa SA, Huta Stalowa Wola SA (leader), is the delivery of several dozen accompanying vehicles for 3 division modules of the WR-40 LANGUSTA multiple rocket launchers."</t>
  </si>
  <si>
    <t>PL80</t>
  </si>
  <si>
    <t>"Today we are ordering 52 FlyEye drones in the latest version, which will be delivered by the end of the year. The value of the contract is approximately PLN 100 million."</t>
  </si>
  <si>
    <t>"On 15 November 2024, the third contract for the framework agreement was signed on 15 November 2023.
The subject of the executive agreement, concluded between the State Treasury – the Armament Agency and WB Electronics S.A., is the delivery for the Polish Armed Forces of 13 sets of Mini Countless Air Systems FlyEye together with technical documentation and packages: repair, logistics and training. The value of the contract amounts to approximately PLN 97.5 million gross."</t>
  </si>
  <si>
    <t>PL81</t>
  </si>
  <si>
    <t>AIM9X Sidewinder Block II missile</t>
  </si>
  <si>
    <t>https://www.gov.pl/web/obrona-narodowa/modernizacja-sz-rp-to-nasz-priorytet</t>
  </si>
  <si>
    <t>https://thedefensepost.com/2024/12/03/poland-sidewinder-block-ii/</t>
  </si>
  <si>
    <t>"On November 29 this year, we signed the largest contract to date for the purchase of missiles - 232 AM9X Sidewinder Block II missiles. I want to remind you that these are short-range missiles of 40 kilometers."</t>
  </si>
  <si>
    <t>"Poland has signed an approximately $175-million contract to purchase 232 AIM-9X Sidewinder Block II air-to-air missiles from the US."</t>
  </si>
  <si>
    <t>PL82</t>
  </si>
  <si>
    <t>Fuel tanker</t>
  </si>
  <si>
    <t>CELTECH Sp. z o. o.</t>
  </si>
  <si>
    <t>https://www.gov.pl/web/obrona-narodowa/wojskowe-cysterny-dla-czolgow-haubic-i-wyrzutni-rakietowych</t>
  </si>
  <si>
    <t>"PLN 700 million, the first part, which will be delivered first in 2026-2028. 215 fuel tankers and optionally 105 tankers. This contract value may amount to PLN 350 million. "</t>
  </si>
  <si>
    <t>"The guaranteed order covers the delivery of 215 tanks for the amount of approx. PLN 700 million gross, while the optional order for 105 vehicles amounts to the amount of approx. PLN 350 million gross."</t>
  </si>
  <si>
    <t>"The recipients of the equipment in question will be subdivisions of the Land Forces using K2 tanks, K9 self-propelled howitzles and HOMAR-K multi-pronctions, as well as the subdivisions of the Navy, the Special Forces and the Inspectorate of Support of the SZ. The guaranteed order includes the delivery of 215 tanks for the amount of about PLN 700 million gross, while optional, for 105 vehicles, amounts to about PLN 350 million gross."</t>
  </si>
  <si>
    <t>PL83</t>
  </si>
  <si>
    <t>MQ-9B SkyGuardian unmanned system</t>
  </si>
  <si>
    <t>General Atomics</t>
  </si>
  <si>
    <t>https://www.gov.pl/web/obrona-narodowa/skyguardian-wzmocni-potencjal-rozpoznawczy-wojska-polskiego</t>
  </si>
  <si>
    <t>" This is the most modern technology . For a few such machines we will pay about one billion two hundred million zlotys, or 310 million dollars. This is a significant expense, but we are investing in the highest quality equipment. Currently, we have a lease of the older version of the MQ-9A, but we are switching to the latest model MQ-9B, which will be delivered to Poland by the first quarter of 2027."</t>
  </si>
  <si>
    <t>"However, before this happens, we sign another contract for very important unmanned systems. (...) Its main goal is reconnaissance activities, but if necessary, it can also perform strike missions, using its extraordinary abilities - said Deputy Prime Minister Władysław Kosiniak - Kamysz after signing the contract for the delivery of the unmanned system for the Polish Army."</t>
  </si>
  <si>
    <t>PL84</t>
  </si>
  <si>
    <t>CASA aircraft modernisation</t>
  </si>
  <si>
    <t>Airbus Polska</t>
  </si>
  <si>
    <t>https://www.gov.pl/web/obrona-narodowa/modernizujemy-flote-transportowa-sil-powietrznych</t>
  </si>
  <si>
    <t>"The value of the contract is EUR 102.7 million net. Modernization works will be carried out in the years 2025-2033 and will cover all aircraft of this type operated in the Air Force."</t>
  </si>
  <si>
    <t>"The modernization of two aircraft will be carried out in Spain, while the remaining 14 aircraft will be modernized at Airbus Poland SA plants in Poland."</t>
  </si>
  <si>
    <t>"The aim of the agreement signed today is, among others, to equip the fleet of transport aircraft C-295M with modern avionic systems and to increase the operational capabilities of aircraft by modernizing their identification systems, radio and satellite communication, self-defence and increasing the possibility of landing parachute jumpers."</t>
  </si>
  <si>
    <t>PL85</t>
  </si>
  <si>
    <t>Rosomak-L personnel carrier</t>
  </si>
  <si>
    <t>https://www.gov.pl/web/obrona-narodowa/rosomak-l-wzmocni-potencjal-wojsk-ladowych</t>
  </si>
  <si>
    <t>https://thedefensepost.com/2024/12/18/poland-rosomak-vehicles/</t>
  </si>
  <si>
    <t xml:space="preserve">"80 Rosomak-L APCs are needed because they are the basic equipment used by Polish soldiers today. " "Deliveries of the modified version of the Rosomak APC will take place in 2027-2028" </t>
  </si>
  <si>
    <t>"The agreement assumes the acquisition of dozens of ROSOMAK-L Wheeled Transporters from remotely controlled ZSSW-30 tower systems equipped with a Spike anti-tank guided missile launcher. The parties to the agreement are the State Treasury – Armament Agency and the Consortium composed of: Huta Stalowa Wola S.A. and Rosomak S.A."</t>
  </si>
  <si>
    <t>"The agreement signed today also includes a logistics and training package. It also provides for the possibility of increasing the number of delivered vehicles in the event of an extension of the manufacturer’s production capabilities and the needs of the Polish Armed Forces."</t>
  </si>
  <si>
    <t>PL86</t>
  </si>
  <si>
    <t>Radom Sp. z o. o.</t>
  </si>
  <si>
    <t>https://www.gov.pl/web/obrona-narodowa/nowe-groty-visy-i-podwieszane-granatniki-dla-zolnierzy-wojska-polskiego</t>
  </si>
  <si>
    <t>"The agreement was concluded between the Armament Agency and Fabryka Broni "Łucznik" - Radom Sp. z o. o. It concerns the supply of approximately 45 thousand MSBS GROT C16 FB-A2 rifles, 13 thousand semi-automatic pistols caliber 9 mm VIS 100 and 1.3 thousand grenade launchers under the suspension for the MSBS GROT rifle caliber 40 mm for the Polish Armed Forces. The total value of the agreement amounts to over PLN 1 billion gross."</t>
  </si>
  <si>
    <t>PL86_a</t>
  </si>
  <si>
    <t>PL86_b</t>
  </si>
  <si>
    <t>PL86_c</t>
  </si>
  <si>
    <t>Grenade launcher</t>
  </si>
  <si>
    <t>PL87</t>
  </si>
  <si>
    <t>Mikroglob</t>
  </si>
  <si>
    <t>Creotech Instruments</t>
  </si>
  <si>
    <t>https://www.gov.pl/web/obrona-narodowa/satelity-obserwacyjne-wzmocnia-zdolnosci-rozpoznania-obrazowego-wojska-polskiego</t>
  </si>
  <si>
    <t>"Today's agreement, worth over PLN 550 million, invests in four microsatellites with sensors enabling imaging in visible light and infrared."</t>
  </si>
  <si>
    <t>"The agreement signed today regarding four satellites in the Mikroglob program"</t>
  </si>
  <si>
    <t>"Today we can clearly say that in 2026 Polish satellites will be in orbit. What's more, next year, according to the plan, the first Polish satellite will be launched into space. "</t>
  </si>
  <si>
    <t>PL88</t>
  </si>
  <si>
    <t>Howitzer and accompanying vehicle</t>
  </si>
  <si>
    <t>https://www.gov.pl/web/obrona-narodowa/17-miliardow-zlotych-na-zakup-sprzetu-dla-wojska-polskiego-w-polskim-przemysle-zbrojeniowym</t>
  </si>
  <si>
    <t>"This is a contract worth about 17 billion zlotys. This is a great investment. Security and economy. These two things meet today in Stalowa Wola. We are buying Krabs and accompanying vehicles for K9 howitzers."</t>
  </si>
  <si>
    <t>"agreement was signed to acquire 250 accompanying vehicles for K9 self-propelled howitzers and an agreement for 96 KRAB self-propelled howitzers, along with command vehicles and command and staff vehicles, ammunition vehicles and workshops for repairing weapons and electronics. The order also includes training and logistics packages."</t>
  </si>
  <si>
    <t>PL88_a</t>
  </si>
  <si>
    <t>Accompanying vehicle K9 Self-propelled howitzer</t>
  </si>
  <si>
    <t>PL88_b</t>
  </si>
  <si>
    <t>PL89</t>
  </si>
  <si>
    <t>FORCE PROTECTION unmanned aerial system</t>
  </si>
  <si>
    <t>https://www.gov.pl/web/obrona-narodowa/powietrzna-tarcza-dla-wyrzutni-rakietowych</t>
  </si>
  <si>
    <t>"The order value amounts to over PLN 499 million gross, and deliveries will be made in 2025-2028."</t>
  </si>
  <si>
    <t>"Additionally, the order also includes the completion of 72 HOMAR-K launchers and CD-10s fuel dispenser tanks with communication equipment and the acquisition of a batch of UKART-2 universal artillery calculators for the needs of the K9 howitzer DMO."</t>
  </si>
  <si>
    <t>"Each FORCE PROTECTION set includes: 2 sets of 4 mini FlyEye unmanned aerial vehicle platforms, 5 sets of 4 micro X-FRONTER UAV platforms and 44 sets of FP-SPECTRE radio-electronic reconnaissance systems."</t>
  </si>
  <si>
    <t>PL90</t>
  </si>
  <si>
    <t>Ratownik</t>
  </si>
  <si>
    <t>Rescue ship</t>
  </si>
  <si>
    <t>https://www.gov.pl/web/obrona-narodowa/umowa-na-nowy-okret-dla-marynarki-wojennej-podpisana</t>
  </si>
  <si>
    <t>"The acquired unit is another ship after the multi-purpose frigates of project 106 (MIECZNIK) and minehunters of project 258 (KORMORAN II) strengthening the potential of the Polish Navy - similarly to the previously mentioned units, the construction of the ship will be carried out in domestic shipyards and with the participation of the Polish industry."</t>
  </si>
  <si>
    <t>PL91</t>
  </si>
  <si>
    <t>AGM-88G AARGM-ER (Advanced Anti-Radiation Guided Missiles – Extended Range) self-guided missiles</t>
  </si>
  <si>
    <t>https://www.gov.pl/web/obrona-narodowa/zwiekszamy-zdolnosci-sil-powietrznych-do-zwalczania-systemow-radiolokacyjnych</t>
  </si>
  <si>
    <t>"The subject of the contract is the delivery of over 200 AGM-88G AARGM-ER (Advanced Anti-Radiation Guided Missiles – Extended Range) self-guided missiles. The value of the contract is approximately USD 745 million net, and deliveries will be made in 2029-2035."</t>
  </si>
  <si>
    <t>PL92</t>
  </si>
  <si>
    <t>Apache helicopter leasing</t>
  </si>
  <si>
    <t>https://www.gov.pl/web/obrona-narodowa/wzmacniamy-zdolnosci-do-przyjecia-smiglowcow-apache</t>
  </si>
  <si>
    <t>"That is why we are leasing today, we are spending 300 million dollars on it, so that our pilots, ground support personnel can get to know and learn all the skills, can take control of this equipment."</t>
  </si>
  <si>
    <t>"On Thursday, February 27, in Inowrocław, Deputy Prime Minister and Minister of National Defense Władysław Kosiniak-Kamysz signed a package of agreements initiating the procedure of leasing AH-64D APACHE attack helicopters."</t>
  </si>
  <si>
    <t>"The signed agreements formally transfers eight AH-64D APACHE helicopters to the United States. The agreements include not only leasing the machines themselves, but also secure a comprehensive process of their operation and training of Polish personnel during the service life. Leasing is bridging, enabling the Polish Army to acquire the necessary capacity for the time of delivery of the previously ordered, AH-64E APACHE helicopters. AH-64D APACHE helicopters will go to subdivisions 1. The Air Force Brigade, where an intensive training process for pilots, technical and security personnel will begin."</t>
  </si>
  <si>
    <t>PL93</t>
  </si>
  <si>
    <t>Tarantula self-propelled reconnaisance system</t>
  </si>
  <si>
    <t>Łukasiewicz Research Network</t>
  </si>
  <si>
    <t>https://www.gov.pl/web/obrona-narodowa/armia-stawia-na-systemy-bezzalogowe-tarantule-zasila-wojsko-polskie</t>
  </si>
  <si>
    <t>"The vehicle agreement was concluded between the State Treasury – Armaments Agency and the Łukasiewicz Research Network – Industrial Institute for Automation and Measurements – PIAP. Its subject is the delivery of 96 Mobile Unmanned Reconnaissance Vehicles in 2026-2027 for the amount of approx. PLN 50 million gross."</t>
  </si>
  <si>
    <t>"In addition to the works, Łukasiewicz Research Network – Industrial Research Institute for Automation and Measurements – PIAP will deliver 10 Maintenance and Repair Kits (MRPs) to the Polish Armed Forces and will conduct vehicle tests and operator training. The agreement provides for the possibility of increasing the order to 130 MBPRs."</t>
  </si>
  <si>
    <t>PL94</t>
  </si>
  <si>
    <t>Ultimate Building Machine</t>
  </si>
  <si>
    <t>MIC Industries</t>
  </si>
  <si>
    <t>https://www.gov.pl/web/obrona-narodowa/tarcza-wschod---operacja-umacniania-wschodniej-granicy-polski-i-wschodniej-flanki-nato</t>
  </si>
  <si>
    <t>"On March 17, Polish officers will leave for the United States to prepare for action on this very – as Prime Minister Kosiniak-Kamysz said – “shelter factory”, because that is what this machine actually is. This contract, worth several hundred million złoty, is a fundamental investment in Polish security and, as Polish generals also reported today, this equipment will reach us in May and will be used to strengthen the Polish border. Step by step, the eastern border, the northern border of the Republic of Poland will be the best secured border."</t>
  </si>
  <si>
    <t>"In mid-January 2025. 2. The Regional Logistics Base signed an agreement with the American company M.I.C. Industries on the purchase of Ultimate Building Machines (UBM). UBM is a steel structured machine. This factory on wheels (the main device and the actuator module is mounted on a two-axle or three-axle trailer) is capable of producing steel supporting elements of buildings (e.g. hangars, halls, warehouses) within a few days, not weeks or months."</t>
  </si>
  <si>
    <t>PL95</t>
  </si>
  <si>
    <t>Borsuk IFV</t>
  </si>
  <si>
    <t>https://www.gov.pl/web/obrona-narodowa/nowe-bojowe-wozy-piechoty-borsuk-zakontraktowane-jeszcze-w-tym-roku-dostawa-pierwszych-egzemplarzy-ze-111-zamowionych</t>
  </si>
  <si>
    <t>"The agreement concluded between the Armaments Agency, representing the State Treasury of the Republic of Poland, and a consortium of companies consisting of: Polska Grupa Zbrojeniowa SA and Huta Stalowa Wola SA concerns the delivery of 111 infantry fighting vehicles of the BORSUK type. The value of the agreement amounts to approx. PLN 6.57 billion gross. The deliveries are expected to be carried out in the years 2025-2029. The agreement also includes a training and logistics package, as well as the development of Technical Documentation for Serial Production, the development of the Commission Acceptance Test Program and the conduct of these tests."</t>
  </si>
  <si>
    <t>"The conclusion of the implementing agreement on Borsuki is the result of the framework agreement of 28 February 2023, which was aimed at defining the rules and conditions for concluding individual implementing agreements related to the supply of BORSUK combat vehicles (BWP) BORSUK and the entire family of specialized caterpillar vehicles based on the universal modular track platform (UMPG) for the Armed Forces of the Republic of Poland. As a result of the concluded framework agreement, over the implementation of the entire project, about 1,400 vehicles will be obtained, including specialist vehicles, i.e.: crawler ŻUK, tracked transport vehicles OSET, in the GOT Medical Escape Vehicles, GEKON Technical Security Vehicles and ARES Contamination Transportation."</t>
  </si>
  <si>
    <t>PL96</t>
  </si>
  <si>
    <t>WISŁA </t>
  </si>
  <si>
    <t>Logistic support for the Patriot system</t>
  </si>
  <si>
    <t>https://www.gov.pl/web/obrona-narodowa/wsparcie-szkoleniowe-i-logistyczne-dla-programu-wisla</t>
  </si>
  <si>
    <t>"This investment at the level of approximately 2 billion dollars, because that is the amount of the agreement that has just been signed, includes the delivery of equipment, logistical support for well-functioning Patriot batteries, for the entire system and for the entire Wisła program."</t>
  </si>
  <si>
    <t>"The agreement signed today with the US concerns the supply of logistical support for the PATRIOT system in the Armed Forces and will cover elements of technical support and training. The implementation of the agreement will allow to obtain the operational readiness of the PATRIOT launcher, on which the Wisła program is based. Poland is the second country in the world, after the USA, with the most modern PATRIOT kits with IBCS system."</t>
  </si>
  <si>
    <t>PL97</t>
  </si>
  <si>
    <t>MikroSAR</t>
  </si>
  <si>
    <t>Satellite Earth Observation System</t>
  </si>
  <si>
    <t>ICEYE Polska Sp. z o. o.</t>
  </si>
  <si>
    <t>Wojskowe Zakłady Łączności No. 1</t>
  </si>
  <si>
    <t>https://www.gov.pl/web/obrona-narodowa/nowe-zdolnosci-wojska-polskiego-umowa-na-dostawe-satelitarnego-systemu-obserwacji-ziemi-w-programie-mikrosar-podpisana</t>
  </si>
  <si>
    <t>"Paweł Bejda, Deputy Minister of National Defense, who was present at the conference, emphasized that the PLN 860 million contract with Polish companies is the fulfillment of the government's obligation to spend 50% of finances on armaments in Polish companies."</t>
  </si>
  <si>
    <t>"The first satellite for the Polish Army will be launched into space this year. The Polish-Finnish company, this Polish-Finnish cooperation is building elite capabilities. security"</t>
  </si>
  <si>
    <t>On May 14, 2025, an agreement was signed between the Armament Agency and the Consortium consisting of: ICEYE Polska Sp. z o. o. and Wojskowe Zakłady Łączności No. 1 for the delivery of the Satellite Earth Observation System in the MikroSAR program.</t>
  </si>
  <si>
    <t>PL98</t>
  </si>
  <si>
    <t>Warmate drone</t>
  </si>
  <si>
    <t>https://www.gov.pl/web/obrona-narodowa/amunicja-krazaca-warmate-dla-wojska-polskiego2</t>
  </si>
  <si>
    <t>"On May 15, 2025 in Warsaw, a framework agreement was signed between the Armaments Agency and WB Electronics S.A. for the supply of nearly a thousand sets of WARMATE circulating ammunition. The contract, which is valid until the end of 2035, assumes the acquisition of about a thousand sets of drones under subsequent executive contracts."</t>
  </si>
  <si>
    <t>PL99</t>
  </si>
  <si>
    <t>https://www.gov.pl/web/obrona-narodowa/umowy-na-dostawe-pociskow-rakietowych-i-wozow-ewakuacji-medycznej-podpisane</t>
  </si>
  <si>
    <t>"On June 30 in Warsaw, Deputy Prime Minister - Minister of National Defense Władysław Kosiniak - Kamysz and Secretary of State at the Ministry of National Defense Paweł Bejda, participated in the signing ceremony of contracts for the supply of AIM-9L rockets for FA-50 light combat aircraft and for the supply of twelve Medical Evacuation Vehicles on the KTO ROSOMAK chassis."</t>
  </si>
  <si>
    <t>PL100</t>
  </si>
  <si>
    <t>AIM9L Sidewinder Block II missile</t>
  </si>
  <si>
    <t>PL101</t>
  </si>
  <si>
    <t>HELIOTROP satellite navigation jammer</t>
  </si>
  <si>
    <t>URC Systems</t>
  </si>
  <si>
    <t>https://www.gov.pl/web/obrona-narodowa/umowa-na-zagluszarki-nawigacji-satelitarnej-podpisana</t>
  </si>
  <si>
    <t xml:space="preserve">"The subject of the agreement concluded between the State Treasury - Armaments Agency and URC Systems, spol. s r.o. is the supply of sets of devices used to interfere with satellite navigation systems under the code name HELIOTROP. A single set will consist of a central unit, antenna sets with a mast, a graphics terminal, software, cabling and control and measuring equipment. The agreement also assumes the provision of technical documentation. The value of the entire order is about PLN 20 million gross, and deliveries will be made in the years 2026-2027. </t>
  </si>
  <si>
    <t>PL102</t>
  </si>
  <si>
    <t>M1150 ABV sapper tank</t>
  </si>
  <si>
    <t>https://www.gov.pl/web/obrona-narodowa/czolgi-saperskie-m1150-abv-dla-wojska-polskiego</t>
  </si>
  <si>
    <t>"The subject of the annex concluded with the American party to the contract of January 2023 for the purchase of M1A1 ABRAMS tanks, is the delivery of 25 M1150 ABV (Assault Breacher Vehicle) sapper vehicles on the chassis of the M1A1 ABRAMS tank, along with logistics and training packages and a stock of spare parts. The value of the annex is about 115 million USD net. Deliveries of vehicles will be made in 2029. Sapper vehicles will enter service in Land Forces units."</t>
  </si>
  <si>
    <t>PL103</t>
  </si>
  <si>
    <t>Main Battle Tank (MBT)</t>
  </si>
  <si>
    <t>BUMAR Łabędy SA</t>
  </si>
  <si>
    <t>https://www.gov.pl/web/obrona-narodowa/umowa-podpisana-potezne-wzmocnienie-wojsk-pancernych---180-czolgow-k2-trafi-do-armii</t>
  </si>
  <si>
    <t>https://notesfrompoland.com/2025/08/01/poland-to-have-more-tanks-than-uk-germany-france-and-italy-combined-after-signing-new-k2-deal/</t>
  </si>
  <si>
    <t>"- We are in Gliwice - the place where the polonized K2 tanks will be created. The place is not random. We wanted to show that we are building the arms industry throughout Poland, and the technology transfer covers everyone. Today's agreement is not only the purchase of tanks - it is a development impulse for the Polish economy. Polish soldiers are clear - these are great tanks. There is no greater credit to the manufacturer than the user's opinion. It is also a reason for our pride that the Polish Army uses such good equipment. The agreement involves the purchase of 180 tanks and 81 accompanying vehicles, including 31 technical protection vehicles, 25 engineering vehicles and 25 bridges. This is the whole logistics package: training, service, repair - all so that the Polish Army will gain not only equipment, but also competence - said the Deputy Prime Minister during the signing of the contract for the supply of K2 tanks."</t>
  </si>
  <si>
    <t>"Poland has signed a $6.7 billion (25.1 billion zloty) deal to buy an additional 180 South Korean K2 tanks, including 61 that will be made in Poland itself.
The purchase marks the latest stage in Poland’s rapid recent military expansion. Once the agreement is completed by 2030, Poland will operate around 1,100 tanks, which is more than Germany, France, the UK and Italy combined.
Poland began to buy K2 tanks from South Korea in 2022 under the former Law and Justice (PiS) government, with the first units beginning to arrive in December that year.
The new contract includes 180 tanks, 81 support vehicles, a logistics package, training, a full service and repair programme, and a technology transfer provision."</t>
  </si>
  <si>
    <t>PL103_a</t>
  </si>
  <si>
    <t>K2GF tank</t>
  </si>
  <si>
    <t>PL103_b</t>
  </si>
  <si>
    <t>K2PL tank</t>
  </si>
  <si>
    <t>PL103_c</t>
  </si>
  <si>
    <t>Technical security vehicle for K2 tank</t>
  </si>
  <si>
    <t>OBRUM  Sp. z o. o.</t>
  </si>
  <si>
    <t>PL103_d</t>
  </si>
  <si>
    <t>Engineering vehicle for K2 tank</t>
  </si>
  <si>
    <t>Earth Moving and Excavating Equipment</t>
  </si>
  <si>
    <t>PL103_e</t>
  </si>
  <si>
    <t>Bridge system for K2 tank</t>
  </si>
  <si>
    <t>PL103_f</t>
  </si>
  <si>
    <t>Spare parts logistics for K2 tank</t>
  </si>
  <si>
    <t>PL104</t>
  </si>
  <si>
    <t>F-16 modernisation</t>
  </si>
  <si>
    <t>Wojskowe Zakłady Lotnicze Nr 2 S.A.</t>
  </si>
  <si>
    <t>https://www.gov.pl/web/obrona-narodowa/polskie-f-16-przejda-modernizacje-do-standardu-f-16v</t>
  </si>
  <si>
    <t>" The subject of the agreement, concluded between the Governments of the Republic of Poland and the United States, is the modernization of the entire fleet of Polish multi-purpose combat aircraft F-16 C/D Block 52. Modernization works will be carried out at the Military Aviation Works No. 2 in Bydgoszcz."</t>
  </si>
  <si>
    <t>PL105</t>
  </si>
  <si>
    <t>Passive Location Radars PET/PCL</t>
  </si>
  <si>
    <t>PIT Radwar</t>
  </si>
  <si>
    <t>https://www.gov.pl/web/obrona-narodowa/umowy---na-radary-i-karabinki-grot-dla-wojska-podpisane</t>
  </si>
  <si>
    <t>https://www.polskieradio.pl/395/7784/artykul/3574244,poland-signs-pln-58-bn-radar-deal-for-air-defense</t>
  </si>
  <si>
    <t>"On September 2, 2025, a contract was signed in Kielce for the supply of 46 PET/PCL Passive Localization Radars for the NAREW program for the Polish Army."</t>
  </si>
  <si>
    <t>"Poland signed a PLN 5.8 billion (EUR 1.4 billion) deal for passive radars for the Narew air and missile defense system at the International Defense Industry Exhibition in Kielce on Tuesday, the defense minister said, calling it an investment in security and industry."</t>
  </si>
  <si>
    <t>PL106</t>
  </si>
  <si>
    <t>MSBS GROT assault rifle</t>
  </si>
  <si>
    <t>"During the MSPO, a contract for the supply of MSBS GROT carbines was also signed. The parties to the agreement are the Armaments Agency and the "Łucznik" Weapons Factory - Radom Sp. z o.o."</t>
  </si>
  <si>
    <t>PL107</t>
  </si>
  <si>
    <t>CGR-080 rocket factory</t>
  </si>
  <si>
    <t>Special Industry Machinery</t>
  </si>
  <si>
    <t>Specialized Ammunition and Ordnance Machinery and Related Equipment</t>
  </si>
  <si>
    <t>Hanwha Aerospace Co. Ltd.</t>
  </si>
  <si>
    <t>"On the first day of the MSPO, in the presence of the head of the Ministry of National Defense, an investment agreement was signed on the establishment of the Joint Venture and the construction of the CGR-080 rocket factory in Poland by WB Electronics and Hanwha Aerospace."</t>
  </si>
  <si>
    <t>PL108</t>
  </si>
  <si>
    <t>Mobile Communication Node (MCC)</t>
  </si>
  <si>
    <t>WZL No. 1 S.A.</t>
  </si>
  <si>
    <t>https://www.gov.pl/web/obrona-narodowa/ponad-2-mld-zl-na-lacznosc-dla-programu-wisla--podpisano-kontrakt-z-wzl-nr-1-sa</t>
  </si>
  <si>
    <t>"The subject of the agreement concluded between the State Treasury - the Armaments Agency and Military Communication Plants No. 1 S.A. is the supply of 56 units of Mobile Communication Nodes (MCC) for the needs of the second phase of the WISŁA Program - one of the most important modernization programs of the Polish army."</t>
  </si>
  <si>
    <t>PL109</t>
  </si>
  <si>
    <t>LEGWAN 4x4 vehicle</t>
  </si>
  <si>
    <t>Polsa Grupa Zbrojeniowa S.A.</t>
  </si>
  <si>
    <t>https://www.gov.pl/web/obrona-narodowa/ponad-tysiac-pojazdow-legwan-trafi-do-zolnierzy-wojska-polskiego</t>
  </si>
  <si>
    <t>"The agreement concluded between the Armaments Agency, representing the State Treasury of the Republic of Poland, and a consortium of companies consisting of: Rosomak S.A. (leader) and Polska Grupa Zbrojeniowa S.A. concerns the supply of a total of 1266 off-road vehicles built on the KIA chassis until 2035."</t>
  </si>
  <si>
    <t>PL110</t>
  </si>
  <si>
    <t>Military fuel pipeline</t>
  </si>
  <si>
    <t>PERN S.A.</t>
  </si>
  <si>
    <t>https://www.gov.pl/web/obrona-narodowa/rozbudowa-infrastruktury-paliwowej-w-polsce--kluczowy-krok-integracji-z-systemem-nato</t>
  </si>
  <si>
    <t>https://www.reuters.com/business/energy/polish-link-with-nato-pipeline-system-cost-20-billion-zlotys-2025-10-03/</t>
  </si>
  <si>
    <t>"On Friday, October 3 in Warsaw, in the presence of Cezary Tomczyk, the Secretary of State in the Ministry of Defence, a preliminary cooperation agreement was signed between the Investment Department of the North Atlantic Treaty Organization (ZIOTP) and PERN S.A. in the implementation of the program of expansion of the Polish fuel infrastructure in order to connect it to the NATO pipeline system. The project is crucial to strengthen the state's energy and defence security."</t>
  </si>
  <si>
    <t>"WARSAW, Oct 3 (Reuters) - Poland said on Friday that its plan to link to a NATO pipeline network, which is designed to supply troops with fuel in the event of war, will cost 20 billion zlotys ($5.5 billion).
Earlier in the day, the ministry and Polish pipeline operator PERN signed a preliminary deal to extend the country's pipelines to connect them to the NATO system."</t>
  </si>
  <si>
    <t>PL111</t>
  </si>
  <si>
    <t>A-26 submarine</t>
  </si>
  <si>
    <t>https://www.gov.pl/web/obrona-narodowa/umowa-na-rakiety-dla-f-35-podpisana</t>
  </si>
  <si>
    <t>https://www.reuters.com/business/aerospace-defense/poland-chooses-sweden-supply-it-with-three-submarines-2025-11-26/</t>
  </si>
  <si>
    <t>"The last few days are extremely important for the security of Polish. Yesterday, two key projects - the selection of a country with which we will acquire underwater capabilities, the order of 3 submarines and the presentation and authorization by the Council of Ministers to submit a list of tasks that we want to carry out under the SAFE program."</t>
  </si>
  <si>
    <t>"The deal with Sweden under the "Orka" programme to boost Poland's military exemplifies Warsaw's efforts to build a Baltic alliance, as its traditional Central European ties are pressured by divisions over Russia and approaches towards the European Union.
"Sweden presented the best offer in terms of all criteria, delivery time, and operational capability, especially in the Baltic Sea," Deputy Prime Minister Wladyslaw Kosiniak-Kamysz told a press conference.
He estimated the value of the deal at around 10 billion zlotys ($2.73 billion), and said Sweden had committed to buy some armaments from Poland as part of a wider cooperation agreement, and to provide a "gap-filler" submarine for the Polish army to train on.
It is the first submarine export order for Saab since it acquired the submarine division in 2014 and CEO Micael Johansson said Poland's announcement marked a "fantastic milestone" for the company.
"It's a real breakthrough," he told Reuters. "It's incredibly important for the security of the Baltic Sea and to have this ability on both sides of the sea means a lot."
Saab, which makes a wide range of military equipment including fighter jets, surveillance systems, missiles and submarines, will supply Poland with its A26 submarines."</t>
  </si>
  <si>
    <t>PL112</t>
  </si>
  <si>
    <t>"The agreement concluded between the Governments of the Republic of Poland and the United States concerns the supply of AIM-120D-3 AMRAAM air-to-air guided missiles for F-35 multi-purpose combat aircraft. The value of the contract is about 500 million USD net. The missiles will be delivered in 2030-2031."</t>
  </si>
  <si>
    <t>PL113</t>
  </si>
  <si>
    <t>Electronic Reconnaissance System</t>
  </si>
  <si>
    <t>https://www.gov.pl/web/obrona-narodowa/kolejny-pakiet-umow-na-rzecz-modernizacji-polskiej-armii</t>
  </si>
  <si>
    <t>"The subject of the first agreement, concluded between the State Treasury - the Armaments Agency and the Saab concern, is to acquire an electronic reconnaissance system."</t>
  </si>
  <si>
    <t>PL114</t>
  </si>
  <si>
    <t>Automated Reconnaissance &amp; Jamming System</t>
  </si>
  <si>
    <t>ASELSAN Elektronik Sanayi ve Ticaret A.Ş.</t>
  </si>
  <si>
    <t>"Another of the contracts concluded with ASELSAN Elektronik Sanayi ve Ticaret A.Ş concerns the supply of an Automated Reconnaisance and Interference System."</t>
  </si>
  <si>
    <t>PL115</t>
  </si>
  <si>
    <t xml:space="preserve">Leopard 2 PLM1 tank simulator </t>
  </si>
  <si>
    <t>Autocomp Management SP. z o.o.</t>
  </si>
  <si>
    <t>"The third of the contracts concerns the acquisition of 6 sets of Leopard 2 PLM1 tank simulators, which will be provided by Autocomp Management Sp. z o.o."</t>
  </si>
  <si>
    <t>PL116</t>
  </si>
  <si>
    <t>CGR-080 rocket</t>
  </si>
  <si>
    <t>Hanwha WB Advanced Systems Sp. z o.o.</t>
  </si>
  <si>
    <t>https://www.gov.pl/web/obrona-narodowa/polska-producentem-rakiet-umowa-dla-homara-k-podpisana</t>
  </si>
  <si>
    <t>https://www.hanwha.com/newsroom/news/press-releases/hanwha-aerospace-signs-contract-to-produce-chunmoo-missile-in-poland.do</t>
  </si>
  <si>
    <t>"The subject of the executive agreement concluded between the State Treasury - the Armaments Agency and a consortium of companies: joint-venture company Hanwha WB Advanced System Sp. z o.o. (leader of the consortium) and Hanwha Aerospace Co. Ltd., is the supply of CGR-080 precision missile missiles with a range of 80 km, which will be produced in Poland."</t>
  </si>
  <si>
    <t>"Hanwha Aerospace has signed an approximately $4 billion (PLN 14 billion) executive contract with the Polish Armament Agency on December 29 for the supply of Chunmoo CGR-080 guided missiles. The contract, signed at the Polish Army Museum in Warsaw, marks the third executive agreement under the Homar-K framework. Notably, this contract was concluded between the Polish Armament Agency and a consortium led by Hanwha WB Advanced System, a joint venture established by Hanwha Aerospace and Poland’s WB Electronics. The CGR-080 is a 239 mm caliber precision-guided missile featuring a range of 80 km and a CEP (Circular Error Probability) of 15 meters. Guided by a GPS/INS guidance system, these missiles will serve as the core ammunition for Poland’s Homar-K (Polish variant of the Chunmoo Multiple Rocket Launcher System)."</t>
  </si>
  <si>
    <t>PL117</t>
  </si>
  <si>
    <t>SAN anti-drone air defence system</t>
  </si>
  <si>
    <t>Polska Grupa Zbrojeniowa S.A.</t>
  </si>
  <si>
    <t>Advanced Protection Systems S.A.</t>
  </si>
  <si>
    <t>https://www.gov.pl/web/obrona-narodowa/system-san-zwiekszy-zdolnosci-wojska-polskiego-do-zwalczania-systemow-bezzalogowych</t>
  </si>
  <si>
    <t>https://wyborcza.pl/7,75398,32565732,tarcza-antydronowa-za-15-mld-zl-mon-rozpoczyna-program-san.html</t>
  </si>
  <si>
    <t>"The subject of the agreement signed today between the State Treasury – the Armaments Agency and the Consortium consisting of: Polska Grupa Zbrojeniowa S.A. (leader), Kongsberg Defence &amp; Aerospace, in which the key subcontractor is also the Polish company Advanced Protection Systems S.A., is the supply of battery modules of anti-aircraft systems with the possibility of combating unmanned aerial systems. As the head of the Ministry of National Defense noted, the SAN system is not a single military equipment. This is the entire system of connected vessels: effectors, sensors and impacts on air threats - both aviation threats, threats from helicopters, and above all threats from unmanned aerial vehicles. We are talking about 18 anti-drone batteries of the system, 52 fire platoons, 18 command platoons, 703 vehicles - about 400 based on Jelcz and 300 based on Legwan."</t>
  </si>
  <si>
    <t>"Poland will build a fourth layer of air defense. The SAN program is intended to be a response to the threat posed by Russian drones. The contract signed today assumes the supply of 18 modern batteries by 2027. - We are dealing with an absolute breakthrough - says Prime Minister Donald Tusk.
On Friday, January 30, the government announced the launch of a project worth 15 billion zlotys. The contract for the new SAN anti-drone system was signed in Kobyłka near Warsaw, in the PGZ plant of PIR-Radwar.
“We are dealing with an absolute breakthrough when it comes to the effective and effective defense of the Polish NATO eastern border. And it is in the most sensitive element, which is air defense, primarily against modern techniques of aggression - said Prime Minister Donald Tusk, who participated in the signing of the contact."</t>
  </si>
  <si>
    <t>FR1</t>
  </si>
  <si>
    <t>SCORPION</t>
  </si>
  <si>
    <t>Griffon</t>
  </si>
  <si>
    <t>(LPM) 2019-2025</t>
  </si>
  <si>
    <t>Arquus</t>
  </si>
  <si>
    <t>https://prod-site-internet-minarm-admin.cloud.defense.gouv.fr/sites/default/files/dga/021_chiffres_cles_DGA_2020_numerique.pdf</t>
  </si>
  <si>
    <t>https://archives.defense.gouv.fr/dga/actualite/le-ministere-des-armees-commande-313-vehicules-blindes-a-l-industrie-francaise.html</t>
  </si>
  <si>
    <t>"Florence Parly, Minister of the Armed Forces, welcomes the order by the General Directorate of Armaments (DGA) on 15 September 2020 of 271 Griffon armoured vehicles and 42 Jaguar armoured vehicles, to the Nexter, Arquus and Thales companies under the Scorpion programme. "</t>
  </si>
  <si>
    <t>FR2</t>
  </si>
  <si>
    <t>Serval</t>
  </si>
  <si>
    <t>Texelis</t>
  </si>
  <si>
    <t>https://archives.defense.gouv.fr/dga/actualite/la-direction-generale-de-l-armement-dga-commande-les-364-premiers-vehicules-blindes-serval-destines-a-l-armee-de-terre.html</t>
  </si>
  <si>
    <t>"Florence Parly, Minister of the Armed Forces, welcomes the order by the DGA on 23 December 2020 of the first 364 lightweight multi-role armoured vehicles (VBMR) to the company grouping (GME) Nexter and Texelis."</t>
  </si>
  <si>
    <t>FR3</t>
  </si>
  <si>
    <t>Jaguar</t>
  </si>
  <si>
    <t>FR4</t>
  </si>
  <si>
    <t>HK416F assualt rifle</t>
  </si>
  <si>
    <t>Heckler &amp; Koch</t>
  </si>
  <si>
    <t>Heckler &amp; Koch SAS France</t>
  </si>
  <si>
    <t>https://archives.defense.gouv.fr/dga/actualite/la-dga-passe-une-nouvelle-commande-de-12-000-fusils-d-assaut-hk-416-f-pour-les-armees.html</t>
  </si>
  <si>
    <t>"The Directorate-General for Armaments (DGA) ordered 12,000 HK 416 F assault rifles on 30 November 2020 from the Heckler and Koch SAS France and Heckler and Koch GmbH grouping."</t>
  </si>
  <si>
    <t>FR5</t>
  </si>
  <si>
    <t>Hawkeye (E2D) surveillance aircraft</t>
  </si>
  <si>
    <t>https://www.navair.navy.mil/news/France-becomes-second-FMS-E-2D-Advanced-Hawkeye/Tue-01052021-1105</t>
  </si>
  <si>
    <t>"Florence Parly, Minister of the Armed Forces, approved on 4 November 2020 the acquisition of three on-board air watch, command and control aircraft E-2D Advanced Hawkeye."</t>
  </si>
  <si>
    <t>"Designed by Northrop-Grumman, the E-2D Advanced Hawkeye is a generational leap from the Hawkeye E-2C model. Its active antenna radar, cockpit and data links are notably improved and it can also be refuelled in flight. The three E-2D aircraft ordered for the French Navy will be adapted to French needs by the integration of a specific computer developed by the Industrial Aeronautics Service (SIAé), which will guarantee the autonomous evolutionary capacity of the system."</t>
  </si>
  <si>
    <t>"France became the second international customer of the E-2D Advanced Hawkeye (AHE), Dec. 2, with a signed Letter of Offer and Acceptance to procure three E-2D aircraft from the U.S. Navy, for a maximum value of $2 billion."</t>
  </si>
  <si>
    <t>FR6</t>
  </si>
  <si>
    <t>AVSIMAR</t>
  </si>
  <si>
    <t>Maritime surveillance and intervention aircraft</t>
  </si>
  <si>
    <t>India</t>
  </si>
  <si>
    <t>https://www.opex360.com/2020/11/19/les-futurs-avions-de-surveillance-maritime-falcon-albatros-de-la-marine-seront-en-partie-produits-en-inde/</t>
  </si>
  <si>
    <t>"On the occasion of her visit on 19 November 2020 to the Dassault Aviation plant in Seclin (Nord), Florence Parly, Minister of the Armed Forces, recalled its decision, taken by the Ministerial Investment Committee on 9 November, to order seven Falcon 2000 LXS aircraft and their support system by the end of the year. This command will immediately perpetuate a hundred jobs at Dassault to develop the militarization of these aircraft."</t>
  </si>
  <si>
    <t>"12 civilian aircraft will be converted into military aircraft under the maritime surveillance and response aircraft programme (AVSIMAR) led by the Directorate-General for Armaments (DGA). Called Albatros, they will be adapted to enable the National Navy to carry out its maritime surveillance and response missions, including traffic control and maritime approaches. The Albatross will replace the eight Falcon 50 M and the five Falcon 200 Gardian naval aeronautics, based in Lorient and the Pacific, respectively."</t>
  </si>
  <si>
    <t>"In any case, during a trip to the Dassault Aviation plant in Seclin on 19 November, Ms Parly announced the decision “to acquire twelve Falcon 2000 LXS aircraft”, seven of which “sold immediately in 2020”. They "will become the eyes of France from the air to the sea", she argued. The amount of this order, including support, is estimated at EUR 1.3 billion. "</t>
  </si>
  <si>
    <t xml:space="preserve">Source 3 says that the total cost of the project is 1.3 billion EUR. Since only 7 are ordered immediately, and not the entire 12, we estimate the cost of this order to be 7/12 of the original, or 758,333,333 EUR. </t>
  </si>
  <si>
    <t>FR7</t>
  </si>
  <si>
    <t>Anti-mine module</t>
  </si>
  <si>
    <t>FR8</t>
  </si>
  <si>
    <t>User ground station</t>
  </si>
  <si>
    <t>FR9</t>
  </si>
  <si>
    <t>SCCOA</t>
  </si>
  <si>
    <t>Refurbished Satam radars</t>
  </si>
  <si>
    <t>https://archives.defense.gouv.fr/actualites/economie-et-technologie/la-dga-poursuit-la-modernisation-du-systeme-sccoa.html</t>
  </si>
  <si>
    <t>https://www.opex360.com/2020/12/22/la-direction-generale-de-larmement-lance-la-modernisation-des-systemes-martha-giraffe-et-satam/</t>
  </si>
  <si>
    <t>"Finally, the third contract, notified on October 16, 2020 to BAe Systems, concerns the treatment of major obsolescence of the three Satam radars (aircraft and munitions acquisition and tracking system) to ensure the maintenance of their mission beyond 2030. These radars are used by the Air and Space Force mainly for its Space surveillance mission in addition to the Graves system (Large Network Adapted to Space Surveillance) developed and maintained by ONERA."</t>
  </si>
  <si>
    <t>FR10</t>
  </si>
  <si>
    <t>Multi-role transport aircraft A330-MRTT</t>
  </si>
  <si>
    <t>https://actu-aero.fr/2020/09/04/la-france-commande-trois-nouveaux-airbus-a330-mrtt/</t>
  </si>
  <si>
    <t>"This aircraft is part of the package of three aircraft ordered on 25 August 2020 under the aeronautics support plan put in place in response to the economic and health crisis linked to the COVID-19 pandemic. As for the previous two, his convoy to Roissy Charles de Gaulle airport was soon planned by a crew of the Estérel squadron of the Army of Air and Space."</t>
  </si>
  <si>
    <t>"The Directorate-General for Armaments (DGA) of France confirmed on Wednesday 3 Sepetember 2020 an order placed with Airbus on 25 August 2020 bringing three Airbus A330-200. The new purchase order of EUR 200 million was announced by the French Government on 9 June as part of the government's plan to support the aeronautics industry.
The French Ministry of the Armed Forces has indicated, without further precision, that the aircraft in question will be converted into a military version MRTT (Multi-Role Tanker Transport), a transport and refuelling aircraft with a broad fuselage called "Phénix" within the French forces"</t>
  </si>
  <si>
    <t>FR11</t>
  </si>
  <si>
    <t>Navy Mini-drones (SMDM)</t>
  </si>
  <si>
    <t>FR12</t>
  </si>
  <si>
    <t>Defence and intervention frigate FDI</t>
  </si>
  <si>
    <t>Naval Group</t>
  </si>
  <si>
    <t>https://prod-site-internet-minarm-admin.cloud.defense.gouv.fr/sites/default/files/dga/022_chiffres_cles_DGA_num_fr.pdf</t>
  </si>
  <si>
    <t>https://www.archives.defense.gouv.fr/portail/actualites2/le-ministere-des-armees-commande-deux-fregates-et-avance-sur-le-porte-avions-de-nouvelle-generation.html</t>
  </si>
  <si>
    <t>https://www.naval-group.com/fr/en-accelerant-le-programme-des-fregates-de-defense-et-dintervention-fdi-le-ministere-des-armees</t>
  </si>
  <si>
    <t>"During a visit to Lorient on March 30th to the Naval Group site, Florence Parly confirmed the order for two new defense and intervention frigates (FDI) to be delivered in 2025. The Minister of the Armed Forces also announced the launch of a new phase of studies for the new generation aircraft carrier (PA-Ng)."</t>
  </si>
  <si>
    <t>"In accordance with the 2019-2025 Military Programming Law (LPM) , five FDIs will be in service by 2030, allowing the French Navy to reach the format of fifteen first-rank frigates. Naval Group and Thales will deliver the frigates while MBDA will be in charge of the on-board missile firing installations. The two new frigates, which will be named Amiral Louzeau and Amiral Castex , will join the first FDI ordered in April 2017, the Amiral Ronarc'h , currently under construction and scheduled for delivery to the French Navy in 2024."</t>
  </si>
  <si>
    <t>FR13</t>
  </si>
  <si>
    <t>Light joint helicopter H160M</t>
  </si>
  <si>
    <t>https://www.defense.gouv.fr/sites/default/files/ministere-armees/Fiche%20LPM%20-%20H%C3%A9licopt%C3%A8re%20interarm%C3%A9es%20l%C3%A9ger%20%28HIL%29.pdf</t>
  </si>
  <si>
    <t>https://actu-aero.fr/2021/12/28/defense-larmee-francaise-commande-les-169-helicopteres-guepard/</t>
  </si>
  <si>
    <t>"On December 23, the French Directorate General for Armaments (DGA) signed a contract with Airbus Helicopters for the development and acquisition of the H160M as part of the light joint helicopter (HIL) program."</t>
  </si>
  <si>
    <t>"The contract signed in December includes the development of several prototypes and the delivery of an initial batch of 30 aircraft (21 for the Army, 8 for the Navy, and 1 for the Air Force). The French Ministry of the Armed Forces plans to order a total of 169 H160M helicopters, or Guépard a it will be known in the French armed forces."</t>
  </si>
  <si>
    <t>FR14</t>
  </si>
  <si>
    <t>Eurodrone system</t>
  </si>
  <si>
    <t>Airbus Defence and Space SAU</t>
  </si>
  <si>
    <t>https://www.archives.defense.gouv.fr/dga/actualite/le-ministere-des-armees-commande-douze-eurodrone-4-systemes.html</t>
  </si>
  <si>
    <t>https://www.defense.gouv.fr/sites/default/files/ministere-armees/Fiche%20LPM%20-%20Eurodrone.pdf</t>
  </si>
  <si>
    <t>"The Joint Armament Cooperation Organisation (OCCAR), on behalf of the French Directorate General for Armaments (DGA) and its German, Spanish and Italian counterparts, has notified Airbus Defence and Space GmbH of twenty Eurodrone systems, four of which will be operated by the French Air and Space Force."</t>
  </si>
  <si>
    <t>"The order placed by OCCAR, worth €7.1 billion (excluding tax), covers the development and production of sixty European medium-altitude, long-endurance Eurodrone drones, including twelve for France, as well as the first five years of support. Production of the first prototype will begin in 2024."</t>
  </si>
  <si>
    <t>"The contract was awarded to Airbus Defence and Space GmbH (Airbus Germany), the prime contractor for the program, supported by its major partners Dassault Aviation, Leonardo, and Airbus Defence and Space SAU (Airbus Spain). It includes the development, production, and support of twenty systems, plus six optional systems. Each system includes three drones and two ground stations.
France plans to acquire a total of six systems, four of which have just been ordered. The French Eurodrone will gradually replace the Reaper drones currently in operation within the French Air and Space Force, which will be phased out after 2030."</t>
  </si>
  <si>
    <t>Source 2 says that the total contract price for 60 Eurodrones is 7.1 billion EUR. France orders 12 of these drones (making 4 systems), so the amount of the order we attribute to France is 1/5 of the total, or 1.42 billion EUR.</t>
  </si>
  <si>
    <t>FR15</t>
  </si>
  <si>
    <t>MM40 Block 3c missile kit</t>
  </si>
  <si>
    <t>FR16</t>
  </si>
  <si>
    <t>Light armoured vehicle</t>
  </si>
  <si>
    <t>FR17</t>
  </si>
  <si>
    <t>Leclerc tank (retrofit)</t>
  </si>
  <si>
    <t>Nexter Systems</t>
  </si>
  <si>
    <t>https://archives.defense.gouv.fr/dga/actualite/le-char-leclerc-bientot-connecte-et-rajeuni.html</t>
  </si>
  <si>
    <t>"Florence Parly, Minister of the Armed Forces, welcomes the notification by the Directorate-General of Armaments (DGA) on 1 June 2021 of the renovation by the company Nexter Systems of the first 50 Leclerc tanks for the benefit of the Army."</t>
  </si>
  <si>
    <t>FR18</t>
  </si>
  <si>
    <t>Medium-range missile firing station</t>
  </si>
  <si>
    <t>FR19</t>
  </si>
  <si>
    <t>ALSR aircraft</t>
  </si>
  <si>
    <t>FR20</t>
  </si>
  <si>
    <t>https://archives.defense.gouv.fr/actualites/economie-et-technologie/la-dga-receptionne-2-000-nouveaux-fusils-hk416-pour-les-trois-armees.html</t>
  </si>
  <si>
    <t>"In 2021, 12,000 rifles are planned to be delivered to the armed forces: with this new reception, 8,000 have already been delivered and 4,000 more will be delivered by the end of the year.
A new order for 12,000 HK416s will be placed in 2021, in accordance with the order rate set by the LPM."</t>
  </si>
  <si>
    <t>FR21</t>
  </si>
  <si>
    <t>MMP missile</t>
  </si>
  <si>
    <t>https://prod-site-internet-minarm-admin.cloud.defense.gouv.fr/sites/default/files/dga/023_chiffres_cles_DGA.pdf</t>
  </si>
  <si>
    <t>https://www.defense.gouv.fr/dga/actualites/dga-notifie-a-mbda-commande-200-missiles-anti-char-moyenne-portee</t>
  </si>
  <si>
    <t>"The Directorate-General for Armaments (DGA) notified on 29 December 2022 the control of 200 medium-range MMP missiles, referred to as “Akeron MP” to MBDA in accordance with LPM 2019-2025."</t>
  </si>
  <si>
    <t>FR22</t>
  </si>
  <si>
    <t>Aster 30 B1 missile</t>
  </si>
  <si>
    <t>FR23</t>
  </si>
  <si>
    <t>Aster 15 missile</t>
  </si>
  <si>
    <t>FR24</t>
  </si>
  <si>
    <t>Aster 30 B1NT missile</t>
  </si>
  <si>
    <t>FR25</t>
  </si>
  <si>
    <t>https://www.defense.gouv.fr/sites/default/files/dga/022_dossier_Griffon_Jaguar.pdf</t>
  </si>
  <si>
    <t>https://www.arquus-defense.com/fr/newsroom/actualites/notification-dune-nouvelle-commande-de-griffon-et-jaguar</t>
  </si>
  <si>
    <t>"This tranche corresponds to 88 additional JAGUAR armored reconnaissance and combat vehicles and 302 additional GRIFFON multi-role armored vehicles. This new order will bring the number of JAGUAR and GRIFFON ordered to 150 and 909 respectively, in accordance with the objective set by the 2019-2025 Military Programming Act (LPM). This represents half of the total number of JAGUAR and GRIFFON (excluding MEPAC) planned as part of the SCORPION program for the renewal of the middle segment of the Army's armored vehicles. In addition, this notification follows closely that of the order for 54 GRIFFON MEPAC, a version equipped with a 120mm mortar, the delivery of which will begin in 2024."</t>
  </si>
  <si>
    <t>FR26</t>
  </si>
  <si>
    <t>FR27</t>
  </si>
  <si>
    <t>https://www.defense.gouv.fr/dga/actualites/dga-commande-100-chars-leclerc-renoves-xlr</t>
  </si>
  <si>
    <t>https://defense-zone.com/blogs/industries-et-innovations/dga-stat-nexter-leclerc-char-xlr-renove-scorpion-armee-de-terre-france</t>
  </si>
  <si>
    <t>"On December 24, 2024, the French Armaments Directorate General (DGA) ordered the renovation of 100 Leclerc (XLR) tanks, bringing the number of renovated tanks ordered to 200 (50 were ordered in 2021 and 50 in 2022). The DGA also delivered the 34th renovated XLR tank to the French Army on December 10, 2024 , including 21 for the year 2024."</t>
  </si>
  <si>
    <t>"On December 29, 2022, the French Armaments Directorate General (DGA) ordered 50 refurbished Leclerc tanks (XLR) from Nexter. Industrial qualification tests are being carried out in close collaboration with the DGA and the Army Technical Section. "A first prototype tank was delivered to the DGA at the end of 2022, and the first 18 production units will be delivered to the ADT in 2023, in accordance with the refurbishment contract schedule notified to Nexter on June 1, 2021," Nexter stated in its press release. "</t>
  </si>
  <si>
    <t>FR28</t>
  </si>
  <si>
    <t>https://armement.defense.gouv.fr/reception-de-1000-et-commande-de-8-660-fusils-hk416-par-la-dga</t>
  </si>
  <si>
    <t>https://www.joint-forces.com/defence-equipment-news/60676-french-dga-hk416-rifles-received-and-ordered</t>
  </si>
  <si>
    <t>"The French Armaments Agency (DGA) has just received the last 1,000 HK416 rifles out of the 12,000 due for 2022. In addition, the DGA has also ordered the last 8,660 rifles out of the 12,660 to be ordered in 2022, for a total of €12.5 million. The first 4,000 were ordered on June 30, 2022."</t>
  </si>
  <si>
    <t>FR29</t>
  </si>
  <si>
    <t>Falcon 900 MEDEVAC aircraft</t>
  </si>
  <si>
    <t>FR30</t>
  </si>
  <si>
    <t>Projectable module SIA (Armed Forces Information System)</t>
  </si>
  <si>
    <t>FR31</t>
  </si>
  <si>
    <t>Fixed approach radar</t>
  </si>
  <si>
    <t>FR32</t>
  </si>
  <si>
    <t>Air traffic control and command center (ACCS)</t>
  </si>
  <si>
    <t>FR33</t>
  </si>
  <si>
    <t>On-board mortars for contact support (MEPAC)</t>
  </si>
  <si>
    <t>FR34</t>
  </si>
  <si>
    <t>Light armoured vehicle (retrofit)</t>
  </si>
  <si>
    <t>FR35</t>
  </si>
  <si>
    <t>Syracuse IV satellite ground station</t>
  </si>
  <si>
    <t>FR36</t>
  </si>
  <si>
    <t>Fardier airborne all-terrain vehicle</t>
  </si>
  <si>
    <t>UNAC</t>
  </si>
  <si>
    <t>https://www.defense.gouv.fr/dga/actualites/direction-generale-larmement-commande180-vehicules-fardier-100-remorques</t>
  </si>
  <si>
    <t>"On August 30, 2022, the French Armaments Agency (DGA) notified UNAC of the order for the last 180 flatbed trucks out of the 300 planned for under the 2019-2025 military planning law, and the last 100 trailers out of the 172 also planned. The contract for the flatbed trucks and their trailers, worth a total of €44 million, also includes 10 years of support from the manufacturer."</t>
  </si>
  <si>
    <t>FR37</t>
  </si>
  <si>
    <t>Launch of Phase 1B of the NGWS (Next generation weapon system)</t>
  </si>
  <si>
    <t>FR38</t>
  </si>
  <si>
    <t>Serval and related infrastructure</t>
  </si>
  <si>
    <t>(LPM) 2024-2030</t>
  </si>
  <si>
    <t xml:space="preserve">https://www.budget.gouv.fr  ›  documentation  ›  file-download  ›  18462 </t>
  </si>
  <si>
    <t>https://armement.defense.gouv.fr/les-commandes-aupres-de-lindustrie-de-defense-passees-par-la-dga-atteignent-un-niveau-historique-en</t>
  </si>
  <si>
    <t>https://dicod.hosting.augure.com/Augure_Dicod/r/ContenuEnLigne/Download?id=C71425C4-8665-405F-B3DB-814962DF3B63&amp;filename=La%20DGA%20commande%20420%20v%C3%A9hicules%20blind%C3%A9s%20Serval%20destin%C3%A9s%20%C3%A0%20l%27arm%C3%A9e%20de%20Terre.pdf</t>
  </si>
  <si>
    <t>"On 1 February 2024, DGA, Directorate-General for Armament, announced the signing of the new contract for the acquisition of 420 VBMR-L Serval light multi-role armoured vehicles. The contract for these EUR 500 million armoured armoured vehicles was presented on 30 December and follows on from the 364 Servals already ordered by DGA at the end of 2020."</t>
  </si>
  <si>
    <t>FR39</t>
  </si>
  <si>
    <t>Heavy goods vehicle for the special forces</t>
  </si>
  <si>
    <t>https://www.forcesoperations.com/le-ministere-des-armes-maintient-le-cap-budgetaire-pour-2023-et-au-dela/</t>
  </si>
  <si>
    <t>FR40</t>
  </si>
  <si>
    <t>https://www.bfmtv.com/economie/entreprises/defense/avions-navires-blindes-munitions-les-commandes-militaires-de-la-france-en-2023_AN-202209270345.html</t>
  </si>
  <si>
    <t>FR41</t>
  </si>
  <si>
    <t>3rd major technical shutdown of the aircraft carrier Charles de Gaulle</t>
  </si>
  <si>
    <t>Safran Electronics and Defense</t>
  </si>
  <si>
    <t>https://dicod.hosting.augure.com/Augure_Dicod/r/ContenuEnLigne/Download?id=6EE66B0F-C115-4A69-8F24-4A450DF7480D&amp;filename=Communiqu%C3%A9_La%20Direction%20g%C3%A9n%C3%A9rale%20de%20l%E2%80%99armement%20commande%20la%20modernisation%20du%20porte-avions%20Charles%20de%20Gaulle.pdf</t>
  </si>
  <si>
    <t>https://www.opex360.com/2024/02/02/le-contrat-relatif-au-troisieme-arret-technique-majeur-du-porte-avions-charles-de-gaulle-a-ete-notifie/</t>
  </si>
  <si>
    <t>"As for the cost of this ATM 3, the DGA has not provided any figures. However, according to the annual performance projects published by the Ministry of Economy and Finance for the 2023 Finance Act, it is an investment of €579.31 million in commitment authorizations."</t>
  </si>
  <si>
    <t>FR42</t>
  </si>
  <si>
    <t>Rafale fighter jet</t>
  </si>
  <si>
    <t>Dassault Aviation</t>
  </si>
  <si>
    <t>https://www.defense.gouv.fr/sites/default/files/ministere-armees/12.01.24%20Commande%20de%2042%20Rafale%20pour%20l%E2%80%99arm%C3%A9e%20de%20l%E2%80%99Air%20et%20de%20l%E2%80%99Espace.pdf</t>
  </si>
  <si>
    <t>https://www.defense.gouv.fr/dga/actualites/dga-commande-42-rafale-larmee-lair-lespace</t>
  </si>
  <si>
    <t>"The Directorate-General for Armaments (DGA) notified Dassault Aviation, Thales, Safran and MBDA of the contract for the 5th production tranche of the Rafale programme. It includes the production of 42 aircraft, in single-seater version of the F4 standard, for the Air and Space Army."</t>
  </si>
  <si>
    <t>FR43</t>
  </si>
  <si>
    <t>FR44</t>
  </si>
  <si>
    <t>EXOCET missile</t>
  </si>
  <si>
    <t>FR45</t>
  </si>
  <si>
    <t>ASTER 30 missile for FDI frigate</t>
  </si>
  <si>
    <t>FR46</t>
  </si>
  <si>
    <t>Set of NBC protection masks</t>
  </si>
  <si>
    <t>FR47</t>
  </si>
  <si>
    <t>CAESAR</t>
  </si>
  <si>
    <t>https://dicod.hosting.augure.com/Augure_Dicod/r/ContenuEnLigne/Download?id=90F4C2B0-BC1E-433E-9BDD-FE7F0F53B281&amp;filename=Communiqu%C3%A9_%20La%20Direction%20g%C3%A9n%C3%A9rale%20de%20l%E2%80%99armement%20a%20command%C3%A9%20109%20Canons%20Caesar%20de%20nouvelle%20g%C3%A9n%C3%A9ration%20%28Mk%20II%29.pdf</t>
  </si>
  <si>
    <t>https://www.opex360.com/2024/01/23/les-commandes-notifiees-par-la-direction-generale-de-larmement-ont-atteint-un-niveau-historique-en-2023/</t>
  </si>
  <si>
    <t>"On December 30, 2023, the French defense procurement agency (DGA) placed an order for 109 new-generation Caesar artillery systems (Mk II) from Nexter Systems,
a subsidiary of the Franco-German KNDS group, for a total value of around €350 million."</t>
  </si>
  <si>
    <t>FR48</t>
  </si>
  <si>
    <t>CAESAR; Ukraine replacement</t>
  </si>
  <si>
    <t>FR49</t>
  </si>
  <si>
    <t>https://www.budget.gouv.fr  ›  documentation  ›  file-download  ›  21423</t>
  </si>
  <si>
    <t>FR50</t>
  </si>
  <si>
    <t>Armoured vehicles SCORPION</t>
  </si>
  <si>
    <t>FR51</t>
  </si>
  <si>
    <t>FR52</t>
  </si>
  <si>
    <t>Light vehicles for special forces</t>
  </si>
  <si>
    <t>FR53</t>
  </si>
  <si>
    <t>FR54</t>
  </si>
  <si>
    <t>Lot of EXOCET missiles</t>
  </si>
  <si>
    <t>FR55</t>
  </si>
  <si>
    <t>Mine warfare vessels and SLAMF (future mine countermeasures system) autonomous underwater robots</t>
  </si>
  <si>
    <t>FR56</t>
  </si>
  <si>
    <t>SAMP-T NG system (retrofit)</t>
  </si>
  <si>
    <t>https://www.defense.gouv.fr/actualites/construire-defense-aerienne-antimissile-leurope</t>
  </si>
  <si>
    <t>https://gnn-media.com/les-samp-t-ng-francais-sur-trajectoire-pour-une-livraison-en-2026/</t>
  </si>
  <si>
    <t>FR57</t>
  </si>
  <si>
    <t>MICA VL system</t>
  </si>
  <si>
    <t>FR58</t>
  </si>
  <si>
    <t>Lot of METEOR missiles</t>
  </si>
  <si>
    <t>FR59</t>
  </si>
  <si>
    <t>Lot of MICA NG missiles</t>
  </si>
  <si>
    <t>FR60</t>
  </si>
  <si>
    <t>FR61</t>
  </si>
  <si>
    <t>Acquisition of additional anti-drone resources</t>
  </si>
  <si>
    <t>FR62</t>
  </si>
  <si>
    <t>Chemical munitions transport truck SECOIA</t>
  </si>
  <si>
    <t>FR63</t>
  </si>
  <si>
    <t>New-generation tanker truck</t>
  </si>
  <si>
    <t>https://www.budget.gouv.fr  ›  documentation  ›  file-download  ›  27893</t>
  </si>
  <si>
    <t>FR64</t>
  </si>
  <si>
    <t>Launch of the new-generation aircraft carrier</t>
  </si>
  <si>
    <t>FR65</t>
  </si>
  <si>
    <t>FR66</t>
  </si>
  <si>
    <t>Anti-mine warship</t>
  </si>
  <si>
    <t>FR67</t>
  </si>
  <si>
    <t>FR68</t>
  </si>
  <si>
    <t>https://www.opex360.com/2024/10/20/les-reservistes-operationnels-vont-troquer-leurs-fusils-famas-contre-des-hk416f/</t>
  </si>
  <si>
    <t>FR69</t>
  </si>
  <si>
    <t>6th Rafale Squadron (RAF6) infrastructure</t>
  </si>
  <si>
    <t>FR70</t>
  </si>
  <si>
    <t>Lot of AASM munition</t>
  </si>
  <si>
    <t>FR71</t>
  </si>
  <si>
    <t>Lot of METEOR, MMP et SCALP missiles</t>
  </si>
  <si>
    <t>Germany order value by general item type by month (billion EUR)</t>
  </si>
  <si>
    <t>This section shows the total amount Germany ordered by general item type in € billion over time between January 2020 and January 2026. It includes the general item type itself and the development associated with that general type.</t>
  </si>
  <si>
    <t>Month</t>
  </si>
  <si>
    <t>Air defence system (dev.)</t>
  </si>
  <si>
    <t>Aircraft (dev.)</t>
  </si>
  <si>
    <t>Ammunition (dev.)</t>
  </si>
  <si>
    <t>Armoured vehicle</t>
  </si>
  <si>
    <t>Armoured vehicle (dev.)</t>
  </si>
  <si>
    <t>Artillery (dev.)</t>
  </si>
  <si>
    <t>Drone (dev.)</t>
  </si>
  <si>
    <t>Helicopter (dev.)</t>
  </si>
  <si>
    <t>Infantry (dev.)</t>
  </si>
  <si>
    <t>Main battle tank</t>
  </si>
  <si>
    <t>Main battle tank (dev.)</t>
  </si>
  <si>
    <t>Maintenance</t>
  </si>
  <si>
    <t>Maintenance (dev.)</t>
  </si>
  <si>
    <t>Mine</t>
  </si>
  <si>
    <t>Mine (dev.)</t>
  </si>
  <si>
    <t>Missile</t>
  </si>
  <si>
    <t>Missile (dev.)</t>
  </si>
  <si>
    <t>Modernisation (dev.)</t>
  </si>
  <si>
    <t>Naval (dev.)</t>
  </si>
  <si>
    <t>Other (dev.)</t>
  </si>
  <si>
    <t>Missile (Air)</t>
  </si>
  <si>
    <t>Total</t>
  </si>
  <si>
    <t>United Kingdom order value by general item type by month (billion GBP)</t>
  </si>
  <si>
    <t>This section shows the total amount the UK ordered by general item type in £ billion over time between January 2020 and January 2026. It includes the general item type itself and the development associated with that general type.</t>
  </si>
  <si>
    <t>Poland order value by general item type by month (billion EUR)</t>
  </si>
  <si>
    <t>This section shows the total amount Poland ordered by general item type in € billion over time between January 2019 and January 2026. It includes the general item type itself and the development associated with that general type.</t>
  </si>
  <si>
    <t>Unit costs and number of units for ordered items</t>
  </si>
  <si>
    <t>This section shows the unit cost in Source currency and Euro as well as number of units ordered for Germany, the UK, Poland, and France between 2020 and 2026. It only includes orders for which the both the number of units and the total monetary amount of the order are known, and then we divide the monetary amount by the number of units. Service contracts are listed below regular items. For service contracts, we consider a year of continued service to be a unit. 
Note that most procurement contracts include additional equipment and services, such as spare parts, training, accessories, and ammunition, and that the unit cost listed here is rarely the cost of just one unit of the main item. Please refer to the Sources and Comments for the order ID for more details into what is included in a particular order.</t>
  </si>
  <si>
    <t>ID</t>
  </si>
  <si>
    <t>Country</t>
  </si>
  <si>
    <t>Item</t>
  </si>
  <si>
    <t>Specific Item Type</t>
  </si>
  <si>
    <t>General Item Type</t>
  </si>
  <si>
    <t>Item Number</t>
  </si>
  <si>
    <t>Unit Cost (Source)</t>
  </si>
  <si>
    <t>Unit Cost (Euro)</t>
  </si>
  <si>
    <t>Units</t>
  </si>
  <si>
    <t>Service Contracts - Cost per Year</t>
  </si>
  <si>
    <t>List and description of dataset classifications</t>
  </si>
  <si>
    <t>This section lists and describes the general item classification and the funding classifications for Germany and France.</t>
  </si>
  <si>
    <t>General item classification</t>
  </si>
  <si>
    <t>Number</t>
  </si>
  <si>
    <t>General Item</t>
  </si>
  <si>
    <t>Description</t>
  </si>
  <si>
    <t>Refers to main battle tanks (MBTs).</t>
  </si>
  <si>
    <t>Refers to other armoured vehicles, including infantry fighting vehicles (IFVs).</t>
  </si>
  <si>
    <t>Refers to gun artillery, in particular howitzers.</t>
  </si>
  <si>
    <t>Refers to large caliber ammunition for heavy weapons.</t>
  </si>
  <si>
    <t>Refers to air defence, anti-aircraft systems.</t>
  </si>
  <si>
    <t>Refers to missiles (further differentiated into land, sea, and air types).</t>
  </si>
  <si>
    <t>Refers to drones and autonomous vehicles.</t>
  </si>
  <si>
    <t>Refers to infantry related items, such as small arms and light weapons and corresponding ammunition.</t>
  </si>
  <si>
    <t>Refers to mines.</t>
  </si>
  <si>
    <t>Refers to helicopters for land forces (helicopters for airforce or navy are counted under the respective category).</t>
  </si>
  <si>
    <t>Refers to the air force.</t>
  </si>
  <si>
    <t>Refers to the navy.</t>
  </si>
  <si>
    <t>Refers to puchases that improve the armed forces as a whole, such as communication equipment and digitalisation.</t>
  </si>
  <si>
    <t>Refers to ongoing maintenance activities that ensure sustainment.</t>
  </si>
  <si>
    <t>Development</t>
  </si>
  <si>
    <t>Refers to research and development expenses associated with all other weapon categories.</t>
  </si>
  <si>
    <t>Refers to other purchases not directly matching any other category, such as non-combat military vehicles.</t>
  </si>
  <si>
    <t>Germany funding classification</t>
  </si>
  <si>
    <t>Budget for the federal ministry of the interior (Bundesministerium des Innern und für Heimat).</t>
  </si>
  <si>
    <t>Regular defence budget, Einzelplan 14.</t>
  </si>
  <si>
    <t>Budget line in support of partner countries (in particular Ukraine), Einzelplan 60.</t>
  </si>
  <si>
    <t>Federal government's economic stimulus package (after COVID).</t>
  </si>
  <si>
    <t>Special €100 billion debt fund that was created in 2022 to purchase military equipment.</t>
  </si>
  <si>
    <t>France funding classification</t>
  </si>
  <si>
    <t>Military programming law 2019-2025.</t>
  </si>
  <si>
    <t>Military programming law 2024-2030.</t>
  </si>
  <si>
    <t>Item classification</t>
  </si>
  <si>
    <t>This section shows the classifications assigned to each item. See "List of Classifications" for a description of each general item type.</t>
  </si>
  <si>
    <t>Medium-altitude long-endurance (MALE) unmanned aerial vehicle (UAV)</t>
  </si>
  <si>
    <t>Frigate</t>
  </si>
  <si>
    <t>Radar technology for fighter jet</t>
  </si>
  <si>
    <t>Communication and digitalisation</t>
  </si>
  <si>
    <t>Surface-to-surface (SSM) missile</t>
  </si>
  <si>
    <t>Surface-to-surface (SSM) missile - additional services</t>
  </si>
  <si>
    <t>Transportation for military personnel</t>
  </si>
  <si>
    <t>Fighter aircraft</t>
  </si>
  <si>
    <t>Equipment for heavyweight torpedo</t>
  </si>
  <si>
    <t>Communication and digitalisation development</t>
  </si>
  <si>
    <t>Development - Modernisation</t>
  </si>
  <si>
    <t>Maritime frigate attack helicopter</t>
  </si>
  <si>
    <t>Armoured Utility Vehicle (AUV)</t>
  </si>
  <si>
    <t>Industrial company purchase</t>
  </si>
  <si>
    <t>Anti-tank guided missile system</t>
  </si>
  <si>
    <t>Armoured engineer vehicle</t>
  </si>
  <si>
    <t>Naval reconnaissance drone</t>
  </si>
  <si>
    <t>Light utility helicopter</t>
  </si>
  <si>
    <t>Radar warning system for fighter jet</t>
  </si>
  <si>
    <t>Medium Altitude Long Endurance Remotely Piloted Aircraft System development</t>
  </si>
  <si>
    <t>Development - Drone</t>
  </si>
  <si>
    <t>Medium transport helicopter equipment</t>
  </si>
  <si>
    <t>Military vehicle maintentance support</t>
  </si>
  <si>
    <t>Maritime reconnaissance patrol aircraft</t>
  </si>
  <si>
    <t>Combat aircraft system development</t>
  </si>
  <si>
    <t>Development - Aircraft</t>
  </si>
  <si>
    <t>Airborne surveillance system</t>
  </si>
  <si>
    <t>Air traffic control system</t>
  </si>
  <si>
    <t>Reconnaissance ship</t>
  </si>
  <si>
    <t>Replenishment auxiliary ship</t>
  </si>
  <si>
    <t>Submarine</t>
  </si>
  <si>
    <t>Anti-ship missile (long-range)</t>
  </si>
  <si>
    <t>Anti-ship missile system (long-range) development</t>
  </si>
  <si>
    <t>Development - Missile (Naval)</t>
  </si>
  <si>
    <t>Infantry fighting vehicle (IFV)</t>
  </si>
  <si>
    <t>Joint tactical fire support vehicle</t>
  </si>
  <si>
    <t>Development - Armoured vehicle</t>
  </si>
  <si>
    <t>Special forces vehicle</t>
  </si>
  <si>
    <t>Armoured personnel carrier (APC)</t>
  </si>
  <si>
    <t>Frigate modernisation</t>
  </si>
  <si>
    <t>Repair equipment for surface-to-surface (SSM) missile</t>
  </si>
  <si>
    <t>Coastal trial support ship</t>
  </si>
  <si>
    <t>Minehunter ship modernisation</t>
  </si>
  <si>
    <t>Naval communication system</t>
  </si>
  <si>
    <t>Naval radar navigation system</t>
  </si>
  <si>
    <t>Equipment for Small Arms and Light Weapons (SALW)</t>
  </si>
  <si>
    <t>Ammunition equipment</t>
  </si>
  <si>
    <t>Airforce operational readiness</t>
  </si>
  <si>
    <t>Helicopter communication system</t>
  </si>
  <si>
    <t>Guided missile for medium-altitude long-endurance (MALE) unmanned aerial vehicle (UAV)</t>
  </si>
  <si>
    <t>Spare parts logistics</t>
  </si>
  <si>
    <t>Medium-range operational boat</t>
  </si>
  <si>
    <t>Maritime reconnaissance patrol aircraft - contract adjustment</t>
  </si>
  <si>
    <t>Weapon system development</t>
  </si>
  <si>
    <t>Naval guided surface-to-air missile (SAM) - additional services</t>
  </si>
  <si>
    <t>155mm howitzer ammunition development</t>
  </si>
  <si>
    <t>Development - Ammunition</t>
  </si>
  <si>
    <t xml:space="preserve">30mm infantry fighting vehicle ammunition </t>
  </si>
  <si>
    <t>All-terrain vehicle</t>
  </si>
  <si>
    <t>Military transportation</t>
  </si>
  <si>
    <t>35mm anti-aircraft gun tank ammunition</t>
  </si>
  <si>
    <t>155mm howitzer</t>
  </si>
  <si>
    <t>Medical emergency facility</t>
  </si>
  <si>
    <t>Naval surface-to-air missile (SAM) missile (medium-range)</t>
  </si>
  <si>
    <t>Geoinformation data production</t>
  </si>
  <si>
    <t>Anti-aircraft surface-to-air missile (SAM) system (medium-range)</t>
  </si>
  <si>
    <t>Heavy transport helicopter</t>
  </si>
  <si>
    <t>Reconnaissance ship - contract adjustment</t>
  </si>
  <si>
    <t>Light air assault vehicle</t>
  </si>
  <si>
    <t>155mm artillery round DiNa</t>
  </si>
  <si>
    <t>155mm ammunition equipment</t>
  </si>
  <si>
    <t>Air-supported reconnaissance drone</t>
  </si>
  <si>
    <t>Fighter jet radar development</t>
  </si>
  <si>
    <t>Surface-to-air missile (SAM) system</t>
  </si>
  <si>
    <t>Underwater reconnaissance drone</t>
  </si>
  <si>
    <t>Anti-tank directional mine</t>
  </si>
  <si>
    <t>Anti-aircraft surface-to-air missile (SAM) system (long-range) equipment</t>
  </si>
  <si>
    <t>Medium-altitude long-endurance (MALE) drone</t>
  </si>
  <si>
    <t>Military vehicle maintentance</t>
  </si>
  <si>
    <t>Infantry mobility vehicle</t>
  </si>
  <si>
    <t>Infrared decoy target</t>
  </si>
  <si>
    <t>Light attack helicopter</t>
  </si>
  <si>
    <t>All-terrain vehicle equipment</t>
  </si>
  <si>
    <t>Underwater situational display system</t>
  </si>
  <si>
    <t>Air-to-air missile (AAM)</t>
  </si>
  <si>
    <t>Surface-to-air missile (SAM)</t>
  </si>
  <si>
    <t>Air-to-air missile (AAM) development</t>
  </si>
  <si>
    <t>Development - Missile (Air)</t>
  </si>
  <si>
    <t>Development - Air defence system</t>
  </si>
  <si>
    <t>Self-propelled anti-aircraft weapon</t>
  </si>
  <si>
    <t>Anti-aircraft surface-to-air missile (SAM) system (long-range)</t>
  </si>
  <si>
    <t>Light tank</t>
  </si>
  <si>
    <t>Armored fighting vehicle maintenance</t>
  </si>
  <si>
    <t>Infantry fighting vehicle (IFV) equipment</t>
  </si>
  <si>
    <t>70mm attack helicopter rocket</t>
  </si>
  <si>
    <t>Maritime multi-role frigate helicopter</t>
  </si>
  <si>
    <t>Fighter jet development</t>
  </si>
  <si>
    <t>Fighter aircraft support system</t>
  </si>
  <si>
    <t>Smoke hand grenade</t>
  </si>
  <si>
    <t>Lightweight anti-submarine torpedo</t>
  </si>
  <si>
    <t>Operations and command infrastructure</t>
  </si>
  <si>
    <t>Frigate - contract adjustment</t>
  </si>
  <si>
    <t>Fighter aircraft display</t>
  </si>
  <si>
    <t>Light armoured reconnaissance vehicle equipment</t>
  </si>
  <si>
    <t>Supersonic anti-ship missile development</t>
  </si>
  <si>
    <t>Air-to-surface missile (ASM)</t>
  </si>
  <si>
    <t>Man-portable surface-to-air missile</t>
  </si>
  <si>
    <t>Frigate modernization</t>
  </si>
  <si>
    <t>Fighter aircraft display development</t>
  </si>
  <si>
    <t>Transport aircraft</t>
  </si>
  <si>
    <t>Anti-tank missile</t>
  </si>
  <si>
    <t>Anti-missile countermeasure system</t>
  </si>
  <si>
    <t>Modular field hospital</t>
  </si>
  <si>
    <t>Helicopter navigation system</t>
  </si>
  <si>
    <t>Radar system for fighter jet</t>
  </si>
  <si>
    <t>Multiple rocket launcher system</t>
  </si>
  <si>
    <t>Hand grenade</t>
  </si>
  <si>
    <t>Air-launched cruise missile</t>
  </si>
  <si>
    <t>Frigate development</t>
  </si>
  <si>
    <t>Naval guided missile development</t>
  </si>
  <si>
    <t>Surface-to-air missile (SAM) system upgrade</t>
  </si>
  <si>
    <t>Training contract</t>
  </si>
  <si>
    <t>Submarine sonar</t>
  </si>
  <si>
    <t>Projectile tracking system</t>
  </si>
  <si>
    <t>Engine maintenance</t>
  </si>
  <si>
    <t>Long-range strike drone</t>
  </si>
  <si>
    <t>Patrol boat</t>
  </si>
  <si>
    <t>Development (unspecified)</t>
  </si>
  <si>
    <t>Aquatic obstacle survey system development</t>
  </si>
  <si>
    <t>Non-combat military vehicle maintenance</t>
  </si>
  <si>
    <t>Submarine rescue operations contract</t>
  </si>
  <si>
    <t>Vehicle-mounted bridge system</t>
  </si>
  <si>
    <t>Development - Naval</t>
  </si>
  <si>
    <t>Mixed ammunition</t>
  </si>
  <si>
    <t>Air-to-surface missile (ASM) development</t>
  </si>
  <si>
    <t>Fighter jet maintenance contract</t>
  </si>
  <si>
    <t>Drone development</t>
  </si>
  <si>
    <t>Torpedo maintenance</t>
  </si>
  <si>
    <t>Surface-to-air missile (SAM) system (short-range)</t>
  </si>
  <si>
    <t>Air force and navy support system</t>
  </si>
  <si>
    <t>Synthetic training equipment</t>
  </si>
  <si>
    <t>Missile development</t>
  </si>
  <si>
    <t>Aircraft maintenance</t>
  </si>
  <si>
    <t>Aircraft modernisation</t>
  </si>
  <si>
    <t>Directed energy weapons development</t>
  </si>
  <si>
    <t>Submarine design for future class</t>
  </si>
  <si>
    <t>Aircraft countermeasures system</t>
  </si>
  <si>
    <t>Chemical anaylsis platform</t>
  </si>
  <si>
    <t>Light aircraft</t>
  </si>
  <si>
    <t>Air defence missile system</t>
  </si>
  <si>
    <t>Wargaming software</t>
  </si>
  <si>
    <t>Armoured vehicle development</t>
  </si>
  <si>
    <t>Naval drone</t>
  </si>
  <si>
    <t>All-terrain armoured vehicle</t>
  </si>
  <si>
    <t>Naval support vessel</t>
  </si>
  <si>
    <t>Offshore patrol vessel</t>
  </si>
  <si>
    <t>Maintenance (unspecified)</t>
  </si>
  <si>
    <t>Light armoured reconnaissance vehicle</t>
  </si>
  <si>
    <t>Flight simulator software</t>
  </si>
  <si>
    <t>Infantry support gun</t>
  </si>
  <si>
    <t>Naval maintenance contract</t>
  </si>
  <si>
    <t>Naval radar</t>
  </si>
  <si>
    <t>Tank equipment</t>
  </si>
  <si>
    <t>Submarine mast</t>
  </si>
  <si>
    <t>Overhauled Boeing 757 for GCAP research</t>
  </si>
  <si>
    <t>Communication equipment development</t>
  </si>
  <si>
    <t>Submarine long lead parts purchase</t>
  </si>
  <si>
    <t>Naval surface-to-air missile (SAM) missile (long range)</t>
  </si>
  <si>
    <t>Sonar and sensor equipment</t>
  </si>
  <si>
    <t>Howitzer ammunition (unspecified)</t>
  </si>
  <si>
    <t>Caterpillar tracks</t>
  </si>
  <si>
    <t>Electric vehicle infrastructure</t>
  </si>
  <si>
    <t>Anti-missile countermeasure system for warship</t>
  </si>
  <si>
    <t>Bomb disposal robot</t>
  </si>
  <si>
    <t>152mm howitzer ammunition</t>
  </si>
  <si>
    <t>Multi role missile</t>
  </si>
  <si>
    <t>Anti-jamming test facility</t>
  </si>
  <si>
    <t>Lightweight torpedo</t>
  </si>
  <si>
    <t>Naval helicopter maintenance</t>
  </si>
  <si>
    <t>Snowmobile</t>
  </si>
  <si>
    <t>Industrial company investment</t>
  </si>
  <si>
    <t>Anti-drone electronic warfare system</t>
  </si>
  <si>
    <t>Strategic sealift vessel lease</t>
  </si>
  <si>
    <t>155mm howitzer barrel</t>
  </si>
  <si>
    <t>Submarine nuclear reactor</t>
  </si>
  <si>
    <t>Naval combat management system</t>
  </si>
  <si>
    <t>Air defence development</t>
  </si>
  <si>
    <t>Cyberspace defence equipment</t>
  </si>
  <si>
    <t>Naval heavy transport helicopter</t>
  </si>
  <si>
    <t>Surveillance and attack drone</t>
  </si>
  <si>
    <t>Man-portable surface-to-air (SAM) missile</t>
  </si>
  <si>
    <t>M1A1 ABRAMS</t>
  </si>
  <si>
    <t>MSBS GROT rifle</t>
  </si>
  <si>
    <t>MSBS GROT sniper rifle</t>
  </si>
  <si>
    <t>Light reconnaissance vehicle</t>
  </si>
  <si>
    <t>Air defence system support vehicle</t>
  </si>
  <si>
    <t>Vehicle for 120mm self-propelled mortar fire modules "Rak"</t>
  </si>
  <si>
    <t>Sanitary assistance helicopter</t>
  </si>
  <si>
    <t>122mm multiple rocket launcher system munition</t>
  </si>
  <si>
    <t>Artillery command vehicle</t>
  </si>
  <si>
    <t>Ammunition powder</t>
  </si>
  <si>
    <t>Armoured personnel carrier</t>
  </si>
  <si>
    <t>Medical support</t>
  </si>
  <si>
    <t>Transport vehicle</t>
  </si>
  <si>
    <t>120mm mortar ammunition</t>
  </si>
  <si>
    <t>Surface-to-air (SAM) missile (short-range)</t>
  </si>
  <si>
    <t>Combat drone</t>
  </si>
  <si>
    <t>Anti-aircraft surface-to-air missile (SAM) system (short-range)</t>
  </si>
  <si>
    <t>Reconnaissance drone</t>
  </si>
  <si>
    <t>Destroyer</t>
  </si>
  <si>
    <t>Armoured personnel carrier part</t>
  </si>
  <si>
    <t>Reconnaissance armoured vehicle</t>
  </si>
  <si>
    <t>IT equipment</t>
  </si>
  <si>
    <t>Command cabin for air defence system</t>
  </si>
  <si>
    <t>Transportation for military personnel vehicle</t>
  </si>
  <si>
    <t>ISR Satellite</t>
  </si>
  <si>
    <t>Radar for air defence system</t>
  </si>
  <si>
    <t>155mm ammunition framework agreement</t>
  </si>
  <si>
    <t>Mine-laying vehicle</t>
  </si>
  <si>
    <t>Development of armoured vehicles</t>
  </si>
  <si>
    <t>Anti-ship and coastal missile defence system</t>
  </si>
  <si>
    <t>Air defence control system</t>
  </si>
  <si>
    <t>AH-64E Apache helicopter</t>
  </si>
  <si>
    <t>Attack helicopter</t>
  </si>
  <si>
    <t>Apache AH-64E helicopter support and maintenance contract</t>
  </si>
  <si>
    <t>Helicopter support and maintenance</t>
  </si>
  <si>
    <t>Wheeled accompanying bridge</t>
  </si>
  <si>
    <t>Command vehicle</t>
  </si>
  <si>
    <t>Motor vehicle</t>
  </si>
  <si>
    <t>Various equipment</t>
  </si>
  <si>
    <t>Armoured reconnnaissance personnel carrier (LOTR) Kleszcz</t>
  </si>
  <si>
    <t>Armoured reconnaissance personnel carrier</t>
  </si>
  <si>
    <t>Air defence command system</t>
  </si>
  <si>
    <t>HOMARK MLRS</t>
  </si>
  <si>
    <t>Surface-to-air missile (SAM) (long-range)</t>
  </si>
  <si>
    <t>Accompanying vehicle MLRS</t>
  </si>
  <si>
    <t>Air-to-air missile (AAM) (short-range)</t>
  </si>
  <si>
    <t>Accompanying vehicle self-propelled howitzer</t>
  </si>
  <si>
    <t>Unmanned aerial system</t>
  </si>
  <si>
    <t>Anti-Radiation Guided Missiles (ARM)</t>
  </si>
  <si>
    <t>Attack helicopter training support</t>
  </si>
  <si>
    <t>Reconnaissance mobile unmanned vehicle</t>
  </si>
  <si>
    <t>Construction system</t>
  </si>
  <si>
    <t>Infantry Fighting Vehicle (IFV)</t>
  </si>
  <si>
    <t>WARMATE loitering ammunition</t>
  </si>
  <si>
    <t>Kamikaze drone</t>
  </si>
  <si>
    <t>Carl-Gustaf M4 grenade launchers</t>
  </si>
  <si>
    <t>Grenade launchers</t>
  </si>
  <si>
    <t>Various infantry arms</t>
  </si>
  <si>
    <t>K9 howitzer and accompanying vehicles</t>
  </si>
  <si>
    <t>Artillery howtizer and accompanying vehicles</t>
  </si>
  <si>
    <t>120mm artillery round</t>
  </si>
  <si>
    <t>120mm artillery ammunition</t>
  </si>
  <si>
    <t>Naval surveillance aircraft</t>
  </si>
  <si>
    <t>Reconnaisance drone</t>
  </si>
  <si>
    <t>Anti-ship missile</t>
  </si>
  <si>
    <t>Light ISR aircraft</t>
  </si>
  <si>
    <t>Precision approach radar (PAR)</t>
  </si>
  <si>
    <t>Aerial management control centre</t>
  </si>
  <si>
    <t>Satellite communications</t>
  </si>
  <si>
    <t>Small all-terrain transport vehicle</t>
  </si>
  <si>
    <t>Weapon modernisation programme</t>
  </si>
  <si>
    <t>Aircraft carrier modernisation</t>
  </si>
  <si>
    <t>Protection masks</t>
  </si>
  <si>
    <t>Special force vehicle</t>
  </si>
  <si>
    <t>Air-to-air missile (AAM) system</t>
  </si>
  <si>
    <t>Anti-drone laser</t>
  </si>
  <si>
    <t>Ammunition transport truck</t>
  </si>
  <si>
    <t>Aircraft carrier development</t>
  </si>
  <si>
    <t>Anti-mine ship</t>
  </si>
  <si>
    <t>Aircraft infrastructure</t>
  </si>
  <si>
    <t>Aircraft ammunition</t>
  </si>
  <si>
    <t>Missile various</t>
  </si>
  <si>
    <t>Electronic warfare drone</t>
  </si>
  <si>
    <t>Equipment testing and evaluation</t>
  </si>
  <si>
    <t>Naval facility modernisation</t>
  </si>
  <si>
    <t>Air defence targeting system</t>
  </si>
  <si>
    <t>Specialist training centre</t>
  </si>
  <si>
    <t>Air defence drone</t>
  </si>
  <si>
    <t>Secure cloud and digital infrastructure</t>
  </si>
  <si>
    <t>Heavy machine gun</t>
  </si>
  <si>
    <t>Logistics management system</t>
  </si>
  <si>
    <t>Non-combat military vehicle </t>
  </si>
  <si>
    <t>Laser for Type 45 Destroyer</t>
  </si>
  <si>
    <t>Medical equipment development</t>
  </si>
  <si>
    <t>Helicopter maintenance</t>
  </si>
  <si>
    <t>Ballistic missile development</t>
  </si>
  <si>
    <t>Development - Missile (Land)</t>
  </si>
  <si>
    <t>Undersea surveillance equipment</t>
  </si>
  <si>
    <t>Figher aircraft target mechanism</t>
  </si>
  <si>
    <t xml:space="preserve">Helicopter support and maintenance </t>
  </si>
  <si>
    <t xml:space="preserve">Communication and digitalisation </t>
  </si>
  <si>
    <t xml:space="preserve">Non-combat military vehicle </t>
  </si>
  <si>
    <t>Mobile bridge system</t>
  </si>
  <si>
    <t>Anti-drone surface-to-air missile (SAM) system (short-range)</t>
  </si>
  <si>
    <t>RAM Block 2B missiles and modernisation of control units</t>
  </si>
  <si>
    <t>Helicopter development</t>
  </si>
  <si>
    <t>CAVS 6x6</t>
  </si>
  <si>
    <t>Heavyweight torpedo</t>
  </si>
  <si>
    <t>Anti-mine armoured vehicle</t>
  </si>
  <si>
    <t>Fuel logistics</t>
  </si>
  <si>
    <t>Tank training simulator</t>
  </si>
  <si>
    <t>Anti-drone battery system</t>
  </si>
  <si>
    <t>Pre-contract measures for frigate order</t>
  </si>
  <si>
    <t>Maritime training equipment</t>
  </si>
  <si>
    <t>Naval guided surface-to-air missile system development</t>
  </si>
  <si>
    <t>NATO supply classifications</t>
  </si>
  <si>
    <t>Code</t>
  </si>
  <si>
    <t>Guns below 75mm</t>
  </si>
  <si>
    <t>Guns, over 30mm up to 75mm</t>
  </si>
  <si>
    <t>Guns over 75mm</t>
  </si>
  <si>
    <t>Guns, over 300mm</t>
  </si>
  <si>
    <t>Chemical Weapons and Equipment</t>
  </si>
  <si>
    <t>Weapons (other)</t>
  </si>
  <si>
    <t>Launchers, Torpedo and Depth Charge</t>
  </si>
  <si>
    <t>Nets and Booms, Ordnance</t>
  </si>
  <si>
    <t>Degaussing and Mine Sweeping Equipment</t>
  </si>
  <si>
    <t>Nuclear Ordnance</t>
  </si>
  <si>
    <t>Nuclear Bombs</t>
  </si>
  <si>
    <t>Nuclear Projectiles</t>
  </si>
  <si>
    <t>Nuclear Warheads and Warhead Sections</t>
  </si>
  <si>
    <t>Nuclear Depth Charges</t>
  </si>
  <si>
    <t>Nuclear Demolition Charges</t>
  </si>
  <si>
    <t>Nuclear Rockets</t>
  </si>
  <si>
    <t>Conversion Kits, Nuclear Ordnance</t>
  </si>
  <si>
    <t>Fuzing and Firing Devices, Nuclear Ordnance</t>
  </si>
  <si>
    <t>Nuclear Components</t>
  </si>
  <si>
    <t>Explosive and Pyrotechnic Components, Nuclear Ordnance</t>
  </si>
  <si>
    <t>Specialized Test and Handling Equipment, Nuclear Ordnance</t>
  </si>
  <si>
    <t>Miscellaneous Nuclear Ordnance</t>
  </si>
  <si>
    <t>Fire Control Directors</t>
  </si>
  <si>
    <t>Fire Control Computing Sights and Devices</t>
  </si>
  <si>
    <t>Fire Control Stabilizing Mechanisms</t>
  </si>
  <si>
    <t>Fire Control Designating and Indicating Equipment</t>
  </si>
  <si>
    <t>Fire Control Transmitting and Receiving Equipment</t>
  </si>
  <si>
    <t>Aircraft Bombing Fire Control Components</t>
  </si>
  <si>
    <t>Fire Control Radar Equipment, Except Airborne</t>
  </si>
  <si>
    <t>Fire Control Sonar Equipment</t>
  </si>
  <si>
    <t>Miscellaneous Fire Control Equipment</t>
  </si>
  <si>
    <t>Ammunition below 75mm</t>
  </si>
  <si>
    <t>Ammunition over 75mm</t>
  </si>
  <si>
    <t>Bombs (including Fuzes)</t>
  </si>
  <si>
    <t>Grenades, Hand and Rifle</t>
  </si>
  <si>
    <t>Guided Missile Warheads and Explosive Components</t>
  </si>
  <si>
    <t>Ammunition and Explosives (other)</t>
  </si>
  <si>
    <t>Guided Missile and Space Vehicle Explosive Propulsion Units, Solid Fuel, and Components</t>
  </si>
  <si>
    <t>Guided Missile and Space Vehicle Inert Propulsion Units, Solid Fuel, and Components</t>
  </si>
  <si>
    <t>Explosives, Surface Use and Mines (all types)</t>
  </si>
  <si>
    <t>Remote Munitions</t>
  </si>
  <si>
    <t>Underwater Mine and Components</t>
  </si>
  <si>
    <t>Underwater Mine Inert Components</t>
  </si>
  <si>
    <t>Underwater Mine Disposal Explosive Components</t>
  </si>
  <si>
    <t>Underwater Mine Disposal Inert Components</t>
  </si>
  <si>
    <t>Torpedoes</t>
  </si>
  <si>
    <t>Torpedo Inert Components</t>
  </si>
  <si>
    <t>Depth Charges and Components</t>
  </si>
  <si>
    <t>Depth Charge Inert Components</t>
  </si>
  <si>
    <t>Bulk Explosives</t>
  </si>
  <si>
    <t>Cartridge and Propellant Actuated Devices and Components</t>
  </si>
  <si>
    <t>Underwater Use Explosive Ordnance Disposal and Swimmer Weapons Systems Tools and Equipment</t>
  </si>
  <si>
    <t>Specialized Ammunition Handling and Servicing Equipment</t>
  </si>
  <si>
    <t>Guided Missile Components</t>
  </si>
  <si>
    <t>Guided Missile Subsystems</t>
  </si>
  <si>
    <t>Guided Missile Remote Control Systems</t>
  </si>
  <si>
    <t>Guided Missile Handling and Servicing Equipment</t>
  </si>
  <si>
    <t>Gliders</t>
  </si>
  <si>
    <t>Airframe Structural Components</t>
  </si>
  <si>
    <t>Aircraft Propellers and Components</t>
  </si>
  <si>
    <t>Helicopter Rotor Blades, Drive Mechanisms and Components</t>
  </si>
  <si>
    <t>Aircraft Landing Gear Components</t>
  </si>
  <si>
    <t>Aircraft Wheel and Brake Systems</t>
  </si>
  <si>
    <t>Aircraft Hydraulic, Vacuum, and De-icing System Components</t>
  </si>
  <si>
    <t>Aircraft Air Conditioning, Heating, and Pressurizing Equipment</t>
  </si>
  <si>
    <t>Miscellaneous Aircraft Accessories and Components</t>
  </si>
  <si>
    <t>Aircraft Launching, Landing, and Ground Handling Equipment</t>
  </si>
  <si>
    <t>Aircraft Landing Equipment</t>
  </si>
  <si>
    <t>Aircraft Launching Equipment</t>
  </si>
  <si>
    <t>Aircraft Ground Servicing Equipment</t>
  </si>
  <si>
    <t>Airfield Specialized Trucks and Trailers</t>
  </si>
  <si>
    <t>Space Vehicle Components</t>
  </si>
  <si>
    <t>Space Vehicle Remote Control Systems</t>
  </si>
  <si>
    <t>Space Vehicle Launchers</t>
  </si>
  <si>
    <t>Space Vehicle Handling and Servicing Equipment</t>
  </si>
  <si>
    <t>Space Survival Equipment</t>
  </si>
  <si>
    <t>Transport Vessels, Passenger and Troop</t>
  </si>
  <si>
    <t>Fishing Vessels</t>
  </si>
  <si>
    <t>Barges and Lighters, Cargo</t>
  </si>
  <si>
    <t>Barges and Lighters, Special Purpose</t>
  </si>
  <si>
    <t>Pontoons and Floating Docks</t>
  </si>
  <si>
    <t>Floating Drydocks</t>
  </si>
  <si>
    <t>Dredgers</t>
  </si>
  <si>
    <t>Rigging and Rigging Gear</t>
  </si>
  <si>
    <t>Deck Machinery</t>
  </si>
  <si>
    <t>Marine Hardware and Hull Items</t>
  </si>
  <si>
    <t>Buoys</t>
  </si>
  <si>
    <t>Commercial Fishing Equipment</t>
  </si>
  <si>
    <t>Miscellaneous Ship and Marine Equipment</t>
  </si>
  <si>
    <t>Railway Equipment</t>
  </si>
  <si>
    <t>Locomotives</t>
  </si>
  <si>
    <t>Rail Cars</t>
  </si>
  <si>
    <t>Right-of-Way Construction and Maintenance Equipment, Railroad</t>
  </si>
  <si>
    <t>Locomotive and Rail Car Accessories and Components</t>
  </si>
  <si>
    <t>Track Material, Railroad</t>
  </si>
  <si>
    <t>Ground Effect Vehicles</t>
  </si>
  <si>
    <t>Passenger Motor Vehicles</t>
  </si>
  <si>
    <t>Motorcycles, Motor Scooters, and Bicycles</t>
  </si>
  <si>
    <t>Tractors</t>
  </si>
  <si>
    <t>Tractors, Full Tracked, Low Speed</t>
  </si>
  <si>
    <t>Tractors, Wheeled</t>
  </si>
  <si>
    <t>Tractors, Track Laying, High Speed</t>
  </si>
  <si>
    <t>Vehicular Power Transmission Components</t>
  </si>
  <si>
    <t>Miscellaneous Vehicular Components</t>
  </si>
  <si>
    <t>Tires and Tubes</t>
  </si>
  <si>
    <t>Tires and Tubes, Pneumatic, Except Aircraft</t>
  </si>
  <si>
    <t>Tires and Tubes, Pneumatic, Aircraft</t>
  </si>
  <si>
    <t>Tires, Solid and Cushion</t>
  </si>
  <si>
    <t>Tire Rebuilding and Tire and Tube Repair Materials</t>
  </si>
  <si>
    <t>Gasoline Reciprocating Engines, Except Aircraft, and Components</t>
  </si>
  <si>
    <t>Gasoline Reciprocating Engines, Aircraft, and Components</t>
  </si>
  <si>
    <t>Diesel Engines and Components</t>
  </si>
  <si>
    <t>Steam Engines, Reciprocating, and Components</t>
  </si>
  <si>
    <t>Steam Turbines and Components</t>
  </si>
  <si>
    <t>Water Turbines and Water Wheels, and Components</t>
  </si>
  <si>
    <t>Gas Turbines and Jet Engines, Except Aircraft, and Components</t>
  </si>
  <si>
    <t>Gas Turbines and Jet Engines, Aircraft, and Components</t>
  </si>
  <si>
    <t>Rocket Engines and Components</t>
  </si>
  <si>
    <t>Gasoline Rotary Engines and Components</t>
  </si>
  <si>
    <t>Miscellaneous Engines and Components</t>
  </si>
  <si>
    <t>Engine Accessories</t>
  </si>
  <si>
    <t>Engine Fuel System Components, Nonaircraft</t>
  </si>
  <si>
    <t>Engine Fuel System Components, Aircraft</t>
  </si>
  <si>
    <t>Engine Electrical System Components, Nonaircraft</t>
  </si>
  <si>
    <t>Engine Electrical System Components, Aircraft</t>
  </si>
  <si>
    <t>Engine Cooling System Components, Nonaircraft</t>
  </si>
  <si>
    <t>Engine Cooling System Components, Aircraft</t>
  </si>
  <si>
    <t>Engine Air and Oil Filters, Strainers, and Cleaners, Nonaircraft</t>
  </si>
  <si>
    <t>Engine Air and Oil Filters, Strainers, and Cleaners, Aircraft</t>
  </si>
  <si>
    <t>Turbosuperchargers</t>
  </si>
  <si>
    <t>Miscellaneous Engine Accessories, Nonaircraft</t>
  </si>
  <si>
    <t>Miscellaneous Engine Accessories, Aircraft</t>
  </si>
  <si>
    <t>Mechanical Power Transmission Equipment</t>
  </si>
  <si>
    <t>Torque Converters and Speed Changers</t>
  </si>
  <si>
    <t>Gears, Pulleys, Sprockets, and Transmission Chain</t>
  </si>
  <si>
    <t>Belting, Drive Belts, Fan Belts, and Accessories</t>
  </si>
  <si>
    <t>Miscellaneous Power Transmission Equipment</t>
  </si>
  <si>
    <t>Bearings</t>
  </si>
  <si>
    <t>Bearings, Antifriction, Unmounted</t>
  </si>
  <si>
    <t>Bearings, Plain, Unmounted</t>
  </si>
  <si>
    <t>Bearings, Mounted</t>
  </si>
  <si>
    <t>Woodworking Machinery and Equipment</t>
  </si>
  <si>
    <t>Sawmill and Planing Mill Machinery</t>
  </si>
  <si>
    <t>Woodworking Machines</t>
  </si>
  <si>
    <t>Tools and Attachments for Woodworking Machinery</t>
  </si>
  <si>
    <t>Metalworking Machinery</t>
  </si>
  <si>
    <t>Saws and Filing Machines</t>
  </si>
  <si>
    <t>Machining Centers and Way-Type Machines</t>
  </si>
  <si>
    <t>Electrical and Ultrasonic Erosion Machines</t>
  </si>
  <si>
    <t>Boring Machines</t>
  </si>
  <si>
    <t>Broaching Machines</t>
  </si>
  <si>
    <t>Drilling and Tapping Machines</t>
  </si>
  <si>
    <t>Gear Cutting and Finishing Machines</t>
  </si>
  <si>
    <t>Grinding Machines</t>
  </si>
  <si>
    <t>Lathes</t>
  </si>
  <si>
    <t>Milling Machines</t>
  </si>
  <si>
    <t>Planers and Shapers</t>
  </si>
  <si>
    <t>Miscellaneous Machine Tools</t>
  </si>
  <si>
    <t>Rolling Mills and Drawing Machines</t>
  </si>
  <si>
    <t>Metal Heat Treating and Non-Thermal Treating Equipment</t>
  </si>
  <si>
    <t>Metal Finishing Equipment</t>
  </si>
  <si>
    <t>Electric Arc Welding Equipment</t>
  </si>
  <si>
    <t>Electric Resistance Welding Equipment</t>
  </si>
  <si>
    <t>Gas Welding, Heat Cutting, and Metalizing Equipment</t>
  </si>
  <si>
    <t>Welding Positioners and Manipulators</t>
  </si>
  <si>
    <t>Miscellaneous Welding Equipment</t>
  </si>
  <si>
    <t>Miscellaneous Welding, Soldering, and Brazing Supplies and Accessories</t>
  </si>
  <si>
    <t>Bending and Forming Machines</t>
  </si>
  <si>
    <t>Hydraulic and Pneumatic Presses, Power Driven</t>
  </si>
  <si>
    <t>Mechanical Presses, Power Driven</t>
  </si>
  <si>
    <t>Manual Presses</t>
  </si>
  <si>
    <t>Punching and Shearing Machines</t>
  </si>
  <si>
    <t>Forging Machinery and Hammers</t>
  </si>
  <si>
    <t>Wire and Metal Ribbon Forming Machines</t>
  </si>
  <si>
    <t>Riveting Machines</t>
  </si>
  <si>
    <t>Miscellaneous Secondary Metal Forming and Cutting Machines</t>
  </si>
  <si>
    <t>Machine Tools, Portable</t>
  </si>
  <si>
    <t>Cutting Tools for Machine Tools</t>
  </si>
  <si>
    <t>Cutting and Forming Tools for Secondary Metalworking Machinery</t>
  </si>
  <si>
    <t>Machine Tool Accessories</t>
  </si>
  <si>
    <t>Accessories for Secondary Metalworking Machinery</t>
  </si>
  <si>
    <t>Production Jigs, Fixtures, and Templates</t>
  </si>
  <si>
    <t>Machine Shop Sets, Kits, and Outfits</t>
  </si>
  <si>
    <t>Service and Trade Equipment</t>
  </si>
  <si>
    <t>Laundry and Dry Cleaning Equipment</t>
  </si>
  <si>
    <t>Shoe Repairing Equipment</t>
  </si>
  <si>
    <t>Industrial Sewing Machines and Mobile Textile Repair Shops</t>
  </si>
  <si>
    <t>Wrapping and Packaging Machinery</t>
  </si>
  <si>
    <t>Vending and Coin Operated Machines</t>
  </si>
  <si>
    <t>Miscellaneous Service and Trade Equipment</t>
  </si>
  <si>
    <t>Food Products Machinery and Equipment</t>
  </si>
  <si>
    <t>Printing, Duplicating, and Bookbinding Equipment</t>
  </si>
  <si>
    <t>Industrial Marking Machines</t>
  </si>
  <si>
    <t>Pulp and Paper Industries Machinery</t>
  </si>
  <si>
    <t>Rubber and Plastics Working Machinery</t>
  </si>
  <si>
    <t>Textile Industries Machinery</t>
  </si>
  <si>
    <t>Clay and Concrete Products Industries Machinery</t>
  </si>
  <si>
    <t>Crystal and Glass Industries Machinery</t>
  </si>
  <si>
    <t>Tobacco Manufacturing Machinery</t>
  </si>
  <si>
    <t>Leather Tanning and Leather Working Industries Machinery</t>
  </si>
  <si>
    <t>Chemical and Pharmaceutical Products Manufacturing Machinery</t>
  </si>
  <si>
    <t>Gas Generating and Dispensing Systems, Fixed or Mobile</t>
  </si>
  <si>
    <t>Industrial Size Reduction Machinery</t>
  </si>
  <si>
    <t>Specialized Semiconductor, Microcircuit, and Printed Circuit Board Manufacturing Machinery</t>
  </si>
  <si>
    <t>Foundry Machinery, Related Equipment and Supplies</t>
  </si>
  <si>
    <t>Specialized Metal Container Manufacturing Machinery and Related Equipment</t>
  </si>
  <si>
    <t>Industrial Assembly Machines</t>
  </si>
  <si>
    <t>Clean Work Stations, Controlled Environment, and Related Equipment</t>
  </si>
  <si>
    <t>Miscellaneous Special Industry Machinery</t>
  </si>
  <si>
    <t>Agricultural Machinery and Equipment</t>
  </si>
  <si>
    <t>Soil Preparation Equipment</t>
  </si>
  <si>
    <t>Harvesting Equipment</t>
  </si>
  <si>
    <t>Dairy, Poultry, and Livestock Equipment</t>
  </si>
  <si>
    <t>Pest, Disease, and Frost Control Equipment</t>
  </si>
  <si>
    <t>Gardening Implements and Tools</t>
  </si>
  <si>
    <t>Saddlery, Harness, Whips, and Related Animal Furnishings</t>
  </si>
  <si>
    <t>Cranes and Crane-Shovels</t>
  </si>
  <si>
    <t>Crane and Crane-Shovel Attachments</t>
  </si>
  <si>
    <t>Road Clearing and Cleaning Equipment</t>
  </si>
  <si>
    <t>Truck and Tractor Attachments</t>
  </si>
  <si>
    <t>Petroleum Production and Distribution Equipment</t>
  </si>
  <si>
    <t>Materials Handling Equipment</t>
  </si>
  <si>
    <t>Conveyors</t>
  </si>
  <si>
    <t>Materials Feeders</t>
  </si>
  <si>
    <t>Material Handling Equipment, Nonself-Propelled</t>
  </si>
  <si>
    <t>Warehouse Trucks and Tractors, Self-Propelled</t>
  </si>
  <si>
    <t>Blocks, Tackle, Rigging, and Slings</t>
  </si>
  <si>
    <t>Winches, Hoists, Cranes, and Derricks</t>
  </si>
  <si>
    <t>Freight Elevators</t>
  </si>
  <si>
    <t>Miscellaneous Materials Handling Equipment</t>
  </si>
  <si>
    <t>Rope, Cable, Chain, and Fittings</t>
  </si>
  <si>
    <t>Chain and Wire Rope</t>
  </si>
  <si>
    <t>Fiber Rope, Cordage, and Twine</t>
  </si>
  <si>
    <t>Fittings for Rope, Cable, and Chain</t>
  </si>
  <si>
    <t>Refrigeration, Air Conditioning, and Air Circulating Equipment</t>
  </si>
  <si>
    <t>Refrigeration Equipment</t>
  </si>
  <si>
    <t>Air Conditioning Equipment</t>
  </si>
  <si>
    <t>Refrigeration and Air Conditioning Components</t>
  </si>
  <si>
    <t>Fans, Air Circulators, and Blower Equipment</t>
  </si>
  <si>
    <t>Vortex Tubes and Other Related Cooling Tubes</t>
  </si>
  <si>
    <t>Recycling and Reclamation Equipment</t>
  </si>
  <si>
    <t>Pumps and Compressors</t>
  </si>
  <si>
    <t>Compressors and Vacuum Pumps</t>
  </si>
  <si>
    <t>Power and Hand Pumps</t>
  </si>
  <si>
    <t>Centrifugals, Separators, and Pressure and Vacuum Filters</t>
  </si>
  <si>
    <t>Furnace, Steam Plant, and Drying Equipment, and Nuclear Reactors</t>
  </si>
  <si>
    <t>Industrial Boilers</t>
  </si>
  <si>
    <t>Heat Exchangers and Steam Condensers</t>
  </si>
  <si>
    <t>Industrial Furnaces, Kilns, Lehrs, and Ovens</t>
  </si>
  <si>
    <t>Driers, Dehydrators, and Anhydrators</t>
  </si>
  <si>
    <t>Air Purification Equipment</t>
  </si>
  <si>
    <t>Plumbing, Heating, and Waste Disposal Equipment</t>
  </si>
  <si>
    <t>Plumbing Fixtures and Accessories</t>
  </si>
  <si>
    <t>Space Heating Equipment and Domestic Water Heaters</t>
  </si>
  <si>
    <t>Fuel Burning Equipment Units</t>
  </si>
  <si>
    <t>Waste Disposal Equipment</t>
  </si>
  <si>
    <t>Water Purification and Sewage Treatment Equipment</t>
  </si>
  <si>
    <t>Water Purification Equipment</t>
  </si>
  <si>
    <t>Water Distillation Equipment, Marine and Industrial</t>
  </si>
  <si>
    <t>Sewage Treatment Equipment</t>
  </si>
  <si>
    <t>Pipe, Tubing, Hose, and Fittings</t>
  </si>
  <si>
    <t>Pipe and Tube</t>
  </si>
  <si>
    <t>Hose and Flexible Tubing</t>
  </si>
  <si>
    <t>Hose, Pipe, and Tube Fittings</t>
  </si>
  <si>
    <t>Valves</t>
  </si>
  <si>
    <t>Valves, Powered</t>
  </si>
  <si>
    <t>Valves, Nonpowered</t>
  </si>
  <si>
    <t>Motor Vehicle Maintenance and Repair Shop Specialized Equipment</t>
  </si>
  <si>
    <t>Torpedo Maintenance, Repair, and Checkout Specialized Equipment</t>
  </si>
  <si>
    <t>Depth Charges and Underwater Mines Maintenance, Repair, and Checkout Specialized Equipment</t>
  </si>
  <si>
    <t>Rocket Maintenance, Repair, and Checkout Specialized Equipment</t>
  </si>
  <si>
    <t>Fire Control Maintenance and Repair Shop Specialized Equipment</t>
  </si>
  <si>
    <t>Weapons Maintenance and Repair Shop Specialized Equipment</t>
  </si>
  <si>
    <t>Space Vehicle Maintenance, Repair, and Checkout Specialized Equipment</t>
  </si>
  <si>
    <t>Multiple Guided Weapons, Specialized Maintenance and Repair Shop Equipment</t>
  </si>
  <si>
    <t>Hand Tools</t>
  </si>
  <si>
    <t>Hand Tools, Edged, Nonpowered</t>
  </si>
  <si>
    <t>Hand Tools, Nonedged, Nonpowered</t>
  </si>
  <si>
    <t>Hand Tools, Power Driven</t>
  </si>
  <si>
    <t>Drill Bits, Counterbores, and Countersinks: Hand and Machine</t>
  </si>
  <si>
    <t>Taps, Dies, and Collets, Hand and Machine</t>
  </si>
  <si>
    <t>Tool and Hardware Boxes</t>
  </si>
  <si>
    <t>Sets, Kits, and Outfits of Hand Tools</t>
  </si>
  <si>
    <t>Measuring Tools</t>
  </si>
  <si>
    <t>Measuring Tools, Craftsmen's</t>
  </si>
  <si>
    <t>Inspection Gages and Precision Layout Tools</t>
  </si>
  <si>
    <t>Sets, Kits, and Outfits of Measuring Tools</t>
  </si>
  <si>
    <t>Hardware and Abrasives</t>
  </si>
  <si>
    <t>Screws</t>
  </si>
  <si>
    <t>Bolts</t>
  </si>
  <si>
    <t>Studs</t>
  </si>
  <si>
    <t>Nuts and Washers</t>
  </si>
  <si>
    <t>Nails, Machine Keys, and Pins</t>
  </si>
  <si>
    <t>Rivets</t>
  </si>
  <si>
    <t>Fastening Devices</t>
  </si>
  <si>
    <t>Packing and Gasket Materials</t>
  </si>
  <si>
    <t>O-Rings</t>
  </si>
  <si>
    <t>Metal Screening</t>
  </si>
  <si>
    <t>Hardware, Commercial</t>
  </si>
  <si>
    <t>Brackets</t>
  </si>
  <si>
    <t>Hardware, Weapon System</t>
  </si>
  <si>
    <t>Disks and Stones, Abrasive</t>
  </si>
  <si>
    <t>Abrasive Materials</t>
  </si>
  <si>
    <t>Knobs and Pointers</t>
  </si>
  <si>
    <t>Coil, Flat, Leaf, and Wire Springs</t>
  </si>
  <si>
    <t>Bushings, Rings, Shims, and Spacers</t>
  </si>
  <si>
    <t>Rigid Wall Shelters</t>
  </si>
  <si>
    <t>Collective Modular Support System</t>
  </si>
  <si>
    <t>Scaffolding Equipment and Concrete Forms</t>
  </si>
  <si>
    <t>Prefabricated Tower Structures</t>
  </si>
  <si>
    <t>Miscellaneous Prefabricated Structures</t>
  </si>
  <si>
    <t>Lumber, Millwork, Plywood, and Veneer</t>
  </si>
  <si>
    <t>Lumber and Related Basic Wood Materials</t>
  </si>
  <si>
    <t>Millwork</t>
  </si>
  <si>
    <t>Plywood and Veneer</t>
  </si>
  <si>
    <t>Construction and Building Materials</t>
  </si>
  <si>
    <t>Mineral Construction Materials, Bulk</t>
  </si>
  <si>
    <t>Tile, Brick, and Block</t>
  </si>
  <si>
    <t>Pipe and Conduit, Nonmetallic</t>
  </si>
  <si>
    <t>Wallboard, Building Paper, and Thermal Insulation Materials</t>
  </si>
  <si>
    <t>Roofing and Siding Materials</t>
  </si>
  <si>
    <t>Fencing, Fences, Gates, and Components</t>
  </si>
  <si>
    <t>Building Components, Prefabricated</t>
  </si>
  <si>
    <t>Miscellaneous Construction Materials</t>
  </si>
  <si>
    <t>Telephone and Telegraph Equipment</t>
  </si>
  <si>
    <t>Communication, Detection, and Coherent Radiation Equipment (other)</t>
  </si>
  <si>
    <t>Other Cryptologic Equipment and Components</t>
  </si>
  <si>
    <t>Teletype and Facsimile Equipment</t>
  </si>
  <si>
    <t>Radio Navigation Equipment, Airborne</t>
  </si>
  <si>
    <t>Intercommunication and Public Address Systems, Airborne</t>
  </si>
  <si>
    <t>Sound Recording and Reproducing Equipment</t>
  </si>
  <si>
    <t>Video Recording and Reproducing Equipment</t>
  </si>
  <si>
    <t>Radar and Sensor</t>
  </si>
  <si>
    <t>Visible and Invisible Light Communication Equipment</t>
  </si>
  <si>
    <t>Stimulated Coherent Radiation Devices, Components, and Accessories</t>
  </si>
  <si>
    <t>Resistors</t>
  </si>
  <si>
    <t>Capacitors</t>
  </si>
  <si>
    <t>Filters and Networks</t>
  </si>
  <si>
    <t>Fuses, Arrestors, Absorbers, and Protectors</t>
  </si>
  <si>
    <t>Circuit Breakers</t>
  </si>
  <si>
    <t>Switches</t>
  </si>
  <si>
    <t>Connectors, Electrical</t>
  </si>
  <si>
    <t>Lugs, Terminals, and Terminal Strips</t>
  </si>
  <si>
    <t>Relays and Solenoids</t>
  </si>
  <si>
    <t>Coils and Transformers</t>
  </si>
  <si>
    <t>Oscillators and Piezoelectric Crystals</t>
  </si>
  <si>
    <t>Electron Tubes and Associated Hardware</t>
  </si>
  <si>
    <t>Microcircuits, Electronic</t>
  </si>
  <si>
    <t>Electronic Modules</t>
  </si>
  <si>
    <t>Electrical Insulators and Insulating Materials</t>
  </si>
  <si>
    <t>Electrical Hardware and Supplies</t>
  </si>
  <si>
    <t>Electrical Contact Brushes and Electrodes</t>
  </si>
  <si>
    <t>Antennas, Waveguides, and Related Equipment</t>
  </si>
  <si>
    <t>Synchros and Resolvers</t>
  </si>
  <si>
    <t>Cable, Cord, and Wire Assemblies: Communication Equipment</t>
  </si>
  <si>
    <t>Amplifiers</t>
  </si>
  <si>
    <t>Electrical and Electronic Assemblies, Boards, Cards, and Associated Hardware</t>
  </si>
  <si>
    <t>Miscellaneous Electrical and Electronic Components</t>
  </si>
  <si>
    <t>Fiber Optics Materials, Components, Assemblies, and Accessories</t>
  </si>
  <si>
    <t>Fiber Optic Conductors</t>
  </si>
  <si>
    <t>Fiber Optic Cables</t>
  </si>
  <si>
    <t>Fiber Optic Cable Assemblies and Harnesses</t>
  </si>
  <si>
    <t>Fiber Optic Switches</t>
  </si>
  <si>
    <t>Fiber Optic Transmitters</t>
  </si>
  <si>
    <t>Fiber Optic Receivers</t>
  </si>
  <si>
    <t>Fiber Optic Devices</t>
  </si>
  <si>
    <t>Fiber Optic Integrated Optical Circuits</t>
  </si>
  <si>
    <t>Fiber Optic Light Sources</t>
  </si>
  <si>
    <t>Fiber Optic Photo Detectors</t>
  </si>
  <si>
    <t>Fiber Optic Modulators/Demodulators</t>
  </si>
  <si>
    <t>Fiber Optic Light Transfer and Image Transfer Devices</t>
  </si>
  <si>
    <t>Fiber Optic Sensors</t>
  </si>
  <si>
    <t>Fiber Optic Passive Devices</t>
  </si>
  <si>
    <t>Fiber Optic Interconnectors</t>
  </si>
  <si>
    <t>Fiber Optic Accessories and Supplies</t>
  </si>
  <si>
    <t>Fiber Optic Kits and Sets</t>
  </si>
  <si>
    <t>Miscellaneous Fiber Optic Components</t>
  </si>
  <si>
    <t>Motors, Electrical</t>
  </si>
  <si>
    <t>Electrical Control Equipment</t>
  </si>
  <si>
    <t>Generators and Generator Sets, Electrical</t>
  </si>
  <si>
    <t>Fuel Cell Power Units, Components, and Accessories</t>
  </si>
  <si>
    <t>Solar Electric Power Systems</t>
  </si>
  <si>
    <t>Transformers: Distribution and Power Station</t>
  </si>
  <si>
    <t>Converters, Electrical, Rotating</t>
  </si>
  <si>
    <t>Batteries, Nonrechargeable</t>
  </si>
  <si>
    <t>Batteries, Rechargeable</t>
  </si>
  <si>
    <t>Wire and Cable, Electrical</t>
  </si>
  <si>
    <t>Miscellaneous Electric Power and Distribution Equipment</t>
  </si>
  <si>
    <t>Miscellaneous Battery Retainers, Liners, and Ancillary Items</t>
  </si>
  <si>
    <t>Lighting Fixtures and Lamps</t>
  </si>
  <si>
    <t>Indoor and Outdoor Electric Lighting Fixtures</t>
  </si>
  <si>
    <t>Electric Vehicular Lights and Fixtures</t>
  </si>
  <si>
    <t>Electric Portable and Hand Lighting Equipment</t>
  </si>
  <si>
    <t>Electric Lamps</t>
  </si>
  <si>
    <t>Ballasts, Lampholders, and Starters</t>
  </si>
  <si>
    <t>Nonelectric Lighting Fixtures</t>
  </si>
  <si>
    <t>Alarm, Signal and Security Detection Systems</t>
  </si>
  <si>
    <t>Traffic and Transit Signal Systems</t>
  </si>
  <si>
    <t>Shipboard Alarm and Signal Systems</t>
  </si>
  <si>
    <t>Railroad Signal and Warning Devices</t>
  </si>
  <si>
    <t>Aircraft Alarm and Signal Systems</t>
  </si>
  <si>
    <t>Miscellaneous Alarm, Signal, and Security Detection Systems</t>
  </si>
  <si>
    <t>Drugs and Biologicals</t>
  </si>
  <si>
    <t>Medicated Cosmetics and Toiletries</t>
  </si>
  <si>
    <t>Surgical Dressing Materials</t>
  </si>
  <si>
    <t>Dental Instruments, Equipment, and Supplies</t>
  </si>
  <si>
    <t>X-Ray Equipment and Supplies: Medical, Dental, Veterinary</t>
  </si>
  <si>
    <t>Hospital and Surgical Clothing and Related Special Purpose Items</t>
  </si>
  <si>
    <t>Ophthalmic Instruments, Equipment, and Supplies</t>
  </si>
  <si>
    <t>Replenishable Field Medical Sets, Kits, and Outfits</t>
  </si>
  <si>
    <t>In Vitro Diagnostic Substances, Reagents, Test Kits and Sets</t>
  </si>
  <si>
    <t>Flight Instruments</t>
  </si>
  <si>
    <t>Automatic Pilot Mechanisms and Airborne Gyro Components</t>
  </si>
  <si>
    <t>Engine Instruments</t>
  </si>
  <si>
    <t>Electrical and Electronic Properties Measuring and Testing Instruments</t>
  </si>
  <si>
    <t>Chemical Analysis Instruments</t>
  </si>
  <si>
    <t>Physical Properties Testing and Inspection</t>
  </si>
  <si>
    <t>Environmental Chambers and Related Equipment</t>
  </si>
  <si>
    <t>Time Measuring Instruments</t>
  </si>
  <si>
    <t>Optical Instruments, Test Equipment, Components and Accessories</t>
  </si>
  <si>
    <t>Geophysical Instruments</t>
  </si>
  <si>
    <t>Meteorological Instruments and Apparatus</t>
  </si>
  <si>
    <t>Hazard-Detecting Instruments and Apparatus</t>
  </si>
  <si>
    <t>Scales and Balances</t>
  </si>
  <si>
    <t>Drafting, Surveying, and Mapping Instruments</t>
  </si>
  <si>
    <t>Liquid and Gas Flow, Liquid Level, and Mechanical Motion Measuring Instruments</t>
  </si>
  <si>
    <t>Pressure, Temperature, and Humidity Measuring and Controlling Instruments</t>
  </si>
  <si>
    <t>Combination and Miscellaneous Instruments</t>
  </si>
  <si>
    <t>Photographic Equipment</t>
  </si>
  <si>
    <t>Cameras, Motion Picture</t>
  </si>
  <si>
    <t>Cameras, Still Picture</t>
  </si>
  <si>
    <t>Photographic Projection Equipment</t>
  </si>
  <si>
    <t>Photographic Developing and Finishing Equipment</t>
  </si>
  <si>
    <t>Photographic Supplies</t>
  </si>
  <si>
    <t>Photographic Equipment and Accessories</t>
  </si>
  <si>
    <t>Film, Processed</t>
  </si>
  <si>
    <t>Photographic Sets, Kits, and Outfits</t>
  </si>
  <si>
    <t>Chemicals and Chemical Products</t>
  </si>
  <si>
    <t>Chemicals</t>
  </si>
  <si>
    <t>Dyes</t>
  </si>
  <si>
    <t>Gases: Compressed and Liquefied</t>
  </si>
  <si>
    <t>Pest Control Agents and Disinfectants</t>
  </si>
  <si>
    <t>Miscellaneous Chemical Specialties</t>
  </si>
  <si>
    <t>Communication Training Devices</t>
  </si>
  <si>
    <t>ADPE Central Processing Unit (CPU, Computer), Analog</t>
  </si>
  <si>
    <t>ADPE Central Processing Unit (CPU, Computer), Hybrid</t>
  </si>
  <si>
    <t>ADP Support Equipment</t>
  </si>
  <si>
    <t>Punched Card Equipment</t>
  </si>
  <si>
    <t>Mini and Micro Computer Control Devices</t>
  </si>
  <si>
    <t>ADP Supplies</t>
  </si>
  <si>
    <t>ADP Components</t>
  </si>
  <si>
    <t>Furniture</t>
  </si>
  <si>
    <t>Household Furniture</t>
  </si>
  <si>
    <t>Office Furniture</t>
  </si>
  <si>
    <t>Cabinets, Lockers, Bins, and Shelving</t>
  </si>
  <si>
    <t>Miscellaneous Furniture and Fixtures</t>
  </si>
  <si>
    <t>Household and Commercial Furnishings and Appliances</t>
  </si>
  <si>
    <t>Household Furnishings</t>
  </si>
  <si>
    <t>Floor Coverings</t>
  </si>
  <si>
    <t>Draperies, Awnings, and Shades</t>
  </si>
  <si>
    <t>Household and Commercial Utility Containers</t>
  </si>
  <si>
    <t>Miscellaneous Household and Commercial Furnishings and Appliances</t>
  </si>
  <si>
    <t>Kitchen Equipment and Appliances</t>
  </si>
  <si>
    <t>Kitchen Hand Tools and Utensils</t>
  </si>
  <si>
    <t>Cutlery and Flatware</t>
  </si>
  <si>
    <t>Tableware</t>
  </si>
  <si>
    <t>Sets, Kits, and Outfits: Food Preparation and Serving</t>
  </si>
  <si>
    <t>Office Machines, Text Processing Systems and Visible Record Equipment</t>
  </si>
  <si>
    <t>Accounting and Calculating Machines</t>
  </si>
  <si>
    <t>Typewriters and Office Type Composing Machines</t>
  </si>
  <si>
    <t>Office Information System Equipment</t>
  </si>
  <si>
    <t>Office Type Sound Recording and Reproducing Machines</t>
  </si>
  <si>
    <t>Visible Record Equipment</t>
  </si>
  <si>
    <t>Miscellaneous Office Machines</t>
  </si>
  <si>
    <t>Office Supplies and Devices</t>
  </si>
  <si>
    <t>Office Supplies</t>
  </si>
  <si>
    <t>Office Devices and Accessories</t>
  </si>
  <si>
    <t>Stationery and Record Forms</t>
  </si>
  <si>
    <t>Standard Forms</t>
  </si>
  <si>
    <t>Books, Maps, and Other Publications</t>
  </si>
  <si>
    <t>Books and Pamphlets</t>
  </si>
  <si>
    <t>Newspapers and Periodicals</t>
  </si>
  <si>
    <t>Maps, Atlases, Charts, and Globes</t>
  </si>
  <si>
    <t>Drawings and Specifications</t>
  </si>
  <si>
    <t>Sheet and Book Music</t>
  </si>
  <si>
    <t>Microfilm, Processed</t>
  </si>
  <si>
    <t>Miscellaneous Printed Matter</t>
  </si>
  <si>
    <t>Musical Instruments, Phonographs, and Home-Type Radios</t>
  </si>
  <si>
    <t>Musical Instruments</t>
  </si>
  <si>
    <t>Musical Instrument Parts and Accessories</t>
  </si>
  <si>
    <t>Phonographs, Radios, and Television Sets: Home Type</t>
  </si>
  <si>
    <t>Parts and Accessories of Phonographs, Radios, and Television Sets: Home Type</t>
  </si>
  <si>
    <t>Phonograph Records</t>
  </si>
  <si>
    <t>Recreational and Athletic Equipment</t>
  </si>
  <si>
    <t>Athletic and Sporting Equipment</t>
  </si>
  <si>
    <t>Games, Toys, and Wheeled Goods</t>
  </si>
  <si>
    <t>Recreational and Gymnastic Equipment</t>
  </si>
  <si>
    <t>Cleaning Equipment and Supplies</t>
  </si>
  <si>
    <t>Floor Polishers and Vacuum Cleaning Equipment</t>
  </si>
  <si>
    <t>Brooms, Brushes, Mops, and Sponges</t>
  </si>
  <si>
    <t>Cleaning and Polishing Compounds and Preparations</t>
  </si>
  <si>
    <t>Paints, Dopes, Varnishes, and Related Products</t>
  </si>
  <si>
    <t>Paint and Artists' Brushes</t>
  </si>
  <si>
    <t>Preservative and Sealing Compounds</t>
  </si>
  <si>
    <t>Bags and Sacks</t>
  </si>
  <si>
    <t>Drums and Cans</t>
  </si>
  <si>
    <t>Boxes, Cartons, and Crates</t>
  </si>
  <si>
    <t>Commercial and Industrial Gas Cylinders</t>
  </si>
  <si>
    <t>Bottles and Jars</t>
  </si>
  <si>
    <t>Reels and Spools</t>
  </si>
  <si>
    <t>Packaging and Packing Bulk Materials</t>
  </si>
  <si>
    <t>Ammunition and Nuclear Ordnance Boxes, Packages and Special Containers</t>
  </si>
  <si>
    <t>Textiles, Leather, Furs, Apparel and Shoe Findings, Tents and Flags</t>
  </si>
  <si>
    <t>Textile Fabrics</t>
  </si>
  <si>
    <t>Yarn and Threads</t>
  </si>
  <si>
    <t>Notions and Apparel Findings</t>
  </si>
  <si>
    <t>Padding and Stuffing Materials</t>
  </si>
  <si>
    <t>Fur Materials</t>
  </si>
  <si>
    <t>Leather</t>
  </si>
  <si>
    <t>Shoe Findings and Soling Materials</t>
  </si>
  <si>
    <t>Tents and Tarpaulins</t>
  </si>
  <si>
    <t>Flags and Pennants</t>
  </si>
  <si>
    <t>Outerwear, Men's</t>
  </si>
  <si>
    <t>Outerwear, Women's</t>
  </si>
  <si>
    <t>Underwear and Nightwear, Men's</t>
  </si>
  <si>
    <t>Underwear and Nightwear, Women's</t>
  </si>
  <si>
    <t>Footwear, Men's</t>
  </si>
  <si>
    <t>Footwear, Women's</t>
  </si>
  <si>
    <t>Hosiery, Handwear, and Clothing Accessories, Men's</t>
  </si>
  <si>
    <t>Hosiery, Handwear, and Clothing Accessories, Women's</t>
  </si>
  <si>
    <t>Children's and Infant's Apparel and Accessories</t>
  </si>
  <si>
    <t>Badges and Insignia</t>
  </si>
  <si>
    <t>Luggage</t>
  </si>
  <si>
    <t>Specialized Flight Clothing and Accessories</t>
  </si>
  <si>
    <t>Toiletries</t>
  </si>
  <si>
    <t>Perfumes, Toilet Preparations, and Powders</t>
  </si>
  <si>
    <t>Toilet Soap, Shaving Preparations, and Dentifrices</t>
  </si>
  <si>
    <t>Personal Toiletry Articles</t>
  </si>
  <si>
    <t>Toiletry Paper Products</t>
  </si>
  <si>
    <t>Agricultural Supplies</t>
  </si>
  <si>
    <t>Forage and Feed</t>
  </si>
  <si>
    <t>Fertilizers</t>
  </si>
  <si>
    <t>Seeds and Nursery Stock</t>
  </si>
  <si>
    <t>Live Animals</t>
  </si>
  <si>
    <t>Live Animals, Raised for Food</t>
  </si>
  <si>
    <t>Live Animals, Not Raised for Food</t>
  </si>
  <si>
    <t>Subsistence</t>
  </si>
  <si>
    <t>Meat, Poultry, and Fish</t>
  </si>
  <si>
    <t>Dairy Foods and Eggs</t>
  </si>
  <si>
    <t>Fruits and Vegetables</t>
  </si>
  <si>
    <t>Bakery and Cereal Products</t>
  </si>
  <si>
    <t>Sugar, Confectionery, and Nuts</t>
  </si>
  <si>
    <t>Jams, Jellies, and Preserves</t>
  </si>
  <si>
    <t>Soups and Bouillons</t>
  </si>
  <si>
    <t>Special Dietary Foods and Food Specialty Preparations</t>
  </si>
  <si>
    <t>Food, Oils and Fats</t>
  </si>
  <si>
    <t>Condiments and Related Products</t>
  </si>
  <si>
    <t>Coffee, Tea, and Cocoa</t>
  </si>
  <si>
    <t>Beverages, Nonalcoholic</t>
  </si>
  <si>
    <t>Beverages, Alcoholic</t>
  </si>
  <si>
    <t>Composite Food Packages</t>
  </si>
  <si>
    <t>Tobacco Products</t>
  </si>
  <si>
    <t>Fuels, Lubricants, Oils, and Waxes</t>
  </si>
  <si>
    <t>Fuels, Solid</t>
  </si>
  <si>
    <t>Liquid Propellants and Fuels, Petroleum Base</t>
  </si>
  <si>
    <t>Liquid Propellant Fuels and Oxidizers, Chemical Base</t>
  </si>
  <si>
    <t>Fuel Oils</t>
  </si>
  <si>
    <t>Oils and Greases: Cutting, Lubricating, and Hydraulic</t>
  </si>
  <si>
    <t>Miscellaneous Waxes, Oils, and Fats</t>
  </si>
  <si>
    <t>Nonmetallic Fabricated Materials</t>
  </si>
  <si>
    <t>Paper and Paperboard</t>
  </si>
  <si>
    <t>Rubber Fabricated Materials</t>
  </si>
  <si>
    <t>Plastics Fabricated Materials</t>
  </si>
  <si>
    <t>Glass Fabricated Materials</t>
  </si>
  <si>
    <t>Refractories and Fire Surfacing Materials</t>
  </si>
  <si>
    <t>Miscellaneous Fabricated Nonmetallic Materials</t>
  </si>
  <si>
    <t>Nonmetallic Crude Materials</t>
  </si>
  <si>
    <t>Crude Grades of Plant Materials</t>
  </si>
  <si>
    <t>Fibers: Vegetable, Animal, and Synthetic</t>
  </si>
  <si>
    <t>Miscellaneous Crude Animal Products, Inedible</t>
  </si>
  <si>
    <t>Miscellaneous Crude Agricultural and Forestry Products</t>
  </si>
  <si>
    <t>Nonmetallic Scrap, Except Textile</t>
  </si>
  <si>
    <t>Metal Bars, Sheets, and Shapes</t>
  </si>
  <si>
    <t>Wire, Nonelectrical</t>
  </si>
  <si>
    <t>Bars and Rods</t>
  </si>
  <si>
    <t>Plate, Sheet, Strip, Foil, and Leaf</t>
  </si>
  <si>
    <t>Structural Shapes</t>
  </si>
  <si>
    <t>Wire, Nonelectrical, Nonferrous Base Metal</t>
  </si>
  <si>
    <t>Bars and Rods, Nonferrous Base Metal</t>
  </si>
  <si>
    <t>Plate, Sheet, Strip, and Foil, Nonferrous Base Metal</t>
  </si>
  <si>
    <t>Structural Shapes, Nonferrous Base Metal</t>
  </si>
  <si>
    <t>Plate, Sheet, Strip, Foil, and Wire: Precious Metal</t>
  </si>
  <si>
    <t>Ores, Minerals, and Their Primary Products</t>
  </si>
  <si>
    <t>Ores</t>
  </si>
  <si>
    <t>Minerals, Natural and Synthetic</t>
  </si>
  <si>
    <t>Additive Metal Materials</t>
  </si>
  <si>
    <t>Iron and Steel Primary and Semifinished Products</t>
  </si>
  <si>
    <t>Nonferrous Base Metal Refinery and Intermediate Forms</t>
  </si>
  <si>
    <t>Precious Metals Primary Forms</t>
  </si>
  <si>
    <t>Iron and Steel Scrap</t>
  </si>
  <si>
    <t>Nonferrous Scrap</t>
  </si>
  <si>
    <t>Signs, Advertising Displays, and Identification Plates</t>
  </si>
  <si>
    <t>Jewelry</t>
  </si>
  <si>
    <t>Collectors' and/or Historical Items</t>
  </si>
  <si>
    <t>Smokers' Articles and Matches</t>
  </si>
  <si>
    <t>Ecclesiastical Equipment, Furnishings, and Supplies</t>
  </si>
  <si>
    <t>Memorials, Cemeterial and Mortuary Equipment and Supplies</t>
  </si>
  <si>
    <t>Exchange Rates</t>
  </si>
  <si>
    <t>This section shows the exchange rate for different currencies in terms of Euro for the years 2019-2026. 2026 data goes until 31/01/2026. Exchange rate value is the annual average.
Dataset: Euro/ECU exchange rates - annual data [ert_bil_eur_a__custom_16784229]
Source: Eurostat, European Commission</t>
  </si>
  <si>
    <t>Year</t>
  </si>
  <si>
    <t>This figure shows Germany's total military orders in € billion over time between January 2020 and January 2026.</t>
  </si>
  <si>
    <t>Total military orders</t>
  </si>
  <si>
    <t>This figure shows Germany's total military orders in € billion over time between 2020 and 2026 for each twelve-month period beginning in March. No orders are recorded in January and February 2020, meaning this chart includes 100% of total orders even though it does not span the entire period recorded.</t>
  </si>
  <si>
    <t>Twelve-month window</t>
  </si>
  <si>
    <t>Mar 2020 - Feb 2021</t>
  </si>
  <si>
    <t>Mar 2021 - Feb 2022</t>
  </si>
  <si>
    <t>Mar 2022 - Feb 2023</t>
  </si>
  <si>
    <t>Mar 2023 - Feb 2024</t>
  </si>
  <si>
    <t>Mar 2024 - Feb 2025</t>
  </si>
  <si>
    <t>Mar 2025 - Feb 2026</t>
  </si>
  <si>
    <t>This figure shows Germany's total military orders by weapon category (Air, Sea, Land, Other) in € billion over time between January 2020 and January 2026.</t>
  </si>
  <si>
    <t>Air</t>
  </si>
  <si>
    <t>Sea</t>
  </si>
  <si>
    <t>Land</t>
  </si>
  <si>
    <t>This figure compares the monetary amount Germany ordered in military procurements in each category (Air, Sea, Land, Other) in the periods from January 2020 to December 2021 and from January 2022 to January 2026. It also shows the percentage of total orders for each category for each time period.</t>
  </si>
  <si>
    <t>2020-21</t>
  </si>
  <si>
    <t>2022-26</t>
  </si>
  <si>
    <t>Orders</t>
  </si>
  <si>
    <t>% Total</t>
  </si>
  <si>
    <t>Einzelplan 14 (until Feb 2022)</t>
  </si>
  <si>
    <t>Einzelplan 14 (after Feb 2022)</t>
  </si>
  <si>
    <t>This figure shows the UK's total military orders in £ billion over time between January 2020 and January 2026.</t>
  </si>
  <si>
    <t>This figure shows the UK's total military orders by weapon category (Air, Sea, Land, Other) in £ billion over time between January 2020 and January 2026.</t>
  </si>
  <si>
    <t>This figure compares the monetary amount the UK ordered in military procurements in each category (Air, Sea, Land, Other) in billion £ in the periods from January 2020 to December 2021 and from January 2022 to January 2026. It also shows the percentage of total orders for each category for each time period.</t>
  </si>
  <si>
    <t>This figure shows the UK's total military orders for drones and drone development in £ million over time between January 2020 and January 2026. Includes unilateral orders only.</t>
  </si>
  <si>
    <t>This figure shows total military orders by weapon category (Air, Sea, Land, Other) in £ million over time between January 2020 and January 2026 by the UK-administered 'International Fund for Ukraine' multilateral procurement fund. It is unclear for these orders what the UK's contribution is. Items ordered through the IFU which are clearly marked as being wholly funded by the UK are included in the regular UK data. This figure also includes orders through the Drone Capability Coalition in partnership with Latvia and other countries.</t>
  </si>
  <si>
    <t>This figure shows Poland's total military orders in € billion over time between 2020 and 2025 for each twelve-month period beginning in March.</t>
  </si>
  <si>
    <t>Jan 2019 - Feb 2021</t>
  </si>
  <si>
    <t>2019-21</t>
  </si>
  <si>
    <t>This table shows the main orders ("principales commandes") of main weapon types by France from 2020 to 2025 contained in the annexes of the military equipment budgets published by the French Ministry of Defence and summarised by the Kiel military procurement tracker. ‘Missile’ relates to all types of missiles (Land, Air, Naval). All vehicles (‘Main Battle Tank’ and ‘Armoured Vehicle’) orders include both new purchases and refurbishments of existing vehicles. Other aircraft includes aircraft orders for both the Air Force and Navy.
Source: Projet annuel de performances Annexe au projet de loi de finances pour 2020, 2021, 2022, 2023, 2024, 2025. Programme 146/147 Équipement des Forces; Kiel military procurement tracker – second release, Wolff et al (2025a)</t>
  </si>
  <si>
    <t>Weapon Type</t>
  </si>
  <si>
    <t>Combat Aircraft</t>
  </si>
  <si>
    <t>Other Aircraft</t>
  </si>
  <si>
    <t>Main Battle Tank</t>
  </si>
  <si>
    <t>Armoured Vehicle</t>
  </si>
  <si>
    <t>Artillery Howitzer</t>
  </si>
  <si>
    <t>UK</t>
  </si>
  <si>
    <t>Germany only</t>
  </si>
  <si>
    <t>Germany and foreign partnership</t>
  </si>
  <si>
    <t>European, non-Germany</t>
  </si>
  <si>
    <t>Non-European only</t>
  </si>
  <si>
    <t>January 2020 - February 2022</t>
  </si>
  <si>
    <t>March 2022 - January 2026</t>
  </si>
  <si>
    <t>Quarter</t>
  </si>
  <si>
    <t>UK only</t>
  </si>
  <si>
    <t>UK and foreign partnership</t>
  </si>
  <si>
    <t>European, non-UK</t>
  </si>
  <si>
    <t>March 2022 - April 2025</t>
  </si>
  <si>
    <t>Poland only</t>
  </si>
  <si>
    <t>Poland and foreign partnership</t>
  </si>
  <si>
    <t>European, non-Poland</t>
  </si>
  <si>
    <t>January 2019 - February 2022</t>
  </si>
  <si>
    <t>Announcement Date</t>
  </si>
  <si>
    <t>Year of Order</t>
  </si>
  <si>
    <t>Expected Delivery (from)</t>
  </si>
  <si>
    <t>Expected Delivery (to)</t>
  </si>
  <si>
    <t>Years (earliest)</t>
  </si>
  <si>
    <t>Years (latest)</t>
  </si>
  <si>
    <t>Estimated Years</t>
  </si>
  <si>
    <t>Average Years (earliest)</t>
  </si>
  <si>
    <t>Average Years (latest)</t>
  </si>
  <si>
    <t>Ordered Items</t>
  </si>
  <si>
    <t>Items, no Latest Delivery Date</t>
  </si>
  <si>
    <t>% Items, no Latest Delivery Date</t>
  </si>
  <si>
    <t>3-Month Average</t>
  </si>
  <si>
    <t>Orders for land forces</t>
  </si>
  <si>
    <t>Orders for naval forces</t>
  </si>
  <si>
    <t>Infantry Fighting Vehicle</t>
  </si>
  <si>
    <t>Other Armoured Vehicle</t>
  </si>
  <si>
    <t>Anti-Aircraft / Air Defence</t>
  </si>
  <si>
    <t>Total Four Countries</t>
  </si>
  <si>
    <t>This table shows the main deliveries ("principales livraisons") of military equipment to France since 2020 contained in the annexes of the equipment budget for the French military. 
Source: Projet annuel de performances Annexe au projet de loi de finances pour 2020, 2021, 2022, 2023, 2024, 2025. Programme 146/147 Équipement des Forces.</t>
  </si>
  <si>
    <t>Source</t>
  </si>
  <si>
    <t>FR_D1</t>
  </si>
  <si>
    <t>Blindés Griffon</t>
  </si>
  <si>
    <t>FR_D2</t>
  </si>
  <si>
    <t>Hélicoptères NH90</t>
  </si>
  <si>
    <t>Transport helicopter</t>
  </si>
  <si>
    <t>FR_D3</t>
  </si>
  <si>
    <t>Postes de missile moyenne portée</t>
  </si>
  <si>
    <t>FR_D4</t>
  </si>
  <si>
    <t>Fusils d’assaut HK416F</t>
  </si>
  <si>
    <t>Assault rifle</t>
  </si>
  <si>
    <t>FR_D5</t>
  </si>
  <si>
    <t>Véhicules légers tactiques (VLTP)</t>
  </si>
  <si>
    <t>Tactical light vehicle</t>
  </si>
  <si>
    <t>FR_D6</t>
  </si>
  <si>
    <t>Avion de surveillance ATL2 rénové</t>
  </si>
  <si>
    <t>FR_D7</t>
  </si>
  <si>
    <t>Sous-marin Barracuda</t>
  </si>
  <si>
    <t>FR_D8</t>
  </si>
  <si>
    <t>Hélicoptères Caïman Marine</t>
  </si>
  <si>
    <t>FR_D9</t>
  </si>
  <si>
    <t>Satellite Musis CSO</t>
  </si>
  <si>
    <t>Satellite</t>
  </si>
  <si>
    <t>FR_D10</t>
  </si>
  <si>
    <t>Ravitailleur C130J</t>
  </si>
  <si>
    <t>FR_D11</t>
  </si>
  <si>
    <t>Avions A330</t>
  </si>
  <si>
    <t>FR_D12</t>
  </si>
  <si>
    <t>Avion de transport multi-rôles A330-MRTT Phénix</t>
  </si>
  <si>
    <t>FR_D13</t>
  </si>
  <si>
    <t>Avion de transport A400M Atlas</t>
  </si>
  <si>
    <t>FR_D14</t>
  </si>
  <si>
    <t>Système de drones Reaper</t>
  </si>
  <si>
    <t>FR_D15</t>
  </si>
  <si>
    <t>satellite SYRACUSE IV</t>
  </si>
  <si>
    <t>FR_D16</t>
  </si>
  <si>
    <t>satellite CERES</t>
  </si>
  <si>
    <t>Satellite surveillance</t>
  </si>
  <si>
    <t>FR_D17</t>
  </si>
  <si>
    <t>frégate rénovée</t>
  </si>
  <si>
    <t>FR_D18</t>
  </si>
  <si>
    <t>Mirage 2000 rénovés</t>
  </si>
  <si>
    <t>FR_D19</t>
  </si>
  <si>
    <t>FREMM</t>
  </si>
  <si>
    <t>FR_D20</t>
  </si>
  <si>
    <t>avion de transport A400M Atlas</t>
  </si>
  <si>
    <t>FR_D21</t>
  </si>
  <si>
    <t>radars GM 200</t>
  </si>
  <si>
    <t>Surveillance radar</t>
  </si>
  <si>
    <t>FR_D22</t>
  </si>
  <si>
    <t>avions de transport multi-rôles A330-MRTT Phénix</t>
  </si>
  <si>
    <t>FR_D23</t>
  </si>
  <si>
    <t>hélicoptères NH 90 (3 TTH et 1 NFH)</t>
  </si>
  <si>
    <t>FR_D24</t>
  </si>
  <si>
    <t>hélicoptères Tigre retrofités HAP-HAD</t>
  </si>
  <si>
    <t>FR_D25</t>
  </si>
  <si>
    <t>postes de tir missile moyenne portée</t>
  </si>
  <si>
    <t>FR_D26</t>
  </si>
  <si>
    <t>véhicules blindés Griffon</t>
  </si>
  <si>
    <t>FR_D27</t>
  </si>
  <si>
    <t>véhicules Jaguar</t>
  </si>
  <si>
    <t>FR_D28</t>
  </si>
  <si>
    <t>véhicules légers tactiques (VLTP)</t>
  </si>
  <si>
    <t>FR_D29</t>
  </si>
  <si>
    <t>fusils d’assaut HK416F</t>
  </si>
  <si>
    <t>FR_D30</t>
  </si>
  <si>
    <t>Rafale</t>
  </si>
  <si>
    <t>FR_D31</t>
  </si>
  <si>
    <t>avions de transport tactique A400M Atlas</t>
  </si>
  <si>
    <t>FR_D32</t>
  </si>
  <si>
    <t>avions de transport multi-rôles A330 MRTT Phénix</t>
  </si>
  <si>
    <t>FR_D33</t>
  </si>
  <si>
    <t>avion de transport A330-200</t>
  </si>
  <si>
    <t>FR_D34</t>
  </si>
  <si>
    <t>avions de patrouille maritime ATL2 rénovés</t>
  </si>
  <si>
    <t>Maritime reconnaisance aircraft</t>
  </si>
  <si>
    <t>FR_D35</t>
  </si>
  <si>
    <t>satellites Ceres</t>
  </si>
  <si>
    <t>FR_D36</t>
  </si>
  <si>
    <t>satellite Syracuse IV</t>
  </si>
  <si>
    <t>FR_D37</t>
  </si>
  <si>
    <t>radar fixe moyenne et basse altitude</t>
  </si>
  <si>
    <t>Low altitude radar</t>
  </si>
  <si>
    <t>FR_D38</t>
  </si>
  <si>
    <t>lot de missiles de croisière navals</t>
  </si>
  <si>
    <t>FR_D39</t>
  </si>
  <si>
    <t>missiles Mica remotorisés</t>
  </si>
  <si>
    <t>FR_D40</t>
  </si>
  <si>
    <t>frégate légère furtive rénovée</t>
  </si>
  <si>
    <t>FR_D41</t>
  </si>
  <si>
    <t>frégate multi-missions</t>
  </si>
  <si>
    <t>FR_D42</t>
  </si>
  <si>
    <t>FR_D43</t>
  </si>
  <si>
    <t>véhicules blindés Jaguar</t>
  </si>
  <si>
    <t>FR_D44</t>
  </si>
  <si>
    <t>avions de combat Mirage 2000D rénovés</t>
  </si>
  <si>
    <t>FR_D45</t>
  </si>
  <si>
    <t>hélicoptères NH90</t>
  </si>
  <si>
    <t>FR_D46</t>
  </si>
  <si>
    <t>missiles Scalp rénovés</t>
  </si>
  <si>
    <t>FR_D47</t>
  </si>
  <si>
    <t>missiles MMP</t>
  </si>
  <si>
    <t>FR_D48</t>
  </si>
  <si>
    <t>FR_D49</t>
  </si>
  <si>
    <t>véhicules Griffon</t>
  </si>
  <si>
    <t>FR_D50</t>
  </si>
  <si>
    <t>véhicules Serval</t>
  </si>
  <si>
    <t>FR_D51</t>
  </si>
  <si>
    <t>premier bâtiment ravitailleur de forces (FLOTLOG)</t>
  </si>
  <si>
    <t>Fleet tanker navy</t>
  </si>
  <si>
    <t>FR_D52</t>
  </si>
  <si>
    <t>avions MRTT</t>
  </si>
  <si>
    <t>https://www.budget.gouv.fr  ›  documentation  ›  file-download  ›  18463</t>
  </si>
  <si>
    <t>FR_D53</t>
  </si>
  <si>
    <t>A400M et les aires aéronautiques associées</t>
  </si>
  <si>
    <t>https://www.budget.gouv.fr  ›  documentation  ›  file-download  ›  18464</t>
  </si>
  <si>
    <t>FR_D54</t>
  </si>
  <si>
    <t>hélicoptères H-160</t>
  </si>
  <si>
    <t>Utility helicopter</t>
  </si>
  <si>
    <t>https://www.budget.gouv.fr  ›  documentation  ›  file-download  ›  18465</t>
  </si>
  <si>
    <t>FR_D55</t>
  </si>
  <si>
    <t>hélicoptères CAIMAN TTH</t>
  </si>
  <si>
    <t>https://www.budget.gouv.fr  ›  documentation  ›  file-download  ›  18466</t>
  </si>
  <si>
    <t>FR_D56</t>
  </si>
  <si>
    <t>véhicules VT4 supplémentaires</t>
  </si>
  <si>
    <t>https://www.budget.gouv.fr  ›  documentation  ›  file-download  ›  18467</t>
  </si>
  <si>
    <t>FR_D57</t>
  </si>
  <si>
    <t>Jaguar (SCORPION)</t>
  </si>
  <si>
    <t>https://www.budget.gouv.fr  ›  documentation  ›  file-download  ›  18468</t>
  </si>
  <si>
    <t>FR_D58</t>
  </si>
  <si>
    <t>Griffon (SCORPION)</t>
  </si>
  <si>
    <t>https://www.budget.gouv.fr  ›  documentation  ›  file-download  ›  18469</t>
  </si>
  <si>
    <t>FR_D59</t>
  </si>
  <si>
    <t>Serval (SCORPION)</t>
  </si>
  <si>
    <t>https://www.budget.gouv.fr  ›  documentation  ›  file-download  ›  18470</t>
  </si>
  <si>
    <t>FR_D60</t>
  </si>
  <si>
    <t>infrastructures d’accueil SCORPION</t>
  </si>
  <si>
    <t>https://www.budget.gouv.fr  ›  documentation  ›  file-download  ›  18471</t>
  </si>
  <si>
    <t>FR_D61</t>
  </si>
  <si>
    <t>Leclerc rénovés</t>
  </si>
  <si>
    <t>https://www.budget.gouv.fr  ›  documentation  ›  file-download  ›  18472</t>
  </si>
  <si>
    <t>FR_D62</t>
  </si>
  <si>
    <t>VFS dont : dont 5 poids lourds</t>
  </si>
  <si>
    <t>https://www.budget.gouv.fr  ›  documentation  ›  file-download  ›  18473</t>
  </si>
  <si>
    <t>FR_D63</t>
  </si>
  <si>
    <t>véhicules légers</t>
  </si>
  <si>
    <t>https://www.budget.gouv.fr  ›  documentation  ›  file-download  ›  18474</t>
  </si>
  <si>
    <t>FR_D64</t>
  </si>
  <si>
    <t>véhicules Fardier</t>
  </si>
  <si>
    <t>https://www.budget.gouv.fr  ›  documentation  ›  file-download  ›  18475</t>
  </si>
  <si>
    <t>FR_D65</t>
  </si>
  <si>
    <t>remorques associées</t>
  </si>
  <si>
    <t>Military trailer</t>
  </si>
  <si>
    <t>https://www.budget.gouv.fr  ›  documentation  ›  file-download  ›  18476</t>
  </si>
  <si>
    <t>FR_D66</t>
  </si>
  <si>
    <t>postes de tir</t>
  </si>
  <si>
    <t>Firing station</t>
  </si>
  <si>
    <t>https://www.budget.gouv.fr  ›  documentation  ›  file-download  ›  18477</t>
  </si>
  <si>
    <t>FR_D67</t>
  </si>
  <si>
    <t>Missiles Moyenne Portée</t>
  </si>
  <si>
    <t>https://www.budget.gouv.fr  ›  documentation  ›  file-download  ›  18478</t>
  </si>
  <si>
    <t>FR_D68</t>
  </si>
  <si>
    <t>AIF</t>
  </si>
  <si>
    <t>https://www.budget.gouv.fr  ›  documentation  ›  file-download  ›  18479</t>
  </si>
  <si>
    <t>FR_D69</t>
  </si>
  <si>
    <t>module de lutte contre les mines constitué de drones (SLAMF)</t>
  </si>
  <si>
    <t>https://www.budget.gouv.fr  ›  documentation  ›  file-download  ›  18480</t>
  </si>
  <si>
    <t>FR_D70</t>
  </si>
  <si>
    <t>deuxième SNA BARRACUDA</t>
  </si>
  <si>
    <t>https://www.budget.gouv.fr  ›  documentation  ›  file-download  ›  18481</t>
  </si>
  <si>
    <t>FR_D71</t>
  </si>
  <si>
    <t>troisième rénovation FLF</t>
  </si>
  <si>
    <t>Frigate renovation</t>
  </si>
  <si>
    <t>https://www.budget.gouv.fr  ›  documentation  ›  file-download  ›  18482</t>
  </si>
  <si>
    <t>FR_D72</t>
  </si>
  <si>
    <t>torpilles lourdes ARTEMIS</t>
  </si>
  <si>
    <t>Heavy-weight torpedo</t>
  </si>
  <si>
    <t>https://www.budget.gouv.fr  ›  documentation  ›  file-download  ›  18483</t>
  </si>
  <si>
    <t>FR_D73</t>
  </si>
  <si>
    <t>missiles EXOCET MM40 Block 3c</t>
  </si>
  <si>
    <t>https://www.budget.gouv.fr  ›  documentation  ›  file-download  ›  18484</t>
  </si>
  <si>
    <t>FR_D74</t>
  </si>
  <si>
    <t>rénovations ATL2</t>
  </si>
  <si>
    <t>Transport aircraft renovation</t>
  </si>
  <si>
    <t>https://www.budget.gouv.fr  ›  documentation  ›  file-download  ›  18485</t>
  </si>
  <si>
    <t>FR_D75</t>
  </si>
  <si>
    <t>https://www.budget.gouv.fr  ›  documentation  ›  file-download  ›  18486</t>
  </si>
  <si>
    <t>FR_D76</t>
  </si>
  <si>
    <t>M2000D rénovés</t>
  </si>
  <si>
    <t>https://www.budget.gouv.fr  ›  documentation  ›  file-download  ›  18487</t>
  </si>
  <si>
    <t>FR_D77</t>
  </si>
  <si>
    <t>pods de désignation laser</t>
  </si>
  <si>
    <t>Aircraft radar</t>
  </si>
  <si>
    <t>https://www.budget.gouv.fr  ›  documentation  ›  file-download  ›  18488</t>
  </si>
  <si>
    <t>FR_D78</t>
  </si>
  <si>
    <t>missiles SCALP rénovés</t>
  </si>
  <si>
    <t>https://www.budget.gouv.fr  ›  documentation  ›  file-download  ›  18489</t>
  </si>
  <si>
    <t>FR_D79</t>
  </si>
  <si>
    <t>premier patrouilleur outre-mer</t>
  </si>
  <si>
    <t>Maritime reconnaisance ship</t>
  </si>
  <si>
    <t>https://www.budget.gouv.fr  ›  documentation  ›  file-download  ›  18490</t>
  </si>
  <si>
    <t>FR_D80</t>
  </si>
  <si>
    <t>fusils brouilleurs pour la lutte anti-drone</t>
  </si>
  <si>
    <t>Anti-drone rifle</t>
  </si>
  <si>
    <t>https://www.budget.gouv.fr  ›  documentation  ›  file-download  ›  18491</t>
  </si>
  <si>
    <t>FR_D81</t>
  </si>
  <si>
    <t>missiles d’interception à domaine élargi MIDE METEOR</t>
  </si>
  <si>
    <t>https://www.budget.gouv.fr  ›  documentation  ›  file-download  ›  18492</t>
  </si>
  <si>
    <t>FR_D82</t>
  </si>
  <si>
    <t>remotorisation Missiles d’Interception, de Combat et d’Autodéfense de nouvelle génération MICA NG (remotorisation MICA)</t>
  </si>
  <si>
    <t>https://www.budget.gouv.fr  ›  documentation  ›  file-download  ›  18493</t>
  </si>
  <si>
    <t>FR_D83</t>
  </si>
  <si>
    <t>lot de masques de protection NBC</t>
  </si>
  <si>
    <t>https://www.budget.gouv.fr  ›  documentation  ›  file-download  ›  18494</t>
  </si>
  <si>
    <t>FR_D84</t>
  </si>
  <si>
    <t>A400M</t>
  </si>
  <si>
    <t>FR_D85</t>
  </si>
  <si>
    <t>https://www.budget.gouv.fr  ›  documentation  ›  file-download  ›  21424</t>
  </si>
  <si>
    <t>FR_D86</t>
  </si>
  <si>
    <t>https://www.budget.gouv.fr  ›  documentation  ›  file-download  ›  21425</t>
  </si>
  <si>
    <t>FR_D87</t>
  </si>
  <si>
    <t>Mirage 2000D rénovés</t>
  </si>
  <si>
    <t>https://www.budget.gouv.fr  ›  documentation  ›  file-download  ›  21426</t>
  </si>
  <si>
    <t>FR_D88</t>
  </si>
  <si>
    <t>canons CAESAR (camion équipé d’un système d’artillerie)</t>
  </si>
  <si>
    <t>https://www.budget.gouv.fr  ›  documentation  ›  file-download  ›  21427</t>
  </si>
  <si>
    <t>FR_D89</t>
  </si>
  <si>
    <t>chars Leclerc rénovés</t>
  </si>
  <si>
    <t>https://www.budget.gouv.fr  ›  documentation  ›  file-download  ›  21428</t>
  </si>
  <si>
    <t>FR_D90</t>
  </si>
  <si>
    <t>véhicules blindés SCORPION dont les premiers mortiers embarqués pour l’appui au contact</t>
  </si>
  <si>
    <t>https://www.budget.gouv.fr  ›  documentation  ›  file-download  ›  21429</t>
  </si>
  <si>
    <t>FR_D91</t>
  </si>
  <si>
    <t>poids lourds pour les forces spéciales</t>
  </si>
  <si>
    <t>https://www.budget.gouv.fr  ›  documentation  ›  file-download  ›  21430</t>
  </si>
  <si>
    <t>FR_D92</t>
  </si>
  <si>
    <t>véhicules légers pour les forces spéciales</t>
  </si>
  <si>
    <t>https://www.budget.gouv.fr  ›  documentation  ›  file-download  ›  21431</t>
  </si>
  <si>
    <t>FR_D93</t>
  </si>
  <si>
    <t>régénérations de véhicules blindés légers</t>
  </si>
  <si>
    <t>https://www.budget.gouv.fr  ›  documentation  ›  file-download  ›  21432</t>
  </si>
  <si>
    <t>FR_D94</t>
  </si>
  <si>
    <t>lot de missiles moyenne portée</t>
  </si>
  <si>
    <t>https://www.budget.gouv.fr  ›  documentation  ›  file-download  ›  21433</t>
  </si>
  <si>
    <t>FR_D95</t>
  </si>
  <si>
    <t>fusils d’assaut HK416</t>
  </si>
  <si>
    <t>https://www.budget.gouv.fr  ›  documentation  ›  file-download  ›  21434</t>
  </si>
  <si>
    <t>FR_D96</t>
  </si>
  <si>
    <t>première frégate de défense et d’intervention</t>
  </si>
  <si>
    <t>https://www.budget.gouv.fr  ›  documentation  ›  file-download  ›  21435</t>
  </si>
  <si>
    <t>FR_D97</t>
  </si>
  <si>
    <t>troisième SNA BARRACUDA</t>
  </si>
  <si>
    <t>https://www.budget.gouv.fr  ›  documentation  ›  file-download  ›  21436</t>
  </si>
  <si>
    <t>FR_D98</t>
  </si>
  <si>
    <t>premiers modules SLAMF de lutte contre les mines</t>
  </si>
  <si>
    <t>https://www.budget.gouv.fr  ›  documentation  ›  file-download  ›  21437</t>
  </si>
  <si>
    <t>FR_D99</t>
  </si>
  <si>
    <t>lot de missiles et de kits missiles EXOCET MM40 Block 3c</t>
  </si>
  <si>
    <t>https://www.budget.gouv.fr  ›  documentation  ›  file-download  ›  21438</t>
  </si>
  <si>
    <t>FR_D100</t>
  </si>
  <si>
    <t>lots de torpilles lourdes</t>
  </si>
  <si>
    <t>https://www.budget.gouv.fr  ›  documentation  ›  file-download  ›  21439</t>
  </si>
  <si>
    <t>FR_D101</t>
  </si>
  <si>
    <t>lot d’obus de 155 mm</t>
  </si>
  <si>
    <t>https://www.budget.gouv.fr  ›  documentation  ›  file-download  ›  21440</t>
  </si>
  <si>
    <t>FR_D102</t>
  </si>
  <si>
    <t>premiers systèmes MICA VL</t>
  </si>
  <si>
    <t>https://www.budget.gouv.fr  ›  documentation  ›  file-download  ›  21441</t>
  </si>
  <si>
    <t>FR_D103</t>
  </si>
  <si>
    <t>lot de missiles MISTRAL</t>
  </si>
  <si>
    <t>https://www.budget.gouv.fr  ›  documentation  ›  file-download  ›  21442</t>
  </si>
  <si>
    <t>FR_D104</t>
  </si>
  <si>
    <t>lot de missiles MICA remotorisés</t>
  </si>
  <si>
    <t>https://www.budget.gouv.fr  ›  documentation  ›  file-download  ›  21443</t>
  </si>
  <si>
    <t>FR_D105</t>
  </si>
  <si>
    <t>première capacité exploratoire de maîtrise des fonds marins</t>
  </si>
  <si>
    <t>Maritime reconnaisance</t>
  </si>
  <si>
    <t>https://www.budget.gouv.fr  ›  documentation  ›  file-download  ›  21444</t>
  </si>
  <si>
    <t>FR_D106</t>
  </si>
  <si>
    <t>https://www.budget.gouv.fr  ›  documentation  ›  file-download  ›  21445</t>
  </si>
  <si>
    <t>FR_D107</t>
  </si>
  <si>
    <t>premier prototype opérationnel de système laser LAD</t>
  </si>
  <si>
    <t>https://www.budget.gouv.fr  ›  documentation  ›  file-download  ›  21446</t>
  </si>
  <si>
    <t>FR_D108</t>
  </si>
  <si>
    <t>https://www.budget.gouv.fr  ›  documentation  ›  file-download  ›  21447</t>
  </si>
  <si>
    <t>FR_D109</t>
  </si>
  <si>
    <t>bâtiment ravitailleur de forces</t>
  </si>
  <si>
    <t>Supply ship</t>
  </si>
  <si>
    <t>FR_D110</t>
  </si>
  <si>
    <t>avion A400M</t>
  </si>
  <si>
    <t>https://www.budget.gouv.fr  ›  documentation  ›  file-download  ›  27894</t>
  </si>
  <si>
    <t>FR_D111</t>
  </si>
  <si>
    <t>C-130 rénovés</t>
  </si>
  <si>
    <t>https://www.budget.gouv.fr  ›  documentation  ›  file-download  ›  27895</t>
  </si>
  <si>
    <t>FR_D112</t>
  </si>
  <si>
    <t>hélicoptères CARACAL</t>
  </si>
  <si>
    <t>https://www.budget.gouv.fr  ›  documentation  ›  file-download  ›  27896</t>
  </si>
  <si>
    <t>FR_D113</t>
  </si>
  <si>
    <t>équipements EVASAN</t>
  </si>
  <si>
    <t>Sanitary equipment</t>
  </si>
  <si>
    <t>https://www.budget.gouv.fr  ›  documentation  ›  file-download  ›  27897</t>
  </si>
  <si>
    <t>FR_D114</t>
  </si>
  <si>
    <t>frégate de défense et d’intervention</t>
  </si>
  <si>
    <t>https://www.budget.gouv.fr  ›  documentation  ›  file-download  ›  27898</t>
  </si>
  <si>
    <t>FR_D115</t>
  </si>
  <si>
    <t>modules de lutte contre les mines</t>
  </si>
  <si>
    <t>https://www.budget.gouv.fr  ›  documentation  ›  file-download  ›  27899</t>
  </si>
  <si>
    <t>FR_D116</t>
  </si>
  <si>
    <t>avions Atlantique 2 rénovés</t>
  </si>
  <si>
    <t>https://www.budget.gouv.fr  ›  documentation  ›  file-download  ›  27900</t>
  </si>
  <si>
    <t>FR_D117</t>
  </si>
  <si>
    <t>https://www.budget.gouv.fr  ›  documentation  ›  file-download  ›  27901</t>
  </si>
  <si>
    <t>FR_D118</t>
  </si>
  <si>
    <t>https://www.budget.gouv.fr  ›  documentation  ›  file-download  ›  27902</t>
  </si>
  <si>
    <t>FR_D119</t>
  </si>
  <si>
    <t>pods de désignation laser NG</t>
  </si>
  <si>
    <t>Laser Designation Pod for Rafale</t>
  </si>
  <si>
    <t>https://www.budget.gouv.fr  ›  documentation  ›  file-download  ›  27903</t>
  </si>
  <si>
    <t>FR_D120</t>
  </si>
  <si>
    <t>MRTT après conversion d’un A330-200</t>
  </si>
  <si>
    <t>https://www.budget.gouv.fr  ›  documentation  ›  file-download  ›  27904</t>
  </si>
  <si>
    <t>FR_D121</t>
  </si>
  <si>
    <t>hélicoptères Tigre rétrofités HAD</t>
  </si>
  <si>
    <t>https://www.budget.gouv.fr  ›  documentation  ›  file-download  ›  27905</t>
  </si>
  <si>
    <t>FR_D122</t>
  </si>
  <si>
    <t>véhicules légers forces spéciales</t>
  </si>
  <si>
    <t>https://www.budget.gouv.fr  ›  documentation  ›  file-download  ›  27906</t>
  </si>
  <si>
    <t>FR_D123</t>
  </si>
  <si>
    <t>poids lourds forces spéciales</t>
  </si>
  <si>
    <t>https://www.budget.gouv.fr  ›  documentation  ›  file-download  ›  27907</t>
  </si>
  <si>
    <t>FR_D124</t>
  </si>
  <si>
    <t>VLTP sanitaires</t>
  </si>
  <si>
    <t>https://www.budget.gouv.fr  ›  documentation  ›  file-download  ›  27908</t>
  </si>
  <si>
    <t>FR_D125</t>
  </si>
  <si>
    <t>véhicules SCORPION (SERVAL, MEPAC, GRIFFON et JAGUAR)</t>
  </si>
  <si>
    <t>Different armoured vehicles</t>
  </si>
  <si>
    <t>https://www.budget.gouv.fr  ›  documentation  ›  file-download  ›  27909</t>
  </si>
  <si>
    <t>FR_D126</t>
  </si>
  <si>
    <t>VBL régénérés</t>
  </si>
  <si>
    <t>https://www.budget.gouv.fr  ›  documentation  ›  file-download  ›  27910</t>
  </si>
  <si>
    <t>FR_D127</t>
  </si>
  <si>
    <t>infrastructures SCORPION</t>
  </si>
  <si>
    <t>https://www.budget.gouv.fr  ›  documentation  ›  file-download  ›  27911</t>
  </si>
  <si>
    <t>FR_D128</t>
  </si>
  <si>
    <t>https://www.budget.gouv.fr  ›  documentation  ›  file-download  ›  27912</t>
  </si>
  <si>
    <t>FR_D129</t>
  </si>
  <si>
    <t>torpilles lourdes F21</t>
  </si>
  <si>
    <t>https://www.budget.gouv.fr  ›  documentation  ›  file-download  ›  27913</t>
  </si>
  <si>
    <t>FR_D130</t>
  </si>
  <si>
    <t>kits missiles EXOCET</t>
  </si>
  <si>
    <t>https://www.budget.gouv.fr  ›  documentation  ›  file-download  ›  27914</t>
  </si>
  <si>
    <t>FR_D131</t>
  </si>
  <si>
    <t>missiles SCALP et MMP</t>
  </si>
  <si>
    <t>https://www.budget.gouv.fr  ›  documentation  ›  file-download  ›  27915</t>
  </si>
  <si>
    <t>MEKO200</t>
  </si>
  <si>
    <t>DE_155mm</t>
  </si>
  <si>
    <t>This figure shows the summary of the Kiel military procurement tracker for Germany, the UK, and Poland for the years 2020-2026 in € billion. We exclude France because there is not enough monetary data available to make a comparable analysis with the other countries. For all countries, there is no way to verify how much military procurement spending we are missing, and we are not aware of a viable method of benchmarking the data. Hence, our results should be interpreted cautiously and as a lower bound.</t>
  </si>
  <si>
    <t>\</t>
  </si>
  <si>
    <t>This figure shows Germany's total military orders by budgetary fund in € billion over time between January 2020 and January 2026. €49.5 billion worth of orders is attributed to both the Sondervermögen and regular defence budget, Einzelplan 14. In the absence of further details, we assume that these orders are funded by the Sondervermögen until the fund is exhausted in 2027 and then any additional costs will be paid by the regular defence budget. In these cases, we attribute the value of the whole order to the Sondervermögen. Around €1 billion worth of orders is attributed to the Sondervermögen and Einzelplan 60. We count these orders as Einzelplan 60. Furthermore, in cases where the funding vehicle is not specified, we attribute the value of the order to the regular defence budget, Einzelplan 14.</t>
  </si>
  <si>
    <t>Figure 1: Country summary of procurement value from January 2020 to January 2026 (billion EUR)</t>
  </si>
  <si>
    <t>Figure 2: Germany total military orders by weapon category, January 2020 - January 2026 (billion EUR)</t>
  </si>
  <si>
    <t>Figure 3: Germany share of total military orders by country of origin of the company which received the order, January 2020 – January 2026 (billion EUR)</t>
  </si>
  <si>
    <t>Figure 4: Germany quarterly estimate of the number of years needed to deliver the ordered equipment where available, January 2020 – January 2026 (quarterly average)</t>
  </si>
  <si>
    <t>This figure shows the proportion of ordered items that do not have a latest expected delivery date (220 in total) within a three-month rolling window consisting of each month and the two months prior. These items have either (a) no expected delivery date, or (b) only an earliest expected delivery date. Altogether Germany has ordered 396 items.</t>
  </si>
  <si>
    <t>Figure 6: UK total military orders by weapon category, January 2020 - January 2026 (billion GBP)</t>
  </si>
  <si>
    <t>Figure 7: UK share of total military orders by country of origin of the company which received the order, January 2020 – January 2026 (billion EUR)</t>
  </si>
  <si>
    <t>Figure 8: UK quarterly estimate of the number of years needed to deliver the ordered equipment where available, January 2020 – January 2026</t>
  </si>
  <si>
    <t>Out of the 193 ordered items recorded for the years 2020-2026, 73 have both an earliest and latest expected delivery date. In cases where the order is not an item to be delivered per se (e.g. a maintenance contract), the “delivery date” refers to the expected date where the contractor’s obligation to provide a service ends. This figure shows the estimated number of years it takes for an order to be fulfilled after it has been placed as a function of time. It shows the quarterly average years until an earliest expected delivery date and until a latest expected delivery date. We take a further average of these two quarterly values to estimate the average years it takes to fully deliver an item or fulfil an order.</t>
  </si>
  <si>
    <t>Out of the 396 ordered items recorded for the years 2020-2026, 151 have both an earliest and latest expected delivery date. In cases where the order is not an item to be delivered per se (e.g. a maintenance contract), the “delivery date” refers to the expected date where the contractor’s obligation to provide a service to the Bundeswehr ends. This figure shows the estimated number of years it takes for an order to be fulfilled after it has been placed as a function of time. It shows the quarterly average years until an earliest expected delivery date and until a latest expected delivery date. We take a further average of these two quarterly values to estimate the average years it takes to fully deliver an item or fulfil an order.</t>
  </si>
  <si>
    <t>This figure shows the proportion of ordered items that do not have a latest expected delivery date (98 in total) within a three-month rolling window consisting of each month and the two months prior. These items have either (a) no expected delivery date, or (b) only an earliest expected delivery date. Altogether the UK has ordered 193 items.</t>
  </si>
  <si>
    <t>Figure 5: Germany proportion of ordered items without a latest expected delivery date, three-month moving window (January 2020 – January 2026) (3-month moving average)</t>
  </si>
  <si>
    <t>Figure 9: UK proportion of ordered items without a latest expected delivery date, three-month moving window (January 2020 – January 2026) (3-month moving average)</t>
  </si>
  <si>
    <t>This figure shows Poland's total military orders by weapon category (Air, Sea, Land, Other) in € billion over time between January 2019 and January 2026.</t>
  </si>
  <si>
    <t>This figure shows the share of the UK's total military orders by country of origin of the company which received the order in £ billion over time between 2020 and 2025. This figure refers to the country where the headquarters of the company that received the order is located. As such, the location of actual item production and manufacturing may differ. “UK and foreign partnership” refers to cases where either (a) a British and non-British company jointly receive an order, i.e., they work together on developing and producing an item, or (b) a non-British company receives an order but the item is produced in the UK. We cannot confirm development country for around £7 billion worth of total orders.</t>
  </si>
  <si>
    <t>This figure shows the share of Germany's total military orders by country of origin of the company which received the order in € billion over time between 2020 and 2026. This figure refers to the country where the headquarters of the company that received the order is located. As such, the location of actual item production and manufacturing may differ. “Germany and foreign partnership” refers to cases where either (a) a German and non-German company jointly receive an order, i.e., they work together on developing and producing an item, or (b) a non-German company receives an order but the item is produced in Germany. We cannot confirm development country for around €31 billion worth of total orders.</t>
  </si>
  <si>
    <t>This figure shows the share of Poland's total military orders by country of origin of the company which received the order in € billion over time between 2020 and 2025. This figure refers to the country where the headquarters of the company that received the order is located. As such, the location of actual item production and manufacturing may differ. “Poland and foreign partnership” refers to cases where either (a) a Polish and non-Polish company jointly receive an order, i.e., they work together on developing and producing an item; or (b) a non-Polish company receives an order but the item is produced in Poland. We cannot confirm development country for around €3.2 billion worth of total orders.</t>
  </si>
  <si>
    <t>Out of the 134 ordered items recorded for the years 2019-2026, 68 have both an earliest and latest expected delivery date. In cases where the order is not an item to be delivered per se (e.g. a maintenance contract), the “delivery date” refers to the expected date where the contractor’s obligation to provide a service ends. This figure shows the estimated number of years it takes for an order to be fulfilled after it has been placed as a function of time. It shows the quarterly average years until an earliest expected delivery date and until a latest expected delivery date. We take a further average of these two quarterly values to estimate the average years it takes to fully deliver an item or fulfil an order.</t>
  </si>
  <si>
    <t>This figure shows the proportion of ordered items that do not have a latest expected delivery date (55 in total) within a three-month rolling window consisting of each month and the two months prior. These items have either (a) no expected delivery date, or (b) only an earliest expected delivery date. Altogether Poland has ordered 115 items.</t>
  </si>
  <si>
    <t>Figure 13: Poland proportion of ordered items without a latest expected delivery date, three-month moving window (January 2020 – January 2026) (3-month moving average)</t>
  </si>
  <si>
    <t>Figure 12: Poland quarterly estimate of the number of years needed to deliver the ordered equipment where available, January 2020 – January 2026</t>
  </si>
  <si>
    <t>Figure 11: Poland share of total military orders by country of origin of the company which received the order, January 2020 – January 2026 (billion EUR)</t>
  </si>
  <si>
    <t>Figure A1: DE Total Orders</t>
  </si>
  <si>
    <t>Figure A2: DE Total Yearly</t>
  </si>
  <si>
    <t>Figure A3: DE Order Priorities</t>
  </si>
  <si>
    <t>Figure A4: DE Orders by Fund</t>
  </si>
  <si>
    <t>Figure A5: DE Fund Overview</t>
  </si>
  <si>
    <t>Figure A6: DE Orders by Origin</t>
  </si>
  <si>
    <t>Figure A7: DE Origin</t>
  </si>
  <si>
    <t>Figure A8: UK Total Orders</t>
  </si>
  <si>
    <t>Figure A9: UK Total Yearly</t>
  </si>
  <si>
    <t>This figure shows the UK's total military orders in £ billion over time between 2020 and 2026 for each twelve-month period beginning in March. £0.5 billion of orders are recorded in January and February 2020, which are not included in this chart.</t>
  </si>
  <si>
    <r>
      <t>Figure A10: UK Order Priorities</t>
    </r>
    <r>
      <rPr>
        <sz val="16"/>
        <color rgb="FF000000"/>
        <rFont val="Arial Black"/>
        <family val="2"/>
      </rPr>
      <t> </t>
    </r>
  </si>
  <si>
    <t>Figure A11: UK Drone Orders</t>
  </si>
  <si>
    <t>Figure A12: UK IFU Fund Orders</t>
  </si>
  <si>
    <t>Figure A13: UK Orders by Origin</t>
  </si>
  <si>
    <t>Figure A15: PL Total Orders</t>
  </si>
  <si>
    <t>This figure shows Poland's total military orders in € billion over time between January 2019 and Jan 2026.</t>
  </si>
  <si>
    <t>Figure A16: PL Total Yearly</t>
  </si>
  <si>
    <t>Figure A17: PL Order Priorities</t>
  </si>
  <si>
    <t>This figure compares the monetary amount Poland ordered in military procurements in each category (Air, Sea, Land, Other) in billion € in the periods from January 2020 to December 2021 and from January 2022 to January 2026. It also shows the percentage of total orders for each category for each time period.</t>
  </si>
  <si>
    <t>Figure A18: PL Orders by Origin</t>
  </si>
  <si>
    <t>Figure A19: PL Origin</t>
  </si>
  <si>
    <t>Table A20: FR Orders</t>
  </si>
  <si>
    <t>This figure shows Germany's total military orders for land forces in € billion over time between January 2020 and January 2026.</t>
  </si>
  <si>
    <t>This figure shows the UK's total military orders for land forces in £ billion over time between January 2020 and January 2026.</t>
  </si>
  <si>
    <t>This figure shows Poland's total military orders for land forces in € billion over time between January 2019 and January 2026.</t>
  </si>
  <si>
    <t>This figure shows the UK's total military orders for the navy in £ billion over time between January 2020 and January 2026.</t>
  </si>
  <si>
    <t>This figure shows Germany's total military orders by country of origin of the company which received the order in € billion over time between January 2020 and January 2026. This figure refers to the country where the headquarters of the company that received the order is located. As such, the location of actual item production and manufacturing may differ. “Germany and foreign partnership” refers to cases where either (a) a German and non-German company jointly receive an order, i.e., they work together on developing and producing an item; or (b) a non-German company receives an order but the item is produced in Germany. We cannot confirm the developing country for around €31 billion worth of total orders.</t>
  </si>
  <si>
    <t>This figure shows the share of the UK's total military orders by country of origin of the company which received the order in £ billion over time between 2020 and 2026. This figure refers to the country where the headquarters of the company that received the order is located. As such, the location of actual item production and manufacturing may differ. “UK and foreign partnership” refers to cases where either (a) a British and non-British company jointly receive an order, i.e., they work together on developing and producing an item, or (b) a non-British company receives an order but the item is produced in the UK. We cannot confirm development country for around £7 billion worth of total orders.</t>
  </si>
  <si>
    <t>Figure A14: UK share of total military orders by country of origin of the company which received the order, January 2020 – January 2026 (billion GBP)</t>
  </si>
  <si>
    <t xml:space="preserve">Contains figures found in the main text of the corresponding Bruegel-Kiel Institute report (Wolff et al., 2026) and the respective data of which they are comprised. </t>
  </si>
  <si>
    <t>This figure shows the share of Poland's total military orders by country of origin of the company which received the order in € billion over time between 2019 and 2025. This figure refers to the country where the headquarters of the company that received the order is located. As such, the location of actual item production and manufacturing may differ. “Poland and foreign partnership” refers to cases where either (a) a Polish and non-Polish company jointly receive an order, i.e., they work together on developing and producing an item; or (b) a non-Polish company receives an order but the item is produced in Poland. We cannot confirm development country for around €3.2 billion worth of total orders.</t>
  </si>
  <si>
    <t>March 2022 - February 2026</t>
  </si>
  <si>
    <t>This table shows the summary of the Kiel military procurement tracker for Germany, UK, Poland, and France for the years 2020-2026 in units of various weapon systems. Orders for new items and refurbishments of existing items are counted equally. Artillery howitzer refers to 155mm howitzers.</t>
  </si>
  <si>
    <t xml:space="preserve">Contains figures found in the first and second releases of the Kiel Military Procurement Tracker (including annexes of previous reports), and the respective data of which they are comprised. </t>
  </si>
  <si>
    <t>Figure A21: DE Land Forces Orders</t>
  </si>
  <si>
    <t>Figure A22: UK Land Forces Orders</t>
  </si>
  <si>
    <t>Figure A23: PL Land Forces Orders</t>
  </si>
  <si>
    <t>Figure A24: UK Navy Forces Orders</t>
  </si>
  <si>
    <t>The current release includes data up to January 31, 2026 for Germany, the United Kingdom, and Poland; and data up to April 30, 2025 for France.</t>
  </si>
  <si>
    <t>Table A25: Weapon Units</t>
  </si>
  <si>
    <t>Table A26: Deliveries of defence equipment to France between 2020 and 2025</t>
  </si>
  <si>
    <t>NATO_supply_group</t>
  </si>
  <si>
    <t>NATO_supply_subgroup</t>
  </si>
  <si>
    <t>NATO_supply_subgroup_edited</t>
  </si>
  <si>
    <t>This figure shows the share of Poland's total military orders by country of origin of the company which received the order in € billion over time between 2020 and 2025. This figure refers to the country where the headquarters of the company that received the order is located. As such, the location of actual item production and manufacturing may differ. “Poland and foreign partnership” refers to cases where either (a) a Polish and non-Polish company jointly receive an order, i.e., they work together on developing and producing an item; or (b) a non-Polish company receives an order but the item is produced in Poland. We cannot confirm development country for around €0.6 billion worth of total orders.</t>
  </si>
  <si>
    <t>Figure 10: Poland total military orders by weapon category, January 2019 - January 2026 (billion EUR)</t>
  </si>
  <si>
    <t>NATO supply group of item ordered. See "NATO Classifications" for more details.</t>
  </si>
  <si>
    <t>NATO supply subgroup of item ordered. See "NATO Classifications" for more details.</t>
  </si>
  <si>
    <t>NATO supply subgroup of item ordered, with additional groupings for convenience. See "NATO Classifications" for more details.</t>
  </si>
  <si>
    <t>This section shows the NATO supply classification system which we have added by request as an alternative way to categorise items. With NATO supply classifications there are no distinctions made between items and their development. Under 'edited' below, for the shaded groups ('Weapons', 'Ammunition and Explosives', and 'Communication, Detection, and Coherent Radiation Equipment'), we combine certain subgroups for convenience. Since this is another organisation's classification system and not our own, we cannot promise that all orders were classified correctly.</t>
  </si>
  <si>
    <t>The third release corresponds to and accompanies:
Wolff, G.B., Binder, J., and Morgan, T. (2026). "Leading in spending, lagging in innovation: German defence procurement compared to the UK and Poland".</t>
  </si>
  <si>
    <t>G.B. Wolff, J. Binder, A. Burilkov, K. Bushnell, L. Hezel, I. Kharitonov, J. Mejino-Lopez, T. Morgan, M. Raucamp (2026). "Kiel Military Procurement Tracker — third release", Kiel Institute.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</si>
</sst>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_);_(* \(#,##0.00\);_(* &quot;-&quot;??_);_(@_)"/>
    <numFmt numFmtId="165" formatCode="0.0"/>
    <numFmt numFmtId="166" formatCode="_(* #,##0_);_(* \(#,##0\);_(* &quot;-&quot;??_);_(@_)"/>
    <numFmt numFmtId="167" formatCode="mmm\-yyyy"/>
    <numFmt numFmtId="168" formatCode="#,##0.##"/>
    <numFmt numFmtId="169" formatCode="dd/mm/yyyy;@"/>
    <numFmt numFmtId="170" formatCode="[$-409]mmm\-yy;@"/>
  </numFmts>
  <fonts count="61" x14ac:knownFonts="1">
    <font>
      <sz val="12"/>
      <color theme="1"/>
      <name val="Times New Roman"/>
      <family val="2"/>
    </font>
    <font>
      <sz val="11"/>
      <color theme="1"/>
      <name val="Aptos Narrow"/>
      <family val="2"/>
      <scheme val="minor"/>
    </font>
    <font>
      <sz val="12"/>
      <color theme="1"/>
      <name val="Times New Roman"/>
      <family val="2"/>
    </font>
    <font>
      <b/>
      <sz val="12"/>
      <color theme="1"/>
      <name val="Times New Roman"/>
      <family val="1"/>
    </font>
    <font>
      <sz val="12"/>
      <color theme="1"/>
      <name val="Aptos Narrow"/>
      <family val="2"/>
      <scheme val="minor"/>
    </font>
    <font>
      <sz val="11"/>
      <color theme="1"/>
      <name val="Aptos Narrow"/>
      <family val="2"/>
      <scheme val="minor"/>
    </font>
    <font>
      <u/>
      <sz val="12"/>
      <color theme="10"/>
      <name val="Aptos Narrow"/>
      <family val="2"/>
      <scheme val="minor"/>
    </font>
    <font>
      <sz val="10"/>
      <name val="Arial"/>
      <family val="2"/>
    </font>
    <font>
      <u/>
      <sz val="11"/>
      <color theme="10"/>
      <name val="Aptos Narrow"/>
      <family val="2"/>
      <scheme val="minor"/>
    </font>
    <font>
      <sz val="10"/>
      <color rgb="FF000000"/>
      <name val="Times New Roman"/>
      <family val="1"/>
    </font>
    <font>
      <u/>
      <sz val="10"/>
      <color theme="10"/>
      <name val="Times New Roman"/>
      <family val="1"/>
    </font>
    <font>
      <sz val="10"/>
      <color theme="1"/>
      <name val="Arial"/>
      <family val="2"/>
    </font>
    <font>
      <sz val="12"/>
      <color rgb="FF000000"/>
      <name val="Times New Roman"/>
      <family val="1"/>
    </font>
    <font>
      <sz val="8"/>
      <name val="Times New Roman"/>
      <family val="2"/>
    </font>
    <font>
      <b/>
      <sz val="16"/>
      <color theme="1"/>
      <name val="Times New Roman"/>
      <family val="1"/>
    </font>
    <font>
      <sz val="12"/>
      <color rgb="FF000000"/>
      <name val="Calibri Light"/>
      <family val="2"/>
    </font>
    <font>
      <sz val="12"/>
      <color theme="1"/>
      <name val="Calibri Light"/>
      <family val="2"/>
    </font>
    <font>
      <b/>
      <sz val="12"/>
      <color theme="1"/>
      <name val="Calibri Light"/>
      <family val="2"/>
    </font>
    <font>
      <sz val="12"/>
      <name val="Calibri Light"/>
      <family val="2"/>
    </font>
    <font>
      <b/>
      <sz val="16"/>
      <color theme="1"/>
      <name val="Arial Black"/>
      <family val="2"/>
    </font>
    <font>
      <sz val="12"/>
      <color theme="0"/>
      <name val="Calibri Light"/>
      <family val="2"/>
    </font>
    <font>
      <sz val="16"/>
      <color theme="1"/>
      <name val="Arial Black"/>
      <family val="2"/>
    </font>
    <font>
      <sz val="12"/>
      <color rgb="FF111516"/>
      <name val="Calibri Light"/>
      <family val="2"/>
    </font>
    <font>
      <sz val="12"/>
      <color rgb="FF222222"/>
      <name val="Calibri Light"/>
      <family val="2"/>
    </font>
    <font>
      <b/>
      <sz val="16"/>
      <color rgb="FF000000"/>
      <name val="Arial Black"/>
      <family val="2"/>
    </font>
    <font>
      <sz val="16"/>
      <color rgb="FF000000"/>
      <name val="Arial Black"/>
      <family val="2"/>
    </font>
    <font>
      <b/>
      <sz val="12"/>
      <color rgb="FF000000"/>
      <name val="Calibri Light"/>
      <family val="2"/>
    </font>
    <font>
      <sz val="12"/>
      <color theme="1"/>
      <name val="Aptos Display"/>
      <family val="2"/>
      <scheme val="major"/>
    </font>
    <font>
      <sz val="12"/>
      <color rgb="FF000000"/>
      <name val="Aptos Display"/>
      <family val="2"/>
      <scheme val="major"/>
    </font>
    <font>
      <b/>
      <sz val="14"/>
      <name val="Arial Black"/>
      <family val="2"/>
      <charset val="204"/>
    </font>
    <font>
      <i/>
      <sz val="12"/>
      <name val="Aptos Display"/>
      <family val="2"/>
      <scheme val="major"/>
    </font>
    <font>
      <b/>
      <u/>
      <sz val="12"/>
      <color theme="1"/>
      <name val="Arial"/>
      <family val="2"/>
      <charset val="204"/>
    </font>
    <font>
      <b/>
      <sz val="12"/>
      <color theme="1"/>
      <name val="Arial"/>
      <family val="2"/>
      <charset val="204"/>
    </font>
    <font>
      <b/>
      <sz val="12"/>
      <name val="Aptos Display"/>
      <family val="2"/>
      <scheme val="major"/>
    </font>
    <font>
      <sz val="12"/>
      <color rgb="FFFF0000"/>
      <name val="Aptos Display"/>
      <family val="2"/>
      <scheme val="major"/>
    </font>
    <font>
      <b/>
      <sz val="12"/>
      <color theme="1"/>
      <name val="Aptos Display"/>
      <family val="2"/>
      <scheme val="major"/>
    </font>
    <font>
      <sz val="12"/>
      <name val="Aptos Display"/>
      <family val="2"/>
      <scheme val="major"/>
    </font>
    <font>
      <b/>
      <sz val="12"/>
      <color rgb="FF000000"/>
      <name val="Aptos Display"/>
      <family val="2"/>
      <scheme val="major"/>
    </font>
    <font>
      <b/>
      <u/>
      <sz val="12"/>
      <name val="Arial"/>
      <family val="2"/>
      <charset val="204"/>
    </font>
    <font>
      <b/>
      <u/>
      <sz val="12"/>
      <color theme="1"/>
      <name val="Arial"/>
      <family val="2"/>
    </font>
    <font>
      <b/>
      <sz val="12"/>
      <name val="Calibri Light"/>
      <family val="2"/>
    </font>
    <font>
      <u/>
      <sz val="12"/>
      <color rgb="FF467886"/>
      <name val="Aptos Narrow"/>
      <family val="2"/>
    </font>
    <font>
      <sz val="9"/>
      <name val="Arial"/>
      <family val="2"/>
    </font>
    <font>
      <b/>
      <sz val="9"/>
      <name val="Arial"/>
      <family val="2"/>
    </font>
    <font>
      <sz val="9"/>
      <color rgb="FF1B1B1B"/>
      <name val="Arial"/>
      <family val="2"/>
    </font>
    <font>
      <sz val="12"/>
      <color rgb="FF000000"/>
      <name val="Times New Roman"/>
      <family val="2"/>
    </font>
    <font>
      <sz val="12"/>
      <color theme="1"/>
      <name val="Calibri Light"/>
      <family val="2"/>
    </font>
    <font>
      <b/>
      <sz val="12"/>
      <color theme="1"/>
      <name val="Calibri Light"/>
      <family val="2"/>
    </font>
    <font>
      <sz val="12"/>
      <color theme="0"/>
      <name val="Calibri Light"/>
      <family val="2"/>
    </font>
    <font>
      <sz val="12"/>
      <name val="Calibri Light"/>
      <family val="2"/>
    </font>
    <font>
      <sz val="12"/>
      <color rgb="FF242424"/>
      <name val="Calibri Light"/>
      <family val="2"/>
    </font>
    <font>
      <sz val="12"/>
      <color rgb="FF000000"/>
      <name val="Calibri Light"/>
      <family val="2"/>
    </font>
    <font>
      <u/>
      <sz val="12"/>
      <color theme="10"/>
      <name val="Aptos Narrow"/>
      <family val="2"/>
      <scheme val="minor"/>
    </font>
    <font>
      <sz val="12"/>
      <color rgb="FF000000"/>
      <name val="Calibri Light"/>
      <family val="2"/>
      <charset val="1"/>
    </font>
    <font>
      <u/>
      <sz val="12"/>
      <color rgb="FF467886"/>
      <name val="Calibri Light"/>
      <family val="2"/>
    </font>
    <font>
      <sz val="12"/>
      <color rgb="FF000000"/>
      <name val="Aptos Narrow"/>
      <family val="2"/>
    </font>
    <font>
      <sz val="12"/>
      <color theme="0"/>
      <name val="Calibri Light"/>
    </font>
    <font>
      <sz val="12"/>
      <name val="Calibri Light"/>
    </font>
    <font>
      <sz val="12"/>
      <color theme="1"/>
      <name val="Calibri Light"/>
    </font>
    <font>
      <b/>
      <sz val="16"/>
      <color theme="1"/>
      <name val="Arial Black"/>
    </font>
    <font>
      <b/>
      <sz val="12"/>
      <color theme="1"/>
      <name val="Calibri Light"/>
    </font>
  </fonts>
  <fills count="14">
    <fill>
      <patternFill patternType="none"/>
    </fill>
    <fill>
      <patternFill patternType="gray125"/>
    </fill>
    <fill>
      <patternFill patternType="solid">
        <fgColor theme="0"/>
        <bgColor indexed="64"/>
      </patternFill>
    </fill>
    <fill>
      <patternFill patternType="solid">
        <fgColor theme="3" tint="0.89999084444715716"/>
        <bgColor indexed="64"/>
      </patternFill>
    </fill>
    <fill>
      <patternFill patternType="solid">
        <fgColor theme="0"/>
        <bgColor rgb="FF000000"/>
      </patternFill>
    </fill>
    <fill>
      <patternFill patternType="solid">
        <fgColor theme="0" tint="-0.14999847407452621"/>
        <bgColor indexed="64"/>
      </patternFill>
    </fill>
    <fill>
      <patternFill patternType="solid">
        <fgColor theme="5" tint="0.39997558519241921"/>
        <bgColor indexed="64"/>
      </patternFill>
    </fill>
    <fill>
      <patternFill patternType="solid">
        <fgColor theme="3" tint="0.89999084444715716"/>
        <bgColor rgb="FF000000"/>
      </patternFill>
    </fill>
    <fill>
      <patternFill patternType="solid">
        <fgColor theme="3" tint="0.74999237037263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FF"/>
        <bgColor rgb="FF000000"/>
      </patternFill>
    </fill>
    <fill>
      <patternFill patternType="solid">
        <fgColor rgb="FFDAE9F8"/>
        <bgColor rgb="FF000000"/>
      </patternFill>
    </fill>
    <fill>
      <patternFill patternType="solid">
        <fgColor theme="0" tint="-4.9989318521683403E-2"/>
        <bgColor indexed="64"/>
      </patternFill>
    </fill>
  </fills>
  <borders count="6">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rgb="FF000000"/>
      </bottom>
      <diagonal/>
    </border>
    <border>
      <left/>
      <right/>
      <top style="thin">
        <color rgb="FF000000"/>
      </top>
      <bottom/>
      <diagonal/>
    </border>
  </borders>
  <cellStyleXfs count="155">
    <xf numFmtId="0" fontId="0" fillId="0" borderId="0"/>
    <xf numFmtId="164" fontId="2" fillId="0" borderId="0" applyFont="0" applyFill="0" applyBorder="0" applyAlignment="0" applyProtection="0"/>
    <xf numFmtId="0" fontId="4" fillId="0" borderId="0"/>
    <xf numFmtId="0" fontId="7" fillId="0" borderId="0"/>
    <xf numFmtId="0" fontId="5" fillId="0" borderId="0"/>
    <xf numFmtId="0" fontId="7" fillId="0" borderId="0"/>
    <xf numFmtId="0" fontId="5" fillId="0" borderId="0"/>
    <xf numFmtId="0" fontId="5" fillId="0" borderId="0"/>
    <xf numFmtId="0" fontId="5" fillId="0" borderId="0"/>
    <xf numFmtId="0" fontId="8" fillId="0" borderId="0" applyNumberFormat="0" applyFill="0" applyBorder="0" applyAlignment="0" applyProtection="0"/>
    <xf numFmtId="0" fontId="5" fillId="0" borderId="0"/>
    <xf numFmtId="0" fontId="5" fillId="0" borderId="0"/>
    <xf numFmtId="164" fontId="5" fillId="0" borderId="0" applyFont="0" applyFill="0" applyBorder="0" applyAlignment="0" applyProtection="0"/>
    <xf numFmtId="164" fontId="4" fillId="0" borderId="0" applyFont="0" applyFill="0" applyBorder="0" applyAlignment="0" applyProtection="0"/>
    <xf numFmtId="0" fontId="5" fillId="0" borderId="0"/>
    <xf numFmtId="0" fontId="5" fillId="0" borderId="0"/>
    <xf numFmtId="9"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10"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2" fillId="0" borderId="0" applyFont="0" applyFill="0" applyBorder="0" applyAlignment="0" applyProtection="0"/>
    <xf numFmtId="0" fontId="1" fillId="0" borderId="0"/>
  </cellStyleXfs>
  <cellXfs count="243">
    <xf numFmtId="0" fontId="0" fillId="0" borderId="0" xfId="0"/>
    <xf numFmtId="0" fontId="0" fillId="2" borderId="0" xfId="0" applyFill="1"/>
    <xf numFmtId="0" fontId="3" fillId="2" borderId="0" xfId="0" applyFont="1" applyFill="1"/>
    <xf numFmtId="164" fontId="0" fillId="2" borderId="0" xfId="1" applyFont="1" applyFill="1"/>
    <xf numFmtId="0" fontId="15" fillId="0" borderId="0" xfId="0" applyFont="1"/>
    <xf numFmtId="165" fontId="12" fillId="2" borderId="0" xfId="2" applyNumberFormat="1" applyFont="1" applyFill="1" applyAlignment="1">
      <alignment horizontal="left"/>
    </xf>
    <xf numFmtId="0" fontId="16" fillId="0" borderId="0" xfId="0" applyFont="1"/>
    <xf numFmtId="2" fontId="16" fillId="2" borderId="0" xfId="0" applyNumberFormat="1" applyFont="1" applyFill="1"/>
    <xf numFmtId="166" fontId="16" fillId="2" borderId="0" xfId="1" applyNumberFormat="1" applyFont="1" applyFill="1"/>
    <xf numFmtId="0" fontId="17" fillId="2" borderId="2" xfId="0" applyFont="1" applyFill="1" applyBorder="1"/>
    <xf numFmtId="0" fontId="16" fillId="0" borderId="0" xfId="0" applyFont="1" applyAlignment="1">
      <alignment horizontal="left"/>
    </xf>
    <xf numFmtId="0" fontId="17" fillId="2" borderId="0" xfId="0" applyFont="1" applyFill="1"/>
    <xf numFmtId="0" fontId="16" fillId="3" borderId="3" xfId="0" applyFont="1" applyFill="1" applyBorder="1"/>
    <xf numFmtId="0" fontId="16" fillId="3" borderId="2" xfId="0" applyFont="1" applyFill="1" applyBorder="1"/>
    <xf numFmtId="14" fontId="16" fillId="2" borderId="0" xfId="0" applyNumberFormat="1" applyFont="1" applyFill="1"/>
    <xf numFmtId="164" fontId="16" fillId="2" borderId="0" xfId="1" applyFont="1" applyFill="1"/>
    <xf numFmtId="0" fontId="19" fillId="2" borderId="0" xfId="0" applyFont="1" applyFill="1"/>
    <xf numFmtId="167" fontId="18" fillId="2" borderId="0" xfId="3" applyNumberFormat="1" applyFont="1" applyFill="1" applyAlignment="1">
      <alignment horizontal="left"/>
    </xf>
    <xf numFmtId="164" fontId="17" fillId="2" borderId="2" xfId="0" applyNumberFormat="1" applyFont="1" applyFill="1" applyBorder="1"/>
    <xf numFmtId="164" fontId="16" fillId="2" borderId="0" xfId="0" applyNumberFormat="1" applyFont="1" applyFill="1"/>
    <xf numFmtId="0" fontId="20" fillId="2" borderId="0" xfId="0" applyFont="1" applyFill="1"/>
    <xf numFmtId="0" fontId="21" fillId="2" borderId="0" xfId="0" applyFont="1" applyFill="1"/>
    <xf numFmtId="165" fontId="15" fillId="0" borderId="0" xfId="2" applyNumberFormat="1" applyFont="1" applyAlignment="1">
      <alignment horizontal="left"/>
    </xf>
    <xf numFmtId="0" fontId="15" fillId="0" borderId="0" xfId="2" applyFont="1" applyAlignment="1">
      <alignment horizontal="center"/>
    </xf>
    <xf numFmtId="0" fontId="16" fillId="0" borderId="0" xfId="0" applyFont="1" applyAlignment="1">
      <alignment horizontal="center"/>
    </xf>
    <xf numFmtId="0" fontId="16" fillId="0" borderId="0" xfId="0" applyFont="1" applyAlignment="1">
      <alignment horizontal="right"/>
    </xf>
    <xf numFmtId="0" fontId="17" fillId="0" borderId="0" xfId="0" applyFont="1" applyAlignment="1">
      <alignment horizontal="center"/>
    </xf>
    <xf numFmtId="0" fontId="15" fillId="2" borderId="0" xfId="0" applyFont="1" applyFill="1"/>
    <xf numFmtId="165" fontId="16" fillId="2" borderId="0" xfId="0" applyNumberFormat="1" applyFont="1" applyFill="1"/>
    <xf numFmtId="0" fontId="26" fillId="2" borderId="0" xfId="0" applyFont="1" applyFill="1"/>
    <xf numFmtId="1" fontId="16" fillId="2" borderId="0" xfId="1" applyNumberFormat="1" applyFont="1" applyFill="1"/>
    <xf numFmtId="0" fontId="16" fillId="2" borderId="0" xfId="0" applyFont="1" applyFill="1" applyAlignment="1">
      <alignment horizontal="center"/>
    </xf>
    <xf numFmtId="0" fontId="17" fillId="2" borderId="0" xfId="0" applyFont="1" applyFill="1" applyAlignment="1">
      <alignment horizontal="left"/>
    </xf>
    <xf numFmtId="0" fontId="18" fillId="0" borderId="0" xfId="0" applyFont="1"/>
    <xf numFmtId="0" fontId="27" fillId="2" borderId="0" xfId="0" applyFont="1" applyFill="1"/>
    <xf numFmtId="0" fontId="34" fillId="4" borderId="0" xfId="0" applyFont="1" applyFill="1" applyAlignment="1">
      <alignment vertical="center"/>
    </xf>
    <xf numFmtId="0" fontId="27" fillId="2" borderId="0" xfId="0" applyFont="1" applyFill="1" applyAlignment="1">
      <alignment vertical="center"/>
    </xf>
    <xf numFmtId="0" fontId="27" fillId="4" borderId="0" xfId="0" applyFont="1" applyFill="1" applyAlignment="1">
      <alignment vertical="center"/>
    </xf>
    <xf numFmtId="0" fontId="35" fillId="4" borderId="0" xfId="0" applyFont="1" applyFill="1" applyAlignment="1">
      <alignment vertical="center"/>
    </xf>
    <xf numFmtId="0" fontId="28" fillId="2" borderId="0" xfId="0" applyFont="1" applyFill="1" applyAlignment="1">
      <alignment vertical="center"/>
    </xf>
    <xf numFmtId="0" fontId="28" fillId="2" borderId="0" xfId="0" applyFont="1" applyFill="1" applyAlignment="1">
      <alignment horizontal="center" vertical="center" wrapText="1"/>
    </xf>
    <xf numFmtId="0" fontId="27" fillId="2" borderId="0" xfId="0" applyFont="1" applyFill="1" applyAlignment="1">
      <alignment horizontal="center" vertical="center" wrapText="1"/>
    </xf>
    <xf numFmtId="0" fontId="30" fillId="2" borderId="0" xfId="0" applyFont="1" applyFill="1" applyAlignment="1">
      <alignment horizontal="center" vertical="center" wrapText="1"/>
    </xf>
    <xf numFmtId="0" fontId="31" fillId="2" borderId="0" xfId="0" applyFont="1" applyFill="1" applyAlignment="1">
      <alignment vertical="center"/>
    </xf>
    <xf numFmtId="0" fontId="33" fillId="4" borderId="0" xfId="0" applyFont="1" applyFill="1" applyAlignment="1">
      <alignment vertical="center" wrapText="1"/>
    </xf>
    <xf numFmtId="0" fontId="30" fillId="2" borderId="0" xfId="0" applyFont="1" applyFill="1" applyAlignment="1">
      <alignment vertical="center"/>
    </xf>
    <xf numFmtId="0" fontId="36" fillId="2" borderId="0" xfId="0" applyFont="1" applyFill="1" applyAlignment="1">
      <alignment wrapText="1"/>
    </xf>
    <xf numFmtId="0" fontId="36" fillId="2" borderId="0" xfId="3" applyFont="1" applyFill="1" applyAlignment="1">
      <alignment vertical="top" wrapText="1"/>
    </xf>
    <xf numFmtId="0" fontId="28" fillId="2" borderId="0" xfId="0" applyFont="1" applyFill="1"/>
    <xf numFmtId="0" fontId="36" fillId="2" borderId="0" xfId="0" applyFont="1" applyFill="1"/>
    <xf numFmtId="0" fontId="37" fillId="2" borderId="0" xfId="0" applyFont="1" applyFill="1"/>
    <xf numFmtId="0" fontId="28" fillId="2" borderId="0" xfId="0" applyFont="1" applyFill="1" applyAlignment="1">
      <alignment wrapText="1"/>
    </xf>
    <xf numFmtId="0" fontId="36" fillId="2" borderId="0" xfId="3" applyFont="1" applyFill="1"/>
    <xf numFmtId="0" fontId="39" fillId="2" borderId="0" xfId="0" applyFont="1" applyFill="1"/>
    <xf numFmtId="0" fontId="18" fillId="5" borderId="0" xfId="3" applyFont="1" applyFill="1"/>
    <xf numFmtId="0" fontId="18" fillId="0" borderId="0" xfId="3" applyFont="1"/>
    <xf numFmtId="0" fontId="18" fillId="6" borderId="0" xfId="3" applyFont="1" applyFill="1"/>
    <xf numFmtId="0" fontId="18" fillId="8" borderId="0" xfId="3" applyFont="1" applyFill="1"/>
    <xf numFmtId="0" fontId="18" fillId="9" borderId="0" xfId="3" applyFont="1" applyFill="1"/>
    <xf numFmtId="0" fontId="16" fillId="2" borderId="0" xfId="0" applyFont="1" applyFill="1" applyAlignment="1">
      <alignment horizontal="right" indent="2"/>
    </xf>
    <xf numFmtId="0" fontId="17" fillId="2" borderId="0" xfId="0" applyFont="1" applyFill="1" applyAlignment="1">
      <alignment horizontal="right" indent="1"/>
    </xf>
    <xf numFmtId="0" fontId="39" fillId="2" borderId="0" xfId="0" applyFont="1" applyFill="1" applyAlignment="1">
      <alignment vertical="center"/>
    </xf>
    <xf numFmtId="0" fontId="17" fillId="2" borderId="1" xfId="0" applyFont="1" applyFill="1" applyBorder="1"/>
    <xf numFmtId="0" fontId="16" fillId="2" borderId="1" xfId="0" applyFont="1" applyFill="1" applyBorder="1" applyAlignment="1">
      <alignment horizontal="right"/>
    </xf>
    <xf numFmtId="164" fontId="16" fillId="2" borderId="1" xfId="0" applyNumberFormat="1" applyFont="1" applyFill="1" applyBorder="1"/>
    <xf numFmtId="0" fontId="16" fillId="2" borderId="1" xfId="0" applyFont="1" applyFill="1" applyBorder="1"/>
    <xf numFmtId="0" fontId="16" fillId="2" borderId="2" xfId="0" applyFont="1" applyFill="1" applyBorder="1"/>
    <xf numFmtId="164" fontId="16" fillId="2" borderId="1" xfId="1" applyFont="1" applyFill="1" applyBorder="1"/>
    <xf numFmtId="0" fontId="17" fillId="3" borderId="2" xfId="0" applyFont="1" applyFill="1" applyBorder="1" applyAlignment="1">
      <alignment vertical="center"/>
    </xf>
    <xf numFmtId="0" fontId="17" fillId="3" borderId="2" xfId="0" applyFont="1" applyFill="1" applyBorder="1" applyAlignment="1">
      <alignment horizontal="right" vertical="center"/>
    </xf>
    <xf numFmtId="0" fontId="16" fillId="3" borderId="1" xfId="0" applyFont="1" applyFill="1" applyBorder="1"/>
    <xf numFmtId="0" fontId="17" fillId="3" borderId="1" xfId="0" applyFont="1" applyFill="1" applyBorder="1"/>
    <xf numFmtId="0" fontId="17" fillId="3" borderId="2" xfId="0" applyFont="1" applyFill="1" applyBorder="1" applyAlignment="1">
      <alignment horizontal="left" vertical="center"/>
    </xf>
    <xf numFmtId="0" fontId="17" fillId="3" borderId="2" xfId="0" applyFont="1" applyFill="1" applyBorder="1" applyAlignment="1">
      <alignment horizontal="center" vertical="center"/>
    </xf>
    <xf numFmtId="0" fontId="0" fillId="2" borderId="0" xfId="0" applyFill="1" applyAlignment="1">
      <alignment horizontal="left"/>
    </xf>
    <xf numFmtId="0" fontId="16" fillId="2" borderId="0" xfId="1" applyNumberFormat="1" applyFont="1" applyFill="1" applyAlignment="1">
      <alignment horizontal="right"/>
    </xf>
    <xf numFmtId="0" fontId="17" fillId="0" borderId="0" xfId="0" applyFont="1" applyAlignment="1">
      <alignment horizontal="left"/>
    </xf>
    <xf numFmtId="0" fontId="16" fillId="2" borderId="1" xfId="1" applyNumberFormat="1" applyFont="1" applyFill="1" applyBorder="1" applyAlignment="1">
      <alignment horizontal="right"/>
    </xf>
    <xf numFmtId="0" fontId="18" fillId="2" borderId="0" xfId="0" applyFont="1" applyFill="1" applyAlignment="1">
      <alignment vertical="center" wrapText="1"/>
    </xf>
    <xf numFmtId="164" fontId="16" fillId="2" borderId="0" xfId="1" applyFont="1" applyFill="1" applyAlignment="1">
      <alignment wrapText="1"/>
    </xf>
    <xf numFmtId="164" fontId="16" fillId="2" borderId="4" xfId="1" applyFont="1" applyFill="1" applyBorder="1"/>
    <xf numFmtId="166" fontId="16" fillId="0" borderId="0" xfId="0" applyNumberFormat="1" applyFont="1" applyAlignment="1">
      <alignment horizontal="right"/>
    </xf>
    <xf numFmtId="166" fontId="16" fillId="0" borderId="0" xfId="1" applyNumberFormat="1" applyFont="1" applyFill="1" applyAlignment="1">
      <alignment horizontal="right"/>
    </xf>
    <xf numFmtId="0" fontId="16" fillId="2" borderId="0" xfId="0" applyFont="1" applyFill="1"/>
    <xf numFmtId="0" fontId="17" fillId="0" borderId="0" xfId="0" applyFont="1"/>
    <xf numFmtId="0" fontId="0" fillId="2" borderId="3" xfId="0" applyFill="1" applyBorder="1"/>
    <xf numFmtId="167" fontId="18" fillId="2" borderId="2" xfId="3" applyNumberFormat="1" applyFont="1" applyFill="1" applyBorder="1" applyAlignment="1">
      <alignment horizontal="left"/>
    </xf>
    <xf numFmtId="164" fontId="16" fillId="2" borderId="2" xfId="1" applyFont="1" applyFill="1" applyBorder="1"/>
    <xf numFmtId="43" fontId="0" fillId="2" borderId="0" xfId="0" applyNumberFormat="1" applyFill="1"/>
    <xf numFmtId="2" fontId="0" fillId="2" borderId="0" xfId="0" applyNumberFormat="1" applyFill="1"/>
    <xf numFmtId="164" fontId="0" fillId="2" borderId="0" xfId="0" applyNumberFormat="1" applyFill="1"/>
    <xf numFmtId="166" fontId="16" fillId="0" borderId="0" xfId="1" applyNumberFormat="1" applyFont="1" applyFill="1" applyAlignment="1">
      <alignment horizontal="center"/>
    </xf>
    <xf numFmtId="0" fontId="16" fillId="0" borderId="0" xfId="4" applyFont="1"/>
    <xf numFmtId="0" fontId="18" fillId="2" borderId="0" xfId="3" applyFont="1" applyFill="1" applyAlignment="1">
      <alignment horizontal="left"/>
    </xf>
    <xf numFmtId="0" fontId="40" fillId="2" borderId="0" xfId="3" applyFont="1" applyFill="1" applyAlignment="1">
      <alignment horizontal="left"/>
    </xf>
    <xf numFmtId="0" fontId="19" fillId="2" borderId="0" xfId="0" quotePrefix="1" applyFont="1" applyFill="1"/>
    <xf numFmtId="0" fontId="6" fillId="0" borderId="0" xfId="63"/>
    <xf numFmtId="166" fontId="15" fillId="0" borderId="0" xfId="1" applyNumberFormat="1" applyFont="1" applyFill="1" applyBorder="1" applyAlignment="1">
      <alignment horizontal="right"/>
    </xf>
    <xf numFmtId="0" fontId="41" fillId="0" borderId="0" xfId="63" applyFont="1" applyFill="1" applyBorder="1"/>
    <xf numFmtId="0" fontId="6" fillId="0" borderId="0" xfId="63" applyFill="1"/>
    <xf numFmtId="0" fontId="18" fillId="10" borderId="0" xfId="3" applyFont="1" applyFill="1"/>
    <xf numFmtId="166" fontId="16" fillId="0" borderId="0" xfId="1" applyNumberFormat="1" applyFont="1" applyFill="1" applyBorder="1" applyAlignment="1">
      <alignment horizontal="right"/>
    </xf>
    <xf numFmtId="0" fontId="16" fillId="0" borderId="0" xfId="4" applyFont="1" applyAlignment="1">
      <alignment horizontal="left"/>
    </xf>
    <xf numFmtId="3" fontId="16" fillId="0" borderId="0" xfId="0" applyNumberFormat="1" applyFont="1"/>
    <xf numFmtId="166" fontId="16" fillId="0" borderId="0" xfId="1" quotePrefix="1" applyNumberFormat="1" applyFont="1" applyFill="1" applyAlignment="1">
      <alignment horizontal="right"/>
    </xf>
    <xf numFmtId="0" fontId="0" fillId="2" borderId="2" xfId="0" applyFill="1" applyBorder="1"/>
    <xf numFmtId="0" fontId="44" fillId="0" borderId="0" xfId="0" applyFont="1"/>
    <xf numFmtId="0" fontId="6" fillId="0" borderId="0" xfId="9" applyFont="1" applyFill="1"/>
    <xf numFmtId="0" fontId="15" fillId="0" borderId="0" xfId="0" applyFont="1" applyAlignment="1">
      <alignment wrapText="1"/>
    </xf>
    <xf numFmtId="0" fontId="45" fillId="11" borderId="0" xfId="0" applyFont="1" applyFill="1"/>
    <xf numFmtId="166" fontId="16" fillId="0" borderId="0" xfId="1" quotePrefix="1" applyNumberFormat="1" applyFont="1" applyFill="1" applyBorder="1" applyAlignment="1">
      <alignment horizontal="right"/>
    </xf>
    <xf numFmtId="0" fontId="6" fillId="0" borderId="0" xfId="63" applyFill="1" applyBorder="1" applyAlignment="1"/>
    <xf numFmtId="3" fontId="15" fillId="0" borderId="0" xfId="0" applyNumberFormat="1" applyFont="1"/>
    <xf numFmtId="0" fontId="41" fillId="0" borderId="0" xfId="0" applyFont="1"/>
    <xf numFmtId="0" fontId="15" fillId="0" borderId="0" xfId="0" applyFont="1" applyAlignment="1">
      <alignment horizontal="right"/>
    </xf>
    <xf numFmtId="0" fontId="15" fillId="0" borderId="0" xfId="0" applyFont="1" applyAlignment="1">
      <alignment horizontal="center"/>
    </xf>
    <xf numFmtId="0" fontId="15" fillId="0" borderId="0" xfId="0" applyFont="1" applyAlignment="1">
      <alignment horizontal="left"/>
    </xf>
    <xf numFmtId="0" fontId="15" fillId="0" borderId="0" xfId="2" applyFont="1" applyAlignment="1">
      <alignment horizontal="left" vertical="top"/>
    </xf>
    <xf numFmtId="0" fontId="15" fillId="0" borderId="0" xfId="4" applyFont="1"/>
    <xf numFmtId="0" fontId="15" fillId="0" borderId="0" xfId="2" applyFont="1" applyAlignment="1">
      <alignment horizontal="left" vertical="center"/>
    </xf>
    <xf numFmtId="0" fontId="15" fillId="11" borderId="0" xfId="0" applyFont="1" applyFill="1"/>
    <xf numFmtId="0" fontId="16" fillId="2" borderId="0" xfId="1" applyNumberFormat="1" applyFont="1" applyFill="1"/>
    <xf numFmtId="0" fontId="22" fillId="0" borderId="0" xfId="0" applyFont="1"/>
    <xf numFmtId="0" fontId="23" fillId="0" borderId="0" xfId="0" applyFont="1"/>
    <xf numFmtId="0" fontId="18" fillId="2" borderId="1" xfId="3" applyFont="1" applyFill="1" applyBorder="1" applyAlignment="1">
      <alignment horizontal="left"/>
    </xf>
    <xf numFmtId="0" fontId="40" fillId="2" borderId="2" xfId="3" applyFont="1" applyFill="1" applyBorder="1" applyAlignment="1">
      <alignment horizontal="left"/>
    </xf>
    <xf numFmtId="0" fontId="17" fillId="2" borderId="0" xfId="0" applyFont="1" applyFill="1" applyAlignment="1">
      <alignment horizontal="right" vertical="center"/>
    </xf>
    <xf numFmtId="0" fontId="16" fillId="2" borderId="0" xfId="1" quotePrefix="1" applyNumberFormat="1" applyFont="1" applyFill="1" applyAlignment="1">
      <alignment horizontal="right"/>
    </xf>
    <xf numFmtId="0" fontId="17" fillId="2" borderId="0" xfId="1" applyNumberFormat="1" applyFont="1" applyFill="1"/>
    <xf numFmtId="0" fontId="17" fillId="2" borderId="1" xfId="1" applyNumberFormat="1" applyFont="1" applyFill="1" applyBorder="1"/>
    <xf numFmtId="0" fontId="16" fillId="2" borderId="1" xfId="1" applyNumberFormat="1" applyFont="1" applyFill="1" applyBorder="1"/>
    <xf numFmtId="0" fontId="24" fillId="0" borderId="0" xfId="0" applyFont="1"/>
    <xf numFmtId="0" fontId="47" fillId="3" borderId="2" xfId="0" applyFont="1" applyFill="1" applyBorder="1" applyAlignment="1">
      <alignment horizontal="right" vertical="center"/>
    </xf>
    <xf numFmtId="0" fontId="48" fillId="2" borderId="0" xfId="0" applyFont="1" applyFill="1"/>
    <xf numFmtId="164" fontId="46" fillId="2" borderId="0" xfId="1" applyFont="1" applyFill="1"/>
    <xf numFmtId="0" fontId="46" fillId="2" borderId="2" xfId="0" applyFont="1" applyFill="1" applyBorder="1"/>
    <xf numFmtId="164" fontId="47" fillId="2" borderId="2" xfId="0" applyNumberFormat="1" applyFont="1" applyFill="1" applyBorder="1"/>
    <xf numFmtId="9" fontId="16" fillId="2" borderId="1" xfId="153" applyFont="1" applyFill="1" applyBorder="1"/>
    <xf numFmtId="166" fontId="46" fillId="0" borderId="0" xfId="0" applyNumberFormat="1" applyFont="1" applyAlignment="1">
      <alignment horizontal="right"/>
    </xf>
    <xf numFmtId="166" fontId="15" fillId="0" borderId="0" xfId="1" applyNumberFormat="1" applyFont="1"/>
    <xf numFmtId="0" fontId="42" fillId="2" borderId="0" xfId="7" applyFont="1" applyFill="1" applyAlignment="1">
      <alignment horizontal="left" vertical="center"/>
    </xf>
    <xf numFmtId="0" fontId="5" fillId="2" borderId="0" xfId="7" applyFill="1"/>
    <xf numFmtId="0" fontId="43" fillId="2" borderId="0" xfId="7" applyFont="1" applyFill="1" applyAlignment="1">
      <alignment horizontal="left" vertical="center"/>
    </xf>
    <xf numFmtId="0" fontId="26" fillId="12" borderId="2" xfId="0" applyFont="1" applyFill="1" applyBorder="1" applyAlignment="1">
      <alignment vertical="center"/>
    </xf>
    <xf numFmtId="0" fontId="26" fillId="12" borderId="2" xfId="0" applyFont="1" applyFill="1" applyBorder="1" applyAlignment="1">
      <alignment horizontal="right" vertical="center"/>
    </xf>
    <xf numFmtId="168" fontId="18" fillId="2" borderId="0" xfId="7" applyNumberFormat="1" applyFont="1" applyFill="1" applyAlignment="1">
      <alignment horizontal="right" vertical="center" shrinkToFit="1"/>
    </xf>
    <xf numFmtId="0" fontId="27" fillId="2" borderId="0" xfId="0" applyFont="1" applyFill="1" applyAlignment="1">
      <alignment horizontal="left"/>
    </xf>
    <xf numFmtId="0" fontId="16" fillId="2" borderId="0" xfId="4" applyFont="1" applyFill="1"/>
    <xf numFmtId="0" fontId="16" fillId="2" borderId="1" xfId="0" applyFont="1" applyFill="1" applyBorder="1" applyAlignment="1">
      <alignment horizontal="center"/>
    </xf>
    <xf numFmtId="0" fontId="15" fillId="11" borderId="1" xfId="0" applyFont="1" applyFill="1" applyBorder="1"/>
    <xf numFmtId="0" fontId="17" fillId="2" borderId="0" xfId="0" applyFont="1" applyFill="1" applyAlignment="1">
      <alignment horizontal="center"/>
    </xf>
    <xf numFmtId="0" fontId="16" fillId="4" borderId="0" xfId="0" applyFont="1" applyFill="1"/>
    <xf numFmtId="0" fontId="6" fillId="0" borderId="1" xfId="63" applyBorder="1"/>
    <xf numFmtId="0" fontId="52" fillId="0" borderId="0" xfId="63" applyFont="1"/>
    <xf numFmtId="0" fontId="53" fillId="0" borderId="0" xfId="0" applyFont="1"/>
    <xf numFmtId="0" fontId="6" fillId="0" borderId="0" xfId="63" applyAlignment="1"/>
    <xf numFmtId="0" fontId="25" fillId="11" borderId="0" xfId="0" applyFont="1" applyFill="1"/>
    <xf numFmtId="0" fontId="26" fillId="12" borderId="2" xfId="0" applyFont="1" applyFill="1" applyBorder="1"/>
    <xf numFmtId="0" fontId="50" fillId="11" borderId="0" xfId="0" applyFont="1" applyFill="1"/>
    <xf numFmtId="0" fontId="54" fillId="11" borderId="0" xfId="0" applyFont="1" applyFill="1"/>
    <xf numFmtId="0" fontId="15" fillId="11" borderId="0" xfId="0" applyFont="1" applyFill="1" applyAlignment="1">
      <alignment wrapText="1"/>
    </xf>
    <xf numFmtId="0" fontId="6" fillId="0" borderId="0" xfId="63" applyFill="1" applyAlignment="1"/>
    <xf numFmtId="0" fontId="53" fillId="0" borderId="0" xfId="0" applyFont="1" applyAlignment="1">
      <alignment horizontal="center"/>
    </xf>
    <xf numFmtId="0" fontId="45" fillId="11" borderId="0" xfId="0" applyFont="1" applyFill="1" applyAlignment="1">
      <alignment horizontal="center"/>
    </xf>
    <xf numFmtId="0" fontId="15" fillId="11" borderId="0" xfId="0" applyFont="1" applyFill="1" applyAlignment="1">
      <alignment horizontal="center"/>
    </xf>
    <xf numFmtId="0" fontId="26" fillId="12" borderId="2" xfId="0" applyFont="1" applyFill="1" applyBorder="1" applyAlignment="1">
      <alignment horizontal="center"/>
    </xf>
    <xf numFmtId="0" fontId="0" fillId="2" borderId="0" xfId="0" applyFill="1" applyAlignment="1">
      <alignment horizontal="center"/>
    </xf>
    <xf numFmtId="0" fontId="51" fillId="0" borderId="0" xfId="0" applyFont="1"/>
    <xf numFmtId="0" fontId="0" fillId="2" borderId="5" xfId="0" applyFill="1" applyBorder="1"/>
    <xf numFmtId="0" fontId="15" fillId="2" borderId="5" xfId="0" applyFont="1" applyFill="1" applyBorder="1"/>
    <xf numFmtId="14" fontId="16" fillId="2" borderId="5" xfId="0" applyNumberFormat="1" applyFont="1" applyFill="1" applyBorder="1"/>
    <xf numFmtId="0" fontId="16" fillId="2" borderId="5" xfId="0" applyFont="1" applyFill="1" applyBorder="1"/>
    <xf numFmtId="0" fontId="46" fillId="0" borderId="0" xfId="0" applyFont="1"/>
    <xf numFmtId="3" fontId="16" fillId="0" borderId="0" xfId="0" applyNumberFormat="1" applyFont="1" applyAlignment="1">
      <alignment horizontal="right"/>
    </xf>
    <xf numFmtId="0" fontId="16" fillId="0" borderId="0" xfId="1" quotePrefix="1" applyNumberFormat="1" applyFont="1" applyFill="1" applyAlignment="1">
      <alignment horizontal="right"/>
    </xf>
    <xf numFmtId="0" fontId="45" fillId="11" borderId="0" xfId="0" applyFont="1" applyFill="1" applyAlignment="1">
      <alignment horizontal="left"/>
    </xf>
    <xf numFmtId="0" fontId="15" fillId="11" borderId="0" xfId="0" applyFont="1" applyFill="1" applyAlignment="1">
      <alignment horizontal="left"/>
    </xf>
    <xf numFmtId="0" fontId="15" fillId="13" borderId="0" xfId="0" applyFont="1" applyFill="1"/>
    <xf numFmtId="0" fontId="15" fillId="13" borderId="0" xfId="0" applyFont="1" applyFill="1" applyAlignment="1">
      <alignment horizontal="left"/>
    </xf>
    <xf numFmtId="0" fontId="27" fillId="2" borderId="0" xfId="0" applyFont="1" applyFill="1" applyAlignment="1">
      <alignment horizontal="left" vertical="center"/>
    </xf>
    <xf numFmtId="0" fontId="46" fillId="0" borderId="0" xfId="0" applyFont="1" applyAlignment="1">
      <alignment horizontal="center"/>
    </xf>
    <xf numFmtId="0" fontId="24" fillId="2" borderId="0" xfId="0" applyFont="1" applyFill="1"/>
    <xf numFmtId="0" fontId="51" fillId="2" borderId="0" xfId="0" applyFont="1" applyFill="1"/>
    <xf numFmtId="0" fontId="16" fillId="2" borderId="5" xfId="0" applyFont="1" applyFill="1" applyBorder="1" applyAlignment="1">
      <alignment horizontal="center"/>
    </xf>
    <xf numFmtId="166" fontId="16" fillId="2" borderId="5" xfId="1" applyNumberFormat="1" applyFont="1" applyFill="1" applyBorder="1"/>
    <xf numFmtId="0" fontId="18" fillId="2" borderId="0" xfId="0" applyFont="1" applyFill="1" applyAlignment="1">
      <alignment horizontal="left" vertical="center" wrapText="1"/>
    </xf>
    <xf numFmtId="0" fontId="16" fillId="2" borderId="0" xfId="0" applyFont="1" applyFill="1" applyAlignment="1">
      <alignment vertical="center"/>
    </xf>
    <xf numFmtId="0" fontId="16" fillId="2" borderId="0" xfId="0" applyFont="1" applyFill="1" applyAlignment="1">
      <alignment horizontal="left" vertical="center"/>
    </xf>
    <xf numFmtId="1" fontId="0" fillId="2" borderId="0" xfId="0" applyNumberFormat="1" applyFill="1"/>
    <xf numFmtId="169" fontId="15" fillId="0" borderId="0" xfId="0" applyNumberFormat="1" applyFont="1"/>
    <xf numFmtId="14" fontId="15" fillId="0" borderId="0" xfId="0" applyNumberFormat="1" applyFont="1"/>
    <xf numFmtId="169" fontId="16" fillId="0" borderId="0" xfId="0" applyNumberFormat="1" applyFont="1"/>
    <xf numFmtId="169" fontId="16" fillId="0" borderId="0" xfId="4" applyNumberFormat="1" applyFont="1"/>
    <xf numFmtId="169" fontId="15" fillId="0" borderId="0" xfId="0" applyNumberFormat="1" applyFont="1" applyAlignment="1">
      <alignment horizontal="right"/>
    </xf>
    <xf numFmtId="0" fontId="0" fillId="0" borderId="0" xfId="0" applyAlignment="1">
      <alignment horizontal="left"/>
    </xf>
    <xf numFmtId="0" fontId="55" fillId="0" borderId="0" xfId="0" applyFont="1" applyAlignment="1">
      <alignment horizontal="left"/>
    </xf>
    <xf numFmtId="0" fontId="15" fillId="0" borderId="0" xfId="2" applyFont="1" applyAlignment="1">
      <alignment horizontal="left"/>
    </xf>
    <xf numFmtId="166" fontId="16" fillId="0" borderId="0" xfId="1" quotePrefix="1" applyNumberFormat="1" applyFont="1" applyFill="1" applyAlignment="1">
      <alignment horizontal="left"/>
    </xf>
    <xf numFmtId="164" fontId="17" fillId="2" borderId="2" xfId="1" applyFont="1" applyFill="1" applyBorder="1"/>
    <xf numFmtId="1" fontId="16" fillId="2" borderId="0" xfId="0" applyNumberFormat="1" applyFont="1" applyFill="1"/>
    <xf numFmtId="9" fontId="16" fillId="2" borderId="0" xfId="153" applyFont="1" applyFill="1"/>
    <xf numFmtId="9" fontId="0" fillId="2" borderId="0" xfId="153" applyFont="1" applyFill="1"/>
    <xf numFmtId="170" fontId="19" fillId="2" borderId="0" xfId="0" applyNumberFormat="1" applyFont="1" applyFill="1"/>
    <xf numFmtId="170" fontId="14" fillId="2" borderId="0" xfId="0" applyNumberFormat="1" applyFont="1" applyFill="1"/>
    <xf numFmtId="170" fontId="17" fillId="3" borderId="2" xfId="0" applyNumberFormat="1" applyFont="1" applyFill="1" applyBorder="1" applyAlignment="1">
      <alignment vertical="center"/>
    </xf>
    <xf numFmtId="170" fontId="18" fillId="2" borderId="0" xfId="3" applyNumberFormat="1" applyFont="1" applyFill="1" applyAlignment="1">
      <alignment horizontal="left"/>
    </xf>
    <xf numFmtId="170" fontId="16" fillId="2" borderId="2" xfId="0" applyNumberFormat="1" applyFont="1" applyFill="1" applyBorder="1"/>
    <xf numFmtId="170" fontId="17" fillId="2" borderId="2" xfId="0" applyNumberFormat="1" applyFont="1" applyFill="1" applyBorder="1"/>
    <xf numFmtId="170" fontId="0" fillId="2" borderId="0" xfId="0" applyNumberFormat="1" applyFill="1"/>
    <xf numFmtId="170" fontId="16" fillId="2" borderId="0" xfId="0" applyNumberFormat="1" applyFont="1" applyFill="1"/>
    <xf numFmtId="170" fontId="0" fillId="2" borderId="5" xfId="0" applyNumberFormat="1" applyFill="1" applyBorder="1"/>
    <xf numFmtId="170" fontId="47" fillId="3" borderId="2" xfId="0" applyNumberFormat="1" applyFont="1" applyFill="1" applyBorder="1" applyAlignment="1">
      <alignment vertical="center"/>
    </xf>
    <xf numFmtId="170" fontId="49" fillId="2" borderId="0" xfId="3" applyNumberFormat="1" applyFont="1" applyFill="1" applyAlignment="1">
      <alignment horizontal="left"/>
    </xf>
    <xf numFmtId="170" fontId="46" fillId="2" borderId="2" xfId="0" applyNumberFormat="1" applyFont="1" applyFill="1" applyBorder="1"/>
    <xf numFmtId="170" fontId="47" fillId="2" borderId="2" xfId="0" applyNumberFormat="1" applyFont="1" applyFill="1" applyBorder="1"/>
    <xf numFmtId="0" fontId="56" fillId="2" borderId="0" xfId="0" applyFont="1" applyFill="1"/>
    <xf numFmtId="167" fontId="57" fillId="2" borderId="0" xfId="3" applyNumberFormat="1" applyFont="1" applyFill="1" applyAlignment="1">
      <alignment horizontal="left"/>
    </xf>
    <xf numFmtId="164" fontId="58" fillId="2" borderId="0" xfId="1" applyFont="1" applyFill="1"/>
    <xf numFmtId="0" fontId="58" fillId="2" borderId="1" xfId="0" applyFont="1" applyFill="1" applyBorder="1"/>
    <xf numFmtId="164" fontId="58" fillId="2" borderId="1" xfId="0" applyNumberFormat="1" applyFont="1" applyFill="1" applyBorder="1"/>
    <xf numFmtId="0" fontId="59" fillId="2" borderId="0" xfId="0" applyFont="1" applyFill="1"/>
    <xf numFmtId="0" fontId="60" fillId="3" borderId="2" xfId="0" applyFont="1" applyFill="1" applyBorder="1" applyAlignment="1">
      <alignment vertical="center"/>
    </xf>
    <xf numFmtId="0" fontId="60" fillId="3" borderId="2" xfId="0" applyFont="1" applyFill="1" applyBorder="1" applyAlignment="1">
      <alignment horizontal="right" vertical="center"/>
    </xf>
    <xf numFmtId="0" fontId="58" fillId="2" borderId="2" xfId="0" applyFont="1" applyFill="1" applyBorder="1"/>
    <xf numFmtId="0" fontId="60" fillId="2" borderId="2" xfId="0" applyFont="1" applyFill="1" applyBorder="1"/>
    <xf numFmtId="164" fontId="60" fillId="2" borderId="2" xfId="0" applyNumberFormat="1" applyFont="1" applyFill="1" applyBorder="1"/>
    <xf numFmtId="0" fontId="16" fillId="2" borderId="0" xfId="0" applyFont="1" applyFill="1" applyAlignment="1">
      <alignment vertical="center"/>
    </xf>
    <xf numFmtId="0" fontId="16" fillId="2" borderId="0" xfId="0" applyFont="1" applyFill="1" applyAlignment="1">
      <alignment horizontal="left" vertical="center"/>
    </xf>
    <xf numFmtId="0" fontId="15" fillId="2" borderId="0" xfId="0" applyFont="1" applyFill="1" applyAlignment="1">
      <alignment horizontal="left" vertical="top" wrapText="1"/>
    </xf>
    <xf numFmtId="0" fontId="18" fillId="2" borderId="0" xfId="0" applyFont="1" applyFill="1" applyAlignment="1">
      <alignment horizontal="left" vertical="center" wrapText="1"/>
    </xf>
    <xf numFmtId="0" fontId="15" fillId="7" borderId="0" xfId="0" applyFont="1" applyFill="1" applyAlignment="1">
      <alignment horizontal="left" vertical="top" wrapText="1"/>
    </xf>
    <xf numFmtId="0" fontId="29" fillId="3" borderId="0" xfId="0" applyFont="1" applyFill="1" applyAlignment="1">
      <alignment horizontal="center" vertical="center" wrapText="1"/>
    </xf>
    <xf numFmtId="0" fontId="16" fillId="2" borderId="0" xfId="0" applyFont="1" applyFill="1" applyAlignment="1">
      <alignment vertical="top" wrapText="1"/>
    </xf>
    <xf numFmtId="0" fontId="16" fillId="2" borderId="0" xfId="0" applyFont="1" applyFill="1" applyAlignment="1">
      <alignment vertical="top"/>
    </xf>
    <xf numFmtId="0" fontId="15" fillId="11" borderId="0" xfId="0" applyFont="1" applyFill="1" applyAlignment="1">
      <alignment horizontal="left" vertical="top" wrapText="1"/>
    </xf>
    <xf numFmtId="0" fontId="25" fillId="11" borderId="0" xfId="0" applyFont="1" applyFill="1" applyAlignment="1">
      <alignment horizontal="left"/>
    </xf>
    <xf numFmtId="0" fontId="15" fillId="2" borderId="0" xfId="0" applyFont="1" applyFill="1" applyAlignment="1">
      <alignment vertical="top" wrapText="1"/>
    </xf>
    <xf numFmtId="0" fontId="46" fillId="2" borderId="0" xfId="0" applyFont="1" applyFill="1" applyAlignment="1">
      <alignment vertical="top" wrapText="1"/>
    </xf>
    <xf numFmtId="0" fontId="24" fillId="2" borderId="0" xfId="0" applyFont="1" applyFill="1"/>
    <xf numFmtId="0" fontId="17" fillId="3" borderId="3" xfId="0" applyFont="1" applyFill="1" applyBorder="1" applyAlignment="1">
      <alignment horizontal="center"/>
    </xf>
    <xf numFmtId="0" fontId="16" fillId="0" borderId="0" xfId="0" applyFont="1" applyAlignment="1">
      <alignment vertical="top" wrapText="1"/>
    </xf>
    <xf numFmtId="0" fontId="58" fillId="2" borderId="0" xfId="0" applyFont="1" applyFill="1" applyAlignment="1">
      <alignment vertical="top"/>
    </xf>
    <xf numFmtId="0" fontId="15" fillId="11" borderId="0" xfId="0" applyFont="1" applyFill="1" applyAlignment="1">
      <alignment vertical="top" wrapText="1"/>
    </xf>
  </cellXfs>
  <cellStyles count="155">
    <cellStyle name="Comma 2" xfId="12" xr:uid="{00000000-0005-0000-0000-000001000000}"/>
    <cellStyle name="Comma 2 2" xfId="46" xr:uid="{00000000-0005-0000-0000-000002000000}"/>
    <cellStyle name="Comma 2 2 2" xfId="114" xr:uid="{00000000-0005-0000-0000-000003000000}"/>
    <cellStyle name="Comma 2 3" xfId="83" xr:uid="{00000000-0005-0000-0000-000004000000}"/>
    <cellStyle name="Comma 3" xfId="42" xr:uid="{00000000-0005-0000-0000-000005000000}"/>
    <cellStyle name="Comma 3 2" xfId="110" xr:uid="{00000000-0005-0000-0000-000006000000}"/>
    <cellStyle name="Comma 4" xfId="84" xr:uid="{00000000-0005-0000-0000-000007000000}"/>
    <cellStyle name="Comma 5" xfId="13" xr:uid="{00000000-0005-0000-0000-000008000000}"/>
    <cellStyle name="Hyperlink" xfId="63" xr:uid="{00000000-0005-0000-0000-000009000000}"/>
    <cellStyle name="Hyperlink 2" xfId="9" xr:uid="{00000000-0005-0000-0000-00000A000000}"/>
    <cellStyle name="Komma" xfId="1" builtinId="3"/>
    <cellStyle name="Komma 3" xfId="53" xr:uid="{00000000-0005-0000-0000-00000B000000}"/>
    <cellStyle name="Komma 3 2" xfId="121" xr:uid="{00000000-0005-0000-0000-00000C000000}"/>
    <cellStyle name="Link 2" xfId="35" xr:uid="{00000000-0005-0000-0000-00000D000000}"/>
    <cellStyle name="Normal 2" xfId="4" xr:uid="{00000000-0005-0000-0000-00000F000000}"/>
    <cellStyle name="Normal 2 10" xfId="154" xr:uid="{B3DEA937-32CF-44EB-8425-661F4E14FEF3}"/>
    <cellStyle name="Normal 2 2" xfId="6" xr:uid="{00000000-0005-0000-0000-000010000000}"/>
    <cellStyle name="Normal 2 2 10" xfId="65" xr:uid="{00000000-0005-0000-0000-000011000000}"/>
    <cellStyle name="Normal 2 2 10 2" xfId="131" xr:uid="{00000000-0005-0000-0000-000012000000}"/>
    <cellStyle name="Normal 2 2 11" xfId="69" xr:uid="{00000000-0005-0000-0000-000013000000}"/>
    <cellStyle name="Normal 2 2 11 2" xfId="74" xr:uid="{00000000-0005-0000-0000-000014000000}"/>
    <cellStyle name="Normal 2 2 11 3" xfId="135" xr:uid="{00000000-0005-0000-0000-000015000000}"/>
    <cellStyle name="Normal 2 2 11 4" xfId="140" xr:uid="{00000000-0005-0000-0000-000016000000}"/>
    <cellStyle name="Normal 2 2 11 4 2" xfId="148" xr:uid="{00000000-0005-0000-0000-000017000000}"/>
    <cellStyle name="Normal 2 2 11 5" xfId="145" xr:uid="{00000000-0005-0000-0000-000018000000}"/>
    <cellStyle name="Normal 2 2 12" xfId="78" xr:uid="{00000000-0005-0000-0000-000019000000}"/>
    <cellStyle name="Normal 2 2 2" xfId="17" xr:uid="{00000000-0005-0000-0000-00001A000000}"/>
    <cellStyle name="Normal 2 2 2 2" xfId="19" xr:uid="{00000000-0005-0000-0000-00001B000000}"/>
    <cellStyle name="Normal 2 2 2 2 2" xfId="24" xr:uid="{00000000-0005-0000-0000-00001C000000}"/>
    <cellStyle name="Normal 2 2 2 2 2 2" xfId="76" xr:uid="{00000000-0005-0000-0000-00001D000000}"/>
    <cellStyle name="Normal 2 2 2 2 2 2 2" xfId="144" xr:uid="{00000000-0005-0000-0000-00001E000000}"/>
    <cellStyle name="Normal 2 2 2 2 2 2 2 2" xfId="151" xr:uid="{00000000-0005-0000-0000-00001F000000}"/>
    <cellStyle name="Normal 2 2 2 2 2 3" xfId="94" xr:uid="{00000000-0005-0000-0000-000020000000}"/>
    <cellStyle name="Normal 2 2 2 2 3" xfId="27" xr:uid="{00000000-0005-0000-0000-000021000000}"/>
    <cellStyle name="Normal 2 2 2 2 3 2" xfId="33" xr:uid="{00000000-0005-0000-0000-000022000000}"/>
    <cellStyle name="Normal 2 2 2 2 3 2 2" xfId="103" xr:uid="{00000000-0005-0000-0000-000023000000}"/>
    <cellStyle name="Normal 2 2 2 2 3 3" xfId="97" xr:uid="{00000000-0005-0000-0000-000024000000}"/>
    <cellStyle name="Normal 2 2 2 2 4" xfId="29" xr:uid="{00000000-0005-0000-0000-000025000000}"/>
    <cellStyle name="Normal 2 2 2 2 4 2" xfId="50" xr:uid="{00000000-0005-0000-0000-000026000000}"/>
    <cellStyle name="Normal 2 2 2 2 4 2 2" xfId="118" xr:uid="{00000000-0005-0000-0000-000027000000}"/>
    <cellStyle name="Normal 2 2 2 2 4 3" xfId="99" xr:uid="{00000000-0005-0000-0000-000028000000}"/>
    <cellStyle name="Normal 2 2 2 2 5" xfId="60" xr:uid="{00000000-0005-0000-0000-000029000000}"/>
    <cellStyle name="Normal 2 2 2 2 5 2" xfId="127" xr:uid="{00000000-0005-0000-0000-00002A000000}"/>
    <cellStyle name="Normal 2 2 2 2 6" xfId="67" xr:uid="{00000000-0005-0000-0000-00002B000000}"/>
    <cellStyle name="Normal 2 2 2 2 6 2" xfId="133" xr:uid="{00000000-0005-0000-0000-00002C000000}"/>
    <cellStyle name="Normal 2 2 2 2 7" xfId="71" xr:uid="{00000000-0005-0000-0000-00002D000000}"/>
    <cellStyle name="Normal 2 2 2 2 7 2" xfId="137" xr:uid="{00000000-0005-0000-0000-00002E000000}"/>
    <cellStyle name="Normal 2 2 2 2 7 3" xfId="141" xr:uid="{00000000-0005-0000-0000-00002F000000}"/>
    <cellStyle name="Normal 2 2 2 2 7 3 2" xfId="149" xr:uid="{00000000-0005-0000-0000-000030000000}"/>
    <cellStyle name="Normal 2 2 2 2 7 4" xfId="146" xr:uid="{00000000-0005-0000-0000-000031000000}"/>
    <cellStyle name="Normal 2 2 2 2 8" xfId="89" xr:uid="{00000000-0005-0000-0000-000032000000}"/>
    <cellStyle name="Normal 2 2 2 3" xfId="70" xr:uid="{00000000-0005-0000-0000-000033000000}"/>
    <cellStyle name="Normal 2 2 2 3 2" xfId="75" xr:uid="{00000000-0005-0000-0000-000034000000}"/>
    <cellStyle name="Normal 2 2 2 3 3" xfId="136" xr:uid="{00000000-0005-0000-0000-000035000000}"/>
    <cellStyle name="Normal 2 2 2 4" xfId="87" xr:uid="{00000000-0005-0000-0000-000036000000}"/>
    <cellStyle name="Normal 2 2 3" xfId="18" xr:uid="{00000000-0005-0000-0000-000037000000}"/>
    <cellStyle name="Normal 2 2 3 2" xfId="37" xr:uid="{00000000-0005-0000-0000-000038000000}"/>
    <cellStyle name="Normal 2 2 3 2 2" xfId="105" xr:uid="{00000000-0005-0000-0000-000039000000}"/>
    <cellStyle name="Normal 2 2 3 3" xfId="88" xr:uid="{00000000-0005-0000-0000-00003A000000}"/>
    <cellStyle name="Normal 2 2 4" xfId="23" xr:uid="{00000000-0005-0000-0000-00003B000000}"/>
    <cellStyle name="Normal 2 2 4 2" xfId="93" xr:uid="{00000000-0005-0000-0000-00003C000000}"/>
    <cellStyle name="Normal 2 2 5" xfId="26" xr:uid="{00000000-0005-0000-0000-00003D000000}"/>
    <cellStyle name="Normal 2 2 5 2" xfId="32" xr:uid="{00000000-0005-0000-0000-00003E000000}"/>
    <cellStyle name="Normal 2 2 5 2 2" xfId="102" xr:uid="{00000000-0005-0000-0000-00003F000000}"/>
    <cellStyle name="Normal 2 2 5 3" xfId="96" xr:uid="{00000000-0005-0000-0000-000040000000}"/>
    <cellStyle name="Normal 2 2 6" xfId="28" xr:uid="{00000000-0005-0000-0000-000041000000}"/>
    <cellStyle name="Normal 2 2 6 2" xfId="98" xr:uid="{00000000-0005-0000-0000-000042000000}"/>
    <cellStyle name="Normal 2 2 7" xfId="44" xr:uid="{00000000-0005-0000-0000-000043000000}"/>
    <cellStyle name="Normal 2 2 7 2" xfId="112" xr:uid="{00000000-0005-0000-0000-000044000000}"/>
    <cellStyle name="Normal 2 2 8" xfId="55" xr:uid="{00000000-0005-0000-0000-000045000000}"/>
    <cellStyle name="Normal 2 2 8 2" xfId="62" xr:uid="{00000000-0005-0000-0000-000046000000}"/>
    <cellStyle name="Normal 2 2 8 2 2" xfId="129" xr:uid="{00000000-0005-0000-0000-000047000000}"/>
    <cellStyle name="Normal 2 2 8 3" xfId="122" xr:uid="{00000000-0005-0000-0000-000048000000}"/>
    <cellStyle name="Normal 2 2 9" xfId="58" xr:uid="{00000000-0005-0000-0000-000049000000}"/>
    <cellStyle name="Normal 2 2 9 2" xfId="125" xr:uid="{00000000-0005-0000-0000-00004A000000}"/>
    <cellStyle name="Normal 2 3" xfId="10" xr:uid="{00000000-0005-0000-0000-00004B000000}"/>
    <cellStyle name="Normal 2 3 2" xfId="81" xr:uid="{00000000-0005-0000-0000-00004C000000}"/>
    <cellStyle name="Normal 2 4" xfId="20" xr:uid="{00000000-0005-0000-0000-00004D000000}"/>
    <cellStyle name="Normal 2 4 2" xfId="61" xr:uid="{00000000-0005-0000-0000-00004E000000}"/>
    <cellStyle name="Normal 2 4 2 2" xfId="128" xr:uid="{00000000-0005-0000-0000-00004F000000}"/>
    <cellStyle name="Normal 2 4 3" xfId="68" xr:uid="{00000000-0005-0000-0000-000050000000}"/>
    <cellStyle name="Normal 2 4 3 2" xfId="134" xr:uid="{00000000-0005-0000-0000-000051000000}"/>
    <cellStyle name="Normal 2 4 4" xfId="90" xr:uid="{00000000-0005-0000-0000-000052000000}"/>
    <cellStyle name="Normal 2 5" xfId="21" xr:uid="{00000000-0005-0000-0000-000053000000}"/>
    <cellStyle name="Normal 2 5 2" xfId="91" xr:uid="{00000000-0005-0000-0000-000054000000}"/>
    <cellStyle name="Normal 2 6" xfId="22" xr:uid="{00000000-0005-0000-0000-000055000000}"/>
    <cellStyle name="Normal 2 6 2" xfId="25" xr:uid="{00000000-0005-0000-0000-000056000000}"/>
    <cellStyle name="Normal 2 6 2 2" xfId="95" xr:uid="{00000000-0005-0000-0000-000057000000}"/>
    <cellStyle name="Normal 2 6 3" xfId="31" xr:uid="{00000000-0005-0000-0000-000058000000}"/>
    <cellStyle name="Normal 2 6 3 2" xfId="51" xr:uid="{00000000-0005-0000-0000-000059000000}"/>
    <cellStyle name="Normal 2 6 3 2 2" xfId="119" xr:uid="{00000000-0005-0000-0000-00005A000000}"/>
    <cellStyle name="Normal 2 6 3 3" xfId="101" xr:uid="{00000000-0005-0000-0000-00005B000000}"/>
    <cellStyle name="Normal 2 6 4" xfId="92" xr:uid="{00000000-0005-0000-0000-00005C000000}"/>
    <cellStyle name="Normal 2 6 5" xfId="143" xr:uid="{00000000-0005-0000-0000-00005D000000}"/>
    <cellStyle name="Normal 2 7" xfId="57" xr:uid="{00000000-0005-0000-0000-00005E000000}"/>
    <cellStyle name="Normal 2 7 2" xfId="124" xr:uid="{00000000-0005-0000-0000-00005F000000}"/>
    <cellStyle name="Normal 2 8" xfId="64" xr:uid="{00000000-0005-0000-0000-000060000000}"/>
    <cellStyle name="Normal 2 8 2" xfId="130" xr:uid="{00000000-0005-0000-0000-000061000000}"/>
    <cellStyle name="Normal 2 9" xfId="77" xr:uid="{00000000-0005-0000-0000-000062000000}"/>
    <cellStyle name="Normal 3" xfId="7" xr:uid="{00000000-0005-0000-0000-000063000000}"/>
    <cellStyle name="Normal 3 2" xfId="36" xr:uid="{00000000-0005-0000-0000-000064000000}"/>
    <cellStyle name="Normal 3 2 2" xfId="104" xr:uid="{00000000-0005-0000-0000-000065000000}"/>
    <cellStyle name="Normal 3 3" xfId="79" xr:uid="{00000000-0005-0000-0000-000066000000}"/>
    <cellStyle name="Normal 4" xfId="8" xr:uid="{00000000-0005-0000-0000-000067000000}"/>
    <cellStyle name="Normal 4 2" xfId="80" xr:uid="{00000000-0005-0000-0000-000068000000}"/>
    <cellStyle name="Normal 5" xfId="11" xr:uid="{00000000-0005-0000-0000-000069000000}"/>
    <cellStyle name="Normal 5 10" xfId="73" xr:uid="{00000000-0005-0000-0000-00006A000000}"/>
    <cellStyle name="Normal 5 10 2" xfId="139" xr:uid="{00000000-0005-0000-0000-00006B000000}"/>
    <cellStyle name="Normal 5 11" xfId="82" xr:uid="{00000000-0005-0000-0000-00006C000000}"/>
    <cellStyle name="Normal 5 2" xfId="30" xr:uid="{00000000-0005-0000-0000-00006D000000}"/>
    <cellStyle name="Normal 5 2 2" xfId="100" xr:uid="{00000000-0005-0000-0000-00006E000000}"/>
    <cellStyle name="Normal 5 3" xfId="38" xr:uid="{00000000-0005-0000-0000-00006F000000}"/>
    <cellStyle name="Normal 5 3 2" xfId="106" xr:uid="{00000000-0005-0000-0000-000070000000}"/>
    <cellStyle name="Normal 5 4" xfId="40" xr:uid="{00000000-0005-0000-0000-000071000000}"/>
    <cellStyle name="Normal 5 4 2" xfId="47" xr:uid="{00000000-0005-0000-0000-000072000000}"/>
    <cellStyle name="Normal 5 4 2 2" xfId="115" xr:uid="{00000000-0005-0000-0000-000073000000}"/>
    <cellStyle name="Normal 5 4 3" xfId="48" xr:uid="{00000000-0005-0000-0000-000074000000}"/>
    <cellStyle name="Normal 5 4 3 2" xfId="116" xr:uid="{00000000-0005-0000-0000-000075000000}"/>
    <cellStyle name="Normal 5 4 4" xfId="108" xr:uid="{00000000-0005-0000-0000-000076000000}"/>
    <cellStyle name="Normal 5 4 5" xfId="152" xr:uid="{00000000-0005-0000-0000-000077000000}"/>
    <cellStyle name="Normal 5 5" xfId="45" xr:uid="{00000000-0005-0000-0000-000078000000}"/>
    <cellStyle name="Normal 5 5 2" xfId="113" xr:uid="{00000000-0005-0000-0000-000079000000}"/>
    <cellStyle name="Normal 5 6" xfId="56" xr:uid="{00000000-0005-0000-0000-00007A000000}"/>
    <cellStyle name="Normal 5 6 2" xfId="123" xr:uid="{00000000-0005-0000-0000-00007B000000}"/>
    <cellStyle name="Normal 5 7" xfId="59" xr:uid="{00000000-0005-0000-0000-00007C000000}"/>
    <cellStyle name="Normal 5 7 2" xfId="126" xr:uid="{00000000-0005-0000-0000-00007D000000}"/>
    <cellStyle name="Normal 5 8" xfId="66" xr:uid="{00000000-0005-0000-0000-00007E000000}"/>
    <cellStyle name="Normal 5 8 2" xfId="132" xr:uid="{00000000-0005-0000-0000-00007F000000}"/>
    <cellStyle name="Normal 5 9" xfId="72" xr:uid="{00000000-0005-0000-0000-000080000000}"/>
    <cellStyle name="Normal 5 9 2" xfId="138" xr:uid="{00000000-0005-0000-0000-000081000000}"/>
    <cellStyle name="Normal 5 9 3" xfId="142" xr:uid="{00000000-0005-0000-0000-000082000000}"/>
    <cellStyle name="Normal 5 9 3 2" xfId="150" xr:uid="{00000000-0005-0000-0000-000083000000}"/>
    <cellStyle name="Normal 5 9 4" xfId="147" xr:uid="{00000000-0005-0000-0000-000084000000}"/>
    <cellStyle name="Normal 6" xfId="14" xr:uid="{00000000-0005-0000-0000-000085000000}"/>
    <cellStyle name="Normal 6 2" xfId="85" xr:uid="{00000000-0005-0000-0000-000086000000}"/>
    <cellStyle name="Normal 7" xfId="15" xr:uid="{00000000-0005-0000-0000-000087000000}"/>
    <cellStyle name="Normal 7 2" xfId="86" xr:uid="{00000000-0005-0000-0000-000088000000}"/>
    <cellStyle name="Normal 8" xfId="39" xr:uid="{00000000-0005-0000-0000-000089000000}"/>
    <cellStyle name="Normal 8 2" xfId="107" xr:uid="{00000000-0005-0000-0000-00008A000000}"/>
    <cellStyle name="Normal 9" xfId="2" xr:uid="{00000000-0005-0000-0000-00008B000000}"/>
    <cellStyle name="Percent 2" xfId="41" xr:uid="{00000000-0005-0000-0000-00008C000000}"/>
    <cellStyle name="Percent 2 2" xfId="49" xr:uid="{00000000-0005-0000-0000-00008D000000}"/>
    <cellStyle name="Percent 2 2 2" xfId="117" xr:uid="{00000000-0005-0000-0000-00008E000000}"/>
    <cellStyle name="Percent 2 3" xfId="109" xr:uid="{00000000-0005-0000-0000-00008F000000}"/>
    <cellStyle name="Percent 3" xfId="16" xr:uid="{00000000-0005-0000-0000-000090000000}"/>
    <cellStyle name="Prozent" xfId="153" builtinId="5"/>
    <cellStyle name="Standard" xfId="0" builtinId="0"/>
    <cellStyle name="Standard 2" xfId="34" xr:uid="{00000000-0005-0000-0000-000091000000}"/>
    <cellStyle name="Standard 2 2" xfId="3" xr:uid="{00000000-0005-0000-0000-000092000000}"/>
    <cellStyle name="Standard 2 2 2" xfId="5" xr:uid="{00000000-0005-0000-0000-000093000000}"/>
    <cellStyle name="Standard 3" xfId="43" xr:uid="{00000000-0005-0000-0000-000094000000}"/>
    <cellStyle name="Standard 3 2" xfId="52" xr:uid="{00000000-0005-0000-0000-000095000000}"/>
    <cellStyle name="Standard 3 2 2" xfId="120" xr:uid="{00000000-0005-0000-0000-000096000000}"/>
    <cellStyle name="Standard 3 3" xfId="111" xr:uid="{00000000-0005-0000-0000-000097000000}"/>
    <cellStyle name="Standard 4" xfId="54" xr:uid="{00000000-0005-0000-0000-000098000000}"/>
  </cellStyles>
  <dxfs count="0"/>
  <tableStyles count="0" defaultTableStyle="TableStyleMedium2" defaultPivotStyle="PivotStyleLight16"/>
  <colors>
    <mruColors>
      <color rgb="FFB5E6A2"/>
      <color rgb="FFF5F1E7"/>
      <color rgb="FFFF6A00"/>
      <color rgb="FFD9D9D9"/>
      <color rgb="FFFC6960"/>
      <color rgb="FF9850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880789881649303E-2"/>
          <c:y val="9.0210774159068932E-2"/>
          <c:w val="0.92853215611846474"/>
          <c:h val="0.79776855962134652"/>
        </c:manualLayout>
      </c:layout>
      <c:barChart>
        <c:barDir val="col"/>
        <c:grouping val="stacked"/>
        <c:varyColors val="0"/>
        <c:ser>
          <c:idx val="4"/>
          <c:order val="1"/>
          <c:tx>
            <c:strRef>
              <c:f>'Fig 1 All Country Summary'!$B$7</c:f>
              <c:strCache>
                <c:ptCount val="1"/>
                <c:pt idx="0">
                  <c:v>Germany</c:v>
                </c:pt>
              </c:strCache>
            </c:strRef>
          </c:tx>
          <c:spPr>
            <a:solidFill>
              <a:schemeClr val="accent1"/>
            </a:solidFill>
            <a:ln>
              <a:solidFill>
                <a:schemeClr val="tx1"/>
              </a:solidFill>
            </a:ln>
            <a:effectLst/>
          </c:spPr>
          <c:invertIfNegative val="0"/>
          <c:cat>
            <c:numRef>
              <c:f>'Fig 1 All Country Summary'!$C$6:$I$6</c:f>
              <c:numCache>
                <c:formatCode>General</c:formatCode>
                <c:ptCount val="7"/>
                <c:pt idx="0">
                  <c:v>2020</c:v>
                </c:pt>
                <c:pt idx="1">
                  <c:v>2021</c:v>
                </c:pt>
                <c:pt idx="2">
                  <c:v>2022</c:v>
                </c:pt>
                <c:pt idx="3">
                  <c:v>2023</c:v>
                </c:pt>
                <c:pt idx="4">
                  <c:v>2024</c:v>
                </c:pt>
                <c:pt idx="5">
                  <c:v>2025</c:v>
                </c:pt>
                <c:pt idx="6">
                  <c:v>2026</c:v>
                </c:pt>
              </c:numCache>
            </c:numRef>
          </c:cat>
          <c:val>
            <c:numRef>
              <c:f>'Fig 1 All Country Summary'!$C$7:$I$7</c:f>
              <c:numCache>
                <c:formatCode>_(* #,##0.00_);_(* \(#,##0.00\);_(* "-"??_);_(@_)</c:formatCode>
                <c:ptCount val="7"/>
                <c:pt idx="0">
                  <c:v>25.44</c:v>
                </c:pt>
                <c:pt idx="1">
                  <c:v>22.336877999999999</c:v>
                </c:pt>
                <c:pt idx="2">
                  <c:v>21.097149999999999</c:v>
                </c:pt>
                <c:pt idx="3">
                  <c:v>42.026179999999997</c:v>
                </c:pt>
                <c:pt idx="4">
                  <c:v>57.076360000000001</c:v>
                </c:pt>
                <c:pt idx="5">
                  <c:v>85.264398190999998</c:v>
                </c:pt>
                <c:pt idx="6">
                  <c:v>0.05</c:v>
                </c:pt>
              </c:numCache>
            </c:numRef>
          </c:val>
          <c:extLst>
            <c:ext xmlns:c16="http://schemas.microsoft.com/office/drawing/2014/chart" uri="{C3380CC4-5D6E-409C-BE32-E72D297353CC}">
              <c16:uniqueId val="{00000000-61E8-4369-A31E-56C6EBC1FC76}"/>
            </c:ext>
          </c:extLst>
        </c:ser>
        <c:ser>
          <c:idx val="3"/>
          <c:order val="2"/>
          <c:tx>
            <c:strRef>
              <c:f>'Fig 1 All Country Summary'!$B$8</c:f>
              <c:strCache>
                <c:ptCount val="1"/>
                <c:pt idx="0">
                  <c:v>UK</c:v>
                </c:pt>
              </c:strCache>
            </c:strRef>
          </c:tx>
          <c:spPr>
            <a:solidFill>
              <a:srgbClr val="4372FF"/>
            </a:solidFill>
            <a:ln>
              <a:solidFill>
                <a:schemeClr val="tx1"/>
              </a:solidFill>
            </a:ln>
            <a:effectLst/>
          </c:spPr>
          <c:invertIfNegative val="0"/>
          <c:cat>
            <c:numRef>
              <c:f>'Fig 1 All Country Summary'!$C$6:$I$6</c:f>
              <c:numCache>
                <c:formatCode>General</c:formatCode>
                <c:ptCount val="7"/>
                <c:pt idx="0">
                  <c:v>2020</c:v>
                </c:pt>
                <c:pt idx="1">
                  <c:v>2021</c:v>
                </c:pt>
                <c:pt idx="2">
                  <c:v>2022</c:v>
                </c:pt>
                <c:pt idx="3">
                  <c:v>2023</c:v>
                </c:pt>
                <c:pt idx="4">
                  <c:v>2024</c:v>
                </c:pt>
                <c:pt idx="5">
                  <c:v>2025</c:v>
                </c:pt>
                <c:pt idx="6">
                  <c:v>2026</c:v>
                </c:pt>
              </c:numCache>
            </c:numRef>
          </c:cat>
          <c:val>
            <c:numRef>
              <c:f>'Fig 1 All Country Summary'!$C$8:$I$8</c:f>
              <c:numCache>
                <c:formatCode>_(* #,##0.00_);_(* \(#,##0.00\);_(* "-"??_);_(@_)</c:formatCode>
                <c:ptCount val="7"/>
                <c:pt idx="0">
                  <c:v>4.6710127009104196</c:v>
                </c:pt>
                <c:pt idx="1">
                  <c:v>5.4279432294090268</c:v>
                </c:pt>
                <c:pt idx="2">
                  <c:v>18.073045170974247</c:v>
                </c:pt>
                <c:pt idx="3">
                  <c:v>9.705906023292977</c:v>
                </c:pt>
                <c:pt idx="4">
                  <c:v>15.786090571921283</c:v>
                </c:pt>
                <c:pt idx="5">
                  <c:v>26.151624085248422</c:v>
                </c:pt>
                <c:pt idx="6">
                  <c:v>0.80135440180586903</c:v>
                </c:pt>
              </c:numCache>
            </c:numRef>
          </c:val>
          <c:extLst>
            <c:ext xmlns:c16="http://schemas.microsoft.com/office/drawing/2014/chart" uri="{C3380CC4-5D6E-409C-BE32-E72D297353CC}">
              <c16:uniqueId val="{00000001-61E8-4369-A31E-56C6EBC1FC76}"/>
            </c:ext>
          </c:extLst>
        </c:ser>
        <c:ser>
          <c:idx val="0"/>
          <c:order val="3"/>
          <c:tx>
            <c:strRef>
              <c:f>'Fig 1 All Country Summary'!$B$9</c:f>
              <c:strCache>
                <c:ptCount val="1"/>
                <c:pt idx="0">
                  <c:v>Poland</c:v>
                </c:pt>
              </c:strCache>
            </c:strRef>
          </c:tx>
          <c:spPr>
            <a:solidFill>
              <a:schemeClr val="tx2">
                <a:lumMod val="10000"/>
                <a:lumOff val="90000"/>
              </a:schemeClr>
            </a:solidFill>
            <a:ln>
              <a:solidFill>
                <a:schemeClr val="tx1"/>
              </a:solidFill>
            </a:ln>
            <a:effectLst/>
          </c:spPr>
          <c:invertIfNegative val="0"/>
          <c:cat>
            <c:numRef>
              <c:f>'Fig 1 All Country Summary'!$C$6:$I$6</c:f>
              <c:numCache>
                <c:formatCode>General</c:formatCode>
                <c:ptCount val="7"/>
                <c:pt idx="0">
                  <c:v>2020</c:v>
                </c:pt>
                <c:pt idx="1">
                  <c:v>2021</c:v>
                </c:pt>
                <c:pt idx="2">
                  <c:v>2022</c:v>
                </c:pt>
                <c:pt idx="3">
                  <c:v>2023</c:v>
                </c:pt>
                <c:pt idx="4">
                  <c:v>2024</c:v>
                </c:pt>
                <c:pt idx="5">
                  <c:v>2025</c:v>
                </c:pt>
                <c:pt idx="6">
                  <c:v>2026</c:v>
                </c:pt>
              </c:numCache>
            </c:numRef>
          </c:cat>
          <c:val>
            <c:numRef>
              <c:f>'Fig 1 All Country Summary'!$C$9:$I$9</c:f>
              <c:numCache>
                <c:formatCode>_(* #,##0.00_);_(* \(#,##0.00\);_(* "-"??_);_(@_)</c:formatCode>
                <c:ptCount val="7"/>
                <c:pt idx="0">
                  <c:v>4.2627647274630585</c:v>
                </c:pt>
                <c:pt idx="1">
                  <c:v>6.1511843199964416</c:v>
                </c:pt>
                <c:pt idx="2">
                  <c:v>16.587926695087589</c:v>
                </c:pt>
                <c:pt idx="3">
                  <c:v>6.68087407060088</c:v>
                </c:pt>
                <c:pt idx="4">
                  <c:v>25.104207085597295</c:v>
                </c:pt>
                <c:pt idx="5">
                  <c:v>25.99645700428378</c:v>
                </c:pt>
                <c:pt idx="6">
                  <c:v>3.5606618083414441</c:v>
                </c:pt>
              </c:numCache>
            </c:numRef>
          </c:val>
          <c:extLst>
            <c:ext xmlns:c16="http://schemas.microsoft.com/office/drawing/2014/chart" uri="{C3380CC4-5D6E-409C-BE32-E72D297353CC}">
              <c16:uniqueId val="{00000002-61E8-4369-A31E-56C6EBC1FC76}"/>
            </c:ext>
          </c:extLst>
        </c:ser>
        <c:dLbls>
          <c:showLegendKey val="0"/>
          <c:showVal val="0"/>
          <c:showCatName val="0"/>
          <c:showSerName val="0"/>
          <c:showPercent val="0"/>
          <c:showBubbleSize val="0"/>
        </c:dLbls>
        <c:gapWidth val="50"/>
        <c:overlap val="100"/>
        <c:axId val="112003664"/>
        <c:axId val="112001744"/>
        <c:extLst>
          <c:ext xmlns:c15="http://schemas.microsoft.com/office/drawing/2012/chart" uri="{02D57815-91ED-43cb-92C2-25804820EDAC}">
            <c15:filteredBarSeries>
              <c15:ser>
                <c:idx val="2"/>
                <c:order val="0"/>
                <c:tx>
                  <c:strRef>
                    <c:extLst>
                      <c:ext uri="{02D57815-91ED-43cb-92C2-25804820EDAC}">
                        <c15:formulaRef>
                          <c15:sqref>'Fig 1 All Country Summary'!$B$6</c15:sqref>
                        </c15:formulaRef>
                      </c:ext>
                    </c:extLst>
                    <c:strCache>
                      <c:ptCount val="1"/>
                      <c:pt idx="0">
                        <c:v>Year</c:v>
                      </c:pt>
                    </c:strCache>
                  </c:strRef>
                </c:tx>
                <c:spPr>
                  <a:solidFill>
                    <a:schemeClr val="accent3"/>
                  </a:solidFill>
                  <a:ln>
                    <a:noFill/>
                  </a:ln>
                  <a:effectLst/>
                </c:spPr>
                <c:invertIfNegative val="0"/>
                <c:cat>
                  <c:numRef>
                    <c:extLst>
                      <c:ext uri="{02D57815-91ED-43cb-92C2-25804820EDAC}">
                        <c15:formulaRef>
                          <c15:sqref>'Fig 1 All Country Summary'!$C$6:$I$6</c15:sqref>
                        </c15:formulaRef>
                      </c:ext>
                    </c:extLst>
                    <c:numCache>
                      <c:formatCode>General</c:formatCode>
                      <c:ptCount val="7"/>
                      <c:pt idx="0">
                        <c:v>2020</c:v>
                      </c:pt>
                      <c:pt idx="1">
                        <c:v>2021</c:v>
                      </c:pt>
                      <c:pt idx="2">
                        <c:v>2022</c:v>
                      </c:pt>
                      <c:pt idx="3">
                        <c:v>2023</c:v>
                      </c:pt>
                      <c:pt idx="4">
                        <c:v>2024</c:v>
                      </c:pt>
                      <c:pt idx="5">
                        <c:v>2025</c:v>
                      </c:pt>
                      <c:pt idx="6">
                        <c:v>2026</c:v>
                      </c:pt>
                    </c:numCache>
                  </c:numRef>
                </c:cat>
                <c:val>
                  <c:numRef>
                    <c:extLst>
                      <c:ext uri="{02D57815-91ED-43cb-92C2-25804820EDAC}">
                        <c15:formulaRef>
                          <c15:sqref>'Fig 1 All Country Summary'!$C$6:$I$6</c15:sqref>
                        </c15:formulaRef>
                      </c:ext>
                    </c:extLst>
                    <c:numCache>
                      <c:formatCode>General</c:formatCode>
                      <c:ptCount val="7"/>
                      <c:pt idx="0">
                        <c:v>2020</c:v>
                      </c:pt>
                      <c:pt idx="1">
                        <c:v>2021</c:v>
                      </c:pt>
                      <c:pt idx="2">
                        <c:v>2022</c:v>
                      </c:pt>
                      <c:pt idx="3">
                        <c:v>2023</c:v>
                      </c:pt>
                      <c:pt idx="4">
                        <c:v>2024</c:v>
                      </c:pt>
                      <c:pt idx="5">
                        <c:v>2025</c:v>
                      </c:pt>
                      <c:pt idx="6">
                        <c:v>2026</c:v>
                      </c:pt>
                    </c:numCache>
                  </c:numRef>
                </c:val>
                <c:extLst>
                  <c:ext xmlns:c16="http://schemas.microsoft.com/office/drawing/2014/chart" uri="{C3380CC4-5D6E-409C-BE32-E72D297353CC}">
                    <c16:uniqueId val="{00000003-61E8-4369-A31E-56C6EBC1FC76}"/>
                  </c:ext>
                </c:extLst>
              </c15:ser>
            </c15:filteredBarSeries>
          </c:ext>
        </c:extLst>
      </c:barChart>
      <c:catAx>
        <c:axId val="11200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112001744"/>
        <c:crosses val="autoZero"/>
        <c:auto val="1"/>
        <c:lblAlgn val="ctr"/>
        <c:lblOffset val="100"/>
        <c:noMultiLvlLbl val="0"/>
      </c:cat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112003664"/>
        <c:crosses val="autoZero"/>
        <c:crossBetween val="between"/>
      </c:valAx>
      <c:spPr>
        <a:noFill/>
        <a:ln>
          <a:noFill/>
        </a:ln>
        <a:effectLst/>
      </c:spPr>
    </c:plotArea>
    <c:legend>
      <c:legendPos val="r"/>
      <c:layout>
        <c:manualLayout>
          <c:xMode val="edge"/>
          <c:yMode val="edge"/>
          <c:x val="5.87812060660459E-2"/>
          <c:y val="0.23181516631851351"/>
          <c:w val="0.12166193913354049"/>
          <c:h val="0.27228951126974466"/>
        </c:manualLayout>
      </c:layout>
      <c:overlay val="0"/>
      <c:spPr>
        <a:solidFill>
          <a:srgbClr val="F5F1E7"/>
        </a:solidFill>
        <a:ln>
          <a:solidFill>
            <a:sysClr val="windowText" lastClr="000000"/>
          </a:solidFill>
        </a:ln>
        <a:effectLst/>
      </c:spPr>
      <c:txPr>
        <a:bodyPr rot="0" spcFirstLastPara="1" vertOverflow="ellipsis" vert="horz" wrap="square" anchor="ctr" anchorCtr="1"/>
        <a:lstStyle/>
        <a:p>
          <a:pPr>
            <a:defRPr sz="18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400">
          <a:solidFill>
            <a:sysClr val="windowText" lastClr="000000"/>
          </a:solidFill>
          <a:latin typeface="Courier New" panose="02070309020205020404" pitchFamily="49" charset="0"/>
          <a:cs typeface="Courier New" panose="02070309020205020404" pitchFamily="49"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052475222787574E-2"/>
          <c:y val="9.8010161332538773E-2"/>
          <c:w val="0.92853215611846474"/>
          <c:h val="0.76376206462871177"/>
        </c:manualLayout>
      </c:layout>
      <c:barChart>
        <c:barDir val="col"/>
        <c:grouping val="stacked"/>
        <c:varyColors val="0"/>
        <c:ser>
          <c:idx val="2"/>
          <c:order val="0"/>
          <c:tx>
            <c:strRef>
              <c:f>'Fig 10 PL Orders by Category'!$C$6</c:f>
              <c:strCache>
                <c:ptCount val="1"/>
                <c:pt idx="0">
                  <c:v>Air</c:v>
                </c:pt>
              </c:strCache>
            </c:strRef>
          </c:tx>
          <c:spPr>
            <a:solidFill>
              <a:srgbClr val="32C2FF"/>
            </a:solidFill>
            <a:ln>
              <a:solidFill>
                <a:schemeClr val="tx1"/>
              </a:solidFill>
            </a:ln>
            <a:effectLst/>
          </c:spPr>
          <c:invertIfNegative val="0"/>
          <c:cat>
            <c:numRef>
              <c:f>'Fig 10 PL Orders by Category'!$B$7:$B$91</c:f>
              <c:numCache>
                <c:formatCode>[$-409]mmm\-yy;@</c:formatCode>
                <c:ptCount val="8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numCache>
            </c:numRef>
          </c:cat>
          <c:val>
            <c:numRef>
              <c:f>'Fig 10 PL Orders by Category'!$C$7:$C$91</c:f>
              <c:numCache>
                <c:formatCode>_(* #,##0.00_);_(* \(#,##0.00\);_(* "-"??_);_(@_)</c:formatCode>
                <c:ptCount val="85"/>
                <c:pt idx="0">
                  <c:v>0</c:v>
                </c:pt>
                <c:pt idx="1">
                  <c:v>0</c:v>
                </c:pt>
                <c:pt idx="2">
                  <c:v>0</c:v>
                </c:pt>
                <c:pt idx="3">
                  <c:v>0</c:v>
                </c:pt>
                <c:pt idx="4">
                  <c:v>0</c:v>
                </c:pt>
                <c:pt idx="5">
                  <c:v>0</c:v>
                </c:pt>
                <c:pt idx="6">
                  <c:v>0</c:v>
                </c:pt>
                <c:pt idx="7">
                  <c:v>0</c:v>
                </c:pt>
                <c:pt idx="8">
                  <c:v>0</c:v>
                </c:pt>
                <c:pt idx="9">
                  <c:v>0</c:v>
                </c:pt>
                <c:pt idx="10">
                  <c:v>0</c:v>
                </c:pt>
                <c:pt idx="11">
                  <c:v>0</c:v>
                </c:pt>
                <c:pt idx="12">
                  <c:v>4.0273157065312555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2.8537511870845207</c:v>
                </c:pt>
                <c:pt idx="45">
                  <c:v>0</c:v>
                </c:pt>
                <c:pt idx="46">
                  <c:v>0</c:v>
                </c:pt>
                <c:pt idx="47">
                  <c:v>0</c:v>
                </c:pt>
                <c:pt idx="48">
                  <c:v>0</c:v>
                </c:pt>
                <c:pt idx="49">
                  <c:v>0</c:v>
                </c:pt>
                <c:pt idx="50">
                  <c:v>0</c:v>
                </c:pt>
                <c:pt idx="51">
                  <c:v>0</c:v>
                </c:pt>
                <c:pt idx="52">
                  <c:v>0</c:v>
                </c:pt>
                <c:pt idx="53">
                  <c:v>0</c:v>
                </c:pt>
                <c:pt idx="54">
                  <c:v>5.3463423656709523E-2</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0.16167775314116775</c:v>
                </c:pt>
                <c:pt idx="71">
                  <c:v>0.1027</c:v>
                </c:pt>
                <c:pt idx="72">
                  <c:v>0</c:v>
                </c:pt>
                <c:pt idx="73">
                  <c:v>0</c:v>
                </c:pt>
                <c:pt idx="74">
                  <c:v>0</c:v>
                </c:pt>
                <c:pt idx="75">
                  <c:v>0</c:v>
                </c:pt>
                <c:pt idx="76">
                  <c:v>0</c:v>
                </c:pt>
                <c:pt idx="77">
                  <c:v>0</c:v>
                </c:pt>
                <c:pt idx="78">
                  <c:v>0</c:v>
                </c:pt>
                <c:pt idx="79">
                  <c:v>3.36283185840708</c:v>
                </c:pt>
                <c:pt idx="80">
                  <c:v>0</c:v>
                </c:pt>
                <c:pt idx="81">
                  <c:v>0</c:v>
                </c:pt>
                <c:pt idx="82">
                  <c:v>0.44247787610619471</c:v>
                </c:pt>
                <c:pt idx="83">
                  <c:v>0</c:v>
                </c:pt>
                <c:pt idx="84">
                  <c:v>0</c:v>
                </c:pt>
              </c:numCache>
            </c:numRef>
          </c:val>
          <c:extLst>
            <c:ext xmlns:c16="http://schemas.microsoft.com/office/drawing/2014/chart" uri="{C3380CC4-5D6E-409C-BE32-E72D297353CC}">
              <c16:uniqueId val="{00000000-B174-4B5C-9126-358458482573}"/>
            </c:ext>
          </c:extLst>
        </c:ser>
        <c:ser>
          <c:idx val="4"/>
          <c:order val="1"/>
          <c:tx>
            <c:strRef>
              <c:f>'Fig 10 PL Orders by Category'!$D$6</c:f>
              <c:strCache>
                <c:ptCount val="1"/>
                <c:pt idx="0">
                  <c:v>Sea</c:v>
                </c:pt>
              </c:strCache>
            </c:strRef>
          </c:tx>
          <c:spPr>
            <a:solidFill>
              <a:srgbClr val="304DC3"/>
            </a:solidFill>
            <a:ln>
              <a:solidFill>
                <a:schemeClr val="tx1"/>
              </a:solidFill>
            </a:ln>
            <a:effectLst/>
          </c:spPr>
          <c:invertIfNegative val="0"/>
          <c:cat>
            <c:numRef>
              <c:f>'Fig 10 PL Orders by Category'!$B$7:$B$91</c:f>
              <c:numCache>
                <c:formatCode>[$-409]mmm\-yy;@</c:formatCode>
                <c:ptCount val="8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numCache>
            </c:numRef>
          </c:cat>
          <c:val>
            <c:numRef>
              <c:f>'Fig 10 PL Orders by Category'!$D$7:$D$91</c:f>
              <c:numCache>
                <c:formatCode>_(* #,##0.00_);_(* \(#,##0.00\);_(* "-"??_);_(@_)</c:formatCode>
                <c:ptCount val="85"/>
                <c:pt idx="0">
                  <c:v>0</c:v>
                </c:pt>
                <c:pt idx="1">
                  <c:v>0</c:v>
                </c:pt>
                <c:pt idx="2">
                  <c:v>0</c:v>
                </c:pt>
                <c:pt idx="3">
                  <c:v>0.4760523899385703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1.7523876281433453</c:v>
                </c:pt>
                <c:pt idx="31">
                  <c:v>0</c:v>
                </c:pt>
                <c:pt idx="32">
                  <c:v>0</c:v>
                </c:pt>
                <c:pt idx="33">
                  <c:v>0</c:v>
                </c:pt>
                <c:pt idx="34">
                  <c:v>0</c:v>
                </c:pt>
                <c:pt idx="35">
                  <c:v>0</c:v>
                </c:pt>
                <c:pt idx="36">
                  <c:v>0</c:v>
                </c:pt>
                <c:pt idx="37">
                  <c:v>0</c:v>
                </c:pt>
                <c:pt idx="38">
                  <c:v>0</c:v>
                </c:pt>
                <c:pt idx="39">
                  <c:v>0</c:v>
                </c:pt>
                <c:pt idx="40">
                  <c:v>0</c:v>
                </c:pt>
                <c:pt idx="41">
                  <c:v>0.53349266981071686</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1.7613386173491854</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2.3586574521782202</c:v>
                </c:pt>
                <c:pt idx="83">
                  <c:v>0</c:v>
                </c:pt>
                <c:pt idx="84">
                  <c:v>0</c:v>
                </c:pt>
              </c:numCache>
            </c:numRef>
          </c:val>
          <c:extLst>
            <c:ext xmlns:c16="http://schemas.microsoft.com/office/drawing/2014/chart" uri="{C3380CC4-5D6E-409C-BE32-E72D297353CC}">
              <c16:uniqueId val="{00000001-B174-4B5C-9126-358458482573}"/>
            </c:ext>
          </c:extLst>
        </c:ser>
        <c:ser>
          <c:idx val="3"/>
          <c:order val="2"/>
          <c:tx>
            <c:strRef>
              <c:f>'Fig 10 PL Orders by Category'!$E$6</c:f>
              <c:strCache>
                <c:ptCount val="1"/>
                <c:pt idx="0">
                  <c:v>Land</c:v>
                </c:pt>
              </c:strCache>
            </c:strRef>
          </c:tx>
          <c:spPr>
            <a:solidFill>
              <a:srgbClr val="FF6A00"/>
            </a:solidFill>
            <a:ln>
              <a:solidFill>
                <a:schemeClr val="tx1"/>
              </a:solidFill>
            </a:ln>
            <a:effectLst/>
          </c:spPr>
          <c:invertIfNegative val="0"/>
          <c:cat>
            <c:numRef>
              <c:f>'Fig 10 PL Orders by Category'!$B$7:$B$91</c:f>
              <c:numCache>
                <c:formatCode>[$-409]mmm\-yy;@</c:formatCode>
                <c:ptCount val="8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numCache>
            </c:numRef>
          </c:cat>
          <c:val>
            <c:numRef>
              <c:f>'Fig 10 PL Orders by Category'!$E$7:$E$91</c:f>
              <c:numCache>
                <c:formatCode>_(* #,##0.00_);_(* \(#,##0.00\);_(* "-"??_);_(@_)</c:formatCode>
                <c:ptCount val="85"/>
                <c:pt idx="0">
                  <c:v>0.15901898734177214</c:v>
                </c:pt>
                <c:pt idx="1">
                  <c:v>0.36980794997766864</c:v>
                </c:pt>
                <c:pt idx="2">
                  <c:v>0.16864389426656737</c:v>
                </c:pt>
                <c:pt idx="3">
                  <c:v>0</c:v>
                </c:pt>
                <c:pt idx="4">
                  <c:v>3.9768344657483246E-2</c:v>
                </c:pt>
                <c:pt idx="5">
                  <c:v>0</c:v>
                </c:pt>
                <c:pt idx="6">
                  <c:v>0.40720402084884583</c:v>
                </c:pt>
                <c:pt idx="7">
                  <c:v>0</c:v>
                </c:pt>
                <c:pt idx="8">
                  <c:v>2.896965748324646E-2</c:v>
                </c:pt>
                <c:pt idx="9">
                  <c:v>6.4105547282204023E-2</c:v>
                </c:pt>
                <c:pt idx="10">
                  <c:v>0.10005584512285927</c:v>
                </c:pt>
                <c:pt idx="11">
                  <c:v>0</c:v>
                </c:pt>
                <c:pt idx="12">
                  <c:v>0</c:v>
                </c:pt>
                <c:pt idx="13">
                  <c:v>0</c:v>
                </c:pt>
                <c:pt idx="14">
                  <c:v>0</c:v>
                </c:pt>
                <c:pt idx="15">
                  <c:v>0</c:v>
                </c:pt>
                <c:pt idx="16">
                  <c:v>0.15824893090254333</c:v>
                </c:pt>
                <c:pt idx="17">
                  <c:v>0</c:v>
                </c:pt>
                <c:pt idx="18">
                  <c:v>3.9837947332883192E-2</c:v>
                </c:pt>
                <c:pt idx="19">
                  <c:v>0</c:v>
                </c:pt>
                <c:pt idx="20">
                  <c:v>0</c:v>
                </c:pt>
                <c:pt idx="21">
                  <c:v>0</c:v>
                </c:pt>
                <c:pt idx="22">
                  <c:v>0</c:v>
                </c:pt>
                <c:pt idx="23">
                  <c:v>0</c:v>
                </c:pt>
                <c:pt idx="24">
                  <c:v>0</c:v>
                </c:pt>
                <c:pt idx="25">
                  <c:v>0</c:v>
                </c:pt>
                <c:pt idx="26">
                  <c:v>0</c:v>
                </c:pt>
                <c:pt idx="27">
                  <c:v>7.7105055638307191E-2</c:v>
                </c:pt>
                <c:pt idx="28">
                  <c:v>0.22660015219413207</c:v>
                </c:pt>
                <c:pt idx="29">
                  <c:v>0</c:v>
                </c:pt>
                <c:pt idx="30">
                  <c:v>4.0162340407542061</c:v>
                </c:pt>
                <c:pt idx="31">
                  <c:v>0</c:v>
                </c:pt>
                <c:pt idx="32">
                  <c:v>0</c:v>
                </c:pt>
                <c:pt idx="33">
                  <c:v>0</c:v>
                </c:pt>
                <c:pt idx="34">
                  <c:v>0</c:v>
                </c:pt>
                <c:pt idx="35">
                  <c:v>3.8114430912117761E-2</c:v>
                </c:pt>
                <c:pt idx="36">
                  <c:v>0</c:v>
                </c:pt>
                <c:pt idx="37">
                  <c:v>0</c:v>
                </c:pt>
                <c:pt idx="38">
                  <c:v>0</c:v>
                </c:pt>
                <c:pt idx="39">
                  <c:v>0</c:v>
                </c:pt>
                <c:pt idx="40">
                  <c:v>0</c:v>
                </c:pt>
                <c:pt idx="41">
                  <c:v>0.74688973773500356</c:v>
                </c:pt>
                <c:pt idx="42">
                  <c:v>4.4025031050489325</c:v>
                </c:pt>
                <c:pt idx="43">
                  <c:v>0</c:v>
                </c:pt>
                <c:pt idx="44">
                  <c:v>0.81090885811228952</c:v>
                </c:pt>
                <c:pt idx="45">
                  <c:v>6.600189933523267</c:v>
                </c:pt>
                <c:pt idx="46">
                  <c:v>0</c:v>
                </c:pt>
                <c:pt idx="47">
                  <c:v>0</c:v>
                </c:pt>
                <c:pt idx="48">
                  <c:v>1.2947378155923426</c:v>
                </c:pt>
                <c:pt idx="49">
                  <c:v>0.46477322765301632</c:v>
                </c:pt>
                <c:pt idx="50">
                  <c:v>0.242184059885513</c:v>
                </c:pt>
                <c:pt idx="51">
                  <c:v>0</c:v>
                </c:pt>
                <c:pt idx="52">
                  <c:v>0</c:v>
                </c:pt>
                <c:pt idx="53">
                  <c:v>0.11228533685601057</c:v>
                </c:pt>
                <c:pt idx="54">
                  <c:v>0</c:v>
                </c:pt>
                <c:pt idx="55">
                  <c:v>0.48436811977102601</c:v>
                </c:pt>
                <c:pt idx="56">
                  <c:v>6.6050198150594458E-2</c:v>
                </c:pt>
                <c:pt idx="57">
                  <c:v>0</c:v>
                </c:pt>
                <c:pt idx="58">
                  <c:v>0</c:v>
                </c:pt>
                <c:pt idx="59">
                  <c:v>2.2016732716864817</c:v>
                </c:pt>
                <c:pt idx="60">
                  <c:v>0</c:v>
                </c:pt>
                <c:pt idx="61">
                  <c:v>2.3373983739837398</c:v>
                </c:pt>
                <c:pt idx="62">
                  <c:v>1.5095917135027175</c:v>
                </c:pt>
                <c:pt idx="63">
                  <c:v>1.4915739051782435</c:v>
                </c:pt>
                <c:pt idx="64">
                  <c:v>1.5659645232815964</c:v>
                </c:pt>
                <c:pt idx="65">
                  <c:v>0</c:v>
                </c:pt>
                <c:pt idx="66">
                  <c:v>0.92897951600167228</c:v>
                </c:pt>
                <c:pt idx="67">
                  <c:v>10.608973537026339</c:v>
                </c:pt>
                <c:pt idx="68">
                  <c:v>1.5490733429327885E-2</c:v>
                </c:pt>
                <c:pt idx="69">
                  <c:v>0</c:v>
                </c:pt>
                <c:pt idx="70">
                  <c:v>0.32514283060058524</c:v>
                </c:pt>
                <c:pt idx="71">
                  <c:v>5.573644851131033</c:v>
                </c:pt>
                <c:pt idx="72">
                  <c:v>0.65929203539823023</c:v>
                </c:pt>
                <c:pt idx="73">
                  <c:v>0.26548672566371684</c:v>
                </c:pt>
                <c:pt idx="74">
                  <c:v>3.3313427377667604</c:v>
                </c:pt>
                <c:pt idx="75">
                  <c:v>0</c:v>
                </c:pt>
                <c:pt idx="76">
                  <c:v>0</c:v>
                </c:pt>
                <c:pt idx="77">
                  <c:v>5.8966436304455506E-2</c:v>
                </c:pt>
                <c:pt idx="78">
                  <c:v>0.1017699115044248</c:v>
                </c:pt>
                <c:pt idx="79">
                  <c:v>5.7522123893805315</c:v>
                </c:pt>
                <c:pt idx="80">
                  <c:v>0</c:v>
                </c:pt>
                <c:pt idx="81">
                  <c:v>0</c:v>
                </c:pt>
                <c:pt idx="82">
                  <c:v>0</c:v>
                </c:pt>
                <c:pt idx="83">
                  <c:v>3.3021204330495082</c:v>
                </c:pt>
                <c:pt idx="84">
                  <c:v>3.5606618083414441</c:v>
                </c:pt>
              </c:numCache>
            </c:numRef>
          </c:val>
          <c:extLst>
            <c:ext xmlns:c16="http://schemas.microsoft.com/office/drawing/2014/chart" uri="{C3380CC4-5D6E-409C-BE32-E72D297353CC}">
              <c16:uniqueId val="{00000002-B174-4B5C-9126-358458482573}"/>
            </c:ext>
          </c:extLst>
        </c:ser>
        <c:ser>
          <c:idx val="0"/>
          <c:order val="3"/>
          <c:tx>
            <c:strRef>
              <c:f>'Fig 10 PL Orders by Category'!$F$6</c:f>
              <c:strCache>
                <c:ptCount val="1"/>
                <c:pt idx="0">
                  <c:v>Other</c:v>
                </c:pt>
              </c:strCache>
            </c:strRef>
          </c:tx>
          <c:spPr>
            <a:solidFill>
              <a:srgbClr val="FEF1E7">
                <a:alpha val="93000"/>
              </a:srgbClr>
            </a:solidFill>
            <a:ln>
              <a:solidFill>
                <a:schemeClr val="tx1"/>
              </a:solidFill>
            </a:ln>
            <a:effectLst/>
          </c:spPr>
          <c:invertIfNegative val="0"/>
          <c:cat>
            <c:numRef>
              <c:f>'Fig 10 PL Orders by Category'!$B$7:$B$91</c:f>
              <c:numCache>
                <c:formatCode>[$-409]mmm\-yy;@</c:formatCode>
                <c:ptCount val="8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numCache>
            </c:numRef>
          </c:cat>
          <c:val>
            <c:numRef>
              <c:f>'Fig 10 PL Orders by Category'!$F$7:$F$91</c:f>
              <c:numCache>
                <c:formatCode>_(* #,##0.00_);_(* \(#,##0.00\);_(* "-"??_);_(@_)</c:formatCode>
                <c:ptCount val="85"/>
                <c:pt idx="0">
                  <c:v>0</c:v>
                </c:pt>
                <c:pt idx="1">
                  <c:v>0.69806403574087861</c:v>
                </c:pt>
                <c:pt idx="2">
                  <c:v>0</c:v>
                </c:pt>
                <c:pt idx="3">
                  <c:v>0</c:v>
                </c:pt>
                <c:pt idx="4">
                  <c:v>0</c:v>
                </c:pt>
                <c:pt idx="5">
                  <c:v>0</c:v>
                </c:pt>
                <c:pt idx="6">
                  <c:v>1.3223659717051377E-2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3.7362142696376326E-2</c:v>
                </c:pt>
                <c:pt idx="22">
                  <c:v>0</c:v>
                </c:pt>
                <c:pt idx="23">
                  <c:v>0</c:v>
                </c:pt>
                <c:pt idx="24">
                  <c:v>0</c:v>
                </c:pt>
                <c:pt idx="25">
                  <c:v>0</c:v>
                </c:pt>
                <c:pt idx="26">
                  <c:v>0</c:v>
                </c:pt>
                <c:pt idx="27">
                  <c:v>0</c:v>
                </c:pt>
                <c:pt idx="28">
                  <c:v>4.074301235433278E-2</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0.64019120377286021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6.9673463700125407E-2</c:v>
                </c:pt>
                <c:pt idx="62">
                  <c:v>0</c:v>
                </c:pt>
                <c:pt idx="63">
                  <c:v>0</c:v>
                </c:pt>
                <c:pt idx="64">
                  <c:v>0</c:v>
                </c:pt>
                <c:pt idx="65">
                  <c:v>0</c:v>
                </c:pt>
                <c:pt idx="66">
                  <c:v>0</c:v>
                </c:pt>
                <c:pt idx="67">
                  <c:v>0.12308978587022157</c:v>
                </c:pt>
                <c:pt idx="68">
                  <c:v>0</c:v>
                </c:pt>
                <c:pt idx="69">
                  <c:v>0</c:v>
                </c:pt>
                <c:pt idx="70">
                  <c:v>0</c:v>
                </c:pt>
                <c:pt idx="71">
                  <c:v>0.2903060987505226</c:v>
                </c:pt>
                <c:pt idx="72">
                  <c:v>0</c:v>
                </c:pt>
                <c:pt idx="73">
                  <c:v>0</c:v>
                </c:pt>
                <c:pt idx="74">
                  <c:v>0</c:v>
                </c:pt>
                <c:pt idx="75">
                  <c:v>0</c:v>
                </c:pt>
                <c:pt idx="76">
                  <c:v>0.20284454088732692</c:v>
                </c:pt>
                <c:pt idx="77">
                  <c:v>0</c:v>
                </c:pt>
                <c:pt idx="78">
                  <c:v>4.7173149043564407E-3</c:v>
                </c:pt>
                <c:pt idx="79">
                  <c:v>0</c:v>
                </c:pt>
                <c:pt idx="80">
                  <c:v>1.4128358138547539</c:v>
                </c:pt>
                <c:pt idx="81">
                  <c:v>4.7173149043564404</c:v>
                </c:pt>
                <c:pt idx="82">
                  <c:v>0</c:v>
                </c:pt>
                <c:pt idx="83">
                  <c:v>2.35865745217822E-2</c:v>
                </c:pt>
                <c:pt idx="84">
                  <c:v>0</c:v>
                </c:pt>
              </c:numCache>
            </c:numRef>
          </c:val>
          <c:extLst>
            <c:ext xmlns:c16="http://schemas.microsoft.com/office/drawing/2014/chart" uri="{C3380CC4-5D6E-409C-BE32-E72D297353CC}">
              <c16:uniqueId val="{00000003-B174-4B5C-9126-358458482573}"/>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409]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112003664"/>
        <c:crosses val="autoZero"/>
        <c:crossBetween val="between"/>
      </c:valAx>
      <c:spPr>
        <a:noFill/>
        <a:ln>
          <a:noFill/>
        </a:ln>
        <a:effectLst/>
      </c:spPr>
    </c:plotArea>
    <c:legend>
      <c:legendPos val="r"/>
      <c:layout>
        <c:manualLayout>
          <c:xMode val="edge"/>
          <c:yMode val="edge"/>
          <c:x val="4.7196457845033672E-2"/>
          <c:y val="0.23746314220818113"/>
          <c:w val="8.5798948110437451E-2"/>
          <c:h val="0.21177745492550526"/>
        </c:manualLayout>
      </c:layout>
      <c:overlay val="0"/>
      <c:spPr>
        <a:solidFill>
          <a:srgbClr val="F5F1E7"/>
        </a:solid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400">
          <a:solidFill>
            <a:sysClr val="windowText" lastClr="000000"/>
          </a:solidFill>
          <a:latin typeface="Courier New" panose="02070309020205020404" pitchFamily="49" charset="0"/>
          <a:cs typeface="Courier New" panose="02070309020205020404" pitchFamily="49"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2687907312011E-2"/>
          <c:y val="3.7800677056937237E-2"/>
          <c:w val="0.59387577652511925"/>
          <c:h val="0.87287499719268402"/>
        </c:manualLayout>
      </c:layout>
      <c:areaChart>
        <c:grouping val="percentStacked"/>
        <c:varyColors val="0"/>
        <c:ser>
          <c:idx val="1"/>
          <c:order val="1"/>
          <c:tx>
            <c:strRef>
              <c:f>'Fig 11 PL Origin (%)'!$C$6</c:f>
              <c:strCache>
                <c:ptCount val="1"/>
                <c:pt idx="0">
                  <c:v>Poland only</c:v>
                </c:pt>
              </c:strCache>
            </c:strRef>
          </c:tx>
          <c:spPr>
            <a:solidFill>
              <a:srgbClr val="304DC3"/>
            </a:solidFill>
            <a:ln>
              <a:noFill/>
            </a:ln>
            <a:effectLst/>
          </c:spPr>
          <c:cat>
            <c:numRef>
              <c:f>'Fig 11 PL Origin (%)'!$B$7:$B$12</c:f>
              <c:numCache>
                <c:formatCode>General</c:formatCode>
                <c:ptCount val="6"/>
                <c:pt idx="0">
                  <c:v>2020</c:v>
                </c:pt>
                <c:pt idx="1">
                  <c:v>2021</c:v>
                </c:pt>
                <c:pt idx="2">
                  <c:v>2022</c:v>
                </c:pt>
                <c:pt idx="3">
                  <c:v>2023</c:v>
                </c:pt>
                <c:pt idx="4">
                  <c:v>2024</c:v>
                </c:pt>
                <c:pt idx="5">
                  <c:v>2025</c:v>
                </c:pt>
              </c:numCache>
            </c:numRef>
          </c:cat>
          <c:val>
            <c:numRef>
              <c:f>'Fig 11 PL Origin (%)'!$C$7:$C$12</c:f>
              <c:numCache>
                <c:formatCode>_(* #,##0.00_);_(* \(#,##0.00\);_(* "-"??_);_(@_)</c:formatCode>
                <c:ptCount val="6"/>
                <c:pt idx="0">
                  <c:v>0.23544902093180287</c:v>
                </c:pt>
                <c:pt idx="1">
                  <c:v>1.9083501270481031</c:v>
                </c:pt>
                <c:pt idx="2">
                  <c:v>2.4540662811292973</c:v>
                </c:pt>
                <c:pt idx="3">
                  <c:v>1.0834434169969178</c:v>
                </c:pt>
                <c:pt idx="4">
                  <c:v>7.054043383343398</c:v>
                </c:pt>
                <c:pt idx="5">
                  <c:v>7.7741349623794136</c:v>
                </c:pt>
              </c:numCache>
            </c:numRef>
          </c:val>
          <c:extLst>
            <c:ext xmlns:c16="http://schemas.microsoft.com/office/drawing/2014/chart" uri="{C3380CC4-5D6E-409C-BE32-E72D297353CC}">
              <c16:uniqueId val="{00000000-B1AD-4E9D-844C-B0DC2523CE09}"/>
            </c:ext>
          </c:extLst>
        </c:ser>
        <c:ser>
          <c:idx val="2"/>
          <c:order val="2"/>
          <c:tx>
            <c:strRef>
              <c:f>'Fig 11 PL Origin (%)'!$D$6</c:f>
              <c:strCache>
                <c:ptCount val="1"/>
                <c:pt idx="0">
                  <c:v>Poland and foreign partnership</c:v>
                </c:pt>
              </c:strCache>
            </c:strRef>
          </c:tx>
          <c:spPr>
            <a:solidFill>
              <a:srgbClr val="4372FF"/>
            </a:solidFill>
            <a:ln>
              <a:noFill/>
            </a:ln>
            <a:effectLst/>
          </c:spPr>
          <c:cat>
            <c:numRef>
              <c:f>'Fig 11 PL Origin (%)'!$B$7:$B$12</c:f>
              <c:numCache>
                <c:formatCode>General</c:formatCode>
                <c:ptCount val="6"/>
                <c:pt idx="0">
                  <c:v>2020</c:v>
                </c:pt>
                <c:pt idx="1">
                  <c:v>2021</c:v>
                </c:pt>
                <c:pt idx="2">
                  <c:v>2022</c:v>
                </c:pt>
                <c:pt idx="3">
                  <c:v>2023</c:v>
                </c:pt>
                <c:pt idx="4">
                  <c:v>2024</c:v>
                </c:pt>
                <c:pt idx="5">
                  <c:v>2025</c:v>
                </c:pt>
              </c:numCache>
            </c:numRef>
          </c:cat>
          <c:val>
            <c:numRef>
              <c:f>'Fig 11 PL Origin (%)'!$D$7:$D$12</c:f>
              <c:numCache>
                <c:formatCode>_(* #,##0.00_);_(* \(#,##0.00\);_(* "-"??_);_(@_)</c:formatCode>
                <c:ptCount val="6"/>
                <c:pt idx="0">
                  <c:v>0</c:v>
                </c:pt>
                <c:pt idx="1">
                  <c:v>0</c:v>
                </c:pt>
                <c:pt idx="2">
                  <c:v>1.7605258103753656</c:v>
                </c:pt>
                <c:pt idx="3">
                  <c:v>2.2677234698370761</c:v>
                </c:pt>
                <c:pt idx="4">
                  <c:v>15.712765328270153</c:v>
                </c:pt>
                <c:pt idx="5">
                  <c:v>14.859490183497288</c:v>
                </c:pt>
              </c:numCache>
            </c:numRef>
          </c:val>
          <c:extLst>
            <c:ext xmlns:c16="http://schemas.microsoft.com/office/drawing/2014/chart" uri="{C3380CC4-5D6E-409C-BE32-E72D297353CC}">
              <c16:uniqueId val="{00000001-B1AD-4E9D-844C-B0DC2523CE09}"/>
            </c:ext>
          </c:extLst>
        </c:ser>
        <c:ser>
          <c:idx val="3"/>
          <c:order val="3"/>
          <c:tx>
            <c:strRef>
              <c:f>'Fig 11 PL Origin (%)'!$E$6</c:f>
              <c:strCache>
                <c:ptCount val="1"/>
                <c:pt idx="0">
                  <c:v>European, non-Poland</c:v>
                </c:pt>
              </c:strCache>
            </c:strRef>
          </c:tx>
          <c:spPr>
            <a:solidFill>
              <a:srgbClr val="32C2FF"/>
            </a:solidFill>
            <a:ln>
              <a:noFill/>
            </a:ln>
            <a:effectLst/>
          </c:spPr>
          <c:cat>
            <c:numRef>
              <c:f>'Fig 11 PL Origin (%)'!$B$7:$B$12</c:f>
              <c:numCache>
                <c:formatCode>General</c:formatCode>
                <c:ptCount val="6"/>
                <c:pt idx="0">
                  <c:v>2020</c:v>
                </c:pt>
                <c:pt idx="1">
                  <c:v>2021</c:v>
                </c:pt>
                <c:pt idx="2">
                  <c:v>2022</c:v>
                </c:pt>
                <c:pt idx="3">
                  <c:v>2023</c:v>
                </c:pt>
                <c:pt idx="4">
                  <c:v>2024</c:v>
                </c:pt>
                <c:pt idx="5">
                  <c:v>2025</c:v>
                </c:pt>
              </c:numCache>
            </c:numRef>
          </c:cat>
          <c:val>
            <c:numRef>
              <c:f>'Fig 11 PL Origin (%)'!$E$7:$E$12</c:f>
              <c:numCache>
                <c:formatCode>_(* #,##0.00_);_(* \(#,##0.00\);_(* "-"??_);_(@_)</c:formatCode>
                <c:ptCount val="6"/>
                <c:pt idx="0">
                  <c:v>0</c:v>
                </c:pt>
                <c:pt idx="1">
                  <c:v>0</c:v>
                </c:pt>
                <c:pt idx="2">
                  <c:v>0.64019120377286021</c:v>
                </c:pt>
                <c:pt idx="3">
                  <c:v>1.8148020410058949</c:v>
                </c:pt>
                <c:pt idx="4">
                  <c:v>0</c:v>
                </c:pt>
                <c:pt idx="5">
                  <c:v>0</c:v>
                </c:pt>
              </c:numCache>
            </c:numRef>
          </c:val>
          <c:extLst>
            <c:ext xmlns:c16="http://schemas.microsoft.com/office/drawing/2014/chart" uri="{C3380CC4-5D6E-409C-BE32-E72D297353CC}">
              <c16:uniqueId val="{00000002-B1AD-4E9D-844C-B0DC2523CE09}"/>
            </c:ext>
          </c:extLst>
        </c:ser>
        <c:ser>
          <c:idx val="4"/>
          <c:order val="4"/>
          <c:tx>
            <c:strRef>
              <c:f>'Fig 11 PL Origin (%)'!$F$6</c:f>
              <c:strCache>
                <c:ptCount val="1"/>
                <c:pt idx="0">
                  <c:v>Non-European only</c:v>
                </c:pt>
              </c:strCache>
            </c:strRef>
          </c:tx>
          <c:spPr>
            <a:solidFill>
              <a:schemeClr val="tx2">
                <a:lumMod val="10000"/>
                <a:lumOff val="90000"/>
              </a:schemeClr>
            </a:solidFill>
            <a:ln>
              <a:noFill/>
            </a:ln>
            <a:effectLst/>
          </c:spPr>
          <c:cat>
            <c:numRef>
              <c:f>'Fig 11 PL Origin (%)'!$B$7:$B$12</c:f>
              <c:numCache>
                <c:formatCode>General</c:formatCode>
                <c:ptCount val="6"/>
                <c:pt idx="0">
                  <c:v>2020</c:v>
                </c:pt>
                <c:pt idx="1">
                  <c:v>2021</c:v>
                </c:pt>
                <c:pt idx="2">
                  <c:v>2022</c:v>
                </c:pt>
                <c:pt idx="3">
                  <c:v>2023</c:v>
                </c:pt>
                <c:pt idx="4">
                  <c:v>2024</c:v>
                </c:pt>
                <c:pt idx="5">
                  <c:v>2025</c:v>
                </c:pt>
              </c:numCache>
            </c:numRef>
          </c:cat>
          <c:val>
            <c:numRef>
              <c:f>'Fig 11 PL Origin (%)'!$F$7:$F$12</c:f>
              <c:numCache>
                <c:formatCode>_(* #,##0.00_);_(* \(#,##0.00\);_(* "-"??_);_(@_)</c:formatCode>
                <c:ptCount val="6"/>
                <c:pt idx="0">
                  <c:v>4.0273157065312555</c:v>
                </c:pt>
                <c:pt idx="1">
                  <c:v>4.2428341929483384</c:v>
                </c:pt>
                <c:pt idx="2">
                  <c:v>11.733143399810066</c:v>
                </c:pt>
                <c:pt idx="3">
                  <c:v>1.5149051427609908</c:v>
                </c:pt>
                <c:pt idx="4">
                  <c:v>2.3373983739837398</c:v>
                </c:pt>
                <c:pt idx="5">
                  <c:v>4.7173149043564404</c:v>
                </c:pt>
              </c:numCache>
            </c:numRef>
          </c:val>
          <c:extLst>
            <c:ext xmlns:c16="http://schemas.microsoft.com/office/drawing/2014/chart" uri="{C3380CC4-5D6E-409C-BE32-E72D297353CC}">
              <c16:uniqueId val="{00000003-B1AD-4E9D-844C-B0DC2523CE09}"/>
            </c:ext>
          </c:extLst>
        </c:ser>
        <c:ser>
          <c:idx val="8"/>
          <c:order val="5"/>
          <c:tx>
            <c:strRef>
              <c:f>'Fig 11 PL Origin (%)'!$F$6</c:f>
              <c:strCache>
                <c:ptCount val="1"/>
                <c:pt idx="0">
                  <c:v>Non-European only</c:v>
                </c:pt>
              </c:strCache>
            </c:strRef>
          </c:tx>
          <c:spPr>
            <a:solidFill>
              <a:srgbClr val="304DC3"/>
            </a:solidFill>
            <a:ln w="25400">
              <a:noFill/>
            </a:ln>
            <a:effectLst/>
          </c:spPr>
          <c:val>
            <c:numLit>
              <c:formatCode>General</c:formatCode>
              <c:ptCount val="1"/>
              <c:pt idx="0">
                <c:v>0</c:v>
              </c:pt>
            </c:numLit>
          </c:val>
          <c:extLst>
            <c:ext xmlns:c16="http://schemas.microsoft.com/office/drawing/2014/chart" uri="{C3380CC4-5D6E-409C-BE32-E72D297353CC}">
              <c16:uniqueId val="{00000004-B1AD-4E9D-844C-B0DC2523CE09}"/>
            </c:ext>
          </c:extLst>
        </c:ser>
        <c:ser>
          <c:idx val="7"/>
          <c:order val="6"/>
          <c:tx>
            <c:strRef>
              <c:f>'Fig 11 PL Origin (%)'!$E$6</c:f>
              <c:strCache>
                <c:ptCount val="1"/>
                <c:pt idx="0">
                  <c:v>European, non-Poland</c:v>
                </c:pt>
              </c:strCache>
            </c:strRef>
          </c:tx>
          <c:spPr>
            <a:solidFill>
              <a:srgbClr val="2E89FF"/>
            </a:solidFill>
            <a:ln w="25400">
              <a:noFill/>
            </a:ln>
            <a:effectLst/>
          </c:spPr>
          <c:val>
            <c:numLit>
              <c:formatCode>General</c:formatCode>
              <c:ptCount val="1"/>
              <c:pt idx="0">
                <c:v>0</c:v>
              </c:pt>
            </c:numLit>
          </c:val>
          <c:extLst>
            <c:ext xmlns:c16="http://schemas.microsoft.com/office/drawing/2014/chart" uri="{C3380CC4-5D6E-409C-BE32-E72D297353CC}">
              <c16:uniqueId val="{00000005-B1AD-4E9D-844C-B0DC2523CE09}"/>
            </c:ext>
          </c:extLst>
        </c:ser>
        <c:ser>
          <c:idx val="6"/>
          <c:order val="7"/>
          <c:tx>
            <c:strRef>
              <c:f>'Fig 11 PL Origin (%)'!$D$6</c:f>
              <c:strCache>
                <c:ptCount val="1"/>
                <c:pt idx="0">
                  <c:v>Poland and foreign partnership</c:v>
                </c:pt>
              </c:strCache>
            </c:strRef>
          </c:tx>
          <c:spPr>
            <a:solidFill>
              <a:srgbClr val="43CCFF"/>
            </a:solidFill>
            <a:ln w="25400">
              <a:noFill/>
            </a:ln>
            <a:effectLst/>
          </c:spPr>
          <c:val>
            <c:numLit>
              <c:formatCode>General</c:formatCode>
              <c:ptCount val="1"/>
              <c:pt idx="0">
                <c:v>0</c:v>
              </c:pt>
            </c:numLit>
          </c:val>
          <c:extLst>
            <c:ext xmlns:c16="http://schemas.microsoft.com/office/drawing/2014/chart" uri="{C3380CC4-5D6E-409C-BE32-E72D297353CC}">
              <c16:uniqueId val="{00000006-B1AD-4E9D-844C-B0DC2523CE09}"/>
            </c:ext>
          </c:extLst>
        </c:ser>
        <c:ser>
          <c:idx val="5"/>
          <c:order val="8"/>
          <c:tx>
            <c:strRef>
              <c:f>'Fig 11 PL Origin (%)'!$C$6</c:f>
              <c:strCache>
                <c:ptCount val="1"/>
                <c:pt idx="0">
                  <c:v>Poland only</c:v>
                </c:pt>
              </c:strCache>
            </c:strRef>
          </c:tx>
          <c:spPr>
            <a:solidFill>
              <a:srgbClr val="304DC3"/>
            </a:solidFill>
            <a:ln w="25400">
              <a:noFill/>
            </a:ln>
            <a:effectLst/>
          </c:spPr>
          <c:val>
            <c:numLit>
              <c:formatCode>General</c:formatCode>
              <c:ptCount val="1"/>
              <c:pt idx="0">
                <c:v>0</c:v>
              </c:pt>
            </c:numLit>
          </c:val>
          <c:extLst>
            <c:ext xmlns:c16="http://schemas.microsoft.com/office/drawing/2014/chart" uri="{C3380CC4-5D6E-409C-BE32-E72D297353CC}">
              <c16:uniqueId val="{00000007-B1AD-4E9D-844C-B0DC2523CE09}"/>
            </c:ext>
          </c:extLst>
        </c:ser>
        <c:dLbls>
          <c:showLegendKey val="0"/>
          <c:showVal val="0"/>
          <c:showCatName val="0"/>
          <c:showSerName val="0"/>
          <c:showPercent val="0"/>
          <c:showBubbleSize val="0"/>
        </c:dLbls>
        <c:axId val="447906064"/>
        <c:axId val="447907504"/>
        <c:extLst>
          <c:ext xmlns:c15="http://schemas.microsoft.com/office/drawing/2012/chart" uri="{02D57815-91ED-43cb-92C2-25804820EDAC}">
            <c15:filteredAreaSeries>
              <c15:ser>
                <c:idx val="0"/>
                <c:order val="0"/>
                <c:tx>
                  <c:strRef>
                    <c:extLst>
                      <c:ext uri="{02D57815-91ED-43cb-92C2-25804820EDAC}">
                        <c15:formulaRef>
                          <c15:sqref>'Fig 11 PL Origin (%)'!$B$6</c15:sqref>
                        </c15:formulaRef>
                      </c:ext>
                    </c:extLst>
                    <c:strCache>
                      <c:ptCount val="1"/>
                      <c:pt idx="0">
                        <c:v>Year</c:v>
                      </c:pt>
                    </c:strCache>
                  </c:strRef>
                </c:tx>
                <c:spPr>
                  <a:solidFill>
                    <a:schemeClr val="accent1"/>
                  </a:solidFill>
                  <a:ln w="25400">
                    <a:noFill/>
                  </a:ln>
                  <a:effectLst/>
                </c:spPr>
                <c:cat>
                  <c:numRef>
                    <c:extLst>
                      <c:ext uri="{02D57815-91ED-43cb-92C2-25804820EDAC}">
                        <c15:formulaRef>
                          <c15:sqref>'Fig 11 PL Origin (%)'!$B$7:$B$12</c15:sqref>
                        </c15:formulaRef>
                      </c:ext>
                    </c:extLst>
                    <c:numCache>
                      <c:formatCode>General</c:formatCode>
                      <c:ptCount val="6"/>
                      <c:pt idx="0">
                        <c:v>2020</c:v>
                      </c:pt>
                      <c:pt idx="1">
                        <c:v>2021</c:v>
                      </c:pt>
                      <c:pt idx="2">
                        <c:v>2022</c:v>
                      </c:pt>
                      <c:pt idx="3">
                        <c:v>2023</c:v>
                      </c:pt>
                      <c:pt idx="4">
                        <c:v>2024</c:v>
                      </c:pt>
                      <c:pt idx="5">
                        <c:v>2025</c:v>
                      </c:pt>
                    </c:numCache>
                  </c:numRef>
                </c:cat>
                <c:val>
                  <c:numRef>
                    <c:extLst>
                      <c:ext uri="{02D57815-91ED-43cb-92C2-25804820EDAC}">
                        <c15:formulaRef>
                          <c15:sqref>'Fig 11 PL Origin (%)'!$B$7:$B$12</c15:sqref>
                        </c15:formulaRef>
                      </c:ext>
                    </c:extLst>
                    <c:numCache>
                      <c:formatCode>General</c:formatCode>
                      <c:ptCount val="6"/>
                      <c:pt idx="0">
                        <c:v>2020</c:v>
                      </c:pt>
                      <c:pt idx="1">
                        <c:v>2021</c:v>
                      </c:pt>
                      <c:pt idx="2">
                        <c:v>2022</c:v>
                      </c:pt>
                      <c:pt idx="3">
                        <c:v>2023</c:v>
                      </c:pt>
                      <c:pt idx="4">
                        <c:v>2024</c:v>
                      </c:pt>
                      <c:pt idx="5">
                        <c:v>2025</c:v>
                      </c:pt>
                    </c:numCache>
                  </c:numRef>
                </c:val>
                <c:extLst>
                  <c:ext xmlns:c16="http://schemas.microsoft.com/office/drawing/2014/chart" uri="{C3380CC4-5D6E-409C-BE32-E72D297353CC}">
                    <c16:uniqueId val="{00000008-B1AD-4E9D-844C-B0DC2523CE09}"/>
                  </c:ext>
                </c:extLst>
              </c15:ser>
            </c15:filteredAreaSeries>
          </c:ext>
        </c:extLst>
      </c:areaChart>
      <c:catAx>
        <c:axId val="4479060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447907504"/>
        <c:crosses val="autoZero"/>
        <c:auto val="1"/>
        <c:lblAlgn val="ctr"/>
        <c:lblOffset val="100"/>
        <c:noMultiLvlLbl val="0"/>
      </c:catAx>
      <c:valAx>
        <c:axId val="447907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447906064"/>
        <c:crosses val="autoZero"/>
        <c:crossBetween val="midCat"/>
      </c:valAx>
      <c:spPr>
        <a:noFill/>
        <a:ln>
          <a:noFill/>
        </a:ln>
        <a:effectLst/>
      </c:spPr>
    </c:plotArea>
    <c:legend>
      <c:legendPos val="r"/>
      <c:legendEntry>
        <c:idx val="0"/>
        <c:delete val="1"/>
      </c:legendEntry>
      <c:legendEntry>
        <c:idx val="1"/>
        <c:delete val="1"/>
      </c:legendEntry>
      <c:legendEntry>
        <c:idx val="2"/>
        <c:delete val="1"/>
      </c:legendEntry>
      <c:legendEntry>
        <c:idx val="3"/>
        <c:delete val="1"/>
      </c:legendEntry>
      <c:layout>
        <c:manualLayout>
          <c:xMode val="edge"/>
          <c:yMode val="edge"/>
          <c:x val="0.67081244661902706"/>
          <c:y val="0.4149878155177536"/>
          <c:w val="0.32505745551499771"/>
          <c:h val="0.4121361588343485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legend>
    <c:plotVisOnly val="1"/>
    <c:dispBlanksAs val="zero"/>
    <c:showDLblsOverMax val="0"/>
  </c:chart>
  <c:spPr>
    <a:noFill/>
    <a:ln w="9525" cap="flat" cmpd="sng" algn="ctr">
      <a:noFill/>
      <a:round/>
    </a:ln>
    <a:effectLst/>
  </c:spPr>
  <c:txPr>
    <a:bodyPr/>
    <a:lstStyle/>
    <a:p>
      <a:pPr>
        <a:defRPr sz="1200">
          <a:solidFill>
            <a:sysClr val="windowText" lastClr="000000"/>
          </a:solidFill>
          <a:latin typeface="Courier New" panose="02070309020205020404" pitchFamily="49" charset="0"/>
          <a:cs typeface="Courier New" panose="02070309020205020404" pitchFamily="49" charset="0"/>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'Fig 12 PL Years to Delivery'!$M$6</c:f>
              <c:strCache>
                <c:ptCount val="1"/>
                <c:pt idx="0">
                  <c:v>Average Years (earliest)</c:v>
                </c:pt>
              </c:strCache>
            </c:strRef>
          </c:tx>
          <c:spPr>
            <a:ln w="28575" cap="rnd">
              <a:solidFill>
                <a:schemeClr val="accent1">
                  <a:lumMod val="60000"/>
                  <a:lumOff val="40000"/>
                </a:schemeClr>
              </a:solidFill>
              <a:prstDash val="lgDash"/>
              <a:round/>
            </a:ln>
            <a:effectLst/>
          </c:spPr>
          <c:marker>
            <c:symbol val="none"/>
          </c:marker>
          <c:cat>
            <c:numRef>
              <c:f>'Fig 12 PL Years to Delivery'!$L$7:$L$28</c:f>
              <c:numCache>
                <c:formatCode>[$-409]mmm\-yy;@</c:formatCode>
                <c:ptCount val="22"/>
                <c:pt idx="0">
                  <c:v>43891</c:v>
                </c:pt>
                <c:pt idx="1">
                  <c:v>43983</c:v>
                </c:pt>
                <c:pt idx="2">
                  <c:v>44075</c:v>
                </c:pt>
                <c:pt idx="3">
                  <c:v>44348</c:v>
                </c:pt>
                <c:pt idx="4">
                  <c:v>44440</c:v>
                </c:pt>
                <c:pt idx="5">
                  <c:v>44531</c:v>
                </c:pt>
                <c:pt idx="6">
                  <c:v>44713</c:v>
                </c:pt>
                <c:pt idx="7">
                  <c:v>44805</c:v>
                </c:pt>
                <c:pt idx="8">
                  <c:v>44896</c:v>
                </c:pt>
                <c:pt idx="9">
                  <c:v>44986</c:v>
                </c:pt>
                <c:pt idx="10">
                  <c:v>45078</c:v>
                </c:pt>
                <c:pt idx="11">
                  <c:v>45170</c:v>
                </c:pt>
                <c:pt idx="12">
                  <c:v>45261</c:v>
                </c:pt>
                <c:pt idx="13">
                  <c:v>45352</c:v>
                </c:pt>
                <c:pt idx="14">
                  <c:v>45444</c:v>
                </c:pt>
                <c:pt idx="15">
                  <c:v>45536</c:v>
                </c:pt>
                <c:pt idx="16">
                  <c:v>45627</c:v>
                </c:pt>
                <c:pt idx="17">
                  <c:v>45717</c:v>
                </c:pt>
                <c:pt idx="18">
                  <c:v>45809</c:v>
                </c:pt>
                <c:pt idx="19">
                  <c:v>45901</c:v>
                </c:pt>
                <c:pt idx="20">
                  <c:v>45992</c:v>
                </c:pt>
                <c:pt idx="21">
                  <c:v>45717</c:v>
                </c:pt>
              </c:numCache>
            </c:numRef>
          </c:cat>
          <c:val>
            <c:numRef>
              <c:f>'Fig 12 PL Years to Delivery'!$M$7:$M$28</c:f>
              <c:numCache>
                <c:formatCode>0</c:formatCode>
                <c:ptCount val="22"/>
                <c:pt idx="0">
                  <c:v>4</c:v>
                </c:pt>
                <c:pt idx="1">
                  <c:v>2</c:v>
                </c:pt>
                <c:pt idx="2">
                  <c:v>0</c:v>
                </c:pt>
                <c:pt idx="3">
                  <c:v>1</c:v>
                </c:pt>
                <c:pt idx="4">
                  <c:v>3</c:v>
                </c:pt>
                <c:pt idx="5">
                  <c:v>3</c:v>
                </c:pt>
                <c:pt idx="6">
                  <c:v>4</c:v>
                </c:pt>
                <c:pt idx="7">
                  <c:v>1</c:v>
                </c:pt>
                <c:pt idx="8">
                  <c:v>0</c:v>
                </c:pt>
                <c:pt idx="9">
                  <c:v>0.5</c:v>
                </c:pt>
                <c:pt idx="10">
                  <c:v>3</c:v>
                </c:pt>
                <c:pt idx="11">
                  <c:v>1</c:v>
                </c:pt>
                <c:pt idx="12">
                  <c:v>2</c:v>
                </c:pt>
                <c:pt idx="13">
                  <c:v>0</c:v>
                </c:pt>
                <c:pt idx="14">
                  <c:v>1</c:v>
                </c:pt>
                <c:pt idx="15">
                  <c:v>1</c:v>
                </c:pt>
                <c:pt idx="16">
                  <c:v>2.2000000000000002</c:v>
                </c:pt>
                <c:pt idx="17">
                  <c:v>1.6666666666666667</c:v>
                </c:pt>
                <c:pt idx="18">
                  <c:v>0</c:v>
                </c:pt>
                <c:pt idx="19">
                  <c:v>3</c:v>
                </c:pt>
                <c:pt idx="20">
                  <c:v>5</c:v>
                </c:pt>
                <c:pt idx="21">
                  <c:v>1.6666666666666667</c:v>
                </c:pt>
              </c:numCache>
            </c:numRef>
          </c:val>
          <c:smooth val="0"/>
          <c:extLst>
            <c:ext xmlns:c16="http://schemas.microsoft.com/office/drawing/2014/chart" uri="{C3380CC4-5D6E-409C-BE32-E72D297353CC}">
              <c16:uniqueId val="{00000000-21E1-4F84-B706-248804B0625B}"/>
            </c:ext>
          </c:extLst>
        </c:ser>
        <c:ser>
          <c:idx val="1"/>
          <c:order val="1"/>
          <c:tx>
            <c:strRef>
              <c:f>'Fig 12 PL Years to Delivery'!$N$6</c:f>
              <c:strCache>
                <c:ptCount val="1"/>
                <c:pt idx="0">
                  <c:v>Average Years (latest)</c:v>
                </c:pt>
              </c:strCache>
            </c:strRef>
          </c:tx>
          <c:spPr>
            <a:ln w="28575" cap="rnd">
              <a:solidFill>
                <a:schemeClr val="accent1"/>
              </a:solidFill>
              <a:round/>
            </a:ln>
            <a:effectLst/>
          </c:spPr>
          <c:marker>
            <c:symbol val="none"/>
          </c:marker>
          <c:cat>
            <c:numRef>
              <c:f>'Fig 12 PL Years to Delivery'!$L$7:$L$28</c:f>
              <c:numCache>
                <c:formatCode>[$-409]mmm\-yy;@</c:formatCode>
                <c:ptCount val="22"/>
                <c:pt idx="0">
                  <c:v>43891</c:v>
                </c:pt>
                <c:pt idx="1">
                  <c:v>43983</c:v>
                </c:pt>
                <c:pt idx="2">
                  <c:v>44075</c:v>
                </c:pt>
                <c:pt idx="3">
                  <c:v>44348</c:v>
                </c:pt>
                <c:pt idx="4">
                  <c:v>44440</c:v>
                </c:pt>
                <c:pt idx="5">
                  <c:v>44531</c:v>
                </c:pt>
                <c:pt idx="6">
                  <c:v>44713</c:v>
                </c:pt>
                <c:pt idx="7">
                  <c:v>44805</c:v>
                </c:pt>
                <c:pt idx="8">
                  <c:v>44896</c:v>
                </c:pt>
                <c:pt idx="9">
                  <c:v>44986</c:v>
                </c:pt>
                <c:pt idx="10">
                  <c:v>45078</c:v>
                </c:pt>
                <c:pt idx="11">
                  <c:v>45170</c:v>
                </c:pt>
                <c:pt idx="12">
                  <c:v>45261</c:v>
                </c:pt>
                <c:pt idx="13">
                  <c:v>45352</c:v>
                </c:pt>
                <c:pt idx="14">
                  <c:v>45444</c:v>
                </c:pt>
                <c:pt idx="15">
                  <c:v>45536</c:v>
                </c:pt>
                <c:pt idx="16">
                  <c:v>45627</c:v>
                </c:pt>
                <c:pt idx="17">
                  <c:v>45717</c:v>
                </c:pt>
                <c:pt idx="18">
                  <c:v>45809</c:v>
                </c:pt>
                <c:pt idx="19">
                  <c:v>45901</c:v>
                </c:pt>
                <c:pt idx="20">
                  <c:v>45992</c:v>
                </c:pt>
                <c:pt idx="21">
                  <c:v>45717</c:v>
                </c:pt>
              </c:numCache>
            </c:numRef>
          </c:cat>
          <c:val>
            <c:numRef>
              <c:f>'Fig 12 PL Years to Delivery'!$N$7:$N$28</c:f>
              <c:numCache>
                <c:formatCode>0</c:formatCode>
                <c:ptCount val="22"/>
                <c:pt idx="0">
                  <c:v>10</c:v>
                </c:pt>
                <c:pt idx="1">
                  <c:v>4</c:v>
                </c:pt>
                <c:pt idx="2">
                  <c:v>4</c:v>
                </c:pt>
                <c:pt idx="3">
                  <c:v>3</c:v>
                </c:pt>
                <c:pt idx="4">
                  <c:v>8</c:v>
                </c:pt>
                <c:pt idx="5">
                  <c:v>6</c:v>
                </c:pt>
                <c:pt idx="6">
                  <c:v>5</c:v>
                </c:pt>
                <c:pt idx="7">
                  <c:v>5</c:v>
                </c:pt>
                <c:pt idx="8">
                  <c:v>3</c:v>
                </c:pt>
                <c:pt idx="9">
                  <c:v>1</c:v>
                </c:pt>
                <c:pt idx="10">
                  <c:v>5</c:v>
                </c:pt>
                <c:pt idx="11">
                  <c:v>5.75</c:v>
                </c:pt>
                <c:pt idx="12">
                  <c:v>4</c:v>
                </c:pt>
                <c:pt idx="13">
                  <c:v>7</c:v>
                </c:pt>
                <c:pt idx="14">
                  <c:v>4</c:v>
                </c:pt>
                <c:pt idx="15">
                  <c:v>3.5</c:v>
                </c:pt>
                <c:pt idx="16">
                  <c:v>4</c:v>
                </c:pt>
                <c:pt idx="17">
                  <c:v>5.333333333333333</c:v>
                </c:pt>
                <c:pt idx="18">
                  <c:v>0</c:v>
                </c:pt>
                <c:pt idx="19">
                  <c:v>6.4444444444444446</c:v>
                </c:pt>
                <c:pt idx="20">
                  <c:v>6</c:v>
                </c:pt>
                <c:pt idx="21">
                  <c:v>5.333333333333333</c:v>
                </c:pt>
              </c:numCache>
            </c:numRef>
          </c:val>
          <c:smooth val="0"/>
          <c:extLst>
            <c:ext xmlns:c16="http://schemas.microsoft.com/office/drawing/2014/chart" uri="{C3380CC4-5D6E-409C-BE32-E72D297353CC}">
              <c16:uniqueId val="{00000001-21E1-4F84-B706-248804B0625B}"/>
            </c:ext>
          </c:extLst>
        </c:ser>
        <c:ser>
          <c:idx val="0"/>
          <c:order val="2"/>
          <c:tx>
            <c:strRef>
              <c:f>'Fig 12 PL Years to Delivery'!$O$6</c:f>
              <c:strCache>
                <c:ptCount val="1"/>
                <c:pt idx="0">
                  <c:v>Estimated Years</c:v>
                </c:pt>
              </c:strCache>
            </c:strRef>
          </c:tx>
          <c:spPr>
            <a:ln w="28575" cap="rnd">
              <a:solidFill>
                <a:schemeClr val="accent1">
                  <a:lumMod val="60000"/>
                  <a:lumOff val="40000"/>
                </a:schemeClr>
              </a:solidFill>
              <a:prstDash val="sysDash"/>
              <a:round/>
            </a:ln>
            <a:effectLst/>
          </c:spPr>
          <c:marker>
            <c:symbol val="none"/>
          </c:marker>
          <c:cat>
            <c:numRef>
              <c:f>'Fig 12 PL Years to Delivery'!$L$7:$L$28</c:f>
              <c:numCache>
                <c:formatCode>[$-409]mmm\-yy;@</c:formatCode>
                <c:ptCount val="22"/>
                <c:pt idx="0">
                  <c:v>43891</c:v>
                </c:pt>
                <c:pt idx="1">
                  <c:v>43983</c:v>
                </c:pt>
                <c:pt idx="2">
                  <c:v>44075</c:v>
                </c:pt>
                <c:pt idx="3">
                  <c:v>44348</c:v>
                </c:pt>
                <c:pt idx="4">
                  <c:v>44440</c:v>
                </c:pt>
                <c:pt idx="5">
                  <c:v>44531</c:v>
                </c:pt>
                <c:pt idx="6">
                  <c:v>44713</c:v>
                </c:pt>
                <c:pt idx="7">
                  <c:v>44805</c:v>
                </c:pt>
                <c:pt idx="8">
                  <c:v>44896</c:v>
                </c:pt>
                <c:pt idx="9">
                  <c:v>44986</c:v>
                </c:pt>
                <c:pt idx="10">
                  <c:v>45078</c:v>
                </c:pt>
                <c:pt idx="11">
                  <c:v>45170</c:v>
                </c:pt>
                <c:pt idx="12">
                  <c:v>45261</c:v>
                </c:pt>
                <c:pt idx="13">
                  <c:v>45352</c:v>
                </c:pt>
                <c:pt idx="14">
                  <c:v>45444</c:v>
                </c:pt>
                <c:pt idx="15">
                  <c:v>45536</c:v>
                </c:pt>
                <c:pt idx="16">
                  <c:v>45627</c:v>
                </c:pt>
                <c:pt idx="17">
                  <c:v>45717</c:v>
                </c:pt>
                <c:pt idx="18">
                  <c:v>45809</c:v>
                </c:pt>
                <c:pt idx="19">
                  <c:v>45901</c:v>
                </c:pt>
                <c:pt idx="20">
                  <c:v>45992</c:v>
                </c:pt>
                <c:pt idx="21">
                  <c:v>45717</c:v>
                </c:pt>
              </c:numCache>
            </c:numRef>
          </c:cat>
          <c:val>
            <c:numRef>
              <c:f>'Fig 12 PL Years to Delivery'!$O$7:$O$28</c:f>
              <c:numCache>
                <c:formatCode>0</c:formatCode>
                <c:ptCount val="22"/>
                <c:pt idx="0">
                  <c:v>7</c:v>
                </c:pt>
                <c:pt idx="1">
                  <c:v>3</c:v>
                </c:pt>
                <c:pt idx="2">
                  <c:v>2</c:v>
                </c:pt>
                <c:pt idx="3">
                  <c:v>2</c:v>
                </c:pt>
                <c:pt idx="4">
                  <c:v>5.5</c:v>
                </c:pt>
                <c:pt idx="5">
                  <c:v>4.5</c:v>
                </c:pt>
                <c:pt idx="6">
                  <c:v>4.5</c:v>
                </c:pt>
                <c:pt idx="7">
                  <c:v>3</c:v>
                </c:pt>
                <c:pt idx="8">
                  <c:v>1.5</c:v>
                </c:pt>
                <c:pt idx="9">
                  <c:v>0.75</c:v>
                </c:pt>
                <c:pt idx="10">
                  <c:v>4</c:v>
                </c:pt>
                <c:pt idx="11">
                  <c:v>3.375</c:v>
                </c:pt>
                <c:pt idx="12">
                  <c:v>3</c:v>
                </c:pt>
                <c:pt idx="13">
                  <c:v>3.5</c:v>
                </c:pt>
                <c:pt idx="14">
                  <c:v>2.5</c:v>
                </c:pt>
                <c:pt idx="15">
                  <c:v>2.25</c:v>
                </c:pt>
                <c:pt idx="16">
                  <c:v>3.1</c:v>
                </c:pt>
                <c:pt idx="17">
                  <c:v>3.5</c:v>
                </c:pt>
                <c:pt idx="18">
                  <c:v>0</c:v>
                </c:pt>
                <c:pt idx="19">
                  <c:v>4.7222222222222223</c:v>
                </c:pt>
                <c:pt idx="20">
                  <c:v>5.5</c:v>
                </c:pt>
                <c:pt idx="21">
                  <c:v>3.5</c:v>
                </c:pt>
              </c:numCache>
            </c:numRef>
          </c:val>
          <c:smooth val="0"/>
          <c:extLst>
            <c:ext xmlns:c16="http://schemas.microsoft.com/office/drawing/2014/chart" uri="{C3380CC4-5D6E-409C-BE32-E72D297353CC}">
              <c16:uniqueId val="{00000002-21E1-4F84-B706-248804B0625B}"/>
            </c:ext>
          </c:extLst>
        </c:ser>
        <c:dLbls>
          <c:showLegendKey val="0"/>
          <c:showVal val="0"/>
          <c:showCatName val="0"/>
          <c:showSerName val="0"/>
          <c:showPercent val="0"/>
          <c:showBubbleSize val="0"/>
        </c:dLbls>
        <c:smooth val="0"/>
        <c:axId val="117223903"/>
        <c:axId val="117224863"/>
      </c:lineChart>
      <c:dateAx>
        <c:axId val="117223903"/>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117224863"/>
        <c:crosses val="autoZero"/>
        <c:auto val="1"/>
        <c:lblOffset val="100"/>
        <c:baseTimeUnit val="months"/>
      </c:dateAx>
      <c:valAx>
        <c:axId val="1172248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117223903"/>
        <c:crosses val="autoZero"/>
        <c:crossBetween val="between"/>
      </c:valAx>
      <c:spPr>
        <a:noFill/>
        <a:ln>
          <a:noFill/>
        </a:ln>
        <a:effectLst/>
      </c:spPr>
    </c:plotArea>
    <c:legend>
      <c:legendPos val="b"/>
      <c:layout>
        <c:manualLayout>
          <c:xMode val="edge"/>
          <c:yMode val="edge"/>
          <c:x val="0.65970530588624698"/>
          <c:y val="5.4920548521764305E-2"/>
          <c:w val="0.31475052225614647"/>
          <c:h val="0.15979962870494846"/>
        </c:manualLayout>
      </c:layout>
      <c:overlay val="1"/>
      <c:spPr>
        <a:solidFill>
          <a:srgbClr val="F5F1E7"/>
        </a:solid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200">
          <a:solidFill>
            <a:sysClr val="windowText" lastClr="000000"/>
          </a:solidFill>
          <a:latin typeface="Courier New" panose="02070309020205020404" pitchFamily="49" charset="0"/>
          <a:cs typeface="Courier New" panose="02070309020205020404" pitchFamily="49" charset="0"/>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8908730158731E-2"/>
          <c:y val="8.513917080414761E-2"/>
          <c:w val="0.90900267857142858"/>
          <c:h val="0.71424444444444435"/>
        </c:manualLayout>
      </c:layout>
      <c:lineChart>
        <c:grouping val="standard"/>
        <c:varyColors val="0"/>
        <c:ser>
          <c:idx val="2"/>
          <c:order val="0"/>
          <c:tx>
            <c:strRef>
              <c:f>'Fig 13 PL No Delivery Date'!$H$6</c:f>
              <c:strCache>
                <c:ptCount val="1"/>
                <c:pt idx="0">
                  <c:v>3-Month Average</c:v>
                </c:pt>
              </c:strCache>
            </c:strRef>
          </c:tx>
          <c:spPr>
            <a:ln w="28575"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4F39-4626-AE04-7F8734B70588}"/>
              </c:ext>
            </c:extLst>
          </c:dPt>
          <c:cat>
            <c:numRef>
              <c:f>'Fig 13 PL No Delivery Date'!$G$7:$G$79</c:f>
              <c:numCache>
                <c:formatCode>[$-409]mmm\-yy;@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'Fig 13 PL No Delivery Date'!$H$7:$H$79</c:f>
              <c:numCache>
                <c:formatCode>0%</c:formatCode>
                <c:ptCount val="73"/>
                <c:pt idx="2">
                  <c:v>0</c:v>
                </c:pt>
                <c:pt idx="4">
                  <c:v>0</c:v>
                </c:pt>
                <c:pt idx="5">
                  <c:v>0</c:v>
                </c:pt>
                <c:pt idx="6">
                  <c:v>0</c:v>
                </c:pt>
                <c:pt idx="7">
                  <c:v>0</c:v>
                </c:pt>
                <c:pt idx="8">
                  <c:v>0</c:v>
                </c:pt>
                <c:pt idx="9">
                  <c:v>0.33333333333333331</c:v>
                </c:pt>
                <c:pt idx="10">
                  <c:v>0.33333333333333331</c:v>
                </c:pt>
                <c:pt idx="11">
                  <c:v>1</c:v>
                </c:pt>
                <c:pt idx="12">
                  <c:v>1</c:v>
                </c:pt>
                <c:pt idx="13">
                  <c:v>1</c:v>
                </c:pt>
                <c:pt idx="15">
                  <c:v>0</c:v>
                </c:pt>
                <c:pt idx="16">
                  <c:v>0</c:v>
                </c:pt>
                <c:pt idx="17">
                  <c:v>0</c:v>
                </c:pt>
                <c:pt idx="18">
                  <c:v>0</c:v>
                </c:pt>
                <c:pt idx="19">
                  <c:v>0</c:v>
                </c:pt>
                <c:pt idx="20">
                  <c:v>0.33333333333333331</c:v>
                </c:pt>
                <c:pt idx="21">
                  <c:v>1</c:v>
                </c:pt>
                <c:pt idx="22">
                  <c:v>1</c:v>
                </c:pt>
                <c:pt idx="23">
                  <c:v>0.5</c:v>
                </c:pt>
                <c:pt idx="24">
                  <c:v>0.5</c:v>
                </c:pt>
                <c:pt idx="25">
                  <c:v>0.5</c:v>
                </c:pt>
                <c:pt idx="28">
                  <c:v>1</c:v>
                </c:pt>
                <c:pt idx="29">
                  <c:v>0.75</c:v>
                </c:pt>
                <c:pt idx="30">
                  <c:v>0.42857142857142855</c:v>
                </c:pt>
                <c:pt idx="31">
                  <c:v>0.33333333333333331</c:v>
                </c:pt>
                <c:pt idx="32">
                  <c:v>0.63636363636363635</c:v>
                </c:pt>
                <c:pt idx="33">
                  <c:v>0.79999999999999993</c:v>
                </c:pt>
                <c:pt idx="34">
                  <c:v>0.79999999999999993</c:v>
                </c:pt>
                <c:pt idx="35">
                  <c:v>0.33333333333333331</c:v>
                </c:pt>
                <c:pt idx="36">
                  <c:v>0.33333333333333331</c:v>
                </c:pt>
                <c:pt idx="37">
                  <c:v>0.2</c:v>
                </c:pt>
                <c:pt idx="38">
                  <c:v>0.4</c:v>
                </c:pt>
                <c:pt idx="39">
                  <c:v>0.33333333333333331</c:v>
                </c:pt>
                <c:pt idx="40">
                  <c:v>1</c:v>
                </c:pt>
                <c:pt idx="41">
                  <c:v>0</c:v>
                </c:pt>
                <c:pt idx="42">
                  <c:v>0</c:v>
                </c:pt>
                <c:pt idx="43">
                  <c:v>0.25</c:v>
                </c:pt>
                <c:pt idx="44">
                  <c:v>0.42857142857142855</c:v>
                </c:pt>
                <c:pt idx="45">
                  <c:v>0.70000000000000007</c:v>
                </c:pt>
                <c:pt idx="46">
                  <c:v>0.75</c:v>
                </c:pt>
                <c:pt idx="47">
                  <c:v>0.8</c:v>
                </c:pt>
                <c:pt idx="48">
                  <c:v>0</c:v>
                </c:pt>
                <c:pt idx="49">
                  <c:v>0.33333333333333331</c:v>
                </c:pt>
                <c:pt idx="50">
                  <c:v>0.33333333333333331</c:v>
                </c:pt>
                <c:pt idx="51">
                  <c:v>0.4</c:v>
                </c:pt>
                <c:pt idx="52">
                  <c:v>0.4</c:v>
                </c:pt>
                <c:pt idx="53">
                  <c:v>0.5</c:v>
                </c:pt>
                <c:pt idx="54">
                  <c:v>0.25</c:v>
                </c:pt>
                <c:pt idx="55">
                  <c:v>0.5714285714285714</c:v>
                </c:pt>
                <c:pt idx="56">
                  <c:v>0.5</c:v>
                </c:pt>
                <c:pt idx="57">
                  <c:v>0.66666666666666663</c:v>
                </c:pt>
                <c:pt idx="58">
                  <c:v>0</c:v>
                </c:pt>
                <c:pt idx="59">
                  <c:v>0.33333333333333331</c:v>
                </c:pt>
                <c:pt idx="60">
                  <c:v>0.3125</c:v>
                </c:pt>
                <c:pt idx="61">
                  <c:v>0.4285714285714286</c:v>
                </c:pt>
                <c:pt idx="62">
                  <c:v>0.5</c:v>
                </c:pt>
                <c:pt idx="63">
                  <c:v>0.60000000000000009</c:v>
                </c:pt>
                <c:pt idx="64">
                  <c:v>0.33333333333333331</c:v>
                </c:pt>
                <c:pt idx="65">
                  <c:v>0.5</c:v>
                </c:pt>
                <c:pt idx="66">
                  <c:v>0.33333333333333331</c:v>
                </c:pt>
                <c:pt idx="67">
                  <c:v>0.27272727272727271</c:v>
                </c:pt>
                <c:pt idx="68">
                  <c:v>0.21428571428571427</c:v>
                </c:pt>
                <c:pt idx="69">
                  <c:v>0.30769230769230771</c:v>
                </c:pt>
                <c:pt idx="70">
                  <c:v>0.5</c:v>
                </c:pt>
                <c:pt idx="71">
                  <c:v>0.8571428571428571</c:v>
                </c:pt>
                <c:pt idx="72">
                  <c:v>0.85714285714285698</c:v>
                </c:pt>
              </c:numCache>
            </c:numRef>
          </c:val>
          <c:smooth val="0"/>
          <c:extLst>
            <c:ext xmlns:c16="http://schemas.microsoft.com/office/drawing/2014/chart" uri="{C3380CC4-5D6E-409C-BE32-E72D297353CC}">
              <c16:uniqueId val="{00000001-4F39-4626-AE04-7F8734B70588}"/>
            </c:ext>
          </c:extLst>
        </c:ser>
        <c:dLbls>
          <c:showLegendKey val="0"/>
          <c:showVal val="0"/>
          <c:showCatName val="0"/>
          <c:showSerName val="0"/>
          <c:showPercent val="0"/>
          <c:showBubbleSize val="0"/>
        </c:dLbls>
        <c:smooth val="0"/>
        <c:axId val="117223903"/>
        <c:axId val="117224863"/>
      </c:lineChart>
      <c:dateAx>
        <c:axId val="117223903"/>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117224863"/>
        <c:crosses val="autoZero"/>
        <c:auto val="1"/>
        <c:lblOffset val="100"/>
        <c:baseTimeUnit val="months"/>
      </c:dateAx>
      <c:valAx>
        <c:axId val="1172248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11722390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200">
          <a:solidFill>
            <a:sysClr val="windowText" lastClr="000000"/>
          </a:solidFill>
          <a:latin typeface="Courier New" panose="02070309020205020404" pitchFamily="49" charset="0"/>
          <a:cs typeface="Courier New" panose="02070309020205020404" pitchFamily="49" charset="0"/>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286054046798872E-2"/>
          <c:y val="9.6006817453829219E-2"/>
          <c:w val="0.92853215611846474"/>
          <c:h val="0.79419259942985609"/>
        </c:manualLayout>
      </c:layout>
      <c:barChart>
        <c:barDir val="col"/>
        <c:grouping val="clustered"/>
        <c:varyColors val="0"/>
        <c:ser>
          <c:idx val="0"/>
          <c:order val="0"/>
          <c:spPr>
            <a:solidFill>
              <a:schemeClr val="accent1"/>
            </a:solidFill>
            <a:ln>
              <a:solidFill>
                <a:schemeClr val="tx1"/>
              </a:solidFill>
            </a:ln>
            <a:effectLst/>
          </c:spPr>
          <c:invertIfNegative val="0"/>
          <c:cat>
            <c:numRef>
              <c:f>'A1 DE Total Orders'!$B$7:$B$79</c:f>
              <c:numCache>
                <c:formatCode>mmm\-yyyy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'A1 DE Total Orders'!$C$7:$C$79</c:f>
              <c:numCache>
                <c:formatCode>_(* #,##0.00_);_(* \(#,##0.00\);_(* "-"??_);_(@_)</c:formatCode>
                <c:ptCount val="73"/>
                <c:pt idx="0">
                  <c:v>0</c:v>
                </c:pt>
                <c:pt idx="1">
                  <c:v>0</c:v>
                </c:pt>
                <c:pt idx="2">
                  <c:v>0</c:v>
                </c:pt>
                <c:pt idx="3">
                  <c:v>0</c:v>
                </c:pt>
                <c:pt idx="4">
                  <c:v>0.03</c:v>
                </c:pt>
                <c:pt idx="5">
                  <c:v>13</c:v>
                </c:pt>
                <c:pt idx="6">
                  <c:v>0</c:v>
                </c:pt>
                <c:pt idx="7">
                  <c:v>0.35</c:v>
                </c:pt>
                <c:pt idx="8">
                  <c:v>2.3839999999999999</c:v>
                </c:pt>
                <c:pt idx="9">
                  <c:v>0.04</c:v>
                </c:pt>
                <c:pt idx="10">
                  <c:v>9.1859999999999999</c:v>
                </c:pt>
                <c:pt idx="11">
                  <c:v>0.45</c:v>
                </c:pt>
                <c:pt idx="12">
                  <c:v>0</c:v>
                </c:pt>
                <c:pt idx="13">
                  <c:v>8.7999999999999995E-2</c:v>
                </c:pt>
                <c:pt idx="14">
                  <c:v>0</c:v>
                </c:pt>
                <c:pt idx="15">
                  <c:v>3.7</c:v>
                </c:pt>
                <c:pt idx="16">
                  <c:v>2.4020000000000001</c:v>
                </c:pt>
                <c:pt idx="17">
                  <c:v>16.146878000000001</c:v>
                </c:pt>
                <c:pt idx="18">
                  <c:v>0</c:v>
                </c:pt>
                <c:pt idx="19">
                  <c:v>0</c:v>
                </c:pt>
                <c:pt idx="20">
                  <c:v>0</c:v>
                </c:pt>
                <c:pt idx="21">
                  <c:v>0</c:v>
                </c:pt>
                <c:pt idx="22">
                  <c:v>0</c:v>
                </c:pt>
                <c:pt idx="23">
                  <c:v>0</c:v>
                </c:pt>
                <c:pt idx="24">
                  <c:v>0</c:v>
                </c:pt>
                <c:pt idx="25">
                  <c:v>0</c:v>
                </c:pt>
                <c:pt idx="26">
                  <c:v>0</c:v>
                </c:pt>
                <c:pt idx="27">
                  <c:v>0.15</c:v>
                </c:pt>
                <c:pt idx="28">
                  <c:v>2.5139</c:v>
                </c:pt>
                <c:pt idx="29">
                  <c:v>0.13600000000000001</c:v>
                </c:pt>
                <c:pt idx="30">
                  <c:v>7.5159000000000002</c:v>
                </c:pt>
                <c:pt idx="31">
                  <c:v>0</c:v>
                </c:pt>
                <c:pt idx="32">
                  <c:v>0.63700000000000001</c:v>
                </c:pt>
                <c:pt idx="33">
                  <c:v>0.10489999999999999</c:v>
                </c:pt>
                <c:pt idx="34">
                  <c:v>0.15545</c:v>
                </c:pt>
                <c:pt idx="35">
                  <c:v>9.8840000000000003</c:v>
                </c:pt>
                <c:pt idx="36">
                  <c:v>0</c:v>
                </c:pt>
                <c:pt idx="37">
                  <c:v>0.2208</c:v>
                </c:pt>
                <c:pt idx="38">
                  <c:v>1.3744000000000001</c:v>
                </c:pt>
                <c:pt idx="39">
                  <c:v>0.76700000000000002</c:v>
                </c:pt>
                <c:pt idx="40">
                  <c:v>2.0152999999999999</c:v>
                </c:pt>
                <c:pt idx="41">
                  <c:v>1.8532</c:v>
                </c:pt>
                <c:pt idx="42">
                  <c:v>9.7448999999999995</c:v>
                </c:pt>
                <c:pt idx="43">
                  <c:v>0</c:v>
                </c:pt>
                <c:pt idx="44">
                  <c:v>0.43630000000000002</c:v>
                </c:pt>
                <c:pt idx="45">
                  <c:v>4.4124999999999996</c:v>
                </c:pt>
                <c:pt idx="46">
                  <c:v>14.9503</c:v>
                </c:pt>
                <c:pt idx="47">
                  <c:v>6.2514799999999999</c:v>
                </c:pt>
                <c:pt idx="48">
                  <c:v>1.23</c:v>
                </c:pt>
                <c:pt idx="49">
                  <c:v>2.8490000000000002</c:v>
                </c:pt>
                <c:pt idx="50">
                  <c:v>4.4318999999999997</c:v>
                </c:pt>
                <c:pt idx="51">
                  <c:v>0.58699999999999997</c:v>
                </c:pt>
                <c:pt idx="52">
                  <c:v>1.8489599999999999</c:v>
                </c:pt>
                <c:pt idx="53">
                  <c:v>9.4770000000000003</c:v>
                </c:pt>
                <c:pt idx="54">
                  <c:v>6.319</c:v>
                </c:pt>
                <c:pt idx="55">
                  <c:v>0</c:v>
                </c:pt>
                <c:pt idx="56">
                  <c:v>0.95199999999999996</c:v>
                </c:pt>
                <c:pt idx="57">
                  <c:v>7.2190000000000003</c:v>
                </c:pt>
                <c:pt idx="58">
                  <c:v>2.1625000000000001</c:v>
                </c:pt>
                <c:pt idx="59">
                  <c:v>20</c:v>
                </c:pt>
                <c:pt idx="60">
                  <c:v>2.5196999999999998</c:v>
                </c:pt>
                <c:pt idx="61">
                  <c:v>0</c:v>
                </c:pt>
                <c:pt idx="62">
                  <c:v>0</c:v>
                </c:pt>
                <c:pt idx="63">
                  <c:v>0</c:v>
                </c:pt>
                <c:pt idx="64">
                  <c:v>0</c:v>
                </c:pt>
                <c:pt idx="65">
                  <c:v>4.9855</c:v>
                </c:pt>
                <c:pt idx="66">
                  <c:v>0.77</c:v>
                </c:pt>
                <c:pt idx="67">
                  <c:v>0</c:v>
                </c:pt>
                <c:pt idx="68">
                  <c:v>3.1219000000000001</c:v>
                </c:pt>
                <c:pt idx="69">
                  <c:v>14.61661</c:v>
                </c:pt>
                <c:pt idx="70">
                  <c:v>6.16</c:v>
                </c:pt>
                <c:pt idx="71">
                  <c:v>53.090688190999998</c:v>
                </c:pt>
                <c:pt idx="72">
                  <c:v>0.05</c:v>
                </c:pt>
              </c:numCache>
            </c:numRef>
          </c:val>
          <c:extLst>
            <c:ext xmlns:c16="http://schemas.microsoft.com/office/drawing/2014/chart" uri="{C3380CC4-5D6E-409C-BE32-E72D297353CC}">
              <c16:uniqueId val="{00000000-C1B2-4E94-B2FF-E62A1A18BB1E}"/>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286054046798872E-2"/>
          <c:y val="9.6006817453829219E-2"/>
          <c:w val="0.92853215611846474"/>
          <c:h val="0.79419259942985609"/>
        </c:manualLayout>
      </c:layout>
      <c:barChart>
        <c:barDir val="col"/>
        <c:grouping val="clustered"/>
        <c:varyColors val="0"/>
        <c:ser>
          <c:idx val="0"/>
          <c:order val="0"/>
          <c:tx>
            <c:strRef>
              <c:f>'A2 DE Total Yearly'!$F$6</c:f>
              <c:strCache>
                <c:ptCount val="1"/>
                <c:pt idx="0">
                  <c:v>Total military orders</c:v>
                </c:pt>
              </c:strCache>
            </c:strRef>
          </c:tx>
          <c:spPr>
            <a:solidFill>
              <a:schemeClr val="accent1"/>
            </a:solidFill>
            <a:ln w="9525">
              <a:solidFill>
                <a:schemeClr val="tx1"/>
              </a:solidFill>
            </a:ln>
            <a:effectLst/>
          </c:spPr>
          <c:invertIfNegative val="0"/>
          <c:cat>
            <c:strRef>
              <c:f>'A2 DE Total Yearly'!$E$7:$E$12</c:f>
              <c:strCache>
                <c:ptCount val="6"/>
                <c:pt idx="0">
                  <c:v>Mar 2020 - Feb 2021</c:v>
                </c:pt>
                <c:pt idx="1">
                  <c:v>Mar 2021 - Feb 2022</c:v>
                </c:pt>
                <c:pt idx="2">
                  <c:v>Mar 2022 - Feb 2023</c:v>
                </c:pt>
                <c:pt idx="3">
                  <c:v>Mar 2023 - Feb 2024</c:v>
                </c:pt>
                <c:pt idx="4">
                  <c:v>Mar 2024 - Feb 2025</c:v>
                </c:pt>
                <c:pt idx="5">
                  <c:v>Mar 2025 - Feb 2026</c:v>
                </c:pt>
              </c:strCache>
            </c:strRef>
          </c:cat>
          <c:val>
            <c:numRef>
              <c:f>'A2 DE Total Yearly'!$F$7:$F$12</c:f>
              <c:numCache>
                <c:formatCode>_(* #,##0.00_);_(* \(#,##0.00\);_(* "-"??_);_(@_)</c:formatCode>
                <c:ptCount val="6"/>
                <c:pt idx="0">
                  <c:v>25.527999999999999</c:v>
                </c:pt>
                <c:pt idx="1">
                  <c:v>22.248878000000001</c:v>
                </c:pt>
                <c:pt idx="2">
                  <c:v>21.31795</c:v>
                </c:pt>
                <c:pt idx="3">
                  <c:v>45.884379999999993</c:v>
                </c:pt>
                <c:pt idx="4">
                  <c:v>55.517060000000001</c:v>
                </c:pt>
                <c:pt idx="5">
                  <c:v>82.794698190999995</c:v>
                </c:pt>
              </c:numCache>
            </c:numRef>
          </c:val>
          <c:extLst>
            <c:ext xmlns:c16="http://schemas.microsoft.com/office/drawing/2014/chart" uri="{C3380CC4-5D6E-409C-BE32-E72D297353CC}">
              <c16:uniqueId val="{00000000-C38B-45ED-B35E-0B19505F9F30}"/>
            </c:ext>
          </c:extLst>
        </c:ser>
        <c:dLbls>
          <c:showLegendKey val="0"/>
          <c:showVal val="0"/>
          <c:showCatName val="0"/>
          <c:showSerName val="0"/>
          <c:showPercent val="0"/>
          <c:showBubbleSize val="0"/>
        </c:dLbls>
        <c:gapWidth val="100"/>
        <c:overlap val="100"/>
        <c:axId val="112003664"/>
        <c:axId val="112001744"/>
      </c:barChart>
      <c:catAx>
        <c:axId val="11200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0"/>
        <c:lblAlgn val="ctr"/>
        <c:lblOffset val="100"/>
        <c:noMultiLvlLbl val="0"/>
      </c:catAx>
      <c:valAx>
        <c:axId val="112001744"/>
        <c:scaling>
          <c:orientation val="minMax"/>
        </c:scaling>
        <c:delete val="0"/>
        <c:axPos val="l"/>
        <c:majorGridlines>
          <c:spPr>
            <a:ln w="9525" cap="flat" cmpd="sng" algn="ctr">
              <a:solidFill>
                <a:srgbClr val="D9D9D9"/>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At val="1"/>
        <c:crossBetween val="between"/>
        <c:majorUnit val="5"/>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15115365017691"/>
          <c:y val="5.8571669808492231E-2"/>
          <c:w val="0.87671129387245461"/>
          <c:h val="0.79727298730748419"/>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solidFill>
              <a:ln>
                <a:solidFill>
                  <a:schemeClr val="tx1"/>
                </a:solidFill>
              </a:ln>
              <a:effectLst/>
            </c:spPr>
            <c:extLst>
              <c:ext xmlns:c16="http://schemas.microsoft.com/office/drawing/2014/chart" uri="{C3380CC4-5D6E-409C-BE32-E72D297353CC}">
                <c16:uniqueId val="{00000001-2182-4C3B-9243-0473F7B63CFD}"/>
              </c:ext>
            </c:extLst>
          </c:dPt>
          <c:dPt>
            <c:idx val="1"/>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3-2182-4C3B-9243-0473F7B63CFD}"/>
              </c:ext>
            </c:extLst>
          </c:dPt>
          <c:dPt>
            <c:idx val="2"/>
            <c:invertIfNegative val="0"/>
            <c:bubble3D val="0"/>
            <c:spPr>
              <a:solidFill>
                <a:schemeClr val="accent1">
                  <a:alpha val="94000"/>
                </a:schemeClr>
              </a:solidFill>
              <a:ln>
                <a:solidFill>
                  <a:schemeClr val="tx1"/>
                </a:solidFill>
              </a:ln>
              <a:effectLst/>
            </c:spPr>
            <c:extLst>
              <c:ext xmlns:c16="http://schemas.microsoft.com/office/drawing/2014/chart" uri="{C3380CC4-5D6E-409C-BE32-E72D297353CC}">
                <c16:uniqueId val="{00000005-2182-4C3B-9243-0473F7B63CFD}"/>
              </c:ext>
            </c:extLst>
          </c:dPt>
          <c:dPt>
            <c:idx val="3"/>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7-2182-4C3B-9243-0473F7B63CFD}"/>
              </c:ext>
            </c:extLst>
          </c:dPt>
          <c:dPt>
            <c:idx val="4"/>
            <c:invertIfNegative val="0"/>
            <c:bubble3D val="0"/>
            <c:spPr>
              <a:solidFill>
                <a:schemeClr val="accent1"/>
              </a:solidFill>
              <a:ln>
                <a:solidFill>
                  <a:schemeClr val="tx1"/>
                </a:solidFill>
              </a:ln>
              <a:effectLst/>
            </c:spPr>
            <c:extLst>
              <c:ext xmlns:c16="http://schemas.microsoft.com/office/drawing/2014/chart" uri="{C3380CC4-5D6E-409C-BE32-E72D297353CC}">
                <c16:uniqueId val="{00000009-2182-4C3B-9243-0473F7B63CFD}"/>
              </c:ext>
            </c:extLst>
          </c:dPt>
          <c:dPt>
            <c:idx val="5"/>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B-2182-4C3B-9243-0473F7B63CFD}"/>
              </c:ext>
            </c:extLst>
          </c:dPt>
          <c:dPt>
            <c:idx val="6"/>
            <c:invertIfNegative val="0"/>
            <c:bubble3D val="0"/>
            <c:spPr>
              <a:solidFill>
                <a:schemeClr val="accent1"/>
              </a:solidFill>
              <a:ln>
                <a:solidFill>
                  <a:schemeClr val="tx1"/>
                </a:solidFill>
              </a:ln>
              <a:effectLst/>
            </c:spPr>
            <c:extLst>
              <c:ext xmlns:c16="http://schemas.microsoft.com/office/drawing/2014/chart" uri="{C3380CC4-5D6E-409C-BE32-E72D297353CC}">
                <c16:uniqueId val="{0000000D-2182-4C3B-9243-0473F7B63CFD}"/>
              </c:ext>
            </c:extLst>
          </c:dPt>
          <c:dPt>
            <c:idx val="7"/>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F-2182-4C3B-9243-0473F7B63CFD}"/>
              </c:ext>
            </c:extLst>
          </c:dPt>
          <c:cat>
            <c:multiLvlStrRef>
              <c:f>'A3 DE Order Priorities'!$E$6:$L$7</c:f>
              <c:multiLvlStrCache>
                <c:ptCount val="8"/>
                <c:lvl>
                  <c:pt idx="0">
                    <c:v>2020-21</c:v>
                  </c:pt>
                  <c:pt idx="1">
                    <c:v>2022-26</c:v>
                  </c:pt>
                  <c:pt idx="2">
                    <c:v>2020-21</c:v>
                  </c:pt>
                  <c:pt idx="3">
                    <c:v>2022-26</c:v>
                  </c:pt>
                  <c:pt idx="4">
                    <c:v>2020-21</c:v>
                  </c:pt>
                  <c:pt idx="5">
                    <c:v>2022-26</c:v>
                  </c:pt>
                  <c:pt idx="6">
                    <c:v>2020-21</c:v>
                  </c:pt>
                  <c:pt idx="7">
                    <c:v>2022-26</c:v>
                  </c:pt>
                </c:lvl>
                <c:lvl>
                  <c:pt idx="0">
                    <c:v>Air</c:v>
                  </c:pt>
                  <c:pt idx="2">
                    <c:v>Sea</c:v>
                  </c:pt>
                  <c:pt idx="4">
                    <c:v>Land</c:v>
                  </c:pt>
                  <c:pt idx="6">
                    <c:v>Other</c:v>
                  </c:pt>
                </c:lvl>
              </c:multiLvlStrCache>
            </c:multiLvlStrRef>
          </c:cat>
          <c:val>
            <c:numRef>
              <c:f>'A3 DE Order Priorities'!$E$8:$L$8</c:f>
              <c:numCache>
                <c:formatCode>_(* #,##0.00_);_(* \(#,##0.00\);_(* "-"??_);_(@_)</c:formatCode>
                <c:ptCount val="8"/>
                <c:pt idx="0">
                  <c:v>14.831</c:v>
                </c:pt>
                <c:pt idx="1">
                  <c:v>19.145399999999999</c:v>
                </c:pt>
                <c:pt idx="2">
                  <c:v>16.171878</c:v>
                </c:pt>
                <c:pt idx="3">
                  <c:v>15.822869000000001</c:v>
                </c:pt>
                <c:pt idx="4">
                  <c:v>5.0320000000000009</c:v>
                </c:pt>
                <c:pt idx="5">
                  <c:v>72.952088191000001</c:v>
                </c:pt>
                <c:pt idx="6">
                  <c:v>11.672000000000001</c:v>
                </c:pt>
                <c:pt idx="7">
                  <c:v>97.593731000000005</c:v>
                </c:pt>
              </c:numCache>
            </c:numRef>
          </c:val>
          <c:extLst>
            <c:ext xmlns:c16="http://schemas.microsoft.com/office/drawing/2014/chart" uri="{C3380CC4-5D6E-409C-BE32-E72D297353CC}">
              <c16:uniqueId val="{00000010-2182-4C3B-9243-0473F7B63CFD}"/>
            </c:ext>
          </c:extLst>
        </c:ser>
        <c:dLbls>
          <c:showLegendKey val="0"/>
          <c:showVal val="0"/>
          <c:showCatName val="0"/>
          <c:showSerName val="0"/>
          <c:showPercent val="0"/>
          <c:showBubbleSize val="0"/>
        </c:dLbls>
        <c:gapWidth val="150"/>
        <c:overlap val="-27"/>
        <c:axId val="959206288"/>
        <c:axId val="959208208"/>
      </c:barChart>
      <c:catAx>
        <c:axId val="95920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959208208"/>
        <c:crosses val="autoZero"/>
        <c:auto val="1"/>
        <c:lblAlgn val="ctr"/>
        <c:lblOffset val="100"/>
        <c:noMultiLvlLbl val="0"/>
      </c:catAx>
      <c:valAx>
        <c:axId val="95920820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9592062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286054046798872E-2"/>
          <c:y val="9.6006817453829219E-2"/>
          <c:w val="0.92853215611846474"/>
          <c:h val="0.79769475159243619"/>
        </c:manualLayout>
      </c:layout>
      <c:barChart>
        <c:barDir val="col"/>
        <c:grouping val="stacked"/>
        <c:varyColors val="0"/>
        <c:ser>
          <c:idx val="0"/>
          <c:order val="0"/>
          <c:tx>
            <c:strRef>
              <c:f>'A4 DE Orders by Fund'!$C$6</c:f>
              <c:strCache>
                <c:ptCount val="1"/>
                <c:pt idx="0">
                  <c:v>Einzelplan 14</c:v>
                </c:pt>
              </c:strCache>
            </c:strRef>
          </c:tx>
          <c:spPr>
            <a:solidFill>
              <a:schemeClr val="accent1"/>
            </a:solidFill>
            <a:ln>
              <a:solidFill>
                <a:schemeClr val="tx1">
                  <a:alpha val="90000"/>
                </a:schemeClr>
              </a:solidFill>
            </a:ln>
            <a:effectLst/>
          </c:spPr>
          <c:invertIfNegative val="0"/>
          <c:cat>
            <c:numRef>
              <c:f>'A4 DE Orders by Fund'!$B$7:$B$79</c:f>
              <c:numCache>
                <c:formatCode>mmm\-yyyy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'A4 DE Orders by Fund'!$C$7:$C$79</c:f>
              <c:numCache>
                <c:formatCode>_(* #,##0.00_);_(* \(#,##0.00\);_(* "-"??_);_(@_)</c:formatCode>
                <c:ptCount val="73"/>
                <c:pt idx="0">
                  <c:v>0</c:v>
                </c:pt>
                <c:pt idx="1">
                  <c:v>0</c:v>
                </c:pt>
                <c:pt idx="2">
                  <c:v>0</c:v>
                </c:pt>
                <c:pt idx="3">
                  <c:v>0</c:v>
                </c:pt>
                <c:pt idx="4">
                  <c:v>0.03</c:v>
                </c:pt>
                <c:pt idx="5">
                  <c:v>13</c:v>
                </c:pt>
                <c:pt idx="6">
                  <c:v>0</c:v>
                </c:pt>
                <c:pt idx="7">
                  <c:v>0.35</c:v>
                </c:pt>
                <c:pt idx="8">
                  <c:v>2.3839999999999999</c:v>
                </c:pt>
                <c:pt idx="9">
                  <c:v>0.04</c:v>
                </c:pt>
                <c:pt idx="10">
                  <c:v>8.7080000000000002</c:v>
                </c:pt>
                <c:pt idx="11">
                  <c:v>0.45</c:v>
                </c:pt>
                <c:pt idx="12">
                  <c:v>0</c:v>
                </c:pt>
                <c:pt idx="13">
                  <c:v>8.7999999999999995E-2</c:v>
                </c:pt>
                <c:pt idx="14">
                  <c:v>0</c:v>
                </c:pt>
                <c:pt idx="15">
                  <c:v>3.7</c:v>
                </c:pt>
                <c:pt idx="16">
                  <c:v>2.4020000000000001</c:v>
                </c:pt>
                <c:pt idx="17">
                  <c:v>16.146878000000001</c:v>
                </c:pt>
                <c:pt idx="18">
                  <c:v>0</c:v>
                </c:pt>
                <c:pt idx="19">
                  <c:v>0</c:v>
                </c:pt>
                <c:pt idx="20">
                  <c:v>0</c:v>
                </c:pt>
                <c:pt idx="21">
                  <c:v>0</c:v>
                </c:pt>
                <c:pt idx="22">
                  <c:v>0</c:v>
                </c:pt>
                <c:pt idx="23">
                  <c:v>0</c:v>
                </c:pt>
                <c:pt idx="24">
                  <c:v>0</c:v>
                </c:pt>
                <c:pt idx="25">
                  <c:v>0</c:v>
                </c:pt>
                <c:pt idx="26">
                  <c:v>0</c:v>
                </c:pt>
                <c:pt idx="27">
                  <c:v>0.15</c:v>
                </c:pt>
                <c:pt idx="28">
                  <c:v>2.5139</c:v>
                </c:pt>
                <c:pt idx="29">
                  <c:v>0.10100000000000001</c:v>
                </c:pt>
                <c:pt idx="30">
                  <c:v>7.5159000000000002</c:v>
                </c:pt>
                <c:pt idx="31">
                  <c:v>0</c:v>
                </c:pt>
                <c:pt idx="32">
                  <c:v>0.63700000000000001</c:v>
                </c:pt>
                <c:pt idx="33">
                  <c:v>0.10489999999999999</c:v>
                </c:pt>
                <c:pt idx="34">
                  <c:v>0.15545</c:v>
                </c:pt>
                <c:pt idx="35">
                  <c:v>0.27800000000000002</c:v>
                </c:pt>
                <c:pt idx="36">
                  <c:v>0</c:v>
                </c:pt>
                <c:pt idx="37">
                  <c:v>5.28E-2</c:v>
                </c:pt>
                <c:pt idx="38">
                  <c:v>0.2382</c:v>
                </c:pt>
                <c:pt idx="39">
                  <c:v>0.76700000000000002</c:v>
                </c:pt>
                <c:pt idx="40">
                  <c:v>3.2000000000000001E-2</c:v>
                </c:pt>
                <c:pt idx="41">
                  <c:v>0.9032</c:v>
                </c:pt>
                <c:pt idx="42">
                  <c:v>1.3858999999999999</c:v>
                </c:pt>
                <c:pt idx="43">
                  <c:v>0</c:v>
                </c:pt>
                <c:pt idx="44">
                  <c:v>0.43630000000000002</c:v>
                </c:pt>
                <c:pt idx="45">
                  <c:v>5.2499999999999998E-2</c:v>
                </c:pt>
                <c:pt idx="46">
                  <c:v>13.5083</c:v>
                </c:pt>
                <c:pt idx="47">
                  <c:v>6.9680000000000006E-2</c:v>
                </c:pt>
                <c:pt idx="48">
                  <c:v>0</c:v>
                </c:pt>
                <c:pt idx="49">
                  <c:v>2.2000000000000002</c:v>
                </c:pt>
                <c:pt idx="50">
                  <c:v>8.1000000000000003E-2</c:v>
                </c:pt>
                <c:pt idx="51">
                  <c:v>0</c:v>
                </c:pt>
                <c:pt idx="52">
                  <c:v>1.7027600000000001</c:v>
                </c:pt>
                <c:pt idx="53">
                  <c:v>3.2850000000000001</c:v>
                </c:pt>
                <c:pt idx="54">
                  <c:v>1.05</c:v>
                </c:pt>
                <c:pt idx="55">
                  <c:v>0</c:v>
                </c:pt>
                <c:pt idx="56">
                  <c:v>0</c:v>
                </c:pt>
                <c:pt idx="57">
                  <c:v>6.5</c:v>
                </c:pt>
                <c:pt idx="58">
                  <c:v>0.1145</c:v>
                </c:pt>
                <c:pt idx="59">
                  <c:v>0</c:v>
                </c:pt>
                <c:pt idx="60">
                  <c:v>0</c:v>
                </c:pt>
                <c:pt idx="61">
                  <c:v>0</c:v>
                </c:pt>
                <c:pt idx="62">
                  <c:v>0</c:v>
                </c:pt>
                <c:pt idx="63">
                  <c:v>0</c:v>
                </c:pt>
                <c:pt idx="64">
                  <c:v>0</c:v>
                </c:pt>
                <c:pt idx="65">
                  <c:v>1.5</c:v>
                </c:pt>
                <c:pt idx="66">
                  <c:v>0</c:v>
                </c:pt>
                <c:pt idx="67">
                  <c:v>0</c:v>
                </c:pt>
                <c:pt idx="68">
                  <c:v>1.6990000000000001</c:v>
                </c:pt>
                <c:pt idx="69">
                  <c:v>7.8086099999999998</c:v>
                </c:pt>
                <c:pt idx="70">
                  <c:v>0.5</c:v>
                </c:pt>
                <c:pt idx="71">
                  <c:v>0</c:v>
                </c:pt>
                <c:pt idx="72">
                  <c:v>0</c:v>
                </c:pt>
              </c:numCache>
            </c:numRef>
          </c:val>
          <c:extLst>
            <c:ext xmlns:c16="http://schemas.microsoft.com/office/drawing/2014/chart" uri="{C3380CC4-5D6E-409C-BE32-E72D297353CC}">
              <c16:uniqueId val="{00000000-910D-4FCF-8965-85232117758E}"/>
            </c:ext>
          </c:extLst>
        </c:ser>
        <c:ser>
          <c:idx val="2"/>
          <c:order val="1"/>
          <c:tx>
            <c:strRef>
              <c:f>'A4 DE Orders by Fund'!$D$6</c:f>
              <c:strCache>
                <c:ptCount val="1"/>
                <c:pt idx="0">
                  <c:v>Sondervermögen</c:v>
                </c:pt>
              </c:strCache>
            </c:strRef>
          </c:tx>
          <c:spPr>
            <a:pattFill prst="pct60">
              <a:fgClr>
                <a:schemeClr val="accent5"/>
              </a:fgClr>
              <a:bgClr>
                <a:schemeClr val="bg1"/>
              </a:bgClr>
            </a:pattFill>
            <a:ln>
              <a:solidFill>
                <a:schemeClr val="tx1"/>
              </a:solidFill>
            </a:ln>
            <a:effectLst/>
          </c:spPr>
          <c:invertIfNegative val="0"/>
          <c:cat>
            <c:numRef>
              <c:f>'A4 DE Orders by Fund'!$B$7:$B$79</c:f>
              <c:numCache>
                <c:formatCode>mmm\-yyyy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'A4 DE Orders by Fund'!$D$7:$D$79</c:f>
              <c:numCache>
                <c:formatCode>_(* #,##0.00_);_(* \(#,##0.00\);_(* "-"??_);_(@_)</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3.5000000000000003E-2</c:v>
                </c:pt>
                <c:pt idx="30">
                  <c:v>0</c:v>
                </c:pt>
                <c:pt idx="31">
                  <c:v>0</c:v>
                </c:pt>
                <c:pt idx="32">
                  <c:v>0</c:v>
                </c:pt>
                <c:pt idx="33">
                  <c:v>0</c:v>
                </c:pt>
                <c:pt idx="34">
                  <c:v>0</c:v>
                </c:pt>
                <c:pt idx="35">
                  <c:v>9.6059999999999999</c:v>
                </c:pt>
                <c:pt idx="36">
                  <c:v>0</c:v>
                </c:pt>
                <c:pt idx="37">
                  <c:v>0</c:v>
                </c:pt>
                <c:pt idx="38">
                  <c:v>0.95220000000000005</c:v>
                </c:pt>
                <c:pt idx="39">
                  <c:v>0</c:v>
                </c:pt>
                <c:pt idx="40">
                  <c:v>1.2669999999999999</c:v>
                </c:pt>
                <c:pt idx="41">
                  <c:v>0.95</c:v>
                </c:pt>
                <c:pt idx="42">
                  <c:v>7.85</c:v>
                </c:pt>
                <c:pt idx="43">
                  <c:v>0</c:v>
                </c:pt>
                <c:pt idx="44">
                  <c:v>0</c:v>
                </c:pt>
                <c:pt idx="45">
                  <c:v>4.2919999999999998</c:v>
                </c:pt>
                <c:pt idx="46">
                  <c:v>1.292</c:v>
                </c:pt>
                <c:pt idx="47">
                  <c:v>5.1938000000000004</c:v>
                </c:pt>
                <c:pt idx="48">
                  <c:v>1.23</c:v>
                </c:pt>
                <c:pt idx="49">
                  <c:v>0.64900000000000002</c:v>
                </c:pt>
                <c:pt idx="50">
                  <c:v>3.6509</c:v>
                </c:pt>
                <c:pt idx="51">
                  <c:v>0.58699999999999997</c:v>
                </c:pt>
                <c:pt idx="52">
                  <c:v>0.1462</c:v>
                </c:pt>
                <c:pt idx="53">
                  <c:v>5.7969999999999997</c:v>
                </c:pt>
                <c:pt idx="54">
                  <c:v>4.2670000000000003</c:v>
                </c:pt>
                <c:pt idx="55">
                  <c:v>0</c:v>
                </c:pt>
                <c:pt idx="56">
                  <c:v>0.95199999999999996</c:v>
                </c:pt>
                <c:pt idx="57">
                  <c:v>0.71899999999999997</c:v>
                </c:pt>
                <c:pt idx="58">
                  <c:v>2.048</c:v>
                </c:pt>
                <c:pt idx="59">
                  <c:v>20</c:v>
                </c:pt>
                <c:pt idx="60">
                  <c:v>2.5196999999999998</c:v>
                </c:pt>
                <c:pt idx="61">
                  <c:v>0</c:v>
                </c:pt>
                <c:pt idx="62">
                  <c:v>0</c:v>
                </c:pt>
                <c:pt idx="63">
                  <c:v>0</c:v>
                </c:pt>
                <c:pt idx="64">
                  <c:v>0</c:v>
                </c:pt>
                <c:pt idx="65">
                  <c:v>3.4855</c:v>
                </c:pt>
                <c:pt idx="66">
                  <c:v>0.77</c:v>
                </c:pt>
                <c:pt idx="67">
                  <c:v>0</c:v>
                </c:pt>
                <c:pt idx="68">
                  <c:v>1.0519000000000001</c:v>
                </c:pt>
                <c:pt idx="69">
                  <c:v>5.5430000000000001</c:v>
                </c:pt>
                <c:pt idx="70">
                  <c:v>1.026</c:v>
                </c:pt>
                <c:pt idx="71">
                  <c:v>0</c:v>
                </c:pt>
                <c:pt idx="72">
                  <c:v>0</c:v>
                </c:pt>
              </c:numCache>
            </c:numRef>
          </c:val>
          <c:extLst>
            <c:ext xmlns:c16="http://schemas.microsoft.com/office/drawing/2014/chart" uri="{C3380CC4-5D6E-409C-BE32-E72D297353CC}">
              <c16:uniqueId val="{00000001-910D-4FCF-8965-85232117758E}"/>
            </c:ext>
          </c:extLst>
        </c:ser>
        <c:ser>
          <c:idx val="1"/>
          <c:order val="2"/>
          <c:tx>
            <c:strRef>
              <c:f>'A4 DE Orders by Fund'!$E$6</c:f>
              <c:strCache>
                <c:ptCount val="1"/>
                <c:pt idx="0">
                  <c:v>Einzelplan 60</c:v>
                </c:pt>
              </c:strCache>
            </c:strRef>
          </c:tx>
          <c:spPr>
            <a:pattFill prst="dkDnDiag">
              <a:fgClr>
                <a:schemeClr val="accent6"/>
              </a:fgClr>
              <a:bgClr>
                <a:schemeClr val="bg1"/>
              </a:bgClr>
            </a:pattFill>
            <a:ln>
              <a:solidFill>
                <a:schemeClr val="tx1">
                  <a:alpha val="96000"/>
                </a:schemeClr>
              </a:solidFill>
            </a:ln>
            <a:effectLst/>
          </c:spPr>
          <c:invertIfNegative val="0"/>
          <c:cat>
            <c:numRef>
              <c:f>'A4 DE Orders by Fund'!$B$7:$B$79</c:f>
              <c:numCache>
                <c:formatCode>mmm\-yyyy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'A4 DE Orders by Fund'!$E$7:$E$79</c:f>
              <c:numCache>
                <c:formatCode>_(* #,##0.00_);_(* \(#,##0.00\);_(* "-"??_);_(@_)</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0.16800000000000001</c:v>
                </c:pt>
                <c:pt idx="38">
                  <c:v>0.184</c:v>
                </c:pt>
                <c:pt idx="39">
                  <c:v>0</c:v>
                </c:pt>
                <c:pt idx="40">
                  <c:v>0.71630000000000005</c:v>
                </c:pt>
                <c:pt idx="41">
                  <c:v>0</c:v>
                </c:pt>
                <c:pt idx="42">
                  <c:v>0.50900000000000001</c:v>
                </c:pt>
                <c:pt idx="43">
                  <c:v>0</c:v>
                </c:pt>
                <c:pt idx="44">
                  <c:v>0</c:v>
                </c:pt>
                <c:pt idx="45">
                  <c:v>6.8000000000000005E-2</c:v>
                </c:pt>
                <c:pt idx="46">
                  <c:v>0.15</c:v>
                </c:pt>
                <c:pt idx="47">
                  <c:v>0.98799999999999999</c:v>
                </c:pt>
                <c:pt idx="48">
                  <c:v>0</c:v>
                </c:pt>
                <c:pt idx="49">
                  <c:v>0</c:v>
                </c:pt>
                <c:pt idx="50">
                  <c:v>0.7</c:v>
                </c:pt>
                <c:pt idx="51">
                  <c:v>0</c:v>
                </c:pt>
                <c:pt idx="52">
                  <c:v>0</c:v>
                </c:pt>
                <c:pt idx="53">
                  <c:v>0.39500000000000002</c:v>
                </c:pt>
                <c:pt idx="54">
                  <c:v>1.002</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0.25700000000000001</c:v>
                </c:pt>
                <c:pt idx="69">
                  <c:v>0</c:v>
                </c:pt>
                <c:pt idx="70">
                  <c:v>0</c:v>
                </c:pt>
                <c:pt idx="71">
                  <c:v>0</c:v>
                </c:pt>
                <c:pt idx="72">
                  <c:v>0</c:v>
                </c:pt>
              </c:numCache>
            </c:numRef>
          </c:val>
          <c:extLst>
            <c:ext xmlns:c16="http://schemas.microsoft.com/office/drawing/2014/chart" uri="{C3380CC4-5D6E-409C-BE32-E72D297353CC}">
              <c16:uniqueId val="{00000002-910D-4FCF-8965-85232117758E}"/>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legend>
      <c:legendPos val="r"/>
      <c:layout>
        <c:manualLayout>
          <c:xMode val="edge"/>
          <c:yMode val="edge"/>
          <c:x val="0.83858444717320668"/>
          <c:y val="3.5961877530254954E-2"/>
          <c:w val="0.15355962843659696"/>
          <c:h val="0.22647060869968574"/>
        </c:manualLayout>
      </c:layout>
      <c:overlay val="0"/>
      <c:spPr>
        <a:solidFill>
          <a:sysClr val="window" lastClr="FFFFFF">
            <a:alpha val="0"/>
          </a:sysClr>
        </a:solid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76687264485639E-2"/>
          <c:y val="5.3180276153875043E-2"/>
          <c:w val="0.91267571868477071"/>
          <c:h val="0.76763989556949275"/>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solidFill>
              <a:ln>
                <a:solidFill>
                  <a:schemeClr val="tx1"/>
                </a:solidFill>
              </a:ln>
              <a:effectLst/>
            </c:spPr>
            <c:extLst>
              <c:ext xmlns:c16="http://schemas.microsoft.com/office/drawing/2014/chart" uri="{C3380CC4-5D6E-409C-BE32-E72D297353CC}">
                <c16:uniqueId val="{00000001-1319-482E-82FD-27FD95276944}"/>
              </c:ext>
            </c:extLst>
          </c:dPt>
          <c:dPt>
            <c:idx val="1"/>
            <c:invertIfNegative val="0"/>
            <c:bubble3D val="0"/>
            <c:spPr>
              <a:solidFill>
                <a:schemeClr val="accent1"/>
              </a:solidFill>
              <a:ln>
                <a:solidFill>
                  <a:schemeClr val="tx1"/>
                </a:solidFill>
              </a:ln>
              <a:effectLst/>
            </c:spPr>
            <c:extLst>
              <c:ext xmlns:c16="http://schemas.microsoft.com/office/drawing/2014/chart" uri="{C3380CC4-5D6E-409C-BE32-E72D297353CC}">
                <c16:uniqueId val="{00000003-1319-482E-82FD-27FD95276944}"/>
              </c:ext>
            </c:extLst>
          </c:dPt>
          <c:dPt>
            <c:idx val="2"/>
            <c:invertIfNegative val="0"/>
            <c:bubble3D val="0"/>
            <c:spPr>
              <a:pattFill prst="pct90">
                <a:fgClr>
                  <a:schemeClr val="accent5"/>
                </a:fgClr>
                <a:bgClr>
                  <a:schemeClr val="bg1"/>
                </a:bgClr>
              </a:pattFill>
              <a:ln>
                <a:solidFill>
                  <a:schemeClr val="tx1"/>
                </a:solidFill>
              </a:ln>
              <a:effectLst/>
            </c:spPr>
            <c:extLst>
              <c:ext xmlns:c16="http://schemas.microsoft.com/office/drawing/2014/chart" uri="{C3380CC4-5D6E-409C-BE32-E72D297353CC}">
                <c16:uniqueId val="{00000005-1319-482E-82FD-27FD95276944}"/>
              </c:ext>
            </c:extLst>
          </c:dPt>
          <c:dPt>
            <c:idx val="3"/>
            <c:invertIfNegative val="0"/>
            <c:bubble3D val="0"/>
            <c:spPr>
              <a:pattFill prst="dkVert">
                <a:fgClr>
                  <a:schemeClr val="accent6"/>
                </a:fgClr>
                <a:bgClr>
                  <a:schemeClr val="bg1"/>
                </a:bgClr>
              </a:pattFill>
              <a:ln>
                <a:solidFill>
                  <a:schemeClr val="tx1"/>
                </a:solidFill>
              </a:ln>
              <a:effectLst/>
            </c:spPr>
            <c:extLst>
              <c:ext xmlns:c16="http://schemas.microsoft.com/office/drawing/2014/chart" uri="{C3380CC4-5D6E-409C-BE32-E72D297353CC}">
                <c16:uniqueId val="{00000007-1319-482E-82FD-27FD95276944}"/>
              </c:ext>
            </c:extLst>
          </c:dPt>
          <c:cat>
            <c:strRef>
              <c:f>'A5 DE Fund Overview'!$C$6:$F$6</c:f>
              <c:strCache>
                <c:ptCount val="4"/>
                <c:pt idx="0">
                  <c:v>Einzelplan 14 (until Feb 2022)</c:v>
                </c:pt>
                <c:pt idx="1">
                  <c:v>Einzelplan 14 (after Feb 2022)</c:v>
                </c:pt>
                <c:pt idx="2">
                  <c:v>Sondervermögen</c:v>
                </c:pt>
                <c:pt idx="3">
                  <c:v>Einzelplan 60</c:v>
                </c:pt>
              </c:strCache>
            </c:strRef>
          </c:cat>
          <c:val>
            <c:numRef>
              <c:f>'A5 DE Fund Overview'!$C$7:$F$7</c:f>
              <c:numCache>
                <c:formatCode>_(* #,##0.00_);_(* \(#,##0.00\);_(* "-"??_);_(@_)</c:formatCode>
                <c:ptCount val="4"/>
                <c:pt idx="0">
                  <c:v>47.298878000000002</c:v>
                </c:pt>
                <c:pt idx="1">
                  <c:v>55.3429</c:v>
                </c:pt>
                <c:pt idx="2">
                  <c:v>85.880200000000002</c:v>
                </c:pt>
                <c:pt idx="3">
                  <c:v>5.1372999999999998</c:v>
                </c:pt>
              </c:numCache>
            </c:numRef>
          </c:val>
          <c:extLst>
            <c:ext xmlns:c16="http://schemas.microsoft.com/office/drawing/2014/chart" uri="{C3380CC4-5D6E-409C-BE32-E72D297353CC}">
              <c16:uniqueId val="{00000008-1319-482E-82FD-27FD95276944}"/>
            </c:ext>
          </c:extLst>
        </c:ser>
        <c:dLbls>
          <c:showLegendKey val="0"/>
          <c:showVal val="0"/>
          <c:showCatName val="0"/>
          <c:showSerName val="0"/>
          <c:showPercent val="0"/>
          <c:showBubbleSize val="0"/>
        </c:dLbls>
        <c:gapWidth val="219"/>
        <c:overlap val="-27"/>
        <c:axId val="20480128"/>
        <c:axId val="20492608"/>
      </c:barChart>
      <c:catAx>
        <c:axId val="2048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20492608"/>
        <c:crosses val="autoZero"/>
        <c:auto val="1"/>
        <c:lblAlgn val="ctr"/>
        <c:lblOffset val="100"/>
        <c:noMultiLvlLbl val="0"/>
      </c:catAx>
      <c:valAx>
        <c:axId val="2049260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20480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86195286195286E-2"/>
          <c:y val="4.9091751894864283E-2"/>
          <c:w val="0.92101262626262625"/>
          <c:h val="0.7775450248281871"/>
        </c:manualLayout>
      </c:layout>
      <c:barChart>
        <c:barDir val="col"/>
        <c:grouping val="stacked"/>
        <c:varyColors val="0"/>
        <c:ser>
          <c:idx val="0"/>
          <c:order val="0"/>
          <c:tx>
            <c:strRef>
              <c:f>'A6 DE Orders by Origin'!$C$6</c:f>
              <c:strCache>
                <c:ptCount val="1"/>
                <c:pt idx="0">
                  <c:v>Germany only</c:v>
                </c:pt>
              </c:strCache>
            </c:strRef>
          </c:tx>
          <c:spPr>
            <a:solidFill>
              <a:schemeClr val="accent1"/>
            </a:solidFill>
            <a:ln>
              <a:solidFill>
                <a:schemeClr val="tx1"/>
              </a:solidFill>
            </a:ln>
            <a:effectLst/>
          </c:spPr>
          <c:invertIfNegative val="0"/>
          <c:cat>
            <c:numRef>
              <c:f>'A6 DE Orders by Origin'!$B$7:$B$79</c:f>
              <c:numCache>
                <c:formatCode>mmm\-yyyy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'A6 DE Orders by Origin'!$C$7:$C$79</c:f>
              <c:numCache>
                <c:formatCode>_(* #,##0.00_);_(* \(#,##0.00\);_(* "-"??_);_(@_)</c:formatCode>
                <c:ptCount val="73"/>
                <c:pt idx="0">
                  <c:v>0</c:v>
                </c:pt>
                <c:pt idx="1">
                  <c:v>0</c:v>
                </c:pt>
                <c:pt idx="2">
                  <c:v>0</c:v>
                </c:pt>
                <c:pt idx="3">
                  <c:v>0</c:v>
                </c:pt>
                <c:pt idx="4">
                  <c:v>0</c:v>
                </c:pt>
                <c:pt idx="5">
                  <c:v>4.5999999999999996</c:v>
                </c:pt>
                <c:pt idx="6">
                  <c:v>0</c:v>
                </c:pt>
                <c:pt idx="7">
                  <c:v>0.35</c:v>
                </c:pt>
                <c:pt idx="8">
                  <c:v>1.88</c:v>
                </c:pt>
                <c:pt idx="9">
                  <c:v>0.04</c:v>
                </c:pt>
                <c:pt idx="10">
                  <c:v>0.80600000000000005</c:v>
                </c:pt>
                <c:pt idx="11">
                  <c:v>0.45</c:v>
                </c:pt>
                <c:pt idx="12">
                  <c:v>0</c:v>
                </c:pt>
                <c:pt idx="13">
                  <c:v>0</c:v>
                </c:pt>
                <c:pt idx="14">
                  <c:v>0</c:v>
                </c:pt>
                <c:pt idx="15">
                  <c:v>0.29499999999999998</c:v>
                </c:pt>
                <c:pt idx="16">
                  <c:v>2.4020000000000001</c:v>
                </c:pt>
                <c:pt idx="17">
                  <c:v>5.7510000000000003</c:v>
                </c:pt>
                <c:pt idx="18">
                  <c:v>0</c:v>
                </c:pt>
                <c:pt idx="19">
                  <c:v>0</c:v>
                </c:pt>
                <c:pt idx="20">
                  <c:v>0</c:v>
                </c:pt>
                <c:pt idx="21">
                  <c:v>0</c:v>
                </c:pt>
                <c:pt idx="22">
                  <c:v>0</c:v>
                </c:pt>
                <c:pt idx="23">
                  <c:v>0</c:v>
                </c:pt>
                <c:pt idx="24">
                  <c:v>0</c:v>
                </c:pt>
                <c:pt idx="25">
                  <c:v>0</c:v>
                </c:pt>
                <c:pt idx="26">
                  <c:v>0</c:v>
                </c:pt>
                <c:pt idx="27">
                  <c:v>0</c:v>
                </c:pt>
                <c:pt idx="28">
                  <c:v>2.5139</c:v>
                </c:pt>
                <c:pt idx="29">
                  <c:v>0</c:v>
                </c:pt>
                <c:pt idx="30">
                  <c:v>6.9321000000000002</c:v>
                </c:pt>
                <c:pt idx="31">
                  <c:v>0</c:v>
                </c:pt>
                <c:pt idx="32">
                  <c:v>0</c:v>
                </c:pt>
                <c:pt idx="33">
                  <c:v>0.10489999999999999</c:v>
                </c:pt>
                <c:pt idx="34">
                  <c:v>0.05</c:v>
                </c:pt>
                <c:pt idx="35">
                  <c:v>1.179</c:v>
                </c:pt>
                <c:pt idx="36">
                  <c:v>0</c:v>
                </c:pt>
                <c:pt idx="37">
                  <c:v>0.2208</c:v>
                </c:pt>
                <c:pt idx="38">
                  <c:v>0.22600000000000001</c:v>
                </c:pt>
                <c:pt idx="39">
                  <c:v>5.0999999999999997E-2</c:v>
                </c:pt>
                <c:pt idx="40">
                  <c:v>1.8032999999999999</c:v>
                </c:pt>
                <c:pt idx="41">
                  <c:v>1.8532</c:v>
                </c:pt>
                <c:pt idx="42">
                  <c:v>2.7376</c:v>
                </c:pt>
                <c:pt idx="43">
                  <c:v>0</c:v>
                </c:pt>
                <c:pt idx="44">
                  <c:v>0.23860000000000001</c:v>
                </c:pt>
                <c:pt idx="45">
                  <c:v>0.19800000000000001</c:v>
                </c:pt>
                <c:pt idx="46">
                  <c:v>13.7913</c:v>
                </c:pt>
                <c:pt idx="47">
                  <c:v>0.13458000000000001</c:v>
                </c:pt>
                <c:pt idx="48">
                  <c:v>1.23</c:v>
                </c:pt>
                <c:pt idx="49">
                  <c:v>2.8490000000000002</c:v>
                </c:pt>
                <c:pt idx="50">
                  <c:v>2.7679</c:v>
                </c:pt>
                <c:pt idx="51">
                  <c:v>0.17599999999999999</c:v>
                </c:pt>
                <c:pt idx="52">
                  <c:v>0.32475999999999999</c:v>
                </c:pt>
                <c:pt idx="53">
                  <c:v>4.4130000000000003</c:v>
                </c:pt>
                <c:pt idx="54">
                  <c:v>4.2670000000000003</c:v>
                </c:pt>
                <c:pt idx="55">
                  <c:v>0</c:v>
                </c:pt>
                <c:pt idx="56">
                  <c:v>0.08</c:v>
                </c:pt>
                <c:pt idx="57">
                  <c:v>6.5</c:v>
                </c:pt>
                <c:pt idx="58">
                  <c:v>1.5785</c:v>
                </c:pt>
                <c:pt idx="59">
                  <c:v>0.8</c:v>
                </c:pt>
                <c:pt idx="60">
                  <c:v>0.52070000000000005</c:v>
                </c:pt>
                <c:pt idx="61">
                  <c:v>0</c:v>
                </c:pt>
                <c:pt idx="62">
                  <c:v>0</c:v>
                </c:pt>
                <c:pt idx="63">
                  <c:v>0</c:v>
                </c:pt>
                <c:pt idx="64">
                  <c:v>0</c:v>
                </c:pt>
                <c:pt idx="65">
                  <c:v>2.5</c:v>
                </c:pt>
                <c:pt idx="66">
                  <c:v>0.77</c:v>
                </c:pt>
                <c:pt idx="67">
                  <c:v>0</c:v>
                </c:pt>
                <c:pt idx="68">
                  <c:v>0.39900000000000002</c:v>
                </c:pt>
                <c:pt idx="69">
                  <c:v>3.6429999999999998</c:v>
                </c:pt>
                <c:pt idx="70">
                  <c:v>0.21199999999999999</c:v>
                </c:pt>
                <c:pt idx="71">
                  <c:v>33.606688191000003</c:v>
                </c:pt>
                <c:pt idx="72">
                  <c:v>0</c:v>
                </c:pt>
              </c:numCache>
            </c:numRef>
          </c:val>
          <c:extLst>
            <c:ext xmlns:c16="http://schemas.microsoft.com/office/drawing/2014/chart" uri="{C3380CC4-5D6E-409C-BE32-E72D297353CC}">
              <c16:uniqueId val="{00000000-EBC6-43A8-AFC7-C74092DD4E88}"/>
            </c:ext>
          </c:extLst>
        </c:ser>
        <c:ser>
          <c:idx val="4"/>
          <c:order val="1"/>
          <c:tx>
            <c:strRef>
              <c:f>'A6 DE Orders by Origin'!$D$6</c:f>
              <c:strCache>
                <c:ptCount val="1"/>
                <c:pt idx="0">
                  <c:v>Germany and foreign partnership</c:v>
                </c:pt>
              </c:strCache>
            </c:strRef>
          </c:tx>
          <c:spPr>
            <a:pattFill prst="dkDnDiag">
              <a:fgClr>
                <a:schemeClr val="accent6"/>
              </a:fgClr>
              <a:bgClr>
                <a:schemeClr val="bg1"/>
              </a:bgClr>
            </a:pattFill>
            <a:ln>
              <a:solidFill>
                <a:schemeClr val="tx1"/>
              </a:solidFill>
            </a:ln>
            <a:effectLst/>
          </c:spPr>
          <c:invertIfNegative val="0"/>
          <c:cat>
            <c:numRef>
              <c:f>'A6 DE Orders by Origin'!$B$7:$B$79</c:f>
              <c:numCache>
                <c:formatCode>mmm\-yyyy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'A6 DE Orders by Origin'!$D$7:$D$79</c:f>
              <c:numCache>
                <c:formatCode>_(* #,##0.00_);_(* \(#,##0.00\);_(* "-"??_);_(@_)</c:formatCode>
                <c:ptCount val="73"/>
                <c:pt idx="0">
                  <c:v>0</c:v>
                </c:pt>
                <c:pt idx="1">
                  <c:v>0</c:v>
                </c:pt>
                <c:pt idx="2">
                  <c:v>0</c:v>
                </c:pt>
                <c:pt idx="3">
                  <c:v>0</c:v>
                </c:pt>
                <c:pt idx="4">
                  <c:v>0.03</c:v>
                </c:pt>
                <c:pt idx="5">
                  <c:v>8.4</c:v>
                </c:pt>
                <c:pt idx="6">
                  <c:v>0</c:v>
                </c:pt>
                <c:pt idx="7">
                  <c:v>0</c:v>
                </c:pt>
                <c:pt idx="8">
                  <c:v>0.504</c:v>
                </c:pt>
                <c:pt idx="9">
                  <c:v>0</c:v>
                </c:pt>
                <c:pt idx="10">
                  <c:v>8.1999999999999993</c:v>
                </c:pt>
                <c:pt idx="11">
                  <c:v>0</c:v>
                </c:pt>
                <c:pt idx="12">
                  <c:v>0</c:v>
                </c:pt>
                <c:pt idx="13">
                  <c:v>8.7999999999999995E-2</c:v>
                </c:pt>
                <c:pt idx="14">
                  <c:v>0</c:v>
                </c:pt>
                <c:pt idx="15">
                  <c:v>3.3460000000000001</c:v>
                </c:pt>
                <c:pt idx="16">
                  <c:v>0</c:v>
                </c:pt>
                <c:pt idx="17">
                  <c:v>9.1798999999999999</c:v>
                </c:pt>
                <c:pt idx="18">
                  <c:v>0</c:v>
                </c:pt>
                <c:pt idx="19">
                  <c:v>0</c:v>
                </c:pt>
                <c:pt idx="20">
                  <c:v>0</c:v>
                </c:pt>
                <c:pt idx="21">
                  <c:v>0</c:v>
                </c:pt>
                <c:pt idx="22">
                  <c:v>0</c:v>
                </c:pt>
                <c:pt idx="23">
                  <c:v>0</c:v>
                </c:pt>
                <c:pt idx="24">
                  <c:v>0</c:v>
                </c:pt>
                <c:pt idx="25">
                  <c:v>0</c:v>
                </c:pt>
                <c:pt idx="26">
                  <c:v>0</c:v>
                </c:pt>
                <c:pt idx="27">
                  <c:v>0</c:v>
                </c:pt>
                <c:pt idx="28">
                  <c:v>0</c:v>
                </c:pt>
                <c:pt idx="29">
                  <c:v>3.5000000000000003E-2</c:v>
                </c:pt>
                <c:pt idx="30">
                  <c:v>0.24199999999999999</c:v>
                </c:pt>
                <c:pt idx="31">
                  <c:v>0</c:v>
                </c:pt>
                <c:pt idx="32">
                  <c:v>0.63700000000000001</c:v>
                </c:pt>
                <c:pt idx="33">
                  <c:v>0</c:v>
                </c:pt>
                <c:pt idx="34">
                  <c:v>2.3199999999999998E-2</c:v>
                </c:pt>
                <c:pt idx="35">
                  <c:v>0</c:v>
                </c:pt>
                <c:pt idx="36">
                  <c:v>0</c:v>
                </c:pt>
                <c:pt idx="37">
                  <c:v>0</c:v>
                </c:pt>
                <c:pt idx="38">
                  <c:v>1.1484000000000001</c:v>
                </c:pt>
                <c:pt idx="39">
                  <c:v>0.26900000000000002</c:v>
                </c:pt>
                <c:pt idx="40">
                  <c:v>0</c:v>
                </c:pt>
                <c:pt idx="41">
                  <c:v>0</c:v>
                </c:pt>
                <c:pt idx="42">
                  <c:v>2.7300000000000001E-2</c:v>
                </c:pt>
                <c:pt idx="43">
                  <c:v>0</c:v>
                </c:pt>
                <c:pt idx="44">
                  <c:v>0.19769999999999999</c:v>
                </c:pt>
                <c:pt idx="45">
                  <c:v>4</c:v>
                </c:pt>
                <c:pt idx="46">
                  <c:v>5.8999999999999997E-2</c:v>
                </c:pt>
                <c:pt idx="47">
                  <c:v>5.8388999999999998</c:v>
                </c:pt>
                <c:pt idx="48">
                  <c:v>0</c:v>
                </c:pt>
                <c:pt idx="49">
                  <c:v>0</c:v>
                </c:pt>
                <c:pt idx="50">
                  <c:v>0.26400000000000001</c:v>
                </c:pt>
                <c:pt idx="51">
                  <c:v>0.41099999999999998</c:v>
                </c:pt>
                <c:pt idx="52">
                  <c:v>0</c:v>
                </c:pt>
                <c:pt idx="53">
                  <c:v>4.1689999999999996</c:v>
                </c:pt>
                <c:pt idx="54">
                  <c:v>0</c:v>
                </c:pt>
                <c:pt idx="55">
                  <c:v>0</c:v>
                </c:pt>
                <c:pt idx="56">
                  <c:v>0.39860000000000001</c:v>
                </c:pt>
                <c:pt idx="57">
                  <c:v>0.19500000000000001</c:v>
                </c:pt>
                <c:pt idx="58">
                  <c:v>0.58399999999999996</c:v>
                </c:pt>
                <c:pt idx="59">
                  <c:v>4.9697589999999998</c:v>
                </c:pt>
                <c:pt idx="60">
                  <c:v>0</c:v>
                </c:pt>
                <c:pt idx="61">
                  <c:v>0</c:v>
                </c:pt>
                <c:pt idx="62">
                  <c:v>0</c:v>
                </c:pt>
                <c:pt idx="63">
                  <c:v>0</c:v>
                </c:pt>
                <c:pt idx="64">
                  <c:v>0</c:v>
                </c:pt>
                <c:pt idx="65">
                  <c:v>0.32750000000000001</c:v>
                </c:pt>
                <c:pt idx="66">
                  <c:v>0</c:v>
                </c:pt>
                <c:pt idx="67">
                  <c:v>0</c:v>
                </c:pt>
                <c:pt idx="68">
                  <c:v>2.2179000000000002</c:v>
                </c:pt>
                <c:pt idx="69">
                  <c:v>9.9909999999999997</c:v>
                </c:pt>
                <c:pt idx="70">
                  <c:v>5.18</c:v>
                </c:pt>
                <c:pt idx="71">
                  <c:v>8.3109999999999999</c:v>
                </c:pt>
                <c:pt idx="72">
                  <c:v>0</c:v>
                </c:pt>
              </c:numCache>
            </c:numRef>
          </c:val>
          <c:extLst>
            <c:ext xmlns:c16="http://schemas.microsoft.com/office/drawing/2014/chart" uri="{C3380CC4-5D6E-409C-BE32-E72D297353CC}">
              <c16:uniqueId val="{00000001-EBC6-43A8-AFC7-C74092DD4E88}"/>
            </c:ext>
          </c:extLst>
        </c:ser>
        <c:ser>
          <c:idx val="3"/>
          <c:order val="2"/>
          <c:tx>
            <c:strRef>
              <c:f>'A6 DE Orders by Origin'!$E$6</c:f>
              <c:strCache>
                <c:ptCount val="1"/>
                <c:pt idx="0">
                  <c:v>European, non-Germany</c:v>
                </c:pt>
              </c:strCache>
            </c:strRef>
          </c:tx>
          <c:spPr>
            <a:pattFill prst="trellis">
              <a:fgClr>
                <a:schemeClr val="accent2"/>
              </a:fgClr>
              <a:bgClr>
                <a:schemeClr val="bg1"/>
              </a:bgClr>
            </a:pattFill>
            <a:ln>
              <a:solidFill>
                <a:schemeClr val="tx1"/>
              </a:solidFill>
            </a:ln>
            <a:effectLst/>
          </c:spPr>
          <c:invertIfNegative val="0"/>
          <c:cat>
            <c:numRef>
              <c:f>'A6 DE Orders by Origin'!$B$7:$B$79</c:f>
              <c:numCache>
                <c:formatCode>mmm\-yyyy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'A6 DE Orders by Origin'!$E$7:$E$79</c:f>
              <c:numCache>
                <c:formatCode>_(* #,##0.00_);_(* \(#,##0.00\);_(* "-"??_);_(@_)</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2.4E-2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0.40500000000000003</c:v>
                </c:pt>
                <c:pt idx="36">
                  <c:v>0</c:v>
                </c:pt>
                <c:pt idx="37">
                  <c:v>0</c:v>
                </c:pt>
                <c:pt idx="38">
                  <c:v>0</c:v>
                </c:pt>
                <c:pt idx="39">
                  <c:v>0</c:v>
                </c:pt>
                <c:pt idx="40">
                  <c:v>0</c:v>
                </c:pt>
                <c:pt idx="41">
                  <c:v>0</c:v>
                </c:pt>
                <c:pt idx="42">
                  <c:v>0</c:v>
                </c:pt>
                <c:pt idx="43">
                  <c:v>0</c:v>
                </c:pt>
                <c:pt idx="44">
                  <c:v>0</c:v>
                </c:pt>
                <c:pt idx="45">
                  <c:v>0</c:v>
                </c:pt>
                <c:pt idx="46">
                  <c:v>0</c:v>
                </c:pt>
                <c:pt idx="47">
                  <c:v>0.27800000000000002</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0.92200000000000004</c:v>
                </c:pt>
                <c:pt idx="66">
                  <c:v>0</c:v>
                </c:pt>
                <c:pt idx="67">
                  <c:v>0</c:v>
                </c:pt>
                <c:pt idx="68">
                  <c:v>0</c:v>
                </c:pt>
                <c:pt idx="69">
                  <c:v>0</c:v>
                </c:pt>
                <c:pt idx="70">
                  <c:v>0.24</c:v>
                </c:pt>
                <c:pt idx="71">
                  <c:v>0.54500000000000004</c:v>
                </c:pt>
                <c:pt idx="72">
                  <c:v>0</c:v>
                </c:pt>
              </c:numCache>
            </c:numRef>
          </c:val>
          <c:extLst>
            <c:ext xmlns:c16="http://schemas.microsoft.com/office/drawing/2014/chart" uri="{C3380CC4-5D6E-409C-BE32-E72D297353CC}">
              <c16:uniqueId val="{00000002-EBC6-43A8-AFC7-C74092DD4E88}"/>
            </c:ext>
          </c:extLst>
        </c:ser>
        <c:ser>
          <c:idx val="1"/>
          <c:order val="3"/>
          <c:tx>
            <c:strRef>
              <c:f>'A6 DE Orders by Origin'!$F$6</c:f>
              <c:strCache>
                <c:ptCount val="1"/>
                <c:pt idx="0">
                  <c:v>Non-European only</c:v>
                </c:pt>
              </c:strCache>
            </c:strRef>
          </c:tx>
          <c:spPr>
            <a:pattFill prst="pct60">
              <a:fgClr>
                <a:schemeClr val="accent5"/>
              </a:fgClr>
              <a:bgClr>
                <a:schemeClr val="bg1"/>
              </a:bgClr>
            </a:pattFill>
            <a:ln>
              <a:solidFill>
                <a:schemeClr val="tx1"/>
              </a:solidFill>
            </a:ln>
            <a:effectLst/>
          </c:spPr>
          <c:invertIfNegative val="0"/>
          <c:cat>
            <c:numRef>
              <c:f>'A6 DE Orders by Origin'!$B$7:$B$79</c:f>
              <c:numCache>
                <c:formatCode>mmm\-yyyy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'A6 DE Orders by Origin'!$F$7:$F$79</c:f>
              <c:numCache>
                <c:formatCode>_(* #,##0.00_);_(* \(#,##0.00\);_(* "-"??_);_(@_)</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1.1000000000000001</c:v>
                </c:pt>
                <c:pt idx="18">
                  <c:v>0</c:v>
                </c:pt>
                <c:pt idx="19">
                  <c:v>0</c:v>
                </c:pt>
                <c:pt idx="20">
                  <c:v>0</c:v>
                </c:pt>
                <c:pt idx="21">
                  <c:v>0</c:v>
                </c:pt>
                <c:pt idx="22">
                  <c:v>0</c:v>
                </c:pt>
                <c:pt idx="23">
                  <c:v>0</c:v>
                </c:pt>
                <c:pt idx="24">
                  <c:v>0</c:v>
                </c:pt>
                <c:pt idx="25">
                  <c:v>0</c:v>
                </c:pt>
                <c:pt idx="26">
                  <c:v>0</c:v>
                </c:pt>
                <c:pt idx="27">
                  <c:v>0.15</c:v>
                </c:pt>
                <c:pt idx="28">
                  <c:v>0</c:v>
                </c:pt>
                <c:pt idx="29">
                  <c:v>0.10100000000000001</c:v>
                </c:pt>
                <c:pt idx="30">
                  <c:v>0.34179999999999999</c:v>
                </c:pt>
                <c:pt idx="31">
                  <c:v>0</c:v>
                </c:pt>
                <c:pt idx="32">
                  <c:v>0</c:v>
                </c:pt>
                <c:pt idx="33">
                  <c:v>0</c:v>
                </c:pt>
                <c:pt idx="34">
                  <c:v>0</c:v>
                </c:pt>
                <c:pt idx="35">
                  <c:v>8.3000000000000007</c:v>
                </c:pt>
                <c:pt idx="36">
                  <c:v>0</c:v>
                </c:pt>
                <c:pt idx="37">
                  <c:v>0</c:v>
                </c:pt>
                <c:pt idx="38">
                  <c:v>0</c:v>
                </c:pt>
                <c:pt idx="39">
                  <c:v>0</c:v>
                </c:pt>
                <c:pt idx="40">
                  <c:v>0.18</c:v>
                </c:pt>
                <c:pt idx="41">
                  <c:v>0</c:v>
                </c:pt>
                <c:pt idx="42">
                  <c:v>6.98</c:v>
                </c:pt>
                <c:pt idx="43">
                  <c:v>0</c:v>
                </c:pt>
                <c:pt idx="44">
                  <c:v>0</c:v>
                </c:pt>
                <c:pt idx="45">
                  <c:v>9.1999999999999998E-2</c:v>
                </c:pt>
                <c:pt idx="46">
                  <c:v>1.1000000000000001</c:v>
                </c:pt>
                <c:pt idx="47">
                  <c:v>0</c:v>
                </c:pt>
                <c:pt idx="48">
                  <c:v>0</c:v>
                </c:pt>
                <c:pt idx="49">
                  <c:v>0</c:v>
                </c:pt>
                <c:pt idx="50">
                  <c:v>1.4</c:v>
                </c:pt>
                <c:pt idx="51">
                  <c:v>0</c:v>
                </c:pt>
                <c:pt idx="52">
                  <c:v>0.17799999999999999</c:v>
                </c:pt>
                <c:pt idx="53">
                  <c:v>0.62</c:v>
                </c:pt>
                <c:pt idx="54">
                  <c:v>1.6</c:v>
                </c:pt>
                <c:pt idx="55">
                  <c:v>0</c:v>
                </c:pt>
                <c:pt idx="56">
                  <c:v>0.47339999999999999</c:v>
                </c:pt>
                <c:pt idx="57">
                  <c:v>0</c:v>
                </c:pt>
                <c:pt idx="58">
                  <c:v>0</c:v>
                </c:pt>
                <c:pt idx="59">
                  <c:v>6.5000000000000002E-2</c:v>
                </c:pt>
                <c:pt idx="60">
                  <c:v>0</c:v>
                </c:pt>
                <c:pt idx="61">
                  <c:v>0</c:v>
                </c:pt>
                <c:pt idx="62">
                  <c:v>0</c:v>
                </c:pt>
                <c:pt idx="63">
                  <c:v>0</c:v>
                </c:pt>
                <c:pt idx="64">
                  <c:v>0</c:v>
                </c:pt>
                <c:pt idx="65">
                  <c:v>0.26</c:v>
                </c:pt>
                <c:pt idx="66">
                  <c:v>0</c:v>
                </c:pt>
                <c:pt idx="67">
                  <c:v>0</c:v>
                </c:pt>
                <c:pt idx="68">
                  <c:v>0.114</c:v>
                </c:pt>
                <c:pt idx="69">
                  <c:v>0.48591000000000001</c:v>
                </c:pt>
                <c:pt idx="70">
                  <c:v>0.16200000000000001</c:v>
                </c:pt>
                <c:pt idx="71">
                  <c:v>1.9</c:v>
                </c:pt>
                <c:pt idx="72">
                  <c:v>0</c:v>
                </c:pt>
              </c:numCache>
            </c:numRef>
          </c:val>
          <c:extLst>
            <c:ext xmlns:c16="http://schemas.microsoft.com/office/drawing/2014/chart" uri="{C3380CC4-5D6E-409C-BE32-E72D297353CC}">
              <c16:uniqueId val="{00000003-EBC6-43A8-AFC7-C74092DD4E88}"/>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legend>
      <c:legendPos val="r"/>
      <c:layout>
        <c:manualLayout>
          <c:xMode val="edge"/>
          <c:yMode val="edge"/>
          <c:x val="0.38718467138801899"/>
          <c:y val="2.2014377558977617E-4"/>
          <c:w val="0.28284935773318376"/>
          <c:h val="0.23108187161944446"/>
        </c:manualLayout>
      </c:layout>
      <c:overlay val="0"/>
      <c:spPr>
        <a:solidFill>
          <a:sysClr val="window" lastClr="FFFFFF">
            <a:alpha val="0"/>
          </a:sysClr>
        </a:solid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87062114757834E-2"/>
          <c:y val="7.8055830963291203E-2"/>
          <c:w val="0.92853215611846474"/>
          <c:h val="0.79280803388926002"/>
        </c:manualLayout>
      </c:layout>
      <c:barChart>
        <c:barDir val="col"/>
        <c:grouping val="stacked"/>
        <c:varyColors val="0"/>
        <c:ser>
          <c:idx val="2"/>
          <c:order val="0"/>
          <c:tx>
            <c:strRef>
              <c:f>'Fig 2 DE Orders by Category'!$C$6</c:f>
              <c:strCache>
                <c:ptCount val="1"/>
                <c:pt idx="0">
                  <c:v>Air</c:v>
                </c:pt>
              </c:strCache>
            </c:strRef>
          </c:tx>
          <c:spPr>
            <a:solidFill>
              <a:srgbClr val="32C2FF"/>
            </a:solidFill>
            <a:ln>
              <a:solidFill>
                <a:schemeClr val="tx1"/>
              </a:solidFill>
            </a:ln>
            <a:effectLst/>
          </c:spPr>
          <c:invertIfNegative val="0"/>
          <c:cat>
            <c:numRef>
              <c:f>'Fig 2 DE Orders by Category'!$B$7:$B$79</c:f>
              <c:numCache>
                <c:formatCode>[$-409]mmm\-yy;@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'Fig 2 DE Orders by Category'!$C$7:$C$79</c:f>
              <c:numCache>
                <c:formatCode>_(* #,##0.00_);_(* \(#,##0.00\);_(* "-"??_);_(@_)</c:formatCode>
                <c:ptCount val="73"/>
                <c:pt idx="0">
                  <c:v>0</c:v>
                </c:pt>
                <c:pt idx="1">
                  <c:v>0</c:v>
                </c:pt>
                <c:pt idx="2">
                  <c:v>0</c:v>
                </c:pt>
                <c:pt idx="3">
                  <c:v>0</c:v>
                </c:pt>
                <c:pt idx="4">
                  <c:v>0</c:v>
                </c:pt>
                <c:pt idx="5">
                  <c:v>2.8</c:v>
                </c:pt>
                <c:pt idx="6">
                  <c:v>0</c:v>
                </c:pt>
                <c:pt idx="7">
                  <c:v>0</c:v>
                </c:pt>
                <c:pt idx="8">
                  <c:v>0.21299999999999999</c:v>
                </c:pt>
                <c:pt idx="9">
                  <c:v>0</c:v>
                </c:pt>
                <c:pt idx="10">
                  <c:v>5.5</c:v>
                </c:pt>
                <c:pt idx="11">
                  <c:v>0</c:v>
                </c:pt>
                <c:pt idx="12">
                  <c:v>0</c:v>
                </c:pt>
                <c:pt idx="13">
                  <c:v>0</c:v>
                </c:pt>
                <c:pt idx="14">
                  <c:v>0</c:v>
                </c:pt>
                <c:pt idx="15">
                  <c:v>0.105</c:v>
                </c:pt>
                <c:pt idx="16">
                  <c:v>0</c:v>
                </c:pt>
                <c:pt idx="17">
                  <c:v>6.2130000000000001</c:v>
                </c:pt>
                <c:pt idx="18">
                  <c:v>0</c:v>
                </c:pt>
                <c:pt idx="19">
                  <c:v>0</c:v>
                </c:pt>
                <c:pt idx="20">
                  <c:v>0</c:v>
                </c:pt>
                <c:pt idx="21">
                  <c:v>0</c:v>
                </c:pt>
                <c:pt idx="22">
                  <c:v>0</c:v>
                </c:pt>
                <c:pt idx="23">
                  <c:v>0</c:v>
                </c:pt>
                <c:pt idx="24">
                  <c:v>0</c:v>
                </c:pt>
                <c:pt idx="25">
                  <c:v>0</c:v>
                </c:pt>
                <c:pt idx="26">
                  <c:v>0</c:v>
                </c:pt>
                <c:pt idx="27">
                  <c:v>0</c:v>
                </c:pt>
                <c:pt idx="28">
                  <c:v>0</c:v>
                </c:pt>
                <c:pt idx="29">
                  <c:v>0</c:v>
                </c:pt>
                <c:pt idx="30">
                  <c:v>0.24199999999999999</c:v>
                </c:pt>
                <c:pt idx="31">
                  <c:v>0</c:v>
                </c:pt>
                <c:pt idx="32">
                  <c:v>0</c:v>
                </c:pt>
                <c:pt idx="33">
                  <c:v>0</c:v>
                </c:pt>
                <c:pt idx="34">
                  <c:v>0</c:v>
                </c:pt>
                <c:pt idx="35">
                  <c:v>8.3000000000000007</c:v>
                </c:pt>
                <c:pt idx="36">
                  <c:v>0</c:v>
                </c:pt>
                <c:pt idx="37">
                  <c:v>0</c:v>
                </c:pt>
                <c:pt idx="38">
                  <c:v>0</c:v>
                </c:pt>
                <c:pt idx="39">
                  <c:v>0</c:v>
                </c:pt>
                <c:pt idx="40">
                  <c:v>0</c:v>
                </c:pt>
                <c:pt idx="41">
                  <c:v>0</c:v>
                </c:pt>
                <c:pt idx="42">
                  <c:v>0</c:v>
                </c:pt>
                <c:pt idx="43">
                  <c:v>0</c:v>
                </c:pt>
                <c:pt idx="44">
                  <c:v>0.19769999999999999</c:v>
                </c:pt>
                <c:pt idx="45">
                  <c:v>0</c:v>
                </c:pt>
                <c:pt idx="46">
                  <c:v>4.9299999999999997E-2</c:v>
                </c:pt>
                <c:pt idx="47">
                  <c:v>0.1429</c:v>
                </c:pt>
                <c:pt idx="48">
                  <c:v>0</c:v>
                </c:pt>
                <c:pt idx="49">
                  <c:v>0</c:v>
                </c:pt>
                <c:pt idx="50">
                  <c:v>0.10199999999999999</c:v>
                </c:pt>
                <c:pt idx="51">
                  <c:v>0.14000000000000001</c:v>
                </c:pt>
                <c:pt idx="52">
                  <c:v>0.17799999999999999</c:v>
                </c:pt>
                <c:pt idx="53">
                  <c:v>0.442</c:v>
                </c:pt>
                <c:pt idx="54">
                  <c:v>0</c:v>
                </c:pt>
                <c:pt idx="55">
                  <c:v>0</c:v>
                </c:pt>
                <c:pt idx="56">
                  <c:v>0.122</c:v>
                </c:pt>
                <c:pt idx="57">
                  <c:v>0.32200000000000001</c:v>
                </c:pt>
                <c:pt idx="58">
                  <c:v>0.58400000000000007</c:v>
                </c:pt>
                <c:pt idx="59">
                  <c:v>0</c:v>
                </c:pt>
                <c:pt idx="60">
                  <c:v>0</c:v>
                </c:pt>
                <c:pt idx="61">
                  <c:v>0</c:v>
                </c:pt>
                <c:pt idx="62">
                  <c:v>0</c:v>
                </c:pt>
                <c:pt idx="63">
                  <c:v>0</c:v>
                </c:pt>
                <c:pt idx="64">
                  <c:v>0</c:v>
                </c:pt>
                <c:pt idx="65">
                  <c:v>2.1065</c:v>
                </c:pt>
                <c:pt idx="66">
                  <c:v>0</c:v>
                </c:pt>
                <c:pt idx="67">
                  <c:v>0</c:v>
                </c:pt>
                <c:pt idx="68">
                  <c:v>0</c:v>
                </c:pt>
                <c:pt idx="69">
                  <c:v>4.1619999999999999</c:v>
                </c:pt>
                <c:pt idx="70">
                  <c:v>0.67799999999999994</c:v>
                </c:pt>
                <c:pt idx="71">
                  <c:v>1.377</c:v>
                </c:pt>
                <c:pt idx="72">
                  <c:v>0</c:v>
                </c:pt>
              </c:numCache>
            </c:numRef>
          </c:val>
          <c:extLst>
            <c:ext xmlns:c16="http://schemas.microsoft.com/office/drawing/2014/chart" uri="{C3380CC4-5D6E-409C-BE32-E72D297353CC}">
              <c16:uniqueId val="{00000000-E9DC-4496-90FC-D3860F51F591}"/>
            </c:ext>
          </c:extLst>
        </c:ser>
        <c:ser>
          <c:idx val="0"/>
          <c:order val="1"/>
          <c:tx>
            <c:strRef>
              <c:f>'Fig 2 DE Orders by Category'!$D$6</c:f>
              <c:strCache>
                <c:ptCount val="1"/>
                <c:pt idx="0">
                  <c:v>Sea</c:v>
                </c:pt>
              </c:strCache>
            </c:strRef>
          </c:tx>
          <c:spPr>
            <a:solidFill>
              <a:srgbClr val="304DC3"/>
            </a:solidFill>
            <a:ln>
              <a:solidFill>
                <a:schemeClr val="tx1"/>
              </a:solidFill>
            </a:ln>
            <a:effectLst/>
          </c:spPr>
          <c:invertIfNegative val="0"/>
          <c:cat>
            <c:numRef>
              <c:f>'Fig 2 DE Orders by Category'!$B$7:$B$79</c:f>
              <c:numCache>
                <c:formatCode>[$-409]mmm\-yy;@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'Fig 2 DE Orders by Category'!$D$7:$D$79</c:f>
              <c:numCache>
                <c:formatCode>_(* #,##0.00_);_(* \(#,##0.00\);_(* "-"??_);_(@_)</c:formatCode>
                <c:ptCount val="73"/>
                <c:pt idx="0">
                  <c:v>0</c:v>
                </c:pt>
                <c:pt idx="1">
                  <c:v>0</c:v>
                </c:pt>
                <c:pt idx="2">
                  <c:v>0</c:v>
                </c:pt>
                <c:pt idx="3">
                  <c:v>0</c:v>
                </c:pt>
                <c:pt idx="4">
                  <c:v>0</c:v>
                </c:pt>
                <c:pt idx="5">
                  <c:v>5.6</c:v>
                </c:pt>
                <c:pt idx="6">
                  <c:v>0</c:v>
                </c:pt>
                <c:pt idx="7">
                  <c:v>0</c:v>
                </c:pt>
                <c:pt idx="8">
                  <c:v>0.29099999999999998</c:v>
                </c:pt>
                <c:pt idx="9">
                  <c:v>0</c:v>
                </c:pt>
                <c:pt idx="10">
                  <c:v>2.7309999999999999</c:v>
                </c:pt>
                <c:pt idx="11">
                  <c:v>0</c:v>
                </c:pt>
                <c:pt idx="12">
                  <c:v>0</c:v>
                </c:pt>
                <c:pt idx="13">
                  <c:v>0</c:v>
                </c:pt>
                <c:pt idx="14">
                  <c:v>0</c:v>
                </c:pt>
                <c:pt idx="15">
                  <c:v>7.8E-2</c:v>
                </c:pt>
                <c:pt idx="16">
                  <c:v>0</c:v>
                </c:pt>
                <c:pt idx="17">
                  <c:v>7.4718780000000002</c:v>
                </c:pt>
                <c:pt idx="18">
                  <c:v>0</c:v>
                </c:pt>
                <c:pt idx="19">
                  <c:v>0</c:v>
                </c:pt>
                <c:pt idx="20">
                  <c:v>0</c:v>
                </c:pt>
                <c:pt idx="21">
                  <c:v>0</c:v>
                </c:pt>
                <c:pt idx="22">
                  <c:v>0</c:v>
                </c:pt>
                <c:pt idx="23">
                  <c:v>0</c:v>
                </c:pt>
                <c:pt idx="24">
                  <c:v>0</c:v>
                </c:pt>
                <c:pt idx="25">
                  <c:v>0</c:v>
                </c:pt>
                <c:pt idx="26">
                  <c:v>0</c:v>
                </c:pt>
                <c:pt idx="27">
                  <c:v>0</c:v>
                </c:pt>
                <c:pt idx="28">
                  <c:v>0</c:v>
                </c:pt>
                <c:pt idx="29">
                  <c:v>3.5000000000000003E-2</c:v>
                </c:pt>
                <c:pt idx="30">
                  <c:v>0.34179999999999999</c:v>
                </c:pt>
                <c:pt idx="31">
                  <c:v>0</c:v>
                </c:pt>
                <c:pt idx="32">
                  <c:v>0.63700000000000001</c:v>
                </c:pt>
                <c:pt idx="33">
                  <c:v>0</c:v>
                </c:pt>
                <c:pt idx="34">
                  <c:v>0</c:v>
                </c:pt>
                <c:pt idx="35">
                  <c:v>0</c:v>
                </c:pt>
                <c:pt idx="36">
                  <c:v>0</c:v>
                </c:pt>
                <c:pt idx="37">
                  <c:v>0</c:v>
                </c:pt>
                <c:pt idx="38">
                  <c:v>4.2000000000000003E-2</c:v>
                </c:pt>
                <c:pt idx="39">
                  <c:v>0.26900000000000002</c:v>
                </c:pt>
                <c:pt idx="40">
                  <c:v>0.18</c:v>
                </c:pt>
                <c:pt idx="41">
                  <c:v>0</c:v>
                </c:pt>
                <c:pt idx="42">
                  <c:v>1.1599999999999999</c:v>
                </c:pt>
                <c:pt idx="43">
                  <c:v>0</c:v>
                </c:pt>
                <c:pt idx="44">
                  <c:v>0</c:v>
                </c:pt>
                <c:pt idx="45">
                  <c:v>0</c:v>
                </c:pt>
                <c:pt idx="46">
                  <c:v>1.1000000000000001</c:v>
                </c:pt>
                <c:pt idx="47">
                  <c:v>9.98E-2</c:v>
                </c:pt>
                <c:pt idx="48">
                  <c:v>0</c:v>
                </c:pt>
                <c:pt idx="49">
                  <c:v>0</c:v>
                </c:pt>
                <c:pt idx="50">
                  <c:v>0</c:v>
                </c:pt>
                <c:pt idx="51">
                  <c:v>0</c:v>
                </c:pt>
                <c:pt idx="52">
                  <c:v>1.2</c:v>
                </c:pt>
                <c:pt idx="53">
                  <c:v>4.0519999999999996</c:v>
                </c:pt>
                <c:pt idx="54">
                  <c:v>0</c:v>
                </c:pt>
                <c:pt idx="55">
                  <c:v>0</c:v>
                </c:pt>
                <c:pt idx="56">
                  <c:v>0.39860000000000001</c:v>
                </c:pt>
                <c:pt idx="57">
                  <c:v>0.23</c:v>
                </c:pt>
                <c:pt idx="58">
                  <c:v>0</c:v>
                </c:pt>
                <c:pt idx="59">
                  <c:v>4.9697589999999998</c:v>
                </c:pt>
                <c:pt idx="60">
                  <c:v>0</c:v>
                </c:pt>
                <c:pt idx="61">
                  <c:v>0</c:v>
                </c:pt>
                <c:pt idx="62">
                  <c:v>0</c:v>
                </c:pt>
                <c:pt idx="63">
                  <c:v>0</c:v>
                </c:pt>
                <c:pt idx="64">
                  <c:v>0</c:v>
                </c:pt>
                <c:pt idx="65">
                  <c:v>0</c:v>
                </c:pt>
                <c:pt idx="66">
                  <c:v>0</c:v>
                </c:pt>
                <c:pt idx="67">
                  <c:v>0</c:v>
                </c:pt>
                <c:pt idx="68">
                  <c:v>0</c:v>
                </c:pt>
                <c:pt idx="69">
                  <c:v>0.44590999999999997</c:v>
                </c:pt>
                <c:pt idx="70">
                  <c:v>0.66200000000000003</c:v>
                </c:pt>
                <c:pt idx="71">
                  <c:v>0</c:v>
                </c:pt>
                <c:pt idx="72">
                  <c:v>0</c:v>
                </c:pt>
              </c:numCache>
            </c:numRef>
          </c:val>
          <c:extLst>
            <c:ext xmlns:c16="http://schemas.microsoft.com/office/drawing/2014/chart" uri="{C3380CC4-5D6E-409C-BE32-E72D297353CC}">
              <c16:uniqueId val="{00000004-E9DC-4496-90FC-D3860F51F591}"/>
            </c:ext>
          </c:extLst>
        </c:ser>
        <c:ser>
          <c:idx val="1"/>
          <c:order val="2"/>
          <c:tx>
            <c:strRef>
              <c:f>'Fig 2 DE Orders by Category'!$E$6</c:f>
              <c:strCache>
                <c:ptCount val="1"/>
                <c:pt idx="0">
                  <c:v>Land</c:v>
                </c:pt>
              </c:strCache>
            </c:strRef>
          </c:tx>
          <c:spPr>
            <a:solidFill>
              <a:schemeClr val="accent2"/>
            </a:solidFill>
            <a:ln>
              <a:solidFill>
                <a:schemeClr val="tx1"/>
              </a:solidFill>
            </a:ln>
            <a:effectLst/>
          </c:spPr>
          <c:invertIfNegative val="0"/>
          <c:dPt>
            <c:idx val="71"/>
            <c:invertIfNegative val="0"/>
            <c:bubble3D val="0"/>
            <c:spPr>
              <a:solidFill>
                <a:srgbClr val="FF6A00"/>
              </a:solidFill>
              <a:ln>
                <a:solidFill>
                  <a:schemeClr val="tx1"/>
                </a:solidFill>
              </a:ln>
              <a:effectLst/>
            </c:spPr>
            <c:extLst>
              <c:ext xmlns:c16="http://schemas.microsoft.com/office/drawing/2014/chart" uri="{C3380CC4-5D6E-409C-BE32-E72D297353CC}">
                <c16:uniqueId val="{0000004C-E9DC-4496-90FC-D3860F51F591}"/>
              </c:ext>
            </c:extLst>
          </c:dPt>
          <c:cat>
            <c:numRef>
              <c:f>'Fig 2 DE Orders by Category'!$B$7:$B$79</c:f>
              <c:numCache>
                <c:formatCode>[$-409]mmm\-yy;@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'Fig 2 DE Orders by Category'!$E$7:$E$79</c:f>
              <c:numCache>
                <c:formatCode>_(* #,##0.00_);_(* \(#,##0.00\);_(* "-"??_);_(@_)</c:formatCode>
                <c:ptCount val="73"/>
                <c:pt idx="0">
                  <c:v>0</c:v>
                </c:pt>
                <c:pt idx="1">
                  <c:v>0</c:v>
                </c:pt>
                <c:pt idx="2">
                  <c:v>0</c:v>
                </c:pt>
                <c:pt idx="3">
                  <c:v>0</c:v>
                </c:pt>
                <c:pt idx="4">
                  <c:v>0.03</c:v>
                </c:pt>
                <c:pt idx="5">
                  <c:v>0</c:v>
                </c:pt>
                <c:pt idx="6">
                  <c:v>0</c:v>
                </c:pt>
                <c:pt idx="7">
                  <c:v>0</c:v>
                </c:pt>
                <c:pt idx="8">
                  <c:v>0</c:v>
                </c:pt>
                <c:pt idx="9">
                  <c:v>0</c:v>
                </c:pt>
                <c:pt idx="10">
                  <c:v>0.20599999999999999</c:v>
                </c:pt>
                <c:pt idx="11">
                  <c:v>0</c:v>
                </c:pt>
                <c:pt idx="12">
                  <c:v>0</c:v>
                </c:pt>
                <c:pt idx="13">
                  <c:v>8.7999999999999995E-2</c:v>
                </c:pt>
                <c:pt idx="14">
                  <c:v>0</c:v>
                </c:pt>
                <c:pt idx="15">
                  <c:v>3.4580000000000002</c:v>
                </c:pt>
                <c:pt idx="16">
                  <c:v>0</c:v>
                </c:pt>
                <c:pt idx="17">
                  <c:v>1.32</c:v>
                </c:pt>
                <c:pt idx="18">
                  <c:v>0</c:v>
                </c:pt>
                <c:pt idx="19">
                  <c:v>0</c:v>
                </c:pt>
                <c:pt idx="20">
                  <c:v>0</c:v>
                </c:pt>
                <c:pt idx="21">
                  <c:v>0</c:v>
                </c:pt>
                <c:pt idx="22">
                  <c:v>0</c:v>
                </c:pt>
                <c:pt idx="23">
                  <c:v>0</c:v>
                </c:pt>
                <c:pt idx="24">
                  <c:v>0</c:v>
                </c:pt>
                <c:pt idx="25">
                  <c:v>0</c:v>
                </c:pt>
                <c:pt idx="26">
                  <c:v>0</c:v>
                </c:pt>
                <c:pt idx="27">
                  <c:v>0.15</c:v>
                </c:pt>
                <c:pt idx="28">
                  <c:v>0</c:v>
                </c:pt>
                <c:pt idx="29">
                  <c:v>0</c:v>
                </c:pt>
                <c:pt idx="30">
                  <c:v>4.2099999999999999E-2</c:v>
                </c:pt>
                <c:pt idx="31">
                  <c:v>0</c:v>
                </c:pt>
                <c:pt idx="32">
                  <c:v>0</c:v>
                </c:pt>
                <c:pt idx="33">
                  <c:v>9.74E-2</c:v>
                </c:pt>
                <c:pt idx="34">
                  <c:v>0</c:v>
                </c:pt>
                <c:pt idx="35">
                  <c:v>1.464</c:v>
                </c:pt>
                <c:pt idx="36">
                  <c:v>0</c:v>
                </c:pt>
                <c:pt idx="37">
                  <c:v>0.16800000000000001</c:v>
                </c:pt>
                <c:pt idx="38">
                  <c:v>1.2991999999999999</c:v>
                </c:pt>
                <c:pt idx="39">
                  <c:v>0</c:v>
                </c:pt>
                <c:pt idx="40">
                  <c:v>1.8033000000000001</c:v>
                </c:pt>
                <c:pt idx="41">
                  <c:v>0.95</c:v>
                </c:pt>
                <c:pt idx="42">
                  <c:v>8.5849000000000011</c:v>
                </c:pt>
                <c:pt idx="43">
                  <c:v>0</c:v>
                </c:pt>
                <c:pt idx="44">
                  <c:v>0.23860000000000001</c:v>
                </c:pt>
                <c:pt idx="45">
                  <c:v>4.1609999999999996</c:v>
                </c:pt>
                <c:pt idx="46">
                  <c:v>0.40100000000000002</c:v>
                </c:pt>
                <c:pt idx="47">
                  <c:v>5.9740000000000002</c:v>
                </c:pt>
                <c:pt idx="48">
                  <c:v>1.23</c:v>
                </c:pt>
                <c:pt idx="49">
                  <c:v>0.64900000000000002</c:v>
                </c:pt>
                <c:pt idx="50">
                  <c:v>3.34</c:v>
                </c:pt>
                <c:pt idx="51">
                  <c:v>0.44700000000000001</c:v>
                </c:pt>
                <c:pt idx="52">
                  <c:v>0</c:v>
                </c:pt>
                <c:pt idx="53">
                  <c:v>1.466</c:v>
                </c:pt>
                <c:pt idx="54">
                  <c:v>6.2519999999999998</c:v>
                </c:pt>
                <c:pt idx="55">
                  <c:v>0</c:v>
                </c:pt>
                <c:pt idx="56">
                  <c:v>0</c:v>
                </c:pt>
                <c:pt idx="57">
                  <c:v>0</c:v>
                </c:pt>
                <c:pt idx="58">
                  <c:v>0</c:v>
                </c:pt>
                <c:pt idx="59">
                  <c:v>6.5000000000000002E-2</c:v>
                </c:pt>
                <c:pt idx="60">
                  <c:v>0.154</c:v>
                </c:pt>
                <c:pt idx="61">
                  <c:v>0</c:v>
                </c:pt>
                <c:pt idx="62">
                  <c:v>0</c:v>
                </c:pt>
                <c:pt idx="63">
                  <c:v>0</c:v>
                </c:pt>
                <c:pt idx="64">
                  <c:v>0</c:v>
                </c:pt>
                <c:pt idx="65">
                  <c:v>0.34899999999999998</c:v>
                </c:pt>
                <c:pt idx="66">
                  <c:v>0</c:v>
                </c:pt>
                <c:pt idx="67">
                  <c:v>0</c:v>
                </c:pt>
                <c:pt idx="68">
                  <c:v>2.3319000000000001</c:v>
                </c:pt>
                <c:pt idx="69">
                  <c:v>7.758</c:v>
                </c:pt>
                <c:pt idx="70">
                  <c:v>3.17</c:v>
                </c:pt>
                <c:pt idx="71">
                  <c:v>20.406688191000001</c:v>
                </c:pt>
                <c:pt idx="72">
                  <c:v>0</c:v>
                </c:pt>
              </c:numCache>
            </c:numRef>
          </c:val>
          <c:extLst>
            <c:ext xmlns:c16="http://schemas.microsoft.com/office/drawing/2014/chart" uri="{C3380CC4-5D6E-409C-BE32-E72D297353CC}">
              <c16:uniqueId val="{00000005-E9DC-4496-90FC-D3860F51F591}"/>
            </c:ext>
          </c:extLst>
        </c:ser>
        <c:ser>
          <c:idx val="3"/>
          <c:order val="3"/>
          <c:tx>
            <c:strRef>
              <c:f>'Fig 2 DE Orders by Category'!$F$6</c:f>
              <c:strCache>
                <c:ptCount val="1"/>
                <c:pt idx="0">
                  <c:v>Other</c:v>
                </c:pt>
              </c:strCache>
            </c:strRef>
          </c:tx>
          <c:spPr>
            <a:solidFill>
              <a:srgbClr val="FEF1E7">
                <a:alpha val="93000"/>
              </a:srgbClr>
            </a:solidFill>
            <a:ln>
              <a:solidFill>
                <a:schemeClr val="tx1"/>
              </a:solidFill>
            </a:ln>
            <a:effectLst/>
          </c:spPr>
          <c:invertIfNegative val="0"/>
          <c:cat>
            <c:numRef>
              <c:f>'Fig 2 DE Orders by Category'!$B$7:$B$79</c:f>
              <c:numCache>
                <c:formatCode>[$-409]mmm\-yy;@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'Fig 2 DE Orders by Category'!$F$7:$F$79</c:f>
              <c:numCache>
                <c:formatCode>_(* #,##0.00_);_(* \(#,##0.00\);_(* "-"??_);_(@_)</c:formatCode>
                <c:ptCount val="73"/>
                <c:pt idx="0">
                  <c:v>0</c:v>
                </c:pt>
                <c:pt idx="1">
                  <c:v>0</c:v>
                </c:pt>
                <c:pt idx="2">
                  <c:v>0</c:v>
                </c:pt>
                <c:pt idx="3">
                  <c:v>0</c:v>
                </c:pt>
                <c:pt idx="4">
                  <c:v>0</c:v>
                </c:pt>
                <c:pt idx="5">
                  <c:v>4.5999999999999996</c:v>
                </c:pt>
                <c:pt idx="6">
                  <c:v>0</c:v>
                </c:pt>
                <c:pt idx="7">
                  <c:v>0.35</c:v>
                </c:pt>
                <c:pt idx="8">
                  <c:v>1.88</c:v>
                </c:pt>
                <c:pt idx="9">
                  <c:v>0.04</c:v>
                </c:pt>
                <c:pt idx="10">
                  <c:v>0.749</c:v>
                </c:pt>
                <c:pt idx="11">
                  <c:v>0.45</c:v>
                </c:pt>
                <c:pt idx="12">
                  <c:v>0</c:v>
                </c:pt>
                <c:pt idx="13">
                  <c:v>0</c:v>
                </c:pt>
                <c:pt idx="14">
                  <c:v>0</c:v>
                </c:pt>
                <c:pt idx="15">
                  <c:v>5.8999999999999997E-2</c:v>
                </c:pt>
                <c:pt idx="16">
                  <c:v>2.4019999999999997</c:v>
                </c:pt>
                <c:pt idx="17">
                  <c:v>1.1419999999999999</c:v>
                </c:pt>
                <c:pt idx="18">
                  <c:v>0</c:v>
                </c:pt>
                <c:pt idx="19">
                  <c:v>0</c:v>
                </c:pt>
                <c:pt idx="20">
                  <c:v>0</c:v>
                </c:pt>
                <c:pt idx="21">
                  <c:v>0</c:v>
                </c:pt>
                <c:pt idx="22">
                  <c:v>0</c:v>
                </c:pt>
                <c:pt idx="23">
                  <c:v>0</c:v>
                </c:pt>
                <c:pt idx="24">
                  <c:v>0</c:v>
                </c:pt>
                <c:pt idx="25">
                  <c:v>0</c:v>
                </c:pt>
                <c:pt idx="26">
                  <c:v>0</c:v>
                </c:pt>
                <c:pt idx="27">
                  <c:v>0</c:v>
                </c:pt>
                <c:pt idx="28">
                  <c:v>2.5139</c:v>
                </c:pt>
                <c:pt idx="29">
                  <c:v>0.10100000000000001</c:v>
                </c:pt>
                <c:pt idx="30">
                  <c:v>6.89</c:v>
                </c:pt>
                <c:pt idx="31">
                  <c:v>0</c:v>
                </c:pt>
                <c:pt idx="32">
                  <c:v>0</c:v>
                </c:pt>
                <c:pt idx="33">
                  <c:v>7.4999999999999997E-3</c:v>
                </c:pt>
                <c:pt idx="34">
                  <c:v>0.15545</c:v>
                </c:pt>
                <c:pt idx="35">
                  <c:v>0.12</c:v>
                </c:pt>
                <c:pt idx="36">
                  <c:v>0</c:v>
                </c:pt>
                <c:pt idx="37">
                  <c:v>5.28E-2</c:v>
                </c:pt>
                <c:pt idx="38">
                  <c:v>3.32E-2</c:v>
                </c:pt>
                <c:pt idx="39">
                  <c:v>0.498</c:v>
                </c:pt>
                <c:pt idx="40">
                  <c:v>3.2000000000000001E-2</c:v>
                </c:pt>
                <c:pt idx="41">
                  <c:v>0.9032</c:v>
                </c:pt>
                <c:pt idx="42">
                  <c:v>0</c:v>
                </c:pt>
                <c:pt idx="43">
                  <c:v>0</c:v>
                </c:pt>
                <c:pt idx="44">
                  <c:v>0</c:v>
                </c:pt>
                <c:pt idx="45">
                  <c:v>0.2515</c:v>
                </c:pt>
                <c:pt idx="46">
                  <c:v>13.4</c:v>
                </c:pt>
                <c:pt idx="47">
                  <c:v>3.4779999999999998E-2</c:v>
                </c:pt>
                <c:pt idx="48">
                  <c:v>0</c:v>
                </c:pt>
                <c:pt idx="49">
                  <c:v>2.2000000000000002</c:v>
                </c:pt>
                <c:pt idx="50">
                  <c:v>0.9899</c:v>
                </c:pt>
                <c:pt idx="51">
                  <c:v>0</c:v>
                </c:pt>
                <c:pt idx="52">
                  <c:v>0.47095999999999999</c:v>
                </c:pt>
                <c:pt idx="53">
                  <c:v>3.5170000000000003</c:v>
                </c:pt>
                <c:pt idx="54">
                  <c:v>6.7000000000000004E-2</c:v>
                </c:pt>
                <c:pt idx="55">
                  <c:v>0</c:v>
                </c:pt>
                <c:pt idx="56">
                  <c:v>0.43140000000000001</c:v>
                </c:pt>
                <c:pt idx="57">
                  <c:v>6.6669999999999998</c:v>
                </c:pt>
                <c:pt idx="58">
                  <c:v>1.5785</c:v>
                </c:pt>
                <c:pt idx="59">
                  <c:v>14.965241000000001</c:v>
                </c:pt>
                <c:pt idx="60">
                  <c:v>2.3656999999999999</c:v>
                </c:pt>
                <c:pt idx="61">
                  <c:v>0</c:v>
                </c:pt>
                <c:pt idx="62">
                  <c:v>0</c:v>
                </c:pt>
                <c:pt idx="63">
                  <c:v>0</c:v>
                </c:pt>
                <c:pt idx="64">
                  <c:v>0</c:v>
                </c:pt>
                <c:pt idx="65">
                  <c:v>2.5299999999999998</c:v>
                </c:pt>
                <c:pt idx="66">
                  <c:v>0.77</c:v>
                </c:pt>
                <c:pt idx="67">
                  <c:v>0</c:v>
                </c:pt>
                <c:pt idx="68">
                  <c:v>0.79</c:v>
                </c:pt>
                <c:pt idx="69">
                  <c:v>2.2507000000000001</c:v>
                </c:pt>
                <c:pt idx="70">
                  <c:v>1.6500000000000001</c:v>
                </c:pt>
                <c:pt idx="71">
                  <c:v>31.306999999999999</c:v>
                </c:pt>
                <c:pt idx="72">
                  <c:v>0.05</c:v>
                </c:pt>
              </c:numCache>
            </c:numRef>
          </c:val>
          <c:extLst>
            <c:ext xmlns:c16="http://schemas.microsoft.com/office/drawing/2014/chart" uri="{C3380CC4-5D6E-409C-BE32-E72D297353CC}">
              <c16:uniqueId val="{00000006-E9DC-4496-90FC-D3860F51F591}"/>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409]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112003664"/>
        <c:crosses val="autoZero"/>
        <c:crossBetween val="between"/>
      </c:valAx>
      <c:spPr>
        <a:noFill/>
        <a:ln>
          <a:noFill/>
        </a:ln>
        <a:effectLst/>
      </c:spPr>
    </c:plotArea>
    <c:legend>
      <c:legendPos val="r"/>
      <c:layout>
        <c:manualLayout>
          <c:xMode val="edge"/>
          <c:yMode val="edge"/>
          <c:x val="5.0406588278013961E-2"/>
          <c:y val="0.22478186759290528"/>
          <c:w val="8.5847412637431064E-2"/>
          <c:h val="0.21805843665074695"/>
        </c:manualLayout>
      </c:layout>
      <c:overlay val="0"/>
      <c:spPr>
        <a:solidFill>
          <a:srgbClr val="F5F1E7"/>
        </a:solid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200">
          <a:solidFill>
            <a:sysClr val="windowText" lastClr="000000"/>
          </a:solidFill>
          <a:latin typeface="Courier New" panose="02070309020205020404" pitchFamily="49" charset="0"/>
          <a:cs typeface="Courier New" panose="02070309020205020404" pitchFamily="49"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9525">
                <a:solidFill>
                  <a:schemeClr val="tx1"/>
                </a:solidFill>
              </a:ln>
              <a:effectLst/>
            </c:spPr>
            <c:extLst>
              <c:ext xmlns:c16="http://schemas.microsoft.com/office/drawing/2014/chart" uri="{C3380CC4-5D6E-409C-BE32-E72D297353CC}">
                <c16:uniqueId val="{00000001-7204-4558-9BFC-306693D91C4C}"/>
              </c:ext>
            </c:extLst>
          </c:dPt>
          <c:dPt>
            <c:idx val="1"/>
            <c:bubble3D val="0"/>
            <c:spPr>
              <a:pattFill prst="dkVert">
                <a:fgClr>
                  <a:schemeClr val="accent6"/>
                </a:fgClr>
                <a:bgClr>
                  <a:schemeClr val="bg1"/>
                </a:bgClr>
              </a:pattFill>
              <a:ln w="9525">
                <a:solidFill>
                  <a:schemeClr val="tx1"/>
                </a:solidFill>
              </a:ln>
              <a:effectLst/>
            </c:spPr>
            <c:extLst>
              <c:ext xmlns:c16="http://schemas.microsoft.com/office/drawing/2014/chart" uri="{C3380CC4-5D6E-409C-BE32-E72D297353CC}">
                <c16:uniqueId val="{00000003-7204-4558-9BFC-306693D91C4C}"/>
              </c:ext>
            </c:extLst>
          </c:dPt>
          <c:dPt>
            <c:idx val="2"/>
            <c:bubble3D val="0"/>
            <c:spPr>
              <a:pattFill prst="dkHorz">
                <a:fgClr>
                  <a:schemeClr val="accent2"/>
                </a:fgClr>
                <a:bgClr>
                  <a:schemeClr val="bg1"/>
                </a:bgClr>
              </a:pattFill>
              <a:ln w="9525">
                <a:solidFill>
                  <a:schemeClr val="tx1">
                    <a:alpha val="86000"/>
                  </a:schemeClr>
                </a:solidFill>
              </a:ln>
              <a:effectLst/>
            </c:spPr>
            <c:extLst>
              <c:ext xmlns:c16="http://schemas.microsoft.com/office/drawing/2014/chart" uri="{C3380CC4-5D6E-409C-BE32-E72D297353CC}">
                <c16:uniqueId val="{00000005-7204-4558-9BFC-306693D91C4C}"/>
              </c:ext>
            </c:extLst>
          </c:dPt>
          <c:dPt>
            <c:idx val="3"/>
            <c:bubble3D val="0"/>
            <c:spPr>
              <a:pattFill prst="pct90">
                <a:fgClr>
                  <a:schemeClr val="accent5"/>
                </a:fgClr>
                <a:bgClr>
                  <a:schemeClr val="bg1"/>
                </a:bgClr>
              </a:pattFill>
              <a:ln w="9525">
                <a:solidFill>
                  <a:schemeClr val="tx1"/>
                </a:solidFill>
              </a:ln>
              <a:effectLst/>
            </c:spPr>
            <c:extLst>
              <c:ext xmlns:c16="http://schemas.microsoft.com/office/drawing/2014/chart" uri="{C3380CC4-5D6E-409C-BE32-E72D297353CC}">
                <c16:uniqueId val="{00000007-7204-4558-9BFC-306693D91C4C}"/>
              </c:ext>
            </c:extLst>
          </c:dPt>
          <c:cat>
            <c:strRef>
              <c:f>'A7 DE Origin (%)'!$D$6:$G$6</c:f>
              <c:strCache>
                <c:ptCount val="4"/>
                <c:pt idx="0">
                  <c:v>Germany only</c:v>
                </c:pt>
                <c:pt idx="1">
                  <c:v>Germany and foreign partnership</c:v>
                </c:pt>
                <c:pt idx="2">
                  <c:v>European, non-Germany</c:v>
                </c:pt>
                <c:pt idx="3">
                  <c:v>Non-European only</c:v>
                </c:pt>
              </c:strCache>
            </c:strRef>
          </c:cat>
          <c:val>
            <c:numRef>
              <c:f>'A7 DE Origin (%)'!$D$10:$G$10</c:f>
              <c:numCache>
                <c:formatCode>_(* #,##0.00_);_(* \(#,##0.00\);_(* "-"??_);_(@_)</c:formatCode>
                <c:ptCount val="4"/>
                <c:pt idx="0">
                  <c:v>115.245828191</c:v>
                </c:pt>
                <c:pt idx="1">
                  <c:v>79.244158999999996</c:v>
                </c:pt>
                <c:pt idx="2">
                  <c:v>2.4140000000000001</c:v>
                </c:pt>
                <c:pt idx="3">
                  <c:v>25.603110000000001</c:v>
                </c:pt>
              </c:numCache>
            </c:numRef>
          </c:val>
          <c:extLst>
            <c:ext xmlns:c16="http://schemas.microsoft.com/office/drawing/2014/chart" uri="{C3380CC4-5D6E-409C-BE32-E72D297353CC}">
              <c16:uniqueId val="{00000008-7204-4558-9BFC-306693D91C4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8050435779808007"/>
          <c:y val="0.59383056154671865"/>
          <c:w val="0.39610354392904679"/>
          <c:h val="0.31741269148543583"/>
        </c:manualLayout>
      </c:layout>
      <c:overlay val="0"/>
      <c:spPr>
        <a:noFill/>
        <a:ln>
          <a:noFill/>
        </a:ln>
        <a:effectLst/>
      </c:spPr>
      <c:txPr>
        <a:bodyPr rot="0" spcFirstLastPara="1" vertOverflow="ellipsis" vert="horz" wrap="square" anchor="ctr" anchorCtr="1"/>
        <a:lstStyle/>
        <a:p>
          <a:pPr rtl="0">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286054046798872E-2"/>
          <c:y val="9.6006817453829219E-2"/>
          <c:w val="0.92853215611846474"/>
          <c:h val="0.79419259942985609"/>
        </c:manualLayout>
      </c:layout>
      <c:barChart>
        <c:barDir val="col"/>
        <c:grouping val="clustered"/>
        <c:varyColors val="0"/>
        <c:ser>
          <c:idx val="0"/>
          <c:order val="0"/>
          <c:spPr>
            <a:solidFill>
              <a:schemeClr val="accent1"/>
            </a:solidFill>
            <a:ln>
              <a:solidFill>
                <a:schemeClr val="tx1"/>
              </a:solidFill>
            </a:ln>
            <a:effectLst/>
          </c:spPr>
          <c:invertIfNegative val="0"/>
          <c:cat>
            <c:numRef>
              <c:f>'A8 UK Total Orders'!$B$7:$B$79</c:f>
              <c:numCache>
                <c:formatCode>mmm\-yyyy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'A8 UK Total Orders'!$C$7:$C$79</c:f>
              <c:numCache>
                <c:formatCode>_(* #,##0.00_);_(* \(#,##0.00\);_(* "-"??_);_(@_)</c:formatCode>
                <c:ptCount val="73"/>
                <c:pt idx="0">
                  <c:v>0.183</c:v>
                </c:pt>
                <c:pt idx="1">
                  <c:v>0.33</c:v>
                </c:pt>
                <c:pt idx="2">
                  <c:v>0</c:v>
                </c:pt>
                <c:pt idx="3">
                  <c:v>4.5999999999999999E-2</c:v>
                </c:pt>
                <c:pt idx="4">
                  <c:v>0</c:v>
                </c:pt>
                <c:pt idx="5">
                  <c:v>2.6700000000000002E-2</c:v>
                </c:pt>
                <c:pt idx="6">
                  <c:v>0.37490000000000001</c:v>
                </c:pt>
                <c:pt idx="7">
                  <c:v>0.2412</c:v>
                </c:pt>
                <c:pt idx="8">
                  <c:v>0.32400000000000001</c:v>
                </c:pt>
                <c:pt idx="9">
                  <c:v>4.5999999999999999E-2</c:v>
                </c:pt>
                <c:pt idx="10">
                  <c:v>2.5840000000000001</c:v>
                </c:pt>
                <c:pt idx="11">
                  <c:v>0</c:v>
                </c:pt>
                <c:pt idx="12">
                  <c:v>1.0129999999999999</c:v>
                </c:pt>
                <c:pt idx="13">
                  <c:v>0.18</c:v>
                </c:pt>
                <c:pt idx="14">
                  <c:v>9.8400000000000001E-2</c:v>
                </c:pt>
                <c:pt idx="15">
                  <c:v>0</c:v>
                </c:pt>
                <c:pt idx="16">
                  <c:v>1.121</c:v>
                </c:pt>
                <c:pt idx="17">
                  <c:v>3.5999999999999997E-2</c:v>
                </c:pt>
                <c:pt idx="18">
                  <c:v>1.2009399999999999</c:v>
                </c:pt>
                <c:pt idx="19">
                  <c:v>0</c:v>
                </c:pt>
                <c:pt idx="20">
                  <c:v>0.63049999999999995</c:v>
                </c:pt>
                <c:pt idx="21">
                  <c:v>0.17499999999999999</c:v>
                </c:pt>
                <c:pt idx="22">
                  <c:v>0.21</c:v>
                </c:pt>
                <c:pt idx="23">
                  <c:v>1.0200000000000001E-3</c:v>
                </c:pt>
                <c:pt idx="24">
                  <c:v>2.2703700000000002</c:v>
                </c:pt>
                <c:pt idx="25">
                  <c:v>0.08</c:v>
                </c:pt>
                <c:pt idx="26">
                  <c:v>0.69499999999999995</c:v>
                </c:pt>
                <c:pt idx="27">
                  <c:v>0.41399999999999998</c:v>
                </c:pt>
                <c:pt idx="28">
                  <c:v>2.5649999999999999</c:v>
                </c:pt>
                <c:pt idx="29">
                  <c:v>2.0072000000000001</c:v>
                </c:pt>
                <c:pt idx="30">
                  <c:v>2.452</c:v>
                </c:pt>
                <c:pt idx="31">
                  <c:v>0</c:v>
                </c:pt>
                <c:pt idx="32">
                  <c:v>1.4999999999999999E-2</c:v>
                </c:pt>
                <c:pt idx="33">
                  <c:v>7.9000000000000001E-2</c:v>
                </c:pt>
                <c:pt idx="34">
                  <c:v>4.3209999999999997</c:v>
                </c:pt>
                <c:pt idx="35">
                  <c:v>0.51339999999999997</c:v>
                </c:pt>
                <c:pt idx="36">
                  <c:v>1.665</c:v>
                </c:pt>
                <c:pt idx="37">
                  <c:v>0.51</c:v>
                </c:pt>
                <c:pt idx="38">
                  <c:v>1.61E-2</c:v>
                </c:pt>
                <c:pt idx="39">
                  <c:v>0.81699999999999995</c:v>
                </c:pt>
                <c:pt idx="40">
                  <c:v>0.32</c:v>
                </c:pt>
                <c:pt idx="41">
                  <c:v>0.441</c:v>
                </c:pt>
                <c:pt idx="42">
                  <c:v>0.35399999999999998</c:v>
                </c:pt>
                <c:pt idx="43">
                  <c:v>8.8999999999999996E-2</c:v>
                </c:pt>
                <c:pt idx="44">
                  <c:v>5.5E-2</c:v>
                </c:pt>
                <c:pt idx="45">
                  <c:v>4.0880000000000001</c:v>
                </c:pt>
                <c:pt idx="46">
                  <c:v>3.6999999999999998E-2</c:v>
                </c:pt>
                <c:pt idx="47">
                  <c:v>0.05</c:v>
                </c:pt>
                <c:pt idx="48">
                  <c:v>0.70499999999999996</c:v>
                </c:pt>
                <c:pt idx="49">
                  <c:v>2.3809999999999998</c:v>
                </c:pt>
                <c:pt idx="50">
                  <c:v>2.5018199999999999</c:v>
                </c:pt>
                <c:pt idx="51">
                  <c:v>0.21199999999999999</c:v>
                </c:pt>
                <c:pt idx="52">
                  <c:v>2.1000000000000001E-2</c:v>
                </c:pt>
                <c:pt idx="53">
                  <c:v>0</c:v>
                </c:pt>
                <c:pt idx="54">
                  <c:v>6.6760000000000002</c:v>
                </c:pt>
                <c:pt idx="55">
                  <c:v>0.02</c:v>
                </c:pt>
                <c:pt idx="56">
                  <c:v>0.29299999999999998</c:v>
                </c:pt>
                <c:pt idx="57">
                  <c:v>0</c:v>
                </c:pt>
                <c:pt idx="58">
                  <c:v>0.04</c:v>
                </c:pt>
                <c:pt idx="59">
                  <c:v>0.51500000000000001</c:v>
                </c:pt>
                <c:pt idx="60">
                  <c:v>9.3460000000000001</c:v>
                </c:pt>
                <c:pt idx="61">
                  <c:v>0.52700000000000002</c:v>
                </c:pt>
                <c:pt idx="62">
                  <c:v>2.8250000000000002</c:v>
                </c:pt>
                <c:pt idx="63">
                  <c:v>0.76500000000000001</c:v>
                </c:pt>
                <c:pt idx="64">
                  <c:v>3.3822999999999999</c:v>
                </c:pt>
                <c:pt idx="65">
                  <c:v>3.3367499999999999</c:v>
                </c:pt>
                <c:pt idx="66">
                  <c:v>0.247</c:v>
                </c:pt>
                <c:pt idx="67">
                  <c:v>0.35399999999999998</c:v>
                </c:pt>
                <c:pt idx="68">
                  <c:v>0.52200000000000002</c:v>
                </c:pt>
                <c:pt idx="69">
                  <c:v>0.52780000000000005</c:v>
                </c:pt>
                <c:pt idx="70">
                  <c:v>0.316</c:v>
                </c:pt>
                <c:pt idx="71">
                  <c:v>0.2576</c:v>
                </c:pt>
                <c:pt idx="72">
                  <c:v>0.69579999999999997</c:v>
                </c:pt>
              </c:numCache>
            </c:numRef>
          </c:val>
          <c:extLst>
            <c:ext xmlns:c16="http://schemas.microsoft.com/office/drawing/2014/chart" uri="{C3380CC4-5D6E-409C-BE32-E72D297353CC}">
              <c16:uniqueId val="{00000000-FF7D-4E5C-9159-BAC973FC032C}"/>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lgn="ctr">
              <a:defRPr lang="en-US"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286054046798872E-2"/>
          <c:y val="9.6006817453829219E-2"/>
          <c:w val="0.92853215611846474"/>
          <c:h val="0.79419259942985609"/>
        </c:manualLayout>
      </c:layout>
      <c:barChart>
        <c:barDir val="col"/>
        <c:grouping val="stacked"/>
        <c:varyColors val="0"/>
        <c:ser>
          <c:idx val="0"/>
          <c:order val="0"/>
          <c:tx>
            <c:strRef>
              <c:f>'A9 UK Total Yearly'!$F$6</c:f>
              <c:strCache>
                <c:ptCount val="1"/>
                <c:pt idx="0">
                  <c:v>Total military orders</c:v>
                </c:pt>
              </c:strCache>
            </c:strRef>
          </c:tx>
          <c:spPr>
            <a:solidFill>
              <a:schemeClr val="accent1"/>
            </a:solidFill>
            <a:ln w="9525">
              <a:solidFill>
                <a:schemeClr val="tx1"/>
              </a:solidFill>
            </a:ln>
            <a:effectLst/>
          </c:spPr>
          <c:invertIfNegative val="0"/>
          <c:cat>
            <c:strRef>
              <c:f>'A9 UK Total Yearly'!$E$7:$E$12</c:f>
              <c:strCache>
                <c:ptCount val="6"/>
                <c:pt idx="0">
                  <c:v>Mar 2020 - Feb 2021</c:v>
                </c:pt>
                <c:pt idx="1">
                  <c:v>Mar 2021 - Feb 2022</c:v>
                </c:pt>
                <c:pt idx="2">
                  <c:v>Mar 2022 - Feb 2023</c:v>
                </c:pt>
                <c:pt idx="3">
                  <c:v>Mar 2023 - Feb 2024</c:v>
                </c:pt>
                <c:pt idx="4">
                  <c:v>Mar 2024 - Feb 2025</c:v>
                </c:pt>
                <c:pt idx="5">
                  <c:v>Mar 2025 - Feb 2026</c:v>
                </c:pt>
              </c:strCache>
            </c:strRef>
          </c:cat>
          <c:val>
            <c:numRef>
              <c:f>'A9 UK Total Yearly'!$F$7:$F$12</c:f>
              <c:numCache>
                <c:formatCode>_(* #,##0.00_);_(* \(#,##0.00\);_(* "-"??_);_(@_)</c:formatCode>
                <c:ptCount val="6"/>
                <c:pt idx="0">
                  <c:v>4.8357999999999999</c:v>
                </c:pt>
                <c:pt idx="1">
                  <c:v>5.8232300000000006</c:v>
                </c:pt>
                <c:pt idx="2">
                  <c:v>15.236600000000001</c:v>
                </c:pt>
                <c:pt idx="3">
                  <c:v>9.3530999999999995</c:v>
                </c:pt>
                <c:pt idx="4">
                  <c:v>20.151820000000001</c:v>
                </c:pt>
                <c:pt idx="5">
                  <c:v>13.22925</c:v>
                </c:pt>
              </c:numCache>
            </c:numRef>
          </c:val>
          <c:extLst>
            <c:ext xmlns:c16="http://schemas.microsoft.com/office/drawing/2014/chart" uri="{C3380CC4-5D6E-409C-BE32-E72D297353CC}">
              <c16:uniqueId val="{00000000-7076-49D7-8E2C-922C817A9248}"/>
            </c:ext>
          </c:extLst>
        </c:ser>
        <c:dLbls>
          <c:showLegendKey val="0"/>
          <c:showVal val="0"/>
          <c:showCatName val="0"/>
          <c:showSerName val="0"/>
          <c:showPercent val="0"/>
          <c:showBubbleSize val="0"/>
        </c:dLbls>
        <c:gapWidth val="100"/>
        <c:overlap val="100"/>
        <c:axId val="112003664"/>
        <c:axId val="112001744"/>
      </c:barChart>
      <c:catAx>
        <c:axId val="11200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0"/>
        <c:lblAlgn val="ctr"/>
        <c:lblOffset val="100"/>
        <c:noMultiLvlLbl val="0"/>
      </c:catAx>
      <c:valAx>
        <c:axId val="112001744"/>
        <c:scaling>
          <c:orientation val="minMax"/>
        </c:scaling>
        <c:delete val="0"/>
        <c:axPos val="l"/>
        <c:majorGridlines>
          <c:spPr>
            <a:ln w="9525" cap="flat" cmpd="sng" algn="ctr">
              <a:solidFill>
                <a:srgbClr val="D9D9D9"/>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At val="1"/>
        <c:crossBetween val="between"/>
        <c:majorUnit val="5"/>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0569084571071E-2"/>
          <c:y val="0.12130061949637665"/>
          <c:w val="0.88716227680634885"/>
          <c:h val="0.72433841200429916"/>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solidFill>
              <a:ln>
                <a:solidFill>
                  <a:schemeClr val="tx1"/>
                </a:solidFill>
              </a:ln>
              <a:effectLst/>
            </c:spPr>
            <c:extLst>
              <c:ext xmlns:c16="http://schemas.microsoft.com/office/drawing/2014/chart" uri="{C3380CC4-5D6E-409C-BE32-E72D297353CC}">
                <c16:uniqueId val="{00000001-830C-4B67-BFD0-374AF60602E6}"/>
              </c:ext>
            </c:extLst>
          </c:dPt>
          <c:dPt>
            <c:idx val="1"/>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3-830C-4B67-BFD0-374AF60602E6}"/>
              </c:ext>
            </c:extLst>
          </c:dPt>
          <c:dPt>
            <c:idx val="2"/>
            <c:invertIfNegative val="0"/>
            <c:bubble3D val="0"/>
            <c:spPr>
              <a:solidFill>
                <a:schemeClr val="accent1">
                  <a:alpha val="94000"/>
                </a:schemeClr>
              </a:solidFill>
              <a:ln>
                <a:solidFill>
                  <a:schemeClr val="tx1"/>
                </a:solidFill>
              </a:ln>
              <a:effectLst/>
            </c:spPr>
            <c:extLst>
              <c:ext xmlns:c16="http://schemas.microsoft.com/office/drawing/2014/chart" uri="{C3380CC4-5D6E-409C-BE32-E72D297353CC}">
                <c16:uniqueId val="{00000005-830C-4B67-BFD0-374AF60602E6}"/>
              </c:ext>
            </c:extLst>
          </c:dPt>
          <c:dPt>
            <c:idx val="3"/>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7-830C-4B67-BFD0-374AF60602E6}"/>
              </c:ext>
            </c:extLst>
          </c:dPt>
          <c:dPt>
            <c:idx val="4"/>
            <c:invertIfNegative val="0"/>
            <c:bubble3D val="0"/>
            <c:spPr>
              <a:solidFill>
                <a:schemeClr val="accent1"/>
              </a:solidFill>
              <a:ln>
                <a:solidFill>
                  <a:schemeClr val="tx1"/>
                </a:solidFill>
              </a:ln>
              <a:effectLst/>
            </c:spPr>
            <c:extLst>
              <c:ext xmlns:c16="http://schemas.microsoft.com/office/drawing/2014/chart" uri="{C3380CC4-5D6E-409C-BE32-E72D297353CC}">
                <c16:uniqueId val="{00000009-830C-4B67-BFD0-374AF60602E6}"/>
              </c:ext>
            </c:extLst>
          </c:dPt>
          <c:dPt>
            <c:idx val="5"/>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B-830C-4B67-BFD0-374AF60602E6}"/>
              </c:ext>
            </c:extLst>
          </c:dPt>
          <c:dPt>
            <c:idx val="6"/>
            <c:invertIfNegative val="0"/>
            <c:bubble3D val="0"/>
            <c:spPr>
              <a:solidFill>
                <a:schemeClr val="accent1"/>
              </a:solidFill>
              <a:ln>
                <a:solidFill>
                  <a:schemeClr val="tx1"/>
                </a:solidFill>
              </a:ln>
              <a:effectLst/>
            </c:spPr>
            <c:extLst>
              <c:ext xmlns:c16="http://schemas.microsoft.com/office/drawing/2014/chart" uri="{C3380CC4-5D6E-409C-BE32-E72D297353CC}">
                <c16:uniqueId val="{0000000D-830C-4B67-BFD0-374AF60602E6}"/>
              </c:ext>
            </c:extLst>
          </c:dPt>
          <c:dPt>
            <c:idx val="7"/>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F-830C-4B67-BFD0-374AF60602E6}"/>
              </c:ext>
            </c:extLst>
          </c:dPt>
          <c:cat>
            <c:multiLvlStrRef>
              <c:f>'A10 UK Order Priorities'!$E$6:$L$7</c:f>
              <c:multiLvlStrCache>
                <c:ptCount val="8"/>
                <c:lvl>
                  <c:pt idx="0">
                    <c:v>2020-21</c:v>
                  </c:pt>
                  <c:pt idx="1">
                    <c:v>2022-26</c:v>
                  </c:pt>
                  <c:pt idx="2">
                    <c:v>2020-21</c:v>
                  </c:pt>
                  <c:pt idx="3">
                    <c:v>2022-26</c:v>
                  </c:pt>
                  <c:pt idx="4">
                    <c:v>2020-21</c:v>
                  </c:pt>
                  <c:pt idx="5">
                    <c:v>2022-26</c:v>
                  </c:pt>
                  <c:pt idx="6">
                    <c:v>2020-21</c:v>
                  </c:pt>
                  <c:pt idx="7">
                    <c:v>2022-26</c:v>
                  </c:pt>
                </c:lvl>
                <c:lvl>
                  <c:pt idx="0">
                    <c:v>Air</c:v>
                  </c:pt>
                  <c:pt idx="2">
                    <c:v>Sea</c:v>
                  </c:pt>
                  <c:pt idx="4">
                    <c:v>Land</c:v>
                  </c:pt>
                  <c:pt idx="6">
                    <c:v>Other</c:v>
                  </c:pt>
                </c:lvl>
              </c:multiLvlStrCache>
            </c:multiLvlStrRef>
          </c:cat>
          <c:val>
            <c:numRef>
              <c:f>'A10 UK Order Priorities'!$E$8:$L$8</c:f>
              <c:numCache>
                <c:formatCode>_(* #,##0.00_);_(* \(#,##0.00\);_(* "-"??_);_(@_)</c:formatCode>
                <c:ptCount val="8"/>
                <c:pt idx="0">
                  <c:v>1.6385000000000001</c:v>
                </c:pt>
                <c:pt idx="1">
                  <c:v>4.8900999999999994</c:v>
                </c:pt>
                <c:pt idx="2">
                  <c:v>1.33734</c:v>
                </c:pt>
                <c:pt idx="3">
                  <c:v>25.731299999999997</c:v>
                </c:pt>
                <c:pt idx="4">
                  <c:v>3.6166</c:v>
                </c:pt>
                <c:pt idx="5">
                  <c:v>6.1919999999999984</c:v>
                </c:pt>
                <c:pt idx="6">
                  <c:v>2.2292199999999998</c:v>
                </c:pt>
                <c:pt idx="7">
                  <c:v>23.507739999999998</c:v>
                </c:pt>
              </c:numCache>
            </c:numRef>
          </c:val>
          <c:extLst>
            <c:ext xmlns:c16="http://schemas.microsoft.com/office/drawing/2014/chart" uri="{C3380CC4-5D6E-409C-BE32-E72D297353CC}">
              <c16:uniqueId val="{00000010-830C-4B67-BFD0-374AF60602E6}"/>
            </c:ext>
          </c:extLst>
        </c:ser>
        <c:dLbls>
          <c:showLegendKey val="0"/>
          <c:showVal val="0"/>
          <c:showCatName val="0"/>
          <c:showSerName val="0"/>
          <c:showPercent val="0"/>
          <c:showBubbleSize val="0"/>
        </c:dLbls>
        <c:gapWidth val="150"/>
        <c:overlap val="-27"/>
        <c:axId val="959206288"/>
        <c:axId val="959208208"/>
      </c:barChart>
      <c:catAx>
        <c:axId val="95920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959208208"/>
        <c:crosses val="autoZero"/>
        <c:auto val="1"/>
        <c:lblAlgn val="ctr"/>
        <c:lblOffset val="100"/>
        <c:noMultiLvlLbl val="0"/>
      </c:catAx>
      <c:valAx>
        <c:axId val="95920820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9592062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085269587048309E-2"/>
          <c:y val="9.6006845793760329E-2"/>
          <c:w val="0.92853215611846474"/>
          <c:h val="0.79776855962134652"/>
        </c:manualLayout>
      </c:layout>
      <c:barChart>
        <c:barDir val="col"/>
        <c:grouping val="stacked"/>
        <c:varyColors val="0"/>
        <c:ser>
          <c:idx val="4"/>
          <c:order val="0"/>
          <c:tx>
            <c:strRef>
              <c:f>'A11 UK Drone Orders'!$C$6</c:f>
              <c:strCache>
                <c:ptCount val="1"/>
                <c:pt idx="0">
                  <c:v>Drone</c:v>
                </c:pt>
              </c:strCache>
            </c:strRef>
          </c:tx>
          <c:spPr>
            <a:pattFill prst="pct90">
              <a:fgClr>
                <a:schemeClr val="accent4"/>
              </a:fgClr>
              <a:bgClr>
                <a:schemeClr val="bg1"/>
              </a:bgClr>
            </a:pattFill>
            <a:ln>
              <a:solidFill>
                <a:schemeClr val="tx1"/>
              </a:solidFill>
            </a:ln>
            <a:effectLst/>
          </c:spPr>
          <c:invertIfNegative val="0"/>
          <c:cat>
            <c:numRef>
              <c:f>'A11 UK Drone Orders'!$B$7:$B$79</c:f>
              <c:numCache>
                <c:formatCode>mmm\-yyyy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'A11 UK Drone Orders'!$C$7:$C$79</c:f>
              <c:numCache>
                <c:formatCode>_(* #,##0.00_);_(* \(#,##0.00\);_(* "-"??_);_(@_)</c:formatCode>
                <c:ptCount val="73"/>
                <c:pt idx="0">
                  <c:v>0</c:v>
                </c:pt>
                <c:pt idx="1">
                  <c:v>0</c:v>
                </c:pt>
                <c:pt idx="2">
                  <c:v>0</c:v>
                </c:pt>
                <c:pt idx="3">
                  <c:v>0</c:v>
                </c:pt>
                <c:pt idx="4">
                  <c:v>0</c:v>
                </c:pt>
                <c:pt idx="5">
                  <c:v>0</c:v>
                </c:pt>
                <c:pt idx="6">
                  <c:v>65</c:v>
                </c:pt>
                <c:pt idx="7">
                  <c:v>0</c:v>
                </c:pt>
                <c:pt idx="8">
                  <c:v>0</c:v>
                </c:pt>
                <c:pt idx="9">
                  <c:v>0</c:v>
                </c:pt>
                <c:pt idx="10">
                  <c:v>0</c:v>
                </c:pt>
                <c:pt idx="11">
                  <c:v>0</c:v>
                </c:pt>
                <c:pt idx="12">
                  <c:v>25</c:v>
                </c:pt>
                <c:pt idx="13">
                  <c:v>0</c:v>
                </c:pt>
                <c:pt idx="14">
                  <c:v>0</c:v>
                </c:pt>
                <c:pt idx="15">
                  <c:v>0</c:v>
                </c:pt>
                <c:pt idx="16">
                  <c:v>0</c:v>
                </c:pt>
                <c:pt idx="17">
                  <c:v>0</c:v>
                </c:pt>
                <c:pt idx="18">
                  <c:v>195</c:v>
                </c:pt>
                <c:pt idx="19">
                  <c:v>0</c:v>
                </c:pt>
                <c:pt idx="20">
                  <c:v>0</c:v>
                </c:pt>
                <c:pt idx="21">
                  <c:v>0</c:v>
                </c:pt>
                <c:pt idx="22">
                  <c:v>0</c:v>
                </c:pt>
                <c:pt idx="23">
                  <c:v>0</c:v>
                </c:pt>
                <c:pt idx="24">
                  <c:v>0</c:v>
                </c:pt>
                <c:pt idx="25">
                  <c:v>0</c:v>
                </c:pt>
                <c:pt idx="26">
                  <c:v>0</c:v>
                </c:pt>
                <c:pt idx="27">
                  <c:v>32</c:v>
                </c:pt>
                <c:pt idx="28">
                  <c:v>0</c:v>
                </c:pt>
                <c:pt idx="29">
                  <c:v>0</c:v>
                </c:pt>
                <c:pt idx="30">
                  <c:v>0</c:v>
                </c:pt>
                <c:pt idx="31">
                  <c:v>0</c:v>
                </c:pt>
                <c:pt idx="32">
                  <c:v>0</c:v>
                </c:pt>
                <c:pt idx="33">
                  <c:v>0</c:v>
                </c:pt>
                <c:pt idx="34">
                  <c:v>0</c:v>
                </c:pt>
                <c:pt idx="35">
                  <c:v>144.4</c:v>
                </c:pt>
                <c:pt idx="36">
                  <c:v>0</c:v>
                </c:pt>
                <c:pt idx="37">
                  <c:v>20</c:v>
                </c:pt>
                <c:pt idx="38">
                  <c:v>0</c:v>
                </c:pt>
                <c:pt idx="39">
                  <c:v>0</c:v>
                </c:pt>
                <c:pt idx="40">
                  <c:v>0</c:v>
                </c:pt>
                <c:pt idx="41">
                  <c:v>0</c:v>
                </c:pt>
                <c:pt idx="42">
                  <c:v>0</c:v>
                </c:pt>
                <c:pt idx="43">
                  <c:v>0</c:v>
                </c:pt>
                <c:pt idx="44">
                  <c:v>0</c:v>
                </c:pt>
                <c:pt idx="45">
                  <c:v>0</c:v>
                </c:pt>
                <c:pt idx="46">
                  <c:v>0</c:v>
                </c:pt>
                <c:pt idx="47">
                  <c:v>0</c:v>
                </c:pt>
                <c:pt idx="48">
                  <c:v>0</c:v>
                </c:pt>
                <c:pt idx="49">
                  <c:v>0</c:v>
                </c:pt>
                <c:pt idx="50">
                  <c:v>125</c:v>
                </c:pt>
                <c:pt idx="51">
                  <c:v>0</c:v>
                </c:pt>
                <c:pt idx="52">
                  <c:v>21</c:v>
                </c:pt>
                <c:pt idx="53">
                  <c:v>0</c:v>
                </c:pt>
                <c:pt idx="54">
                  <c:v>0</c:v>
                </c:pt>
                <c:pt idx="55">
                  <c:v>0</c:v>
                </c:pt>
                <c:pt idx="56">
                  <c:v>0</c:v>
                </c:pt>
                <c:pt idx="57">
                  <c:v>0</c:v>
                </c:pt>
                <c:pt idx="58">
                  <c:v>0</c:v>
                </c:pt>
                <c:pt idx="59">
                  <c:v>0</c:v>
                </c:pt>
                <c:pt idx="60">
                  <c:v>0</c:v>
                </c:pt>
                <c:pt idx="61">
                  <c:v>0</c:v>
                </c:pt>
                <c:pt idx="62">
                  <c:v>0</c:v>
                </c:pt>
                <c:pt idx="63">
                  <c:v>0</c:v>
                </c:pt>
                <c:pt idx="64">
                  <c:v>19</c:v>
                </c:pt>
                <c:pt idx="65">
                  <c:v>350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0-1E6B-472D-BD78-CE9C5D36B6E2}"/>
            </c:ext>
          </c:extLst>
        </c:ser>
        <c:ser>
          <c:idx val="2"/>
          <c:order val="1"/>
          <c:tx>
            <c:strRef>
              <c:f>'A11 UK Drone Orders'!$D$6</c:f>
              <c:strCache>
                <c:ptCount val="1"/>
                <c:pt idx="0">
                  <c:v>Drone development</c:v>
                </c:pt>
              </c:strCache>
            </c:strRef>
          </c:tx>
          <c:spPr>
            <a:pattFill prst="trellis">
              <a:fgClr>
                <a:schemeClr val="accent6"/>
              </a:fgClr>
              <a:bgClr>
                <a:schemeClr val="bg1"/>
              </a:bgClr>
            </a:pattFill>
            <a:ln>
              <a:solidFill>
                <a:schemeClr val="tx1"/>
              </a:solidFill>
            </a:ln>
            <a:effectLst/>
          </c:spPr>
          <c:invertIfNegative val="0"/>
          <c:cat>
            <c:numRef>
              <c:f>'A11 UK Drone Orders'!$B$7:$B$79</c:f>
              <c:numCache>
                <c:formatCode>mmm\-yyyy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'A11 UK Drone Orders'!$D$7:$D$79</c:f>
              <c:numCache>
                <c:formatCode>_(* #,##0.00_);_(* \(#,##0.00\);_(* "-"??_);_(@_)</c:formatCode>
                <c:ptCount val="73"/>
                <c:pt idx="0">
                  <c:v>0</c:v>
                </c:pt>
                <c:pt idx="1">
                  <c:v>0</c:v>
                </c:pt>
                <c:pt idx="2">
                  <c:v>0</c:v>
                </c:pt>
                <c:pt idx="3">
                  <c:v>0</c:v>
                </c:pt>
                <c:pt idx="4">
                  <c:v>0</c:v>
                </c:pt>
                <c:pt idx="5">
                  <c:v>0</c:v>
                </c:pt>
                <c:pt idx="6">
                  <c:v>0</c:v>
                </c:pt>
                <c:pt idx="7">
                  <c:v>1.2</c:v>
                </c:pt>
                <c:pt idx="8">
                  <c:v>0</c:v>
                </c:pt>
                <c:pt idx="9">
                  <c:v>0</c:v>
                </c:pt>
                <c:pt idx="10">
                  <c:v>0</c:v>
                </c:pt>
                <c:pt idx="11">
                  <c:v>0</c:v>
                </c:pt>
                <c:pt idx="12">
                  <c:v>30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0</c:v>
                </c:pt>
                <c:pt idx="30">
                  <c:v>60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112</c:v>
                </c:pt>
                <c:pt idx="72">
                  <c:v>0</c:v>
                </c:pt>
              </c:numCache>
            </c:numRef>
          </c:val>
          <c:extLst>
            <c:ext xmlns:c16="http://schemas.microsoft.com/office/drawing/2014/chart" uri="{C3380CC4-5D6E-409C-BE32-E72D297353CC}">
              <c16:uniqueId val="{00000001-1E6B-472D-BD78-CE9C5D36B6E2}"/>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legend>
      <c:legendPos val="r"/>
      <c:layout>
        <c:manualLayout>
          <c:xMode val="edge"/>
          <c:yMode val="edge"/>
          <c:x val="9.3036482731470999E-2"/>
          <c:y val="0.21547777691230258"/>
          <c:w val="0.16049194064672578"/>
          <c:h val="0.13265469152297191"/>
        </c:manualLayout>
      </c:layout>
      <c:overlay val="0"/>
      <c:spPr>
        <a:solidFill>
          <a:schemeClr val="bg1">
            <a:alpha val="0"/>
          </a:schemeClr>
        </a:solidFill>
        <a:ln>
          <a:noFill/>
        </a:ln>
        <a:effectLst/>
      </c:spPr>
      <c:txPr>
        <a:bodyPr rot="0" spcFirstLastPara="1" vertOverflow="ellipsis" vert="horz" wrap="square" anchor="ctr" anchorCtr="1"/>
        <a:lstStyle/>
        <a:p>
          <a:pPr>
            <a:defRPr sz="1600" b="0" i="0" u="none" strike="noStrike" kern="1200" baseline="0">
              <a:solidFill>
                <a:schemeClr val="tx1">
                  <a:lumMod val="85000"/>
                  <a:lumOff val="15000"/>
                </a:schemeClr>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085269587048309E-2"/>
          <c:y val="9.6006845793760329E-2"/>
          <c:w val="0.92853215611846474"/>
          <c:h val="0.79776855962134652"/>
        </c:manualLayout>
      </c:layout>
      <c:barChart>
        <c:barDir val="col"/>
        <c:grouping val="stacked"/>
        <c:varyColors val="0"/>
        <c:ser>
          <c:idx val="2"/>
          <c:order val="0"/>
          <c:tx>
            <c:strRef>
              <c:f>'A12 UK IFU Fund Orders'!$C$6</c:f>
              <c:strCache>
                <c:ptCount val="1"/>
                <c:pt idx="0">
                  <c:v>Air</c:v>
                </c:pt>
              </c:strCache>
            </c:strRef>
          </c:tx>
          <c:spPr>
            <a:pattFill prst="pct90">
              <a:fgClr>
                <a:schemeClr val="accent4"/>
              </a:fgClr>
              <a:bgClr>
                <a:schemeClr val="bg1"/>
              </a:bgClr>
            </a:pattFill>
            <a:ln>
              <a:solidFill>
                <a:schemeClr val="tx1"/>
              </a:solidFill>
            </a:ln>
            <a:effectLst/>
          </c:spPr>
          <c:invertIfNegative val="0"/>
          <c:cat>
            <c:numRef>
              <c:f>'A12 UK IFU Fund Orders'!$B$7:$B$79</c:f>
              <c:numCache>
                <c:formatCode>mmm\-yyyy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'A12 UK IFU Fund Orders'!$C$7:$C$79</c:f>
              <c:numCache>
                <c:formatCode>_(* #,##0.00_);_(* \(#,##0.00\);_(* "-"??_);_(@_)</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0-5C5C-4BC8-B1A2-3C061ED4A28F}"/>
            </c:ext>
          </c:extLst>
        </c:ser>
        <c:ser>
          <c:idx val="4"/>
          <c:order val="1"/>
          <c:tx>
            <c:strRef>
              <c:f>'A12 UK IFU Fund Orders'!$D$6</c:f>
              <c:strCache>
                <c:ptCount val="1"/>
                <c:pt idx="0">
                  <c:v>Sea</c:v>
                </c:pt>
              </c:strCache>
            </c:strRef>
          </c:tx>
          <c:spPr>
            <a:pattFill prst="trellis">
              <a:fgClr>
                <a:schemeClr val="accent6"/>
              </a:fgClr>
              <a:bgClr>
                <a:schemeClr val="bg1"/>
              </a:bgClr>
            </a:pattFill>
            <a:ln>
              <a:solidFill>
                <a:schemeClr val="tx1"/>
              </a:solidFill>
            </a:ln>
            <a:effectLst/>
          </c:spPr>
          <c:invertIfNegative val="0"/>
          <c:cat>
            <c:numRef>
              <c:f>'A12 UK IFU Fund Orders'!$B$7:$B$79</c:f>
              <c:numCache>
                <c:formatCode>mmm\-yyyy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'A12 UK IFU Fund Orders'!$D$7:$D$79</c:f>
              <c:numCache>
                <c:formatCode>_(* #,##0.00_);_(* \(#,##0.00\);_(* "-"??_);_(@_)</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92</c:v>
                </c:pt>
                <c:pt idx="60">
                  <c:v>0</c:v>
                </c:pt>
                <c:pt idx="61">
                  <c:v>0</c:v>
                </c:pt>
                <c:pt idx="62">
                  <c:v>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1-5C5C-4BC8-B1A2-3C061ED4A28F}"/>
            </c:ext>
          </c:extLst>
        </c:ser>
        <c:ser>
          <c:idx val="3"/>
          <c:order val="2"/>
          <c:tx>
            <c:strRef>
              <c:f>'A12 UK IFU Fund Orders'!$E$6</c:f>
              <c:strCache>
                <c:ptCount val="1"/>
                <c:pt idx="0">
                  <c:v>Land</c:v>
                </c:pt>
              </c:strCache>
            </c:strRef>
          </c:tx>
          <c:spPr>
            <a:pattFill prst="pct60">
              <a:fgClr>
                <a:schemeClr val="accent2">
                  <a:lumMod val="50000"/>
                </a:schemeClr>
              </a:fgClr>
              <a:bgClr>
                <a:schemeClr val="bg1"/>
              </a:bgClr>
            </a:pattFill>
            <a:ln>
              <a:solidFill>
                <a:schemeClr val="tx1"/>
              </a:solidFill>
            </a:ln>
            <a:effectLst/>
          </c:spPr>
          <c:invertIfNegative val="0"/>
          <c:cat>
            <c:numRef>
              <c:f>'A12 UK IFU Fund Orders'!$B$7:$B$79</c:f>
              <c:numCache>
                <c:formatCode>mmm\-yyyy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'A12 UK IFU Fund Orders'!$E$7:$E$79</c:f>
              <c:numCache>
                <c:formatCode>_(* #,##0.00_);_(* \(#,##0.00\);_(* "-"??_);_(@_)</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60</c:v>
                </c:pt>
                <c:pt idx="51">
                  <c:v>0</c:v>
                </c:pt>
                <c:pt idx="52">
                  <c:v>0</c:v>
                </c:pt>
                <c:pt idx="53">
                  <c:v>0</c:v>
                </c:pt>
                <c:pt idx="54">
                  <c:v>300</c:v>
                </c:pt>
                <c:pt idx="55">
                  <c:v>0</c:v>
                </c:pt>
                <c:pt idx="56">
                  <c:v>0</c:v>
                </c:pt>
                <c:pt idx="57">
                  <c:v>0</c:v>
                </c:pt>
                <c:pt idx="58">
                  <c:v>0</c:v>
                </c:pt>
                <c:pt idx="59">
                  <c:v>68</c:v>
                </c:pt>
                <c:pt idx="60">
                  <c:v>45</c:v>
                </c:pt>
                <c:pt idx="61">
                  <c:v>0</c:v>
                </c:pt>
                <c:pt idx="62">
                  <c:v>30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2-5C5C-4BC8-B1A2-3C061ED4A28F}"/>
            </c:ext>
          </c:extLst>
        </c:ser>
        <c:ser>
          <c:idx val="0"/>
          <c:order val="3"/>
          <c:tx>
            <c:strRef>
              <c:f>'A12 UK IFU Fund Orders'!$F$6</c:f>
              <c:strCache>
                <c:ptCount val="1"/>
                <c:pt idx="0">
                  <c:v>Other</c:v>
                </c:pt>
              </c:strCache>
            </c:strRef>
          </c:tx>
          <c:spPr>
            <a:solidFill>
              <a:schemeClr val="accent5">
                <a:alpha val="93000"/>
              </a:schemeClr>
            </a:solidFill>
            <a:ln>
              <a:solidFill>
                <a:schemeClr val="tx1"/>
              </a:solidFill>
            </a:ln>
            <a:effectLst/>
          </c:spPr>
          <c:invertIfNegative val="0"/>
          <c:cat>
            <c:numRef>
              <c:f>'A12 UK IFU Fund Orders'!$B$7:$B$79</c:f>
              <c:numCache>
                <c:formatCode>mmm\-yyyy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'A12 UK IFU Fund Orders'!$F$7:$F$79</c:f>
              <c:numCache>
                <c:formatCode>_(* #,##0.00_);_(* \(#,##0.00\);_(* "-"??_);_(@_)</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200</c:v>
                </c:pt>
                <c:pt idx="38">
                  <c:v>0</c:v>
                </c:pt>
                <c:pt idx="39">
                  <c:v>0</c:v>
                </c:pt>
                <c:pt idx="40">
                  <c:v>0</c:v>
                </c:pt>
                <c:pt idx="41">
                  <c:v>92</c:v>
                </c:pt>
                <c:pt idx="42">
                  <c:v>0</c:v>
                </c:pt>
                <c:pt idx="43">
                  <c:v>0</c:v>
                </c:pt>
                <c:pt idx="44">
                  <c:v>0</c:v>
                </c:pt>
                <c:pt idx="45">
                  <c:v>100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26</c:v>
                </c:pt>
                <c:pt idx="60">
                  <c:v>0</c:v>
                </c:pt>
                <c:pt idx="61">
                  <c:v>0</c:v>
                </c:pt>
                <c:pt idx="62">
                  <c:v>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3-5C5C-4BC8-B1A2-3C061ED4A28F}"/>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legend>
      <c:legendPos val="r"/>
      <c:layout>
        <c:manualLayout>
          <c:xMode val="edge"/>
          <c:yMode val="edge"/>
          <c:x val="7.3722495690065351E-2"/>
          <c:y val="0.24538273140226435"/>
          <c:w val="6.8565229251286539E-2"/>
          <c:h val="0.32957683030979895"/>
        </c:manualLayout>
      </c:layout>
      <c:overlay val="0"/>
      <c:spPr>
        <a:solidFill>
          <a:sysClr val="window" lastClr="FFFFFF">
            <a:alpha val="0"/>
          </a:sysClr>
        </a:solid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86195286195286E-2"/>
          <c:y val="3.9247243347433826E-2"/>
          <c:w val="0.92101262626262625"/>
          <c:h val="0.78738954954057649"/>
        </c:manualLayout>
      </c:layout>
      <c:barChart>
        <c:barDir val="col"/>
        <c:grouping val="stacked"/>
        <c:varyColors val="0"/>
        <c:ser>
          <c:idx val="0"/>
          <c:order val="0"/>
          <c:tx>
            <c:strRef>
              <c:f>'A13 UK Orders by Origin'!$C$6</c:f>
              <c:strCache>
                <c:ptCount val="1"/>
                <c:pt idx="0">
                  <c:v>UK only</c:v>
                </c:pt>
              </c:strCache>
            </c:strRef>
          </c:tx>
          <c:spPr>
            <a:solidFill>
              <a:schemeClr val="accent1"/>
            </a:solidFill>
            <a:ln>
              <a:solidFill>
                <a:schemeClr val="tx1"/>
              </a:solidFill>
            </a:ln>
            <a:effectLst/>
          </c:spPr>
          <c:invertIfNegative val="0"/>
          <c:cat>
            <c:numRef>
              <c:f>'A13 UK Orders by Origin'!$B$7:$B$79</c:f>
              <c:numCache>
                <c:formatCode>mmm\-yyyy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'A13 UK Orders by Origin'!$C$7:$C$79</c:f>
              <c:numCache>
                <c:formatCode>_(* #,##0.00_);_(* \(#,##0.00\);_(* "-"??_);_(@_)</c:formatCode>
                <c:ptCount val="73"/>
                <c:pt idx="0">
                  <c:v>0.183</c:v>
                </c:pt>
                <c:pt idx="1">
                  <c:v>0</c:v>
                </c:pt>
                <c:pt idx="2">
                  <c:v>0</c:v>
                </c:pt>
                <c:pt idx="3">
                  <c:v>0</c:v>
                </c:pt>
                <c:pt idx="4">
                  <c:v>0</c:v>
                </c:pt>
                <c:pt idx="5">
                  <c:v>2.6700000000000002E-2</c:v>
                </c:pt>
                <c:pt idx="6">
                  <c:v>0.30990000000000001</c:v>
                </c:pt>
                <c:pt idx="7">
                  <c:v>0.24</c:v>
                </c:pt>
                <c:pt idx="8">
                  <c:v>7.0000000000000001E-3</c:v>
                </c:pt>
                <c:pt idx="9">
                  <c:v>4.5999999999999999E-2</c:v>
                </c:pt>
                <c:pt idx="10">
                  <c:v>2.4</c:v>
                </c:pt>
                <c:pt idx="11">
                  <c:v>0</c:v>
                </c:pt>
                <c:pt idx="12">
                  <c:v>0.26</c:v>
                </c:pt>
                <c:pt idx="13">
                  <c:v>0</c:v>
                </c:pt>
                <c:pt idx="14">
                  <c:v>0</c:v>
                </c:pt>
                <c:pt idx="15">
                  <c:v>0</c:v>
                </c:pt>
                <c:pt idx="16">
                  <c:v>0</c:v>
                </c:pt>
                <c:pt idx="17">
                  <c:v>3.5999999999999997E-2</c:v>
                </c:pt>
                <c:pt idx="18">
                  <c:v>5.94E-3</c:v>
                </c:pt>
                <c:pt idx="19">
                  <c:v>0</c:v>
                </c:pt>
                <c:pt idx="20">
                  <c:v>0.17</c:v>
                </c:pt>
                <c:pt idx="21">
                  <c:v>0</c:v>
                </c:pt>
                <c:pt idx="22">
                  <c:v>0</c:v>
                </c:pt>
                <c:pt idx="23">
                  <c:v>1.0200000000000001E-3</c:v>
                </c:pt>
                <c:pt idx="24">
                  <c:v>2.3369999999999998E-2</c:v>
                </c:pt>
                <c:pt idx="25">
                  <c:v>0.08</c:v>
                </c:pt>
                <c:pt idx="26">
                  <c:v>0.69499999999999995</c:v>
                </c:pt>
                <c:pt idx="27">
                  <c:v>2.1999999999999999E-2</c:v>
                </c:pt>
                <c:pt idx="28">
                  <c:v>2</c:v>
                </c:pt>
                <c:pt idx="29">
                  <c:v>7.1999999999999998E-3</c:v>
                </c:pt>
                <c:pt idx="30">
                  <c:v>0</c:v>
                </c:pt>
                <c:pt idx="31">
                  <c:v>0</c:v>
                </c:pt>
                <c:pt idx="32">
                  <c:v>1.4999999999999999E-2</c:v>
                </c:pt>
                <c:pt idx="33">
                  <c:v>3.4000000000000002E-2</c:v>
                </c:pt>
                <c:pt idx="34">
                  <c:v>4.2309999999999999</c:v>
                </c:pt>
                <c:pt idx="35">
                  <c:v>1.54E-2</c:v>
                </c:pt>
                <c:pt idx="36">
                  <c:v>0</c:v>
                </c:pt>
                <c:pt idx="37">
                  <c:v>0.49</c:v>
                </c:pt>
                <c:pt idx="38">
                  <c:v>0</c:v>
                </c:pt>
                <c:pt idx="39">
                  <c:v>0</c:v>
                </c:pt>
                <c:pt idx="40">
                  <c:v>0.32</c:v>
                </c:pt>
                <c:pt idx="41">
                  <c:v>0.27</c:v>
                </c:pt>
                <c:pt idx="42">
                  <c:v>0.05</c:v>
                </c:pt>
                <c:pt idx="43">
                  <c:v>0</c:v>
                </c:pt>
                <c:pt idx="44">
                  <c:v>0.04</c:v>
                </c:pt>
                <c:pt idx="45">
                  <c:v>4.0880000000000001</c:v>
                </c:pt>
                <c:pt idx="46">
                  <c:v>0.02</c:v>
                </c:pt>
                <c:pt idx="47">
                  <c:v>0</c:v>
                </c:pt>
                <c:pt idx="48">
                  <c:v>0.15</c:v>
                </c:pt>
                <c:pt idx="49">
                  <c:v>0</c:v>
                </c:pt>
                <c:pt idx="50">
                  <c:v>0.13500000000000001</c:v>
                </c:pt>
                <c:pt idx="51">
                  <c:v>0</c:v>
                </c:pt>
                <c:pt idx="52">
                  <c:v>0</c:v>
                </c:pt>
                <c:pt idx="53">
                  <c:v>0</c:v>
                </c:pt>
                <c:pt idx="54">
                  <c:v>0</c:v>
                </c:pt>
                <c:pt idx="55">
                  <c:v>0.02</c:v>
                </c:pt>
                <c:pt idx="56">
                  <c:v>0.13100000000000001</c:v>
                </c:pt>
                <c:pt idx="57">
                  <c:v>0</c:v>
                </c:pt>
                <c:pt idx="58">
                  <c:v>0.04</c:v>
                </c:pt>
                <c:pt idx="59">
                  <c:v>0.47599999999999998</c:v>
                </c:pt>
                <c:pt idx="60">
                  <c:v>9.3460000000000001</c:v>
                </c:pt>
                <c:pt idx="61">
                  <c:v>0</c:v>
                </c:pt>
                <c:pt idx="62">
                  <c:v>1.665</c:v>
                </c:pt>
                <c:pt idx="63">
                  <c:v>0.25</c:v>
                </c:pt>
                <c:pt idx="64">
                  <c:v>2.3822999999999999</c:v>
                </c:pt>
                <c:pt idx="65">
                  <c:v>5.1500000000000001E-3</c:v>
                </c:pt>
                <c:pt idx="66">
                  <c:v>0</c:v>
                </c:pt>
                <c:pt idx="67">
                  <c:v>0.16600000000000001</c:v>
                </c:pt>
                <c:pt idx="68">
                  <c:v>0</c:v>
                </c:pt>
                <c:pt idx="69">
                  <c:v>7.7999999999999996E-3</c:v>
                </c:pt>
                <c:pt idx="70">
                  <c:v>0</c:v>
                </c:pt>
                <c:pt idx="71">
                  <c:v>3.0999999999999999E-3</c:v>
                </c:pt>
                <c:pt idx="72">
                  <c:v>0.21529999999999999</c:v>
                </c:pt>
              </c:numCache>
            </c:numRef>
          </c:val>
          <c:extLst>
            <c:ext xmlns:c16="http://schemas.microsoft.com/office/drawing/2014/chart" uri="{C3380CC4-5D6E-409C-BE32-E72D297353CC}">
              <c16:uniqueId val="{00000000-ED0B-4EE7-B013-F277CB0E2D63}"/>
            </c:ext>
          </c:extLst>
        </c:ser>
        <c:ser>
          <c:idx val="4"/>
          <c:order val="1"/>
          <c:tx>
            <c:strRef>
              <c:f>'A13 UK Orders by Origin'!$D$6</c:f>
              <c:strCache>
                <c:ptCount val="1"/>
                <c:pt idx="0">
                  <c:v>UK and foreign partnership</c:v>
                </c:pt>
              </c:strCache>
            </c:strRef>
          </c:tx>
          <c:spPr>
            <a:pattFill prst="dkDnDiag">
              <a:fgClr>
                <a:schemeClr val="accent6"/>
              </a:fgClr>
              <a:bgClr>
                <a:schemeClr val="bg1"/>
              </a:bgClr>
            </a:pattFill>
            <a:ln>
              <a:solidFill>
                <a:schemeClr val="tx1"/>
              </a:solidFill>
            </a:ln>
            <a:effectLst/>
          </c:spPr>
          <c:invertIfNegative val="0"/>
          <c:cat>
            <c:numRef>
              <c:f>'A13 UK Orders by Origin'!$B$7:$B$79</c:f>
              <c:numCache>
                <c:formatCode>mmm\-yyyy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'A13 UK Orders by Origin'!$D$7:$D$79</c:f>
              <c:numCache>
                <c:formatCode>_(* #,##0.00_);_(* \(#,##0.00\);_(* "-"??_);_(@_)</c:formatCode>
                <c:ptCount val="73"/>
                <c:pt idx="0">
                  <c:v>0</c:v>
                </c:pt>
                <c:pt idx="1">
                  <c:v>0.33</c:v>
                </c:pt>
                <c:pt idx="2">
                  <c:v>0</c:v>
                </c:pt>
                <c:pt idx="3">
                  <c:v>0</c:v>
                </c:pt>
                <c:pt idx="4">
                  <c:v>0</c:v>
                </c:pt>
                <c:pt idx="5">
                  <c:v>0</c:v>
                </c:pt>
                <c:pt idx="6">
                  <c:v>0</c:v>
                </c:pt>
                <c:pt idx="7">
                  <c:v>1.1999999999999999E-3</c:v>
                </c:pt>
                <c:pt idx="8">
                  <c:v>0.317</c:v>
                </c:pt>
                <c:pt idx="9">
                  <c:v>0</c:v>
                </c:pt>
                <c:pt idx="10">
                  <c:v>0.184</c:v>
                </c:pt>
                <c:pt idx="11">
                  <c:v>0</c:v>
                </c:pt>
                <c:pt idx="12">
                  <c:v>0.753</c:v>
                </c:pt>
                <c:pt idx="13">
                  <c:v>0.18</c:v>
                </c:pt>
                <c:pt idx="14">
                  <c:v>9.8400000000000001E-2</c:v>
                </c:pt>
                <c:pt idx="15">
                  <c:v>0</c:v>
                </c:pt>
                <c:pt idx="16">
                  <c:v>1.121</c:v>
                </c:pt>
                <c:pt idx="17">
                  <c:v>0</c:v>
                </c:pt>
                <c:pt idx="18">
                  <c:v>0.69499999999999995</c:v>
                </c:pt>
                <c:pt idx="19">
                  <c:v>0</c:v>
                </c:pt>
                <c:pt idx="20">
                  <c:v>0.13650000000000001</c:v>
                </c:pt>
                <c:pt idx="21">
                  <c:v>0.17499999999999999</c:v>
                </c:pt>
                <c:pt idx="22">
                  <c:v>0.21</c:v>
                </c:pt>
                <c:pt idx="23">
                  <c:v>0</c:v>
                </c:pt>
                <c:pt idx="24">
                  <c:v>1.96</c:v>
                </c:pt>
                <c:pt idx="25">
                  <c:v>0</c:v>
                </c:pt>
                <c:pt idx="26">
                  <c:v>0</c:v>
                </c:pt>
                <c:pt idx="27">
                  <c:v>0.39200000000000002</c:v>
                </c:pt>
                <c:pt idx="28">
                  <c:v>0.56499999999999995</c:v>
                </c:pt>
                <c:pt idx="29">
                  <c:v>0</c:v>
                </c:pt>
                <c:pt idx="30">
                  <c:v>2.452</c:v>
                </c:pt>
                <c:pt idx="31">
                  <c:v>0</c:v>
                </c:pt>
                <c:pt idx="32">
                  <c:v>0</c:v>
                </c:pt>
                <c:pt idx="33">
                  <c:v>4.4999999999999998E-2</c:v>
                </c:pt>
                <c:pt idx="34">
                  <c:v>0.09</c:v>
                </c:pt>
                <c:pt idx="35">
                  <c:v>0.498</c:v>
                </c:pt>
                <c:pt idx="36">
                  <c:v>1.6</c:v>
                </c:pt>
                <c:pt idx="37">
                  <c:v>0</c:v>
                </c:pt>
                <c:pt idx="38">
                  <c:v>1.15E-2</c:v>
                </c:pt>
                <c:pt idx="39">
                  <c:v>0.81699999999999995</c:v>
                </c:pt>
                <c:pt idx="40">
                  <c:v>0</c:v>
                </c:pt>
                <c:pt idx="41">
                  <c:v>0.17100000000000001</c:v>
                </c:pt>
                <c:pt idx="42">
                  <c:v>0.28399999999999997</c:v>
                </c:pt>
                <c:pt idx="43">
                  <c:v>8.8999999999999996E-2</c:v>
                </c:pt>
                <c:pt idx="44">
                  <c:v>1.4999999999999999E-2</c:v>
                </c:pt>
                <c:pt idx="45">
                  <c:v>0</c:v>
                </c:pt>
                <c:pt idx="46">
                  <c:v>0</c:v>
                </c:pt>
                <c:pt idx="47">
                  <c:v>0.05</c:v>
                </c:pt>
                <c:pt idx="48">
                  <c:v>0.55500000000000005</c:v>
                </c:pt>
                <c:pt idx="49">
                  <c:v>1.8540000000000001</c:v>
                </c:pt>
                <c:pt idx="50">
                  <c:v>2.2410000000000001</c:v>
                </c:pt>
                <c:pt idx="51">
                  <c:v>0</c:v>
                </c:pt>
                <c:pt idx="52">
                  <c:v>2.1000000000000001E-2</c:v>
                </c:pt>
                <c:pt idx="53">
                  <c:v>0</c:v>
                </c:pt>
                <c:pt idx="54">
                  <c:v>6.6760000000000002</c:v>
                </c:pt>
                <c:pt idx="55">
                  <c:v>0</c:v>
                </c:pt>
                <c:pt idx="56">
                  <c:v>0.16200000000000001</c:v>
                </c:pt>
                <c:pt idx="57">
                  <c:v>0</c:v>
                </c:pt>
                <c:pt idx="58">
                  <c:v>0</c:v>
                </c:pt>
                <c:pt idx="59">
                  <c:v>0</c:v>
                </c:pt>
                <c:pt idx="60">
                  <c:v>0</c:v>
                </c:pt>
                <c:pt idx="61">
                  <c:v>0.377</c:v>
                </c:pt>
                <c:pt idx="62">
                  <c:v>1.1599999999999999</c:v>
                </c:pt>
                <c:pt idx="63">
                  <c:v>0.16500000000000001</c:v>
                </c:pt>
                <c:pt idx="64">
                  <c:v>0</c:v>
                </c:pt>
                <c:pt idx="65">
                  <c:v>0.27460000000000001</c:v>
                </c:pt>
                <c:pt idx="66">
                  <c:v>0</c:v>
                </c:pt>
                <c:pt idx="67">
                  <c:v>0.11799999999999999</c:v>
                </c:pt>
                <c:pt idx="68">
                  <c:v>0.42</c:v>
                </c:pt>
                <c:pt idx="69">
                  <c:v>0.52</c:v>
                </c:pt>
                <c:pt idx="70">
                  <c:v>0.316</c:v>
                </c:pt>
                <c:pt idx="71">
                  <c:v>0.1125</c:v>
                </c:pt>
                <c:pt idx="72">
                  <c:v>0.45350000000000001</c:v>
                </c:pt>
              </c:numCache>
            </c:numRef>
          </c:val>
          <c:extLst>
            <c:ext xmlns:c16="http://schemas.microsoft.com/office/drawing/2014/chart" uri="{C3380CC4-5D6E-409C-BE32-E72D297353CC}">
              <c16:uniqueId val="{00000001-ED0B-4EE7-B013-F277CB0E2D63}"/>
            </c:ext>
          </c:extLst>
        </c:ser>
        <c:ser>
          <c:idx val="3"/>
          <c:order val="2"/>
          <c:tx>
            <c:strRef>
              <c:f>'A13 UK Orders by Origin'!$E$6</c:f>
              <c:strCache>
                <c:ptCount val="1"/>
                <c:pt idx="0">
                  <c:v>European, non-UK</c:v>
                </c:pt>
              </c:strCache>
            </c:strRef>
          </c:tx>
          <c:spPr>
            <a:pattFill prst="trellis">
              <a:fgClr>
                <a:schemeClr val="accent2"/>
              </a:fgClr>
              <a:bgClr>
                <a:schemeClr val="bg1"/>
              </a:bgClr>
            </a:pattFill>
            <a:ln>
              <a:solidFill>
                <a:schemeClr val="tx1"/>
              </a:solidFill>
            </a:ln>
            <a:effectLst/>
          </c:spPr>
          <c:invertIfNegative val="0"/>
          <c:cat>
            <c:numRef>
              <c:f>'A13 UK Orders by Origin'!$B$7:$B$79</c:f>
              <c:numCache>
                <c:formatCode>mmm\-yyyy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'A13 UK Orders by Origin'!$E$7:$E$79</c:f>
              <c:numCache>
                <c:formatCode>_(* #,##0.00_);_(* \(#,##0.00\);_(* "-"??_);_(@_)</c:formatCode>
                <c:ptCount val="73"/>
                <c:pt idx="0">
                  <c:v>0</c:v>
                </c:pt>
                <c:pt idx="1">
                  <c:v>0</c:v>
                </c:pt>
                <c:pt idx="2">
                  <c:v>0</c:v>
                </c:pt>
                <c:pt idx="3">
                  <c:v>4.5999999999999999E-2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6.5000000000000002E-2</c:v>
                </c:pt>
                <c:pt idx="37">
                  <c:v>0.02</c:v>
                </c:pt>
                <c:pt idx="38">
                  <c:v>4.5999999999999999E-3</c:v>
                </c:pt>
                <c:pt idx="39">
                  <c:v>0</c:v>
                </c:pt>
                <c:pt idx="40">
                  <c:v>0</c:v>
                </c:pt>
                <c:pt idx="41">
                  <c:v>0</c:v>
                </c:pt>
                <c:pt idx="42">
                  <c:v>0</c:v>
                </c:pt>
                <c:pt idx="43">
                  <c:v>0</c:v>
                </c:pt>
                <c:pt idx="44">
                  <c:v>0</c:v>
                </c:pt>
                <c:pt idx="45">
                  <c:v>0</c:v>
                </c:pt>
                <c:pt idx="46">
                  <c:v>0</c:v>
                </c:pt>
                <c:pt idx="47">
                  <c:v>0</c:v>
                </c:pt>
                <c:pt idx="48">
                  <c:v>0</c:v>
                </c:pt>
                <c:pt idx="49">
                  <c:v>0.28199999999999997</c:v>
                </c:pt>
                <c:pt idx="50">
                  <c:v>0</c:v>
                </c:pt>
                <c:pt idx="51">
                  <c:v>0.13200000000000001</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2-ED0B-4EE7-B013-F277CB0E2D63}"/>
            </c:ext>
          </c:extLst>
        </c:ser>
        <c:ser>
          <c:idx val="1"/>
          <c:order val="3"/>
          <c:tx>
            <c:strRef>
              <c:f>'A13 UK Orders by Origin'!$F$6</c:f>
              <c:strCache>
                <c:ptCount val="1"/>
                <c:pt idx="0">
                  <c:v>Non-European only</c:v>
                </c:pt>
              </c:strCache>
            </c:strRef>
          </c:tx>
          <c:spPr>
            <a:pattFill prst="pct60">
              <a:fgClr>
                <a:schemeClr val="accent5"/>
              </a:fgClr>
              <a:bgClr>
                <a:schemeClr val="bg1"/>
              </a:bgClr>
            </a:pattFill>
            <a:ln>
              <a:solidFill>
                <a:schemeClr val="tx1"/>
              </a:solidFill>
            </a:ln>
            <a:effectLst/>
          </c:spPr>
          <c:invertIfNegative val="0"/>
          <c:cat>
            <c:numRef>
              <c:f>'A13 UK Orders by Origin'!$B$7:$B$79</c:f>
              <c:numCache>
                <c:formatCode>mmm\-yyyy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'A13 UK Orders by Origin'!$F$7:$F$79</c:f>
              <c:numCache>
                <c:formatCode>_(* #,##0.00_);_(* \(#,##0.00\);_(* "-"??_);_(@_)</c:formatCode>
                <c:ptCount val="73"/>
                <c:pt idx="0">
                  <c:v>0</c:v>
                </c:pt>
                <c:pt idx="1">
                  <c:v>0</c:v>
                </c:pt>
                <c:pt idx="2">
                  <c:v>0</c:v>
                </c:pt>
                <c:pt idx="3">
                  <c:v>0</c:v>
                </c:pt>
                <c:pt idx="4">
                  <c:v>0</c:v>
                </c:pt>
                <c:pt idx="5">
                  <c:v>0</c:v>
                </c:pt>
                <c:pt idx="6">
                  <c:v>6.5000000000000002E-2</c:v>
                </c:pt>
                <c:pt idx="7">
                  <c:v>0</c:v>
                </c:pt>
                <c:pt idx="8">
                  <c:v>0</c:v>
                </c:pt>
                <c:pt idx="9">
                  <c:v>0</c:v>
                </c:pt>
                <c:pt idx="10">
                  <c:v>0</c:v>
                </c:pt>
                <c:pt idx="11">
                  <c:v>0</c:v>
                </c:pt>
                <c:pt idx="12">
                  <c:v>0</c:v>
                </c:pt>
                <c:pt idx="13">
                  <c:v>0</c:v>
                </c:pt>
                <c:pt idx="14">
                  <c:v>0</c:v>
                </c:pt>
                <c:pt idx="15">
                  <c:v>0</c:v>
                </c:pt>
                <c:pt idx="16">
                  <c:v>0</c:v>
                </c:pt>
                <c:pt idx="17">
                  <c:v>0</c:v>
                </c:pt>
                <c:pt idx="18">
                  <c:v>0</c:v>
                </c:pt>
                <c:pt idx="19">
                  <c:v>0</c:v>
                </c:pt>
                <c:pt idx="20">
                  <c:v>0.32400000000000001</c:v>
                </c:pt>
                <c:pt idx="21">
                  <c:v>0</c:v>
                </c:pt>
                <c:pt idx="22">
                  <c:v>0</c:v>
                </c:pt>
                <c:pt idx="23">
                  <c:v>0</c:v>
                </c:pt>
                <c:pt idx="24">
                  <c:v>0.28699999999999998</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0.02</c:v>
                </c:pt>
                <c:pt idx="43">
                  <c:v>0</c:v>
                </c:pt>
                <c:pt idx="44">
                  <c:v>0</c:v>
                </c:pt>
                <c:pt idx="45">
                  <c:v>0</c:v>
                </c:pt>
                <c:pt idx="46">
                  <c:v>1.7000000000000001E-2</c:v>
                </c:pt>
                <c:pt idx="47">
                  <c:v>0</c:v>
                </c:pt>
                <c:pt idx="48">
                  <c:v>0</c:v>
                </c:pt>
                <c:pt idx="49">
                  <c:v>0</c:v>
                </c:pt>
                <c:pt idx="50">
                  <c:v>8.1999999999999998E-4</c:v>
                </c:pt>
                <c:pt idx="51">
                  <c:v>0.08</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0.96</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3-ED0B-4EE7-B013-F277CB0E2D63}"/>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legend>
      <c:legendPos val="r"/>
      <c:layout>
        <c:manualLayout>
          <c:xMode val="edge"/>
          <c:yMode val="edge"/>
          <c:x val="0.33274035190045687"/>
          <c:y val="1.9414798671633243E-2"/>
          <c:w val="0.28284935773318376"/>
          <c:h val="0.23108187161944446"/>
        </c:manualLayout>
      </c:layout>
      <c:overlay val="0"/>
      <c:spPr>
        <a:solidFill>
          <a:sysClr val="window" lastClr="FFFFFF"/>
        </a:solid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9525">
                <a:solidFill>
                  <a:schemeClr val="tx1"/>
                </a:solidFill>
              </a:ln>
              <a:effectLst/>
            </c:spPr>
            <c:extLst>
              <c:ext xmlns:c16="http://schemas.microsoft.com/office/drawing/2014/chart" uri="{C3380CC4-5D6E-409C-BE32-E72D297353CC}">
                <c16:uniqueId val="{00000001-4ADB-486B-8257-2E662AC3BEDF}"/>
              </c:ext>
            </c:extLst>
          </c:dPt>
          <c:dPt>
            <c:idx val="1"/>
            <c:bubble3D val="0"/>
            <c:spPr>
              <a:pattFill prst="dkVert">
                <a:fgClr>
                  <a:schemeClr val="accent6"/>
                </a:fgClr>
                <a:bgClr>
                  <a:schemeClr val="bg1"/>
                </a:bgClr>
              </a:pattFill>
              <a:ln w="9525">
                <a:solidFill>
                  <a:schemeClr val="tx1"/>
                </a:solidFill>
              </a:ln>
              <a:effectLst/>
            </c:spPr>
            <c:extLst>
              <c:ext xmlns:c16="http://schemas.microsoft.com/office/drawing/2014/chart" uri="{C3380CC4-5D6E-409C-BE32-E72D297353CC}">
                <c16:uniqueId val="{00000003-4ADB-486B-8257-2E662AC3BEDF}"/>
              </c:ext>
            </c:extLst>
          </c:dPt>
          <c:dPt>
            <c:idx val="2"/>
            <c:bubble3D val="0"/>
            <c:spPr>
              <a:pattFill prst="dkHorz">
                <a:fgClr>
                  <a:schemeClr val="accent2"/>
                </a:fgClr>
                <a:bgClr>
                  <a:schemeClr val="bg1"/>
                </a:bgClr>
              </a:pattFill>
              <a:ln w="9525">
                <a:solidFill>
                  <a:schemeClr val="tx1">
                    <a:alpha val="86000"/>
                  </a:schemeClr>
                </a:solidFill>
              </a:ln>
              <a:effectLst/>
            </c:spPr>
            <c:extLst>
              <c:ext xmlns:c16="http://schemas.microsoft.com/office/drawing/2014/chart" uri="{C3380CC4-5D6E-409C-BE32-E72D297353CC}">
                <c16:uniqueId val="{00000005-4ADB-486B-8257-2E662AC3BEDF}"/>
              </c:ext>
            </c:extLst>
          </c:dPt>
          <c:dPt>
            <c:idx val="3"/>
            <c:bubble3D val="0"/>
            <c:spPr>
              <a:pattFill prst="pct90">
                <a:fgClr>
                  <a:schemeClr val="accent5"/>
                </a:fgClr>
                <a:bgClr>
                  <a:schemeClr val="bg1"/>
                </a:bgClr>
              </a:pattFill>
              <a:ln w="9525">
                <a:solidFill>
                  <a:schemeClr val="tx1"/>
                </a:solidFill>
              </a:ln>
              <a:effectLst/>
            </c:spPr>
            <c:extLst>
              <c:ext xmlns:c16="http://schemas.microsoft.com/office/drawing/2014/chart" uri="{C3380CC4-5D6E-409C-BE32-E72D297353CC}">
                <c16:uniqueId val="{00000007-4ADB-486B-8257-2E662AC3BEDF}"/>
              </c:ext>
            </c:extLst>
          </c:dPt>
          <c:cat>
            <c:strRef>
              <c:f>'A14 UK Origin (%)'!$D$6:$G$6</c:f>
              <c:strCache>
                <c:ptCount val="4"/>
                <c:pt idx="0">
                  <c:v>UK only</c:v>
                </c:pt>
                <c:pt idx="1">
                  <c:v>UK and foreign partnership</c:v>
                </c:pt>
                <c:pt idx="2">
                  <c:v>European, non-UK</c:v>
                </c:pt>
                <c:pt idx="3">
                  <c:v>Non-European only</c:v>
                </c:pt>
              </c:strCache>
            </c:strRef>
          </c:cat>
          <c:val>
            <c:numRef>
              <c:f>'A14 UK Origin (%)'!$D$10:$G$10</c:f>
              <c:numCache>
                <c:formatCode>_(* #,##0.00_);_(* \(#,##0.00\);_(* "-"??_);_(@_)</c:formatCode>
                <c:ptCount val="4"/>
                <c:pt idx="0">
                  <c:v>31.079180000000001</c:v>
                </c:pt>
                <c:pt idx="1">
                  <c:v>28.6662</c:v>
                </c:pt>
                <c:pt idx="2">
                  <c:v>0.54960000000000009</c:v>
                </c:pt>
                <c:pt idx="3">
                  <c:v>1.7538200000000002</c:v>
                </c:pt>
              </c:numCache>
            </c:numRef>
          </c:val>
          <c:extLst>
            <c:ext xmlns:c16="http://schemas.microsoft.com/office/drawing/2014/chart" uri="{C3380CC4-5D6E-409C-BE32-E72D297353CC}">
              <c16:uniqueId val="{00000008-4ADB-486B-8257-2E662AC3BEDF}"/>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8050435779808007"/>
          <c:y val="0.59383056154671865"/>
          <c:w val="0.39610354392904679"/>
          <c:h val="0.31741269148543583"/>
        </c:manualLayout>
      </c:layout>
      <c:overlay val="0"/>
      <c:spPr>
        <a:noFill/>
        <a:ln>
          <a:noFill/>
        </a:ln>
        <a:effectLst/>
      </c:spPr>
      <c:txPr>
        <a:bodyPr rot="0" spcFirstLastPara="1" vertOverflow="ellipsis" vert="horz" wrap="square" anchor="ctr" anchorCtr="1"/>
        <a:lstStyle/>
        <a:p>
          <a:pPr rtl="0">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874820127696113E-2"/>
          <c:y val="0.10005676889071029"/>
          <c:w val="0.92853215611846474"/>
          <c:h val="0.79419259942985609"/>
        </c:manualLayout>
      </c:layout>
      <c:barChart>
        <c:barDir val="col"/>
        <c:grouping val="clustered"/>
        <c:varyColors val="0"/>
        <c:ser>
          <c:idx val="0"/>
          <c:order val="0"/>
          <c:spPr>
            <a:solidFill>
              <a:schemeClr val="accent1"/>
            </a:solidFill>
            <a:ln>
              <a:solidFill>
                <a:schemeClr val="tx1"/>
              </a:solidFill>
            </a:ln>
            <a:effectLst/>
          </c:spPr>
          <c:invertIfNegative val="0"/>
          <c:cat>
            <c:numRef>
              <c:f>'A15 PL Total Orders'!$B$7:$B$91</c:f>
              <c:numCache>
                <c:formatCode>mmm\-yyyy</c:formatCode>
                <c:ptCount val="8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numCache>
            </c:numRef>
          </c:cat>
          <c:val>
            <c:numRef>
              <c:f>'A15 PL Total Orders'!$C$7:$C$91</c:f>
              <c:numCache>
                <c:formatCode>_(* #,##0.00_);_(* \(#,##0.00\);_(* "-"??_);_(@_)</c:formatCode>
                <c:ptCount val="85"/>
                <c:pt idx="0">
                  <c:v>0.15901898734177214</c:v>
                </c:pt>
                <c:pt idx="1">
                  <c:v>1.0678719857185472</c:v>
                </c:pt>
                <c:pt idx="2">
                  <c:v>0.16864389426656737</c:v>
                </c:pt>
                <c:pt idx="3">
                  <c:v>0.4760523899385703</c:v>
                </c:pt>
                <c:pt idx="4">
                  <c:v>3.9768344657483246E-2</c:v>
                </c:pt>
                <c:pt idx="5">
                  <c:v>0</c:v>
                </c:pt>
                <c:pt idx="6">
                  <c:v>0.42042768056589719</c:v>
                </c:pt>
                <c:pt idx="7">
                  <c:v>0</c:v>
                </c:pt>
                <c:pt idx="8">
                  <c:v>2.896965748324646E-2</c:v>
                </c:pt>
                <c:pt idx="9">
                  <c:v>6.4105547282204023E-2</c:v>
                </c:pt>
                <c:pt idx="10">
                  <c:v>0.10005584512285927</c:v>
                </c:pt>
                <c:pt idx="11">
                  <c:v>0</c:v>
                </c:pt>
                <c:pt idx="12">
                  <c:v>4.0273157065312555</c:v>
                </c:pt>
                <c:pt idx="13">
                  <c:v>0</c:v>
                </c:pt>
                <c:pt idx="14">
                  <c:v>0</c:v>
                </c:pt>
                <c:pt idx="15">
                  <c:v>0</c:v>
                </c:pt>
                <c:pt idx="16">
                  <c:v>0.15824893090254333</c:v>
                </c:pt>
                <c:pt idx="17">
                  <c:v>0</c:v>
                </c:pt>
                <c:pt idx="18">
                  <c:v>3.9837947332883192E-2</c:v>
                </c:pt>
                <c:pt idx="19">
                  <c:v>0</c:v>
                </c:pt>
                <c:pt idx="20">
                  <c:v>0</c:v>
                </c:pt>
                <c:pt idx="21">
                  <c:v>3.7362142696376326E-2</c:v>
                </c:pt>
                <c:pt idx="22">
                  <c:v>0</c:v>
                </c:pt>
                <c:pt idx="23">
                  <c:v>0</c:v>
                </c:pt>
                <c:pt idx="24">
                  <c:v>0</c:v>
                </c:pt>
                <c:pt idx="25">
                  <c:v>0</c:v>
                </c:pt>
                <c:pt idx="26">
                  <c:v>0</c:v>
                </c:pt>
                <c:pt idx="27">
                  <c:v>7.7105055638307191E-2</c:v>
                </c:pt>
                <c:pt idx="28">
                  <c:v>0.26734316454846485</c:v>
                </c:pt>
                <c:pt idx="29">
                  <c:v>0</c:v>
                </c:pt>
                <c:pt idx="30">
                  <c:v>5.7686216688975511</c:v>
                </c:pt>
                <c:pt idx="31">
                  <c:v>0</c:v>
                </c:pt>
                <c:pt idx="32">
                  <c:v>0</c:v>
                </c:pt>
                <c:pt idx="33">
                  <c:v>0</c:v>
                </c:pt>
                <c:pt idx="34">
                  <c:v>0</c:v>
                </c:pt>
                <c:pt idx="35">
                  <c:v>3.8114430912117761E-2</c:v>
                </c:pt>
                <c:pt idx="36">
                  <c:v>0</c:v>
                </c:pt>
                <c:pt idx="37">
                  <c:v>0</c:v>
                </c:pt>
                <c:pt idx="38">
                  <c:v>0</c:v>
                </c:pt>
                <c:pt idx="39">
                  <c:v>0</c:v>
                </c:pt>
                <c:pt idx="40">
                  <c:v>0</c:v>
                </c:pt>
                <c:pt idx="41">
                  <c:v>1.2803824075457204</c:v>
                </c:pt>
                <c:pt idx="42">
                  <c:v>4.4025031050489334</c:v>
                </c:pt>
                <c:pt idx="43">
                  <c:v>0</c:v>
                </c:pt>
                <c:pt idx="44">
                  <c:v>4.30485124896967</c:v>
                </c:pt>
                <c:pt idx="45">
                  <c:v>6.6001899335232679</c:v>
                </c:pt>
                <c:pt idx="46">
                  <c:v>0</c:v>
                </c:pt>
                <c:pt idx="47">
                  <c:v>0</c:v>
                </c:pt>
                <c:pt idx="48">
                  <c:v>1.2947378155923426</c:v>
                </c:pt>
                <c:pt idx="49">
                  <c:v>0.46477322765301632</c:v>
                </c:pt>
                <c:pt idx="50">
                  <c:v>0.242184059885513</c:v>
                </c:pt>
                <c:pt idx="51">
                  <c:v>0</c:v>
                </c:pt>
                <c:pt idx="52">
                  <c:v>0</c:v>
                </c:pt>
                <c:pt idx="53">
                  <c:v>0.11228533685601057</c:v>
                </c:pt>
                <c:pt idx="54">
                  <c:v>5.3463423656709523E-2</c:v>
                </c:pt>
                <c:pt idx="55">
                  <c:v>0.48436811977102601</c:v>
                </c:pt>
                <c:pt idx="56">
                  <c:v>1.8273888154997799</c:v>
                </c:pt>
                <c:pt idx="57">
                  <c:v>0</c:v>
                </c:pt>
                <c:pt idx="58">
                  <c:v>0</c:v>
                </c:pt>
                <c:pt idx="59">
                  <c:v>2.2016732716864817</c:v>
                </c:pt>
                <c:pt idx="60">
                  <c:v>0</c:v>
                </c:pt>
                <c:pt idx="61">
                  <c:v>2.4070718376838651</c:v>
                </c:pt>
                <c:pt idx="62">
                  <c:v>1.5095917135027175</c:v>
                </c:pt>
                <c:pt idx="63">
                  <c:v>1.4915739051782437</c:v>
                </c:pt>
                <c:pt idx="64">
                  <c:v>1.5659645232815964</c:v>
                </c:pt>
                <c:pt idx="65">
                  <c:v>0</c:v>
                </c:pt>
                <c:pt idx="66">
                  <c:v>0.92897951600167228</c:v>
                </c:pt>
                <c:pt idx="67">
                  <c:v>10.732063322896561</c:v>
                </c:pt>
                <c:pt idx="68">
                  <c:v>1.5490733429327885E-2</c:v>
                </c:pt>
                <c:pt idx="69">
                  <c:v>0</c:v>
                </c:pt>
                <c:pt idx="70">
                  <c:v>0.48682058374175302</c:v>
                </c:pt>
                <c:pt idx="71">
                  <c:v>5.9666509498815552</c:v>
                </c:pt>
                <c:pt idx="72">
                  <c:v>0.65929203539823023</c:v>
                </c:pt>
                <c:pt idx="73">
                  <c:v>0.26548672566371684</c:v>
                </c:pt>
                <c:pt idx="74">
                  <c:v>3.3313427377667608</c:v>
                </c:pt>
                <c:pt idx="75">
                  <c:v>0</c:v>
                </c:pt>
                <c:pt idx="76">
                  <c:v>0.20284454088732692</c:v>
                </c:pt>
                <c:pt idx="77">
                  <c:v>5.8966436304455506E-2</c:v>
                </c:pt>
                <c:pt idx="78">
                  <c:v>0.10648722640878124</c:v>
                </c:pt>
                <c:pt idx="79">
                  <c:v>9.1150442477876101</c:v>
                </c:pt>
                <c:pt idx="80">
                  <c:v>1.4128358138547539</c:v>
                </c:pt>
                <c:pt idx="81">
                  <c:v>4.7173149043564404</c:v>
                </c:pt>
                <c:pt idx="82">
                  <c:v>2.8011353282844151</c:v>
                </c:pt>
                <c:pt idx="83">
                  <c:v>3.3257070075712907</c:v>
                </c:pt>
                <c:pt idx="84">
                  <c:v>3.5606618083414441</c:v>
                </c:pt>
              </c:numCache>
            </c:numRef>
          </c:val>
          <c:extLst>
            <c:ext xmlns:c16="http://schemas.microsoft.com/office/drawing/2014/chart" uri="{C3380CC4-5D6E-409C-BE32-E72D297353CC}">
              <c16:uniqueId val="{00000000-B4AE-49C5-8A29-773A9DB24434}"/>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286054046798872E-2"/>
          <c:y val="9.6006817453829219E-2"/>
          <c:w val="0.92853215611846474"/>
          <c:h val="0.79419259942985609"/>
        </c:manualLayout>
      </c:layout>
      <c:barChart>
        <c:barDir val="col"/>
        <c:grouping val="clustered"/>
        <c:varyColors val="0"/>
        <c:ser>
          <c:idx val="0"/>
          <c:order val="0"/>
          <c:tx>
            <c:strRef>
              <c:f>'A16 PL Total Yearly'!$F$6</c:f>
              <c:strCache>
                <c:ptCount val="1"/>
                <c:pt idx="0">
                  <c:v>Total military orders</c:v>
                </c:pt>
              </c:strCache>
            </c:strRef>
          </c:tx>
          <c:spPr>
            <a:solidFill>
              <a:schemeClr val="accent1"/>
            </a:solidFill>
            <a:ln w="9525">
              <a:solidFill>
                <a:schemeClr val="tx1"/>
              </a:solidFill>
            </a:ln>
            <a:effectLst/>
          </c:spPr>
          <c:invertIfNegative val="0"/>
          <c:cat>
            <c:strRef>
              <c:f>'A16 PL Total Yearly'!$E$7:$E$12</c:f>
              <c:strCache>
                <c:ptCount val="6"/>
                <c:pt idx="0">
                  <c:v>Jan 2019 - Feb 2021</c:v>
                </c:pt>
                <c:pt idx="1">
                  <c:v>Mar 2021 - Feb 2022</c:v>
                </c:pt>
                <c:pt idx="2">
                  <c:v>Mar 2022 - Feb 2023</c:v>
                </c:pt>
                <c:pt idx="3">
                  <c:v>Mar 2023 - Feb 2024</c:v>
                </c:pt>
                <c:pt idx="4">
                  <c:v>Mar 2024 - Feb 2025</c:v>
                </c:pt>
                <c:pt idx="5">
                  <c:v>Mar 2025 - Feb 2026</c:v>
                </c:pt>
              </c:strCache>
            </c:strRef>
          </c:cat>
          <c:val>
            <c:numRef>
              <c:f>'A16 PL Total Yearly'!$F$7:$F$12</c:f>
              <c:numCache>
                <c:formatCode>_(* #,##0.00_);_(* \(#,##0.00\);_(* "-"??_);_(@_)</c:formatCode>
                <c:ptCount val="6"/>
                <c:pt idx="0">
                  <c:v>6.7876790598402064</c:v>
                </c:pt>
                <c:pt idx="1">
                  <c:v>6.1511843199964407</c:v>
                </c:pt>
                <c:pt idx="2">
                  <c:v>18.34743773833295</c:v>
                </c:pt>
                <c:pt idx="3">
                  <c:v>7.3284348650393856</c:v>
                </c:pt>
                <c:pt idx="4">
                  <c:v>23.621914008975374</c:v>
                </c:pt>
                <c:pt idx="5">
                  <c:v>28.632340051563276</c:v>
                </c:pt>
              </c:numCache>
            </c:numRef>
          </c:val>
          <c:extLst>
            <c:ext xmlns:c16="http://schemas.microsoft.com/office/drawing/2014/chart" uri="{C3380CC4-5D6E-409C-BE32-E72D297353CC}">
              <c16:uniqueId val="{00000000-E55F-478E-8851-59B07D623E10}"/>
            </c:ext>
          </c:extLst>
        </c:ser>
        <c:dLbls>
          <c:showLegendKey val="0"/>
          <c:showVal val="0"/>
          <c:showCatName val="0"/>
          <c:showSerName val="0"/>
          <c:showPercent val="0"/>
          <c:showBubbleSize val="0"/>
        </c:dLbls>
        <c:gapWidth val="100"/>
        <c:overlap val="100"/>
        <c:axId val="112003664"/>
        <c:axId val="112001744"/>
      </c:barChart>
      <c:catAx>
        <c:axId val="11200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0"/>
        <c:lblAlgn val="ctr"/>
        <c:lblOffset val="100"/>
        <c:noMultiLvlLbl val="0"/>
      </c:catAx>
      <c:valAx>
        <c:axId val="112001744"/>
        <c:scaling>
          <c:orientation val="minMax"/>
        </c:scaling>
        <c:delete val="0"/>
        <c:axPos val="l"/>
        <c:majorGridlines>
          <c:spPr>
            <a:ln w="9525" cap="flat" cmpd="sng" algn="ctr">
              <a:solidFill>
                <a:srgbClr val="D9D9D9"/>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At val="1"/>
        <c:crossBetween val="between"/>
        <c:majorUnit val="5"/>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2687907312011E-2"/>
          <c:y val="3.7800677056937237E-2"/>
          <c:w val="0.59387577652511925"/>
          <c:h val="0.87287499719268402"/>
        </c:manualLayout>
      </c:layout>
      <c:areaChart>
        <c:grouping val="percentStacked"/>
        <c:varyColors val="0"/>
        <c:ser>
          <c:idx val="1"/>
          <c:order val="1"/>
          <c:tx>
            <c:strRef>
              <c:f>'Fig 3 DE Origin (%)'!$C$6</c:f>
              <c:strCache>
                <c:ptCount val="1"/>
                <c:pt idx="0">
                  <c:v>Germany only</c:v>
                </c:pt>
              </c:strCache>
            </c:strRef>
          </c:tx>
          <c:spPr>
            <a:solidFill>
              <a:srgbClr val="304DC3"/>
            </a:solidFill>
            <a:ln>
              <a:noFill/>
            </a:ln>
            <a:effectLst/>
          </c:spPr>
          <c:cat>
            <c:numRef>
              <c:f>'Fig 3 DE Origin (%)'!$B$7:$B$12</c:f>
              <c:numCache>
                <c:formatCode>General</c:formatCode>
                <c:ptCount val="6"/>
                <c:pt idx="0">
                  <c:v>2020</c:v>
                </c:pt>
                <c:pt idx="1">
                  <c:v>2021</c:v>
                </c:pt>
                <c:pt idx="2">
                  <c:v>2022</c:v>
                </c:pt>
                <c:pt idx="3">
                  <c:v>2023</c:v>
                </c:pt>
                <c:pt idx="4">
                  <c:v>2024</c:v>
                </c:pt>
                <c:pt idx="5">
                  <c:v>2025</c:v>
                </c:pt>
              </c:numCache>
            </c:numRef>
          </c:cat>
          <c:val>
            <c:numRef>
              <c:f>'Fig 3 DE Origin (%)'!$C$7:$C$12</c:f>
              <c:numCache>
                <c:formatCode>_(* #,##0.00_);_(* \(#,##0.00\);_(* "-"??_);_(@_)</c:formatCode>
                <c:ptCount val="6"/>
                <c:pt idx="0">
                  <c:v>8.1259999999999994</c:v>
                </c:pt>
                <c:pt idx="1">
                  <c:v>8.4480000000000004</c:v>
                </c:pt>
                <c:pt idx="2">
                  <c:v>10.7799</c:v>
                </c:pt>
                <c:pt idx="3">
                  <c:v>21.254380000000001</c:v>
                </c:pt>
                <c:pt idx="4">
                  <c:v>24.986160000000002</c:v>
                </c:pt>
                <c:pt idx="5">
                  <c:v>41.651388191000002</c:v>
                </c:pt>
              </c:numCache>
            </c:numRef>
          </c:val>
          <c:extLst>
            <c:ext xmlns:c16="http://schemas.microsoft.com/office/drawing/2014/chart" uri="{C3380CC4-5D6E-409C-BE32-E72D297353CC}">
              <c16:uniqueId val="{00000000-1401-407C-BFB2-6229DB964BF9}"/>
            </c:ext>
          </c:extLst>
        </c:ser>
        <c:ser>
          <c:idx val="2"/>
          <c:order val="2"/>
          <c:tx>
            <c:strRef>
              <c:f>'Fig 3 DE Origin (%)'!$D$6</c:f>
              <c:strCache>
                <c:ptCount val="1"/>
                <c:pt idx="0">
                  <c:v>Germany and foreign partnership</c:v>
                </c:pt>
              </c:strCache>
            </c:strRef>
          </c:tx>
          <c:spPr>
            <a:solidFill>
              <a:srgbClr val="4372FF"/>
            </a:solidFill>
            <a:ln>
              <a:noFill/>
            </a:ln>
            <a:effectLst/>
          </c:spPr>
          <c:cat>
            <c:numRef>
              <c:f>'Fig 3 DE Origin (%)'!$B$7:$B$12</c:f>
              <c:numCache>
                <c:formatCode>General</c:formatCode>
                <c:ptCount val="6"/>
                <c:pt idx="0">
                  <c:v>2020</c:v>
                </c:pt>
                <c:pt idx="1">
                  <c:v>2021</c:v>
                </c:pt>
                <c:pt idx="2">
                  <c:v>2022</c:v>
                </c:pt>
                <c:pt idx="3">
                  <c:v>2023</c:v>
                </c:pt>
                <c:pt idx="4">
                  <c:v>2024</c:v>
                </c:pt>
                <c:pt idx="5">
                  <c:v>2025</c:v>
                </c:pt>
              </c:numCache>
            </c:numRef>
          </c:cat>
          <c:val>
            <c:numRef>
              <c:f>'Fig 3 DE Origin (%)'!$D$7:$D$12</c:f>
              <c:numCache>
                <c:formatCode>_(* #,##0.00_);_(* \(#,##0.00\);_(* "-"??_);_(@_)</c:formatCode>
                <c:ptCount val="6"/>
                <c:pt idx="0">
                  <c:v>17.134</c:v>
                </c:pt>
                <c:pt idx="1">
                  <c:v>12.613899999999999</c:v>
                </c:pt>
                <c:pt idx="2">
                  <c:v>0.93720000000000003</c:v>
                </c:pt>
                <c:pt idx="3">
                  <c:v>11.5403</c:v>
                </c:pt>
                <c:pt idx="4">
                  <c:v>10.991358999999999</c:v>
                </c:pt>
                <c:pt idx="5">
                  <c:v>26.0274</c:v>
                </c:pt>
              </c:numCache>
            </c:numRef>
          </c:val>
          <c:extLst>
            <c:ext xmlns:c16="http://schemas.microsoft.com/office/drawing/2014/chart" uri="{C3380CC4-5D6E-409C-BE32-E72D297353CC}">
              <c16:uniqueId val="{00000001-1401-407C-BFB2-6229DB964BF9}"/>
            </c:ext>
          </c:extLst>
        </c:ser>
        <c:ser>
          <c:idx val="3"/>
          <c:order val="3"/>
          <c:tx>
            <c:strRef>
              <c:f>'Fig 3 DE Origin (%)'!$E$6</c:f>
              <c:strCache>
                <c:ptCount val="1"/>
                <c:pt idx="0">
                  <c:v>European, non-Germany</c:v>
                </c:pt>
              </c:strCache>
            </c:strRef>
          </c:tx>
          <c:spPr>
            <a:solidFill>
              <a:srgbClr val="32C2FF"/>
            </a:solidFill>
            <a:ln>
              <a:noFill/>
            </a:ln>
            <a:effectLst/>
          </c:spPr>
          <c:cat>
            <c:numRef>
              <c:f>'Fig 3 DE Origin (%)'!$B$7:$B$12</c:f>
              <c:numCache>
                <c:formatCode>General</c:formatCode>
                <c:ptCount val="6"/>
                <c:pt idx="0">
                  <c:v>2020</c:v>
                </c:pt>
                <c:pt idx="1">
                  <c:v>2021</c:v>
                </c:pt>
                <c:pt idx="2">
                  <c:v>2022</c:v>
                </c:pt>
                <c:pt idx="3">
                  <c:v>2023</c:v>
                </c:pt>
                <c:pt idx="4">
                  <c:v>2024</c:v>
                </c:pt>
                <c:pt idx="5">
                  <c:v>2025</c:v>
                </c:pt>
              </c:numCache>
            </c:numRef>
          </c:cat>
          <c:val>
            <c:numRef>
              <c:f>'Fig 3 DE Origin (%)'!$E$7:$E$12</c:f>
              <c:numCache>
                <c:formatCode>_(* #,##0.00_);_(* \(#,##0.00\);_(* "-"??_);_(@_)</c:formatCode>
                <c:ptCount val="6"/>
                <c:pt idx="0">
                  <c:v>0</c:v>
                </c:pt>
                <c:pt idx="1">
                  <c:v>2.4E-2</c:v>
                </c:pt>
                <c:pt idx="2">
                  <c:v>0.40500000000000003</c:v>
                </c:pt>
                <c:pt idx="3">
                  <c:v>0.27800000000000002</c:v>
                </c:pt>
                <c:pt idx="4">
                  <c:v>0</c:v>
                </c:pt>
                <c:pt idx="5">
                  <c:v>1.7070000000000001</c:v>
                </c:pt>
              </c:numCache>
            </c:numRef>
          </c:val>
          <c:extLst>
            <c:ext xmlns:c16="http://schemas.microsoft.com/office/drawing/2014/chart" uri="{C3380CC4-5D6E-409C-BE32-E72D297353CC}">
              <c16:uniqueId val="{00000002-1401-407C-BFB2-6229DB964BF9}"/>
            </c:ext>
          </c:extLst>
        </c:ser>
        <c:ser>
          <c:idx val="4"/>
          <c:order val="4"/>
          <c:tx>
            <c:strRef>
              <c:f>'Fig 3 DE Origin (%)'!$F$6</c:f>
              <c:strCache>
                <c:ptCount val="1"/>
                <c:pt idx="0">
                  <c:v>Non-European only</c:v>
                </c:pt>
              </c:strCache>
            </c:strRef>
          </c:tx>
          <c:spPr>
            <a:solidFill>
              <a:schemeClr val="tx2">
                <a:lumMod val="10000"/>
                <a:lumOff val="90000"/>
              </a:schemeClr>
            </a:solidFill>
            <a:ln>
              <a:noFill/>
            </a:ln>
            <a:effectLst/>
          </c:spPr>
          <c:cat>
            <c:numRef>
              <c:f>'Fig 3 DE Origin (%)'!$B$7:$B$12</c:f>
              <c:numCache>
                <c:formatCode>General</c:formatCode>
                <c:ptCount val="6"/>
                <c:pt idx="0">
                  <c:v>2020</c:v>
                </c:pt>
                <c:pt idx="1">
                  <c:v>2021</c:v>
                </c:pt>
                <c:pt idx="2">
                  <c:v>2022</c:v>
                </c:pt>
                <c:pt idx="3">
                  <c:v>2023</c:v>
                </c:pt>
                <c:pt idx="4">
                  <c:v>2024</c:v>
                </c:pt>
                <c:pt idx="5">
                  <c:v>2025</c:v>
                </c:pt>
              </c:numCache>
            </c:numRef>
          </c:cat>
          <c:val>
            <c:numRef>
              <c:f>'Fig 3 DE Origin (%)'!$F$7:$F$12</c:f>
              <c:numCache>
                <c:formatCode>_(* #,##0.00_);_(* \(#,##0.00\);_(* "-"??_);_(@_)</c:formatCode>
                <c:ptCount val="6"/>
                <c:pt idx="0">
                  <c:v>0</c:v>
                </c:pt>
                <c:pt idx="1">
                  <c:v>1.1000000000000001</c:v>
                </c:pt>
                <c:pt idx="2">
                  <c:v>8.8927999999999994</c:v>
                </c:pt>
                <c:pt idx="3">
                  <c:v>8.3520000000000003</c:v>
                </c:pt>
                <c:pt idx="4">
                  <c:v>4.3364000000000003</c:v>
                </c:pt>
                <c:pt idx="5">
                  <c:v>2.92191</c:v>
                </c:pt>
              </c:numCache>
            </c:numRef>
          </c:val>
          <c:extLst>
            <c:ext xmlns:c16="http://schemas.microsoft.com/office/drawing/2014/chart" uri="{C3380CC4-5D6E-409C-BE32-E72D297353CC}">
              <c16:uniqueId val="{00000003-1401-407C-BFB2-6229DB964BF9}"/>
            </c:ext>
          </c:extLst>
        </c:ser>
        <c:ser>
          <c:idx val="8"/>
          <c:order val="5"/>
          <c:tx>
            <c:strRef>
              <c:f>'Fig 3 DE Origin (%)'!$F$6</c:f>
              <c:strCache>
                <c:ptCount val="1"/>
                <c:pt idx="0">
                  <c:v>Non-European only</c:v>
                </c:pt>
              </c:strCache>
            </c:strRef>
          </c:tx>
          <c:spPr>
            <a:solidFill>
              <a:schemeClr val="tx2">
                <a:lumMod val="10000"/>
                <a:lumOff val="90000"/>
              </a:schemeClr>
            </a:solidFill>
            <a:ln w="25400">
              <a:noFill/>
            </a:ln>
            <a:effectLst/>
          </c:spPr>
          <c:val>
            <c:numLit>
              <c:formatCode>General</c:formatCode>
              <c:ptCount val="1"/>
              <c:pt idx="0">
                <c:v>0</c:v>
              </c:pt>
            </c:numLit>
          </c:val>
          <c:extLst>
            <c:ext xmlns:c16="http://schemas.microsoft.com/office/drawing/2014/chart" uri="{C3380CC4-5D6E-409C-BE32-E72D297353CC}">
              <c16:uniqueId val="{00000004-1401-407C-BFB2-6229DB964BF9}"/>
            </c:ext>
          </c:extLst>
        </c:ser>
        <c:ser>
          <c:idx val="7"/>
          <c:order val="6"/>
          <c:tx>
            <c:strRef>
              <c:f>'Fig 3 DE Origin (%)'!$E$6</c:f>
              <c:strCache>
                <c:ptCount val="1"/>
                <c:pt idx="0">
                  <c:v>European, non-Germany</c:v>
                </c:pt>
              </c:strCache>
            </c:strRef>
          </c:tx>
          <c:spPr>
            <a:solidFill>
              <a:srgbClr val="00CCFF"/>
            </a:solidFill>
            <a:ln w="25400">
              <a:noFill/>
            </a:ln>
            <a:effectLst/>
          </c:spPr>
          <c:val>
            <c:numLit>
              <c:formatCode>General</c:formatCode>
              <c:ptCount val="1"/>
              <c:pt idx="0">
                <c:v>0</c:v>
              </c:pt>
            </c:numLit>
          </c:val>
          <c:extLst>
            <c:ext xmlns:c16="http://schemas.microsoft.com/office/drawing/2014/chart" uri="{C3380CC4-5D6E-409C-BE32-E72D297353CC}">
              <c16:uniqueId val="{00000005-1401-407C-BFB2-6229DB964BF9}"/>
            </c:ext>
          </c:extLst>
        </c:ser>
        <c:ser>
          <c:idx val="6"/>
          <c:order val="7"/>
          <c:tx>
            <c:strRef>
              <c:f>'Fig 3 DE Origin (%)'!$D$6</c:f>
              <c:strCache>
                <c:ptCount val="1"/>
                <c:pt idx="0">
                  <c:v>Germany and foreign partnership</c:v>
                </c:pt>
              </c:strCache>
            </c:strRef>
          </c:tx>
          <c:spPr>
            <a:solidFill>
              <a:srgbClr val="2E89FF"/>
            </a:solidFill>
            <a:ln w="25400">
              <a:noFill/>
            </a:ln>
            <a:effectLst/>
          </c:spPr>
          <c:val>
            <c:numLit>
              <c:formatCode>General</c:formatCode>
              <c:ptCount val="1"/>
              <c:pt idx="0">
                <c:v>0</c:v>
              </c:pt>
            </c:numLit>
          </c:val>
          <c:extLst>
            <c:ext xmlns:c16="http://schemas.microsoft.com/office/drawing/2014/chart" uri="{C3380CC4-5D6E-409C-BE32-E72D297353CC}">
              <c16:uniqueId val="{00000006-1401-407C-BFB2-6229DB964BF9}"/>
            </c:ext>
          </c:extLst>
        </c:ser>
        <c:ser>
          <c:idx val="5"/>
          <c:order val="8"/>
          <c:tx>
            <c:strRef>
              <c:f>'Fig 3 DE Origin (%)'!$C$6</c:f>
              <c:strCache>
                <c:ptCount val="1"/>
                <c:pt idx="0">
                  <c:v>Germany only</c:v>
                </c:pt>
              </c:strCache>
            </c:strRef>
          </c:tx>
          <c:spPr>
            <a:solidFill>
              <a:srgbClr val="304DC3"/>
            </a:solidFill>
            <a:ln w="25400">
              <a:noFill/>
            </a:ln>
            <a:effectLst/>
          </c:spPr>
          <c:val>
            <c:numLit>
              <c:formatCode>General</c:formatCode>
              <c:ptCount val="1"/>
              <c:pt idx="0">
                <c:v>0</c:v>
              </c:pt>
            </c:numLit>
          </c:val>
          <c:extLst>
            <c:ext xmlns:c16="http://schemas.microsoft.com/office/drawing/2014/chart" uri="{C3380CC4-5D6E-409C-BE32-E72D297353CC}">
              <c16:uniqueId val="{00000007-1401-407C-BFB2-6229DB964BF9}"/>
            </c:ext>
          </c:extLst>
        </c:ser>
        <c:dLbls>
          <c:showLegendKey val="0"/>
          <c:showVal val="0"/>
          <c:showCatName val="0"/>
          <c:showSerName val="0"/>
          <c:showPercent val="0"/>
          <c:showBubbleSize val="0"/>
        </c:dLbls>
        <c:axId val="447906064"/>
        <c:axId val="447907504"/>
        <c:extLst>
          <c:ext xmlns:c15="http://schemas.microsoft.com/office/drawing/2012/chart" uri="{02D57815-91ED-43cb-92C2-25804820EDAC}">
            <c15:filteredAreaSeries>
              <c15:ser>
                <c:idx val="0"/>
                <c:order val="0"/>
                <c:tx>
                  <c:strRef>
                    <c:extLst>
                      <c:ext uri="{02D57815-91ED-43cb-92C2-25804820EDAC}">
                        <c15:formulaRef>
                          <c15:sqref>'Fig 3 DE Origin (%)'!$B$6</c15:sqref>
                        </c15:formulaRef>
                      </c:ext>
                    </c:extLst>
                    <c:strCache>
                      <c:ptCount val="1"/>
                      <c:pt idx="0">
                        <c:v>Year</c:v>
                      </c:pt>
                    </c:strCache>
                  </c:strRef>
                </c:tx>
                <c:spPr>
                  <a:solidFill>
                    <a:schemeClr val="accent1"/>
                  </a:solidFill>
                  <a:ln w="25400">
                    <a:noFill/>
                  </a:ln>
                  <a:effectLst/>
                </c:spPr>
                <c:cat>
                  <c:numRef>
                    <c:extLst>
                      <c:ext uri="{02D57815-91ED-43cb-92C2-25804820EDAC}">
                        <c15:formulaRef>
                          <c15:sqref>'Fig 3 DE Origin (%)'!$B$7:$B$12</c15:sqref>
                        </c15:formulaRef>
                      </c:ext>
                    </c:extLst>
                    <c:numCache>
                      <c:formatCode>General</c:formatCode>
                      <c:ptCount val="6"/>
                      <c:pt idx="0">
                        <c:v>2020</c:v>
                      </c:pt>
                      <c:pt idx="1">
                        <c:v>2021</c:v>
                      </c:pt>
                      <c:pt idx="2">
                        <c:v>2022</c:v>
                      </c:pt>
                      <c:pt idx="3">
                        <c:v>2023</c:v>
                      </c:pt>
                      <c:pt idx="4">
                        <c:v>2024</c:v>
                      </c:pt>
                      <c:pt idx="5">
                        <c:v>2025</c:v>
                      </c:pt>
                    </c:numCache>
                  </c:numRef>
                </c:cat>
                <c:val>
                  <c:numRef>
                    <c:extLst>
                      <c:ext uri="{02D57815-91ED-43cb-92C2-25804820EDAC}">
                        <c15:formulaRef>
                          <c15:sqref>'Fig 3 DE Origin (%)'!$B$7:$B$12</c15:sqref>
                        </c15:formulaRef>
                      </c:ext>
                    </c:extLst>
                    <c:numCache>
                      <c:formatCode>General</c:formatCode>
                      <c:ptCount val="6"/>
                      <c:pt idx="0">
                        <c:v>2020</c:v>
                      </c:pt>
                      <c:pt idx="1">
                        <c:v>2021</c:v>
                      </c:pt>
                      <c:pt idx="2">
                        <c:v>2022</c:v>
                      </c:pt>
                      <c:pt idx="3">
                        <c:v>2023</c:v>
                      </c:pt>
                      <c:pt idx="4">
                        <c:v>2024</c:v>
                      </c:pt>
                      <c:pt idx="5">
                        <c:v>2025</c:v>
                      </c:pt>
                    </c:numCache>
                  </c:numRef>
                </c:val>
                <c:extLst>
                  <c:ext xmlns:c16="http://schemas.microsoft.com/office/drawing/2014/chart" uri="{C3380CC4-5D6E-409C-BE32-E72D297353CC}">
                    <c16:uniqueId val="{00000008-1401-407C-BFB2-6229DB964BF9}"/>
                  </c:ext>
                </c:extLst>
              </c15:ser>
            </c15:filteredAreaSeries>
          </c:ext>
        </c:extLst>
      </c:areaChart>
      <c:catAx>
        <c:axId val="4479060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447907504"/>
        <c:crosses val="autoZero"/>
        <c:auto val="1"/>
        <c:lblAlgn val="ctr"/>
        <c:lblOffset val="100"/>
        <c:noMultiLvlLbl val="0"/>
      </c:catAx>
      <c:valAx>
        <c:axId val="447907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447906064"/>
        <c:crosses val="autoZero"/>
        <c:crossBetween val="midCat"/>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63177511161718614"/>
          <c:y val="0.45347972308561124"/>
          <c:w val="0.32644811025541071"/>
          <c:h val="0.44228102789249957"/>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legend>
    <c:plotVisOnly val="1"/>
    <c:dispBlanksAs val="zero"/>
    <c:showDLblsOverMax val="0"/>
  </c:chart>
  <c:spPr>
    <a:noFill/>
    <a:ln w="9525" cap="flat" cmpd="sng" algn="ctr">
      <a:noFill/>
      <a:round/>
    </a:ln>
    <a:effectLst/>
  </c:spPr>
  <c:txPr>
    <a:bodyPr/>
    <a:lstStyle/>
    <a:p>
      <a:pPr>
        <a:defRPr sz="1200">
          <a:solidFill>
            <a:sysClr val="windowText" lastClr="000000"/>
          </a:solidFill>
          <a:latin typeface="Courier New" panose="02070309020205020404" pitchFamily="49" charset="0"/>
          <a:cs typeface="Courier New" panose="02070309020205020404" pitchFamily="49" charset="0"/>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632521714295734E-2"/>
          <c:y val="6.0612920034684013E-2"/>
          <c:w val="0.90336811462041633"/>
          <c:h val="0.78441786934145763"/>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solidFill>
              <a:ln>
                <a:solidFill>
                  <a:schemeClr val="tx1"/>
                </a:solidFill>
              </a:ln>
              <a:effectLst/>
            </c:spPr>
            <c:extLst>
              <c:ext xmlns:c16="http://schemas.microsoft.com/office/drawing/2014/chart" uri="{C3380CC4-5D6E-409C-BE32-E72D297353CC}">
                <c16:uniqueId val="{00000001-5CD5-4845-8A1F-025DA1BA74D0}"/>
              </c:ext>
            </c:extLst>
          </c:dPt>
          <c:dPt>
            <c:idx val="1"/>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3-5CD5-4845-8A1F-025DA1BA74D0}"/>
              </c:ext>
            </c:extLst>
          </c:dPt>
          <c:dPt>
            <c:idx val="2"/>
            <c:invertIfNegative val="0"/>
            <c:bubble3D val="0"/>
            <c:spPr>
              <a:solidFill>
                <a:schemeClr val="accent1">
                  <a:alpha val="94000"/>
                </a:schemeClr>
              </a:solidFill>
              <a:ln>
                <a:solidFill>
                  <a:schemeClr val="tx1"/>
                </a:solidFill>
              </a:ln>
              <a:effectLst/>
            </c:spPr>
            <c:extLst>
              <c:ext xmlns:c16="http://schemas.microsoft.com/office/drawing/2014/chart" uri="{C3380CC4-5D6E-409C-BE32-E72D297353CC}">
                <c16:uniqueId val="{00000005-5CD5-4845-8A1F-025DA1BA74D0}"/>
              </c:ext>
            </c:extLst>
          </c:dPt>
          <c:dPt>
            <c:idx val="3"/>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7-5CD5-4845-8A1F-025DA1BA74D0}"/>
              </c:ext>
            </c:extLst>
          </c:dPt>
          <c:dPt>
            <c:idx val="4"/>
            <c:invertIfNegative val="0"/>
            <c:bubble3D val="0"/>
            <c:spPr>
              <a:solidFill>
                <a:schemeClr val="accent1"/>
              </a:solidFill>
              <a:ln>
                <a:solidFill>
                  <a:schemeClr val="tx1"/>
                </a:solidFill>
              </a:ln>
              <a:effectLst/>
            </c:spPr>
            <c:extLst>
              <c:ext xmlns:c16="http://schemas.microsoft.com/office/drawing/2014/chart" uri="{C3380CC4-5D6E-409C-BE32-E72D297353CC}">
                <c16:uniqueId val="{00000009-5CD5-4845-8A1F-025DA1BA74D0}"/>
              </c:ext>
            </c:extLst>
          </c:dPt>
          <c:dPt>
            <c:idx val="5"/>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B-5CD5-4845-8A1F-025DA1BA74D0}"/>
              </c:ext>
            </c:extLst>
          </c:dPt>
          <c:dPt>
            <c:idx val="6"/>
            <c:invertIfNegative val="0"/>
            <c:bubble3D val="0"/>
            <c:spPr>
              <a:solidFill>
                <a:schemeClr val="accent1"/>
              </a:solidFill>
              <a:ln>
                <a:solidFill>
                  <a:schemeClr val="tx1"/>
                </a:solidFill>
              </a:ln>
              <a:effectLst/>
            </c:spPr>
            <c:extLst>
              <c:ext xmlns:c16="http://schemas.microsoft.com/office/drawing/2014/chart" uri="{C3380CC4-5D6E-409C-BE32-E72D297353CC}">
                <c16:uniqueId val="{0000000D-5CD5-4845-8A1F-025DA1BA74D0}"/>
              </c:ext>
            </c:extLst>
          </c:dPt>
          <c:dPt>
            <c:idx val="7"/>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F-5CD5-4845-8A1F-025DA1BA74D0}"/>
              </c:ext>
            </c:extLst>
          </c:dPt>
          <c:dLbls>
            <c:dLbl>
              <c:idx val="0"/>
              <c:tx>
                <c:rich>
                  <a:bodyPr/>
                  <a:lstStyle/>
                  <a:p>
                    <a:fld id="{425AC646-3B16-44D6-8EB1-1FB8D385F41D}" type="CELLRANGE">
                      <a:rPr lang="en-US"/>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CD5-4845-8A1F-025DA1BA74D0}"/>
                </c:ext>
              </c:extLst>
            </c:dLbl>
            <c:dLbl>
              <c:idx val="1"/>
              <c:tx>
                <c:rich>
                  <a:bodyPr/>
                  <a:lstStyle/>
                  <a:p>
                    <a:fld id="{CFDFC579-73ED-49AF-8679-3CBA6B56C240}"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CD5-4845-8A1F-025DA1BA74D0}"/>
                </c:ext>
              </c:extLst>
            </c:dLbl>
            <c:dLbl>
              <c:idx val="2"/>
              <c:tx>
                <c:rich>
                  <a:bodyPr/>
                  <a:lstStyle/>
                  <a:p>
                    <a:fld id="{2E7310D0-6155-48CC-B89B-938A9B8CF8CE}"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CD5-4845-8A1F-025DA1BA74D0}"/>
                </c:ext>
              </c:extLst>
            </c:dLbl>
            <c:dLbl>
              <c:idx val="3"/>
              <c:tx>
                <c:rich>
                  <a:bodyPr/>
                  <a:lstStyle/>
                  <a:p>
                    <a:fld id="{56DD4E0D-7746-4D9F-8491-E1BC00734598}"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CD5-4845-8A1F-025DA1BA74D0}"/>
                </c:ext>
              </c:extLst>
            </c:dLbl>
            <c:dLbl>
              <c:idx val="4"/>
              <c:tx>
                <c:rich>
                  <a:bodyPr/>
                  <a:lstStyle/>
                  <a:p>
                    <a:fld id="{16CA4B4B-D842-4D81-8DF7-6B694A62E924}"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CD5-4845-8A1F-025DA1BA74D0}"/>
                </c:ext>
              </c:extLst>
            </c:dLbl>
            <c:dLbl>
              <c:idx val="5"/>
              <c:tx>
                <c:rich>
                  <a:bodyPr/>
                  <a:lstStyle/>
                  <a:p>
                    <a:fld id="{6F561B2E-E4AC-4E03-87FB-5FF1537BFE6D}"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CD5-4845-8A1F-025DA1BA74D0}"/>
                </c:ext>
              </c:extLst>
            </c:dLbl>
            <c:dLbl>
              <c:idx val="6"/>
              <c:tx>
                <c:rich>
                  <a:bodyPr/>
                  <a:lstStyle/>
                  <a:p>
                    <a:fld id="{0F5BC9B2-30E5-4005-B27B-8CD93E6A4CA9}"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CD5-4845-8A1F-025DA1BA74D0}"/>
                </c:ext>
              </c:extLst>
            </c:dLbl>
            <c:dLbl>
              <c:idx val="7"/>
              <c:tx>
                <c:rich>
                  <a:bodyPr/>
                  <a:lstStyle/>
                  <a:p>
                    <a:fld id="{E9CB7995-8335-4635-9BFF-09E182635897}"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CD5-4845-8A1F-025DA1BA74D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LID4096"/>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'A17 PL Order Priorities'!$E$6:$L$7</c:f>
              <c:multiLvlStrCache>
                <c:ptCount val="8"/>
                <c:lvl>
                  <c:pt idx="0">
                    <c:v>2019-21</c:v>
                  </c:pt>
                  <c:pt idx="1">
                    <c:v>2022-26</c:v>
                  </c:pt>
                  <c:pt idx="2">
                    <c:v>2019-21</c:v>
                  </c:pt>
                  <c:pt idx="3">
                    <c:v>2022-26</c:v>
                  </c:pt>
                  <c:pt idx="4">
                    <c:v>2019-21</c:v>
                  </c:pt>
                  <c:pt idx="5">
                    <c:v>2022-26</c:v>
                  </c:pt>
                  <c:pt idx="6">
                    <c:v>2019-21</c:v>
                  </c:pt>
                  <c:pt idx="7">
                    <c:v>2022-26</c:v>
                  </c:pt>
                </c:lvl>
                <c:lvl>
                  <c:pt idx="0">
                    <c:v>Air</c:v>
                  </c:pt>
                  <c:pt idx="2">
                    <c:v>Sea</c:v>
                  </c:pt>
                  <c:pt idx="4">
                    <c:v>Land</c:v>
                  </c:pt>
                  <c:pt idx="6">
                    <c:v>Other</c:v>
                  </c:pt>
                </c:lvl>
              </c:multiLvlStrCache>
            </c:multiLvlStrRef>
          </c:cat>
          <c:val>
            <c:numRef>
              <c:f>'A17 PL Order Priorities'!$E$8:$L$8</c:f>
              <c:numCache>
                <c:formatCode>_(* #,##0.00_);_(* \(#,##0.00\);_(* "-"??_);_(@_)</c:formatCode>
                <c:ptCount val="8"/>
                <c:pt idx="0">
                  <c:v>4.0273157065312555</c:v>
                </c:pt>
                <c:pt idx="1">
                  <c:v>6.9769020983956729</c:v>
                </c:pt>
                <c:pt idx="2">
                  <c:v>2.2284400180819159</c:v>
                </c:pt>
                <c:pt idx="3">
                  <c:v>4.6534887393381226</c:v>
                </c:pt>
                <c:pt idx="4">
                  <c:v>5.3015523765524213</c:v>
                </c:pt>
                <c:pt idx="5">
                  <c:v>58.815176125558807</c:v>
                </c:pt>
                <c:pt idx="6">
                  <c:v>0.78939285050863905</c:v>
                </c:pt>
                <c:pt idx="7">
                  <c:v>7.484559700618389</c:v>
                </c:pt>
              </c:numCache>
            </c:numRef>
          </c:val>
          <c:extLst>
            <c:ext xmlns:c15="http://schemas.microsoft.com/office/drawing/2012/chart" uri="{02D57815-91ED-43cb-92C2-25804820EDAC}">
              <c15:datalabelsRange>
                <c15:f>'A17 PL Order Priorities'!$E$9:$L$9</c15:f>
                <c15:dlblRangeCache>
                  <c:ptCount val="8"/>
                  <c:pt idx="0">
                    <c:v>31%</c:v>
                  </c:pt>
                  <c:pt idx="1">
                    <c:v>9%</c:v>
                  </c:pt>
                  <c:pt idx="2">
                    <c:v>17%</c:v>
                  </c:pt>
                  <c:pt idx="3">
                    <c:v>6%</c:v>
                  </c:pt>
                  <c:pt idx="4">
                    <c:v>41%</c:v>
                  </c:pt>
                  <c:pt idx="5">
                    <c:v>75%</c:v>
                  </c:pt>
                  <c:pt idx="6">
                    <c:v>6%</c:v>
                  </c:pt>
                  <c:pt idx="7">
                    <c:v>10%</c:v>
                  </c:pt>
                </c15:dlblRangeCache>
              </c15:datalabelsRange>
            </c:ext>
            <c:ext xmlns:c16="http://schemas.microsoft.com/office/drawing/2014/chart" uri="{C3380CC4-5D6E-409C-BE32-E72D297353CC}">
              <c16:uniqueId val="{00000010-5CD5-4845-8A1F-025DA1BA74D0}"/>
            </c:ext>
          </c:extLst>
        </c:ser>
        <c:dLbls>
          <c:dLblPos val="outEnd"/>
          <c:showLegendKey val="0"/>
          <c:showVal val="1"/>
          <c:showCatName val="0"/>
          <c:showSerName val="0"/>
          <c:showPercent val="0"/>
          <c:showBubbleSize val="0"/>
        </c:dLbls>
        <c:gapWidth val="150"/>
        <c:overlap val="-27"/>
        <c:axId val="959206288"/>
        <c:axId val="959208208"/>
      </c:barChart>
      <c:catAx>
        <c:axId val="95920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959208208"/>
        <c:crosses val="autoZero"/>
        <c:auto val="1"/>
        <c:lblAlgn val="ctr"/>
        <c:lblOffset val="100"/>
        <c:noMultiLvlLbl val="0"/>
      </c:catAx>
      <c:valAx>
        <c:axId val="95920820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9592062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19352145600265E-2"/>
          <c:y val="6.0776216662332704E-2"/>
          <c:w val="0.92101262626262625"/>
          <c:h val="0.78738954954057649"/>
        </c:manualLayout>
      </c:layout>
      <c:barChart>
        <c:barDir val="col"/>
        <c:grouping val="stacked"/>
        <c:varyColors val="0"/>
        <c:ser>
          <c:idx val="0"/>
          <c:order val="0"/>
          <c:tx>
            <c:strRef>
              <c:f>'A18 PL Orders by Origin'!$C$6</c:f>
              <c:strCache>
                <c:ptCount val="1"/>
                <c:pt idx="0">
                  <c:v>Poland only</c:v>
                </c:pt>
              </c:strCache>
            </c:strRef>
          </c:tx>
          <c:spPr>
            <a:solidFill>
              <a:schemeClr val="accent1"/>
            </a:solidFill>
            <a:ln>
              <a:solidFill>
                <a:schemeClr val="tx1"/>
              </a:solidFill>
            </a:ln>
            <a:effectLst/>
          </c:spPr>
          <c:invertIfNegative val="0"/>
          <c:cat>
            <c:numRef>
              <c:f>'A18 PL Orders by Origin'!$B$7:$B$91</c:f>
              <c:numCache>
                <c:formatCode>mmm\-yyyy</c:formatCode>
                <c:ptCount val="8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numCache>
            </c:numRef>
          </c:cat>
          <c:val>
            <c:numRef>
              <c:f>'A18 PL Orders by Origin'!$C$7:$C$91</c:f>
              <c:numCache>
                <c:formatCode>_(* #,##0.00_);_(* \(#,##0.00\);_(* "-"??_);_(@_)</c:formatCode>
                <c:ptCount val="85"/>
                <c:pt idx="0">
                  <c:v>0</c:v>
                </c:pt>
                <c:pt idx="1">
                  <c:v>0</c:v>
                </c:pt>
                <c:pt idx="2">
                  <c:v>0</c:v>
                </c:pt>
                <c:pt idx="3">
                  <c:v>0</c:v>
                </c:pt>
                <c:pt idx="4">
                  <c:v>3.9768344657483246E-2</c:v>
                </c:pt>
                <c:pt idx="5">
                  <c:v>0</c:v>
                </c:pt>
                <c:pt idx="6">
                  <c:v>0.41344704020848838</c:v>
                </c:pt>
                <c:pt idx="7">
                  <c:v>0</c:v>
                </c:pt>
                <c:pt idx="8">
                  <c:v>2.896965748324646E-2</c:v>
                </c:pt>
                <c:pt idx="9">
                  <c:v>6.4105547282204023E-2</c:v>
                </c:pt>
                <c:pt idx="10">
                  <c:v>0.10005584512285927</c:v>
                </c:pt>
                <c:pt idx="11">
                  <c:v>0</c:v>
                </c:pt>
                <c:pt idx="12">
                  <c:v>0</c:v>
                </c:pt>
                <c:pt idx="13">
                  <c:v>0</c:v>
                </c:pt>
                <c:pt idx="14">
                  <c:v>0</c:v>
                </c:pt>
                <c:pt idx="15">
                  <c:v>0</c:v>
                </c:pt>
                <c:pt idx="16">
                  <c:v>0.15824893090254333</c:v>
                </c:pt>
                <c:pt idx="17">
                  <c:v>0</c:v>
                </c:pt>
                <c:pt idx="18">
                  <c:v>3.9837947332883192E-2</c:v>
                </c:pt>
                <c:pt idx="19">
                  <c:v>0</c:v>
                </c:pt>
                <c:pt idx="20">
                  <c:v>0</c:v>
                </c:pt>
                <c:pt idx="21">
                  <c:v>3.7362142696376326E-2</c:v>
                </c:pt>
                <c:pt idx="22">
                  <c:v>0</c:v>
                </c:pt>
                <c:pt idx="23">
                  <c:v>0</c:v>
                </c:pt>
                <c:pt idx="24">
                  <c:v>0</c:v>
                </c:pt>
                <c:pt idx="25">
                  <c:v>0</c:v>
                </c:pt>
                <c:pt idx="26">
                  <c:v>0</c:v>
                </c:pt>
                <c:pt idx="27">
                  <c:v>7.7105055638307191E-2</c:v>
                </c:pt>
                <c:pt idx="28">
                  <c:v>4.074301235433278E-2</c:v>
                </c:pt>
                <c:pt idx="29">
                  <c:v>0</c:v>
                </c:pt>
                <c:pt idx="30">
                  <c:v>1.7523876281433453</c:v>
                </c:pt>
                <c:pt idx="31">
                  <c:v>0</c:v>
                </c:pt>
                <c:pt idx="32">
                  <c:v>0</c:v>
                </c:pt>
                <c:pt idx="33">
                  <c:v>0</c:v>
                </c:pt>
                <c:pt idx="34">
                  <c:v>0</c:v>
                </c:pt>
                <c:pt idx="35">
                  <c:v>3.8114430912117761E-2</c:v>
                </c:pt>
                <c:pt idx="36">
                  <c:v>0</c:v>
                </c:pt>
                <c:pt idx="37">
                  <c:v>0</c:v>
                </c:pt>
                <c:pt idx="38">
                  <c:v>0</c:v>
                </c:pt>
                <c:pt idx="39">
                  <c:v>0</c:v>
                </c:pt>
                <c:pt idx="40">
                  <c:v>0</c:v>
                </c:pt>
                <c:pt idx="41">
                  <c:v>1.2803824075457204</c:v>
                </c:pt>
                <c:pt idx="42">
                  <c:v>0.36277501547128743</c:v>
                </c:pt>
                <c:pt idx="43">
                  <c:v>0</c:v>
                </c:pt>
                <c:pt idx="44">
                  <c:v>0.81090885811228952</c:v>
                </c:pt>
                <c:pt idx="45">
                  <c:v>0</c:v>
                </c:pt>
                <c:pt idx="46">
                  <c:v>0</c:v>
                </c:pt>
                <c:pt idx="47">
                  <c:v>0</c:v>
                </c:pt>
                <c:pt idx="48">
                  <c:v>0</c:v>
                </c:pt>
                <c:pt idx="49">
                  <c:v>0.46477322765301632</c:v>
                </c:pt>
                <c:pt idx="50">
                  <c:v>0.242184059885513</c:v>
                </c:pt>
                <c:pt idx="51">
                  <c:v>0</c:v>
                </c:pt>
                <c:pt idx="52">
                  <c:v>0</c:v>
                </c:pt>
                <c:pt idx="53">
                  <c:v>0.11228533685601057</c:v>
                </c:pt>
                <c:pt idx="54">
                  <c:v>0</c:v>
                </c:pt>
                <c:pt idx="55">
                  <c:v>0.26420079260237783</c:v>
                </c:pt>
                <c:pt idx="56">
                  <c:v>0</c:v>
                </c:pt>
                <c:pt idx="57">
                  <c:v>0</c:v>
                </c:pt>
                <c:pt idx="58">
                  <c:v>0</c:v>
                </c:pt>
                <c:pt idx="59">
                  <c:v>0</c:v>
                </c:pt>
                <c:pt idx="60">
                  <c:v>0</c:v>
                </c:pt>
                <c:pt idx="61">
                  <c:v>0</c:v>
                </c:pt>
                <c:pt idx="62">
                  <c:v>0</c:v>
                </c:pt>
                <c:pt idx="63">
                  <c:v>1.3377305030424081E-2</c:v>
                </c:pt>
                <c:pt idx="64">
                  <c:v>0</c:v>
                </c:pt>
                <c:pt idx="65">
                  <c:v>0</c:v>
                </c:pt>
                <c:pt idx="66">
                  <c:v>0.92897951600167228</c:v>
                </c:pt>
                <c:pt idx="67">
                  <c:v>0.18579590320033446</c:v>
                </c:pt>
                <c:pt idx="68">
                  <c:v>1.5490733429327885E-2</c:v>
                </c:pt>
                <c:pt idx="69">
                  <c:v>0</c:v>
                </c:pt>
                <c:pt idx="70">
                  <c:v>0.3251428306005853</c:v>
                </c:pt>
                <c:pt idx="71">
                  <c:v>5.5852570950810536</c:v>
                </c:pt>
                <c:pt idx="72">
                  <c:v>0</c:v>
                </c:pt>
                <c:pt idx="73">
                  <c:v>0</c:v>
                </c:pt>
                <c:pt idx="74">
                  <c:v>1.561431233341982</c:v>
                </c:pt>
                <c:pt idx="75">
                  <c:v>0</c:v>
                </c:pt>
                <c:pt idx="76">
                  <c:v>0</c:v>
                </c:pt>
                <c:pt idx="77">
                  <c:v>5.8966436304455506E-2</c:v>
                </c:pt>
                <c:pt idx="78">
                  <c:v>0</c:v>
                </c:pt>
                <c:pt idx="79">
                  <c:v>0</c:v>
                </c:pt>
                <c:pt idx="80">
                  <c:v>1.4128358138547539</c:v>
                </c:pt>
                <c:pt idx="81">
                  <c:v>4.7173149043564404</c:v>
                </c:pt>
                <c:pt idx="82">
                  <c:v>0</c:v>
                </c:pt>
                <c:pt idx="83">
                  <c:v>2.35865745217822E-2</c:v>
                </c:pt>
                <c:pt idx="84">
                  <c:v>0</c:v>
                </c:pt>
              </c:numCache>
            </c:numRef>
          </c:val>
          <c:extLst>
            <c:ext xmlns:c16="http://schemas.microsoft.com/office/drawing/2014/chart" uri="{C3380CC4-5D6E-409C-BE32-E72D297353CC}">
              <c16:uniqueId val="{00000000-4B17-4107-A249-E84ED599CFF5}"/>
            </c:ext>
          </c:extLst>
        </c:ser>
        <c:ser>
          <c:idx val="4"/>
          <c:order val="1"/>
          <c:tx>
            <c:strRef>
              <c:f>'A18 PL Orders by Origin'!$D$6</c:f>
              <c:strCache>
                <c:ptCount val="1"/>
                <c:pt idx="0">
                  <c:v>Poland and foreign partnership</c:v>
                </c:pt>
              </c:strCache>
            </c:strRef>
          </c:tx>
          <c:spPr>
            <a:pattFill prst="dkDnDiag">
              <a:fgClr>
                <a:schemeClr val="accent6"/>
              </a:fgClr>
              <a:bgClr>
                <a:schemeClr val="bg1"/>
              </a:bgClr>
            </a:pattFill>
            <a:ln>
              <a:solidFill>
                <a:schemeClr val="tx1"/>
              </a:solidFill>
            </a:ln>
            <a:effectLst/>
          </c:spPr>
          <c:invertIfNegative val="0"/>
          <c:cat>
            <c:numRef>
              <c:f>'A18 PL Orders by Origin'!$B$7:$B$91</c:f>
              <c:numCache>
                <c:formatCode>mmm\-yyyy</c:formatCode>
                <c:ptCount val="8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numCache>
            </c:numRef>
          </c:cat>
          <c:val>
            <c:numRef>
              <c:f>'A18 PL Orders by Origin'!$D$7:$D$91</c:f>
              <c:numCache>
                <c:formatCode>_(* #,##0.00_);_(* \(#,##0.00\);_(* "-"??_);_(@_)</c:formatCode>
                <c:ptCount val="85"/>
                <c:pt idx="0">
                  <c:v>0.15901898734177214</c:v>
                </c:pt>
                <c:pt idx="1">
                  <c:v>0</c:v>
                </c:pt>
                <c:pt idx="2">
                  <c:v>0.16864389426656737</c:v>
                </c:pt>
                <c:pt idx="3">
                  <c:v>0.4760523899385703</c:v>
                </c:pt>
                <c:pt idx="4">
                  <c:v>0</c:v>
                </c:pt>
                <c:pt idx="5">
                  <c:v>0</c:v>
                </c:pt>
                <c:pt idx="6">
                  <c:v>6.9806403574087864E-3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1.7605258103753656</c:v>
                </c:pt>
                <c:pt idx="43">
                  <c:v>0</c:v>
                </c:pt>
                <c:pt idx="44">
                  <c:v>0</c:v>
                </c:pt>
                <c:pt idx="45">
                  <c:v>0</c:v>
                </c:pt>
                <c:pt idx="46">
                  <c:v>0</c:v>
                </c:pt>
                <c:pt idx="47">
                  <c:v>0</c:v>
                </c:pt>
                <c:pt idx="48">
                  <c:v>0</c:v>
                </c:pt>
                <c:pt idx="49">
                  <c:v>0</c:v>
                </c:pt>
                <c:pt idx="50">
                  <c:v>0</c:v>
                </c:pt>
                <c:pt idx="51">
                  <c:v>0</c:v>
                </c:pt>
                <c:pt idx="52">
                  <c:v>0</c:v>
                </c:pt>
                <c:pt idx="53">
                  <c:v>0</c:v>
                </c:pt>
                <c:pt idx="54">
                  <c:v>0</c:v>
                </c:pt>
                <c:pt idx="55">
                  <c:v>0</c:v>
                </c:pt>
                <c:pt idx="56">
                  <c:v>6.6050198150594458E-2</c:v>
                </c:pt>
                <c:pt idx="57">
                  <c:v>0</c:v>
                </c:pt>
                <c:pt idx="58">
                  <c:v>0</c:v>
                </c:pt>
                <c:pt idx="59">
                  <c:v>2.2016732716864817</c:v>
                </c:pt>
                <c:pt idx="60">
                  <c:v>0</c:v>
                </c:pt>
                <c:pt idx="61">
                  <c:v>6.9673463700125407E-2</c:v>
                </c:pt>
                <c:pt idx="62">
                  <c:v>1.5095917135027175</c:v>
                </c:pt>
                <c:pt idx="63">
                  <c:v>1.4781966001478195</c:v>
                </c:pt>
                <c:pt idx="64">
                  <c:v>1.5659645232815964</c:v>
                </c:pt>
                <c:pt idx="65">
                  <c:v>0</c:v>
                </c:pt>
                <c:pt idx="66">
                  <c:v>0</c:v>
                </c:pt>
                <c:pt idx="67">
                  <c:v>10.546267419696226</c:v>
                </c:pt>
                <c:pt idx="68">
                  <c:v>0</c:v>
                </c:pt>
                <c:pt idx="69">
                  <c:v>0</c:v>
                </c:pt>
                <c:pt idx="70">
                  <c:v>0.16167775314116775</c:v>
                </c:pt>
                <c:pt idx="71">
                  <c:v>0.38139385480050164</c:v>
                </c:pt>
                <c:pt idx="72">
                  <c:v>0.65929203539823023</c:v>
                </c:pt>
                <c:pt idx="73">
                  <c:v>0.26548672566371684</c:v>
                </c:pt>
                <c:pt idx="74">
                  <c:v>1.7699115044247788</c:v>
                </c:pt>
                <c:pt idx="75">
                  <c:v>0</c:v>
                </c:pt>
                <c:pt idx="76">
                  <c:v>0.20284454088732692</c:v>
                </c:pt>
                <c:pt idx="77">
                  <c:v>0</c:v>
                </c:pt>
                <c:pt idx="78">
                  <c:v>0.10648722640878124</c:v>
                </c:pt>
                <c:pt idx="79">
                  <c:v>5.7522123893805315</c:v>
                </c:pt>
                <c:pt idx="80">
                  <c:v>0</c:v>
                </c:pt>
                <c:pt idx="81">
                  <c:v>0</c:v>
                </c:pt>
                <c:pt idx="82">
                  <c:v>2.8011353282844151</c:v>
                </c:pt>
                <c:pt idx="83">
                  <c:v>3.3021204330495082</c:v>
                </c:pt>
                <c:pt idx="84">
                  <c:v>3.5606618083414441</c:v>
                </c:pt>
              </c:numCache>
            </c:numRef>
          </c:val>
          <c:extLst>
            <c:ext xmlns:c16="http://schemas.microsoft.com/office/drawing/2014/chart" uri="{C3380CC4-5D6E-409C-BE32-E72D297353CC}">
              <c16:uniqueId val="{00000001-4B17-4107-A249-E84ED599CFF5}"/>
            </c:ext>
          </c:extLst>
        </c:ser>
        <c:ser>
          <c:idx val="3"/>
          <c:order val="2"/>
          <c:tx>
            <c:strRef>
              <c:f>'A18 PL Orders by Origin'!$E$6</c:f>
              <c:strCache>
                <c:ptCount val="1"/>
                <c:pt idx="0">
                  <c:v>European, non-Poland</c:v>
                </c:pt>
              </c:strCache>
            </c:strRef>
          </c:tx>
          <c:spPr>
            <a:pattFill prst="trellis">
              <a:fgClr>
                <a:schemeClr val="accent2"/>
              </a:fgClr>
              <a:bgClr>
                <a:schemeClr val="bg1"/>
              </a:bgClr>
            </a:pattFill>
            <a:ln>
              <a:solidFill>
                <a:schemeClr val="tx1"/>
              </a:solidFill>
            </a:ln>
            <a:effectLst/>
          </c:spPr>
          <c:invertIfNegative val="0"/>
          <c:cat>
            <c:numRef>
              <c:f>'A18 PL Orders by Origin'!$B$7:$B$91</c:f>
              <c:numCache>
                <c:formatCode>mmm\-yyyy</c:formatCode>
                <c:ptCount val="8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numCache>
            </c:numRef>
          </c:cat>
          <c:val>
            <c:numRef>
              <c:f>'A18 PL Orders by Origin'!$E$7:$E$91</c:f>
              <c:numCache>
                <c:formatCode>_(* #,##0.00_);_(* \(#,##0.00\);_(* "-"??_);_(@_)</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0.64019120377286021</c:v>
                </c:pt>
                <c:pt idx="45">
                  <c:v>0</c:v>
                </c:pt>
                <c:pt idx="46">
                  <c:v>0</c:v>
                </c:pt>
                <c:pt idx="47">
                  <c:v>0</c:v>
                </c:pt>
                <c:pt idx="48">
                  <c:v>0</c:v>
                </c:pt>
                <c:pt idx="49">
                  <c:v>0</c:v>
                </c:pt>
                <c:pt idx="50">
                  <c:v>0</c:v>
                </c:pt>
                <c:pt idx="51">
                  <c:v>0</c:v>
                </c:pt>
                <c:pt idx="52">
                  <c:v>0</c:v>
                </c:pt>
                <c:pt idx="53">
                  <c:v>0</c:v>
                </c:pt>
                <c:pt idx="54">
                  <c:v>5.3463423656709523E-2</c:v>
                </c:pt>
                <c:pt idx="55">
                  <c:v>0</c:v>
                </c:pt>
                <c:pt idx="56">
                  <c:v>1.7613386173491854</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extLst>
            <c:ext xmlns:c16="http://schemas.microsoft.com/office/drawing/2014/chart" uri="{C3380CC4-5D6E-409C-BE32-E72D297353CC}">
              <c16:uniqueId val="{00000002-4B17-4107-A249-E84ED599CFF5}"/>
            </c:ext>
          </c:extLst>
        </c:ser>
        <c:ser>
          <c:idx val="1"/>
          <c:order val="3"/>
          <c:tx>
            <c:strRef>
              <c:f>'A18 PL Orders by Origin'!$F$6</c:f>
              <c:strCache>
                <c:ptCount val="1"/>
                <c:pt idx="0">
                  <c:v>Non-European only</c:v>
                </c:pt>
              </c:strCache>
            </c:strRef>
          </c:tx>
          <c:spPr>
            <a:pattFill prst="pct60">
              <a:fgClr>
                <a:schemeClr val="accent5"/>
              </a:fgClr>
              <a:bgClr>
                <a:schemeClr val="bg1"/>
              </a:bgClr>
            </a:pattFill>
            <a:ln>
              <a:solidFill>
                <a:schemeClr val="tx1"/>
              </a:solidFill>
            </a:ln>
            <a:effectLst/>
          </c:spPr>
          <c:invertIfNegative val="0"/>
          <c:cat>
            <c:numRef>
              <c:f>'A18 PL Orders by Origin'!$B$7:$B$91</c:f>
              <c:numCache>
                <c:formatCode>mmm\-yyyy</c:formatCode>
                <c:ptCount val="8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numCache>
            </c:numRef>
          </c:cat>
          <c:val>
            <c:numRef>
              <c:f>'A18 PL Orders by Origin'!$F$7:$F$91</c:f>
              <c:numCache>
                <c:formatCode>_(* #,##0.00_);_(* \(#,##0.00\);_(* "-"??_);_(@_)</c:formatCode>
                <c:ptCount val="85"/>
                <c:pt idx="0">
                  <c:v>0</c:v>
                </c:pt>
                <c:pt idx="1">
                  <c:v>0.36980794997766864</c:v>
                </c:pt>
                <c:pt idx="2">
                  <c:v>0</c:v>
                </c:pt>
                <c:pt idx="3">
                  <c:v>0</c:v>
                </c:pt>
                <c:pt idx="4">
                  <c:v>0</c:v>
                </c:pt>
                <c:pt idx="5">
                  <c:v>0</c:v>
                </c:pt>
                <c:pt idx="6">
                  <c:v>0</c:v>
                </c:pt>
                <c:pt idx="7">
                  <c:v>0</c:v>
                </c:pt>
                <c:pt idx="8">
                  <c:v>0</c:v>
                </c:pt>
                <c:pt idx="9">
                  <c:v>0</c:v>
                </c:pt>
                <c:pt idx="10">
                  <c:v>0</c:v>
                </c:pt>
                <c:pt idx="11">
                  <c:v>0</c:v>
                </c:pt>
                <c:pt idx="12">
                  <c:v>4.0273157065312555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0.22660015219413207</c:v>
                </c:pt>
                <c:pt idx="29">
                  <c:v>0</c:v>
                </c:pt>
                <c:pt idx="30">
                  <c:v>4.0162340407542061</c:v>
                </c:pt>
                <c:pt idx="31">
                  <c:v>0</c:v>
                </c:pt>
                <c:pt idx="32">
                  <c:v>0</c:v>
                </c:pt>
                <c:pt idx="33">
                  <c:v>0</c:v>
                </c:pt>
                <c:pt idx="34">
                  <c:v>0</c:v>
                </c:pt>
                <c:pt idx="35">
                  <c:v>0</c:v>
                </c:pt>
                <c:pt idx="36">
                  <c:v>0</c:v>
                </c:pt>
                <c:pt idx="37">
                  <c:v>0</c:v>
                </c:pt>
                <c:pt idx="38">
                  <c:v>0</c:v>
                </c:pt>
                <c:pt idx="39">
                  <c:v>0</c:v>
                </c:pt>
                <c:pt idx="40">
                  <c:v>0</c:v>
                </c:pt>
                <c:pt idx="41">
                  <c:v>0</c:v>
                </c:pt>
                <c:pt idx="42">
                  <c:v>2.2792022792022797</c:v>
                </c:pt>
                <c:pt idx="43">
                  <c:v>0</c:v>
                </c:pt>
                <c:pt idx="44">
                  <c:v>2.8537511870845207</c:v>
                </c:pt>
                <c:pt idx="45">
                  <c:v>6.6001899335232679</c:v>
                </c:pt>
                <c:pt idx="46">
                  <c:v>0</c:v>
                </c:pt>
                <c:pt idx="47">
                  <c:v>0</c:v>
                </c:pt>
                <c:pt idx="48">
                  <c:v>1.2947378155923426</c:v>
                </c:pt>
                <c:pt idx="49">
                  <c:v>0</c:v>
                </c:pt>
                <c:pt idx="50">
                  <c:v>0</c:v>
                </c:pt>
                <c:pt idx="51">
                  <c:v>0</c:v>
                </c:pt>
                <c:pt idx="52">
                  <c:v>0</c:v>
                </c:pt>
                <c:pt idx="53">
                  <c:v>0</c:v>
                </c:pt>
                <c:pt idx="54">
                  <c:v>0</c:v>
                </c:pt>
                <c:pt idx="55">
                  <c:v>0.22016732716864817</c:v>
                </c:pt>
                <c:pt idx="56">
                  <c:v>0</c:v>
                </c:pt>
                <c:pt idx="57">
                  <c:v>0</c:v>
                </c:pt>
                <c:pt idx="58">
                  <c:v>0</c:v>
                </c:pt>
                <c:pt idx="59">
                  <c:v>0</c:v>
                </c:pt>
                <c:pt idx="60">
                  <c:v>0</c:v>
                </c:pt>
                <c:pt idx="61">
                  <c:v>2.3373983739837398</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4.7173149043564404</c:v>
                </c:pt>
                <c:pt idx="82">
                  <c:v>0</c:v>
                </c:pt>
                <c:pt idx="83">
                  <c:v>0</c:v>
                </c:pt>
                <c:pt idx="84">
                  <c:v>0</c:v>
                </c:pt>
              </c:numCache>
            </c:numRef>
          </c:val>
          <c:extLst>
            <c:ext xmlns:c16="http://schemas.microsoft.com/office/drawing/2014/chart" uri="{C3380CC4-5D6E-409C-BE32-E72D297353CC}">
              <c16:uniqueId val="{00000003-4B17-4107-A249-E84ED599CFF5}"/>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legend>
      <c:legendPos val="r"/>
      <c:layout>
        <c:manualLayout>
          <c:xMode val="edge"/>
          <c:yMode val="edge"/>
          <c:x val="4.2729000810622336E-2"/>
          <c:y val="0.1404497936992723"/>
          <c:w val="0.22440667046609017"/>
          <c:h val="0.23108187161944446"/>
        </c:manualLayout>
      </c:layout>
      <c:overlay val="0"/>
      <c:spPr>
        <a:solidFill>
          <a:sysClr val="window" lastClr="FFFFFF">
            <a:alpha val="0"/>
          </a:sysClr>
        </a:solid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9525">
                <a:solidFill>
                  <a:schemeClr val="tx1"/>
                </a:solidFill>
              </a:ln>
              <a:effectLst/>
            </c:spPr>
            <c:extLst>
              <c:ext xmlns:c16="http://schemas.microsoft.com/office/drawing/2014/chart" uri="{C3380CC4-5D6E-409C-BE32-E72D297353CC}">
                <c16:uniqueId val="{00000001-B91A-4C68-92D0-15C5BAE0A4C1}"/>
              </c:ext>
            </c:extLst>
          </c:dPt>
          <c:dPt>
            <c:idx val="1"/>
            <c:bubble3D val="0"/>
            <c:spPr>
              <a:pattFill prst="dkVert">
                <a:fgClr>
                  <a:schemeClr val="accent6"/>
                </a:fgClr>
                <a:bgClr>
                  <a:schemeClr val="bg1"/>
                </a:bgClr>
              </a:pattFill>
              <a:ln w="9525">
                <a:solidFill>
                  <a:schemeClr val="tx1"/>
                </a:solidFill>
              </a:ln>
              <a:effectLst/>
            </c:spPr>
            <c:extLst>
              <c:ext xmlns:c16="http://schemas.microsoft.com/office/drawing/2014/chart" uri="{C3380CC4-5D6E-409C-BE32-E72D297353CC}">
                <c16:uniqueId val="{00000003-B91A-4C68-92D0-15C5BAE0A4C1}"/>
              </c:ext>
            </c:extLst>
          </c:dPt>
          <c:dPt>
            <c:idx val="2"/>
            <c:bubble3D val="0"/>
            <c:spPr>
              <a:pattFill prst="dkHorz">
                <a:fgClr>
                  <a:schemeClr val="accent2"/>
                </a:fgClr>
                <a:bgClr>
                  <a:schemeClr val="bg1"/>
                </a:bgClr>
              </a:pattFill>
              <a:ln w="9525">
                <a:solidFill>
                  <a:schemeClr val="tx1">
                    <a:alpha val="86000"/>
                  </a:schemeClr>
                </a:solidFill>
              </a:ln>
              <a:effectLst/>
            </c:spPr>
            <c:extLst>
              <c:ext xmlns:c16="http://schemas.microsoft.com/office/drawing/2014/chart" uri="{C3380CC4-5D6E-409C-BE32-E72D297353CC}">
                <c16:uniqueId val="{00000005-B91A-4C68-92D0-15C5BAE0A4C1}"/>
              </c:ext>
            </c:extLst>
          </c:dPt>
          <c:dPt>
            <c:idx val="3"/>
            <c:bubble3D val="0"/>
            <c:spPr>
              <a:pattFill prst="pct90">
                <a:fgClr>
                  <a:schemeClr val="accent5"/>
                </a:fgClr>
                <a:bgClr>
                  <a:schemeClr val="bg1"/>
                </a:bgClr>
              </a:pattFill>
              <a:ln w="9525">
                <a:solidFill>
                  <a:schemeClr val="tx1"/>
                </a:solidFill>
              </a:ln>
              <a:effectLst/>
            </c:spPr>
            <c:extLst>
              <c:ext xmlns:c16="http://schemas.microsoft.com/office/drawing/2014/chart" uri="{C3380CC4-5D6E-409C-BE32-E72D297353CC}">
                <c16:uniqueId val="{00000007-B91A-4C68-92D0-15C5BAE0A4C1}"/>
              </c:ext>
            </c:extLst>
          </c:dPt>
          <c:cat>
            <c:strRef>
              <c:f>'A19 PL Origin (%)'!$D$6:$G$6</c:f>
              <c:strCache>
                <c:ptCount val="4"/>
                <c:pt idx="0">
                  <c:v>Poland only</c:v>
                </c:pt>
                <c:pt idx="1">
                  <c:v>Poland and foreign partnership</c:v>
                </c:pt>
                <c:pt idx="2">
                  <c:v>European, non-Poland</c:v>
                </c:pt>
                <c:pt idx="3">
                  <c:v>Non-European only</c:v>
                </c:pt>
              </c:strCache>
            </c:strRef>
          </c:cat>
          <c:val>
            <c:numRef>
              <c:f>'A19 PL Origin (%)'!$D$10:$G$10</c:f>
              <c:numCache>
                <c:formatCode>_(* #,##0.00_);_(* \(#,##0.00\);_(* "-"??_);_(@_)</c:formatCode>
                <c:ptCount val="4"/>
                <c:pt idx="0">
                  <c:v>21.155833626583213</c:v>
                </c:pt>
                <c:pt idx="1">
                  <c:v>38.971862512225648</c:v>
                </c:pt>
                <c:pt idx="2">
                  <c:v>2.454993244778755</c:v>
                </c:pt>
                <c:pt idx="3">
                  <c:v>28.942719670368497</c:v>
                </c:pt>
              </c:numCache>
            </c:numRef>
          </c:val>
          <c:extLst>
            <c:ext xmlns:c16="http://schemas.microsoft.com/office/drawing/2014/chart" uri="{C3380CC4-5D6E-409C-BE32-E72D297353CC}">
              <c16:uniqueId val="{00000008-B91A-4C68-92D0-15C5BAE0A4C1}"/>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8050435779808007"/>
          <c:y val="0.59383056154671865"/>
          <c:w val="0.39610354392904679"/>
          <c:h val="0.31741269148543583"/>
        </c:manualLayout>
      </c:layout>
      <c:overlay val="0"/>
      <c:spPr>
        <a:noFill/>
        <a:ln>
          <a:noFill/>
        </a:ln>
        <a:effectLst/>
      </c:spPr>
      <c:txPr>
        <a:bodyPr rot="0" spcFirstLastPara="1" vertOverflow="ellipsis" vert="horz" wrap="square" anchor="ctr" anchorCtr="1"/>
        <a:lstStyle/>
        <a:p>
          <a:pPr rtl="0">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694673323534012E-2"/>
          <c:y val="4.5717449035684699E-2"/>
          <c:w val="0.92959105835415967"/>
          <c:h val="0.78435370357466383"/>
        </c:manualLayout>
      </c:layout>
      <c:barChart>
        <c:barDir val="col"/>
        <c:grouping val="stacked"/>
        <c:varyColors val="0"/>
        <c:ser>
          <c:idx val="4"/>
          <c:order val="0"/>
          <c:spPr>
            <a:solidFill>
              <a:schemeClr val="accent1"/>
            </a:solidFill>
            <a:ln>
              <a:solidFill>
                <a:schemeClr val="tx1"/>
              </a:solidFill>
            </a:ln>
            <a:effectLst/>
          </c:spPr>
          <c:invertIfNegative val="0"/>
          <c:cat>
            <c:numRef>
              <c:f>'A21 DE Land Forces Orders'!$B$7:$B$81</c:f>
              <c:numCache>
                <c:formatCode>mmm\-yyyy</c:formatCode>
                <c:ptCount val="7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pt idx="73">
                  <c:v>46054</c:v>
                </c:pt>
              </c:numCache>
            </c:numRef>
          </c:cat>
          <c:val>
            <c:numRef>
              <c:f>'A21 DE Land Forces Orders'!$C$7:$C$81</c:f>
              <c:numCache>
                <c:formatCode>_(* #,##0.00_);_(* \(#,##0.00\);_(* "-"??_);_(@_)</c:formatCode>
                <c:ptCount val="75"/>
                <c:pt idx="0">
                  <c:v>0</c:v>
                </c:pt>
                <c:pt idx="1">
                  <c:v>0</c:v>
                </c:pt>
                <c:pt idx="2">
                  <c:v>0</c:v>
                </c:pt>
                <c:pt idx="3">
                  <c:v>0</c:v>
                </c:pt>
                <c:pt idx="4">
                  <c:v>0.03</c:v>
                </c:pt>
                <c:pt idx="5">
                  <c:v>0</c:v>
                </c:pt>
                <c:pt idx="6">
                  <c:v>0</c:v>
                </c:pt>
                <c:pt idx="7">
                  <c:v>0</c:v>
                </c:pt>
                <c:pt idx="8">
                  <c:v>0</c:v>
                </c:pt>
                <c:pt idx="9">
                  <c:v>0</c:v>
                </c:pt>
                <c:pt idx="10">
                  <c:v>0.20599999999999999</c:v>
                </c:pt>
                <c:pt idx="11">
                  <c:v>0</c:v>
                </c:pt>
                <c:pt idx="12">
                  <c:v>0</c:v>
                </c:pt>
                <c:pt idx="13">
                  <c:v>8.7999999999999995E-2</c:v>
                </c:pt>
                <c:pt idx="14">
                  <c:v>0</c:v>
                </c:pt>
                <c:pt idx="15">
                  <c:v>3.4580000000000002</c:v>
                </c:pt>
                <c:pt idx="16">
                  <c:v>0</c:v>
                </c:pt>
                <c:pt idx="17">
                  <c:v>1.32</c:v>
                </c:pt>
                <c:pt idx="18">
                  <c:v>0</c:v>
                </c:pt>
                <c:pt idx="19">
                  <c:v>0</c:v>
                </c:pt>
                <c:pt idx="20">
                  <c:v>0</c:v>
                </c:pt>
                <c:pt idx="21">
                  <c:v>0</c:v>
                </c:pt>
                <c:pt idx="22">
                  <c:v>0</c:v>
                </c:pt>
                <c:pt idx="23">
                  <c:v>0</c:v>
                </c:pt>
                <c:pt idx="24">
                  <c:v>0</c:v>
                </c:pt>
                <c:pt idx="25">
                  <c:v>0</c:v>
                </c:pt>
                <c:pt idx="26">
                  <c:v>0</c:v>
                </c:pt>
                <c:pt idx="27">
                  <c:v>0.15</c:v>
                </c:pt>
                <c:pt idx="28">
                  <c:v>0</c:v>
                </c:pt>
                <c:pt idx="29">
                  <c:v>0</c:v>
                </c:pt>
                <c:pt idx="30">
                  <c:v>4.2099999999999999E-2</c:v>
                </c:pt>
                <c:pt idx="31">
                  <c:v>0</c:v>
                </c:pt>
                <c:pt idx="32">
                  <c:v>0</c:v>
                </c:pt>
                <c:pt idx="33">
                  <c:v>9.74E-2</c:v>
                </c:pt>
                <c:pt idx="34">
                  <c:v>0</c:v>
                </c:pt>
                <c:pt idx="35">
                  <c:v>1.464</c:v>
                </c:pt>
                <c:pt idx="36">
                  <c:v>0</c:v>
                </c:pt>
                <c:pt idx="37">
                  <c:v>0.16800000000000001</c:v>
                </c:pt>
                <c:pt idx="38">
                  <c:v>1.2991999999999999</c:v>
                </c:pt>
                <c:pt idx="39">
                  <c:v>0</c:v>
                </c:pt>
                <c:pt idx="40">
                  <c:v>1.8033000000000001</c:v>
                </c:pt>
                <c:pt idx="41">
                  <c:v>0.95</c:v>
                </c:pt>
                <c:pt idx="42">
                  <c:v>8.5849000000000011</c:v>
                </c:pt>
                <c:pt idx="43">
                  <c:v>0</c:v>
                </c:pt>
                <c:pt idx="44">
                  <c:v>0.23860000000000001</c:v>
                </c:pt>
                <c:pt idx="45">
                  <c:v>4.1609999999999996</c:v>
                </c:pt>
                <c:pt idx="46">
                  <c:v>0.40100000000000002</c:v>
                </c:pt>
                <c:pt idx="47">
                  <c:v>5.9740000000000002</c:v>
                </c:pt>
                <c:pt idx="48">
                  <c:v>1.23</c:v>
                </c:pt>
                <c:pt idx="49">
                  <c:v>0.64900000000000002</c:v>
                </c:pt>
                <c:pt idx="50">
                  <c:v>3.34</c:v>
                </c:pt>
                <c:pt idx="51">
                  <c:v>0.44700000000000001</c:v>
                </c:pt>
                <c:pt idx="52">
                  <c:v>0</c:v>
                </c:pt>
                <c:pt idx="53">
                  <c:v>1.466</c:v>
                </c:pt>
                <c:pt idx="54">
                  <c:v>6.2519999999999998</c:v>
                </c:pt>
                <c:pt idx="55">
                  <c:v>0</c:v>
                </c:pt>
                <c:pt idx="56">
                  <c:v>0</c:v>
                </c:pt>
                <c:pt idx="57">
                  <c:v>0</c:v>
                </c:pt>
                <c:pt idx="58">
                  <c:v>0</c:v>
                </c:pt>
                <c:pt idx="59">
                  <c:v>6.5000000000000002E-2</c:v>
                </c:pt>
                <c:pt idx="60">
                  <c:v>0.154</c:v>
                </c:pt>
                <c:pt idx="61">
                  <c:v>0</c:v>
                </c:pt>
                <c:pt idx="62">
                  <c:v>0</c:v>
                </c:pt>
                <c:pt idx="63">
                  <c:v>0</c:v>
                </c:pt>
                <c:pt idx="64">
                  <c:v>0</c:v>
                </c:pt>
                <c:pt idx="65">
                  <c:v>0.34899999999999998</c:v>
                </c:pt>
                <c:pt idx="66">
                  <c:v>0</c:v>
                </c:pt>
                <c:pt idx="67">
                  <c:v>0</c:v>
                </c:pt>
                <c:pt idx="68">
                  <c:v>2.3319000000000001</c:v>
                </c:pt>
                <c:pt idx="69">
                  <c:v>7.758</c:v>
                </c:pt>
                <c:pt idx="70">
                  <c:v>3.17</c:v>
                </c:pt>
                <c:pt idx="71">
                  <c:v>20.406688191000001</c:v>
                </c:pt>
                <c:pt idx="72">
                  <c:v>0</c:v>
                </c:pt>
                <c:pt idx="73">
                  <c:v>0</c:v>
                </c:pt>
              </c:numCache>
            </c:numRef>
          </c:val>
          <c:extLst>
            <c:ext xmlns:c16="http://schemas.microsoft.com/office/drawing/2014/chart" uri="{C3380CC4-5D6E-409C-BE32-E72D297353CC}">
              <c16:uniqueId val="{00000000-3E6E-4FCF-92C5-9EDFA2179CDE}"/>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694673323534012E-2"/>
          <c:y val="4.5717449035684699E-2"/>
          <c:w val="0.92959105835415967"/>
          <c:h val="0.78435370357466383"/>
        </c:manualLayout>
      </c:layout>
      <c:barChart>
        <c:barDir val="col"/>
        <c:grouping val="stacked"/>
        <c:varyColors val="0"/>
        <c:ser>
          <c:idx val="4"/>
          <c:order val="0"/>
          <c:spPr>
            <a:solidFill>
              <a:schemeClr val="accent1"/>
            </a:solidFill>
            <a:ln>
              <a:solidFill>
                <a:schemeClr val="tx1"/>
              </a:solidFill>
            </a:ln>
            <a:effectLst/>
          </c:spPr>
          <c:invertIfNegative val="0"/>
          <c:cat>
            <c:numRef>
              <c:f>'A22 UK Land Forces Orders'!$B$7:$B$79</c:f>
              <c:numCache>
                <c:formatCode>mmm\-yyyy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'A22 UK Land Forces Orders'!$C$7:$C$79</c:f>
              <c:numCache>
                <c:formatCode>_(* #,##0.00_);_(* \(#,##0.00\);_(* "-"??_);_(@_)</c:formatCode>
                <c:ptCount val="73"/>
                <c:pt idx="0">
                  <c:v>0</c:v>
                </c:pt>
                <c:pt idx="1">
                  <c:v>0</c:v>
                </c:pt>
                <c:pt idx="2">
                  <c:v>0</c:v>
                </c:pt>
                <c:pt idx="3">
                  <c:v>0</c:v>
                </c:pt>
                <c:pt idx="4">
                  <c:v>0</c:v>
                </c:pt>
                <c:pt idx="5">
                  <c:v>0</c:v>
                </c:pt>
                <c:pt idx="6">
                  <c:v>6.5000000000000002E-2</c:v>
                </c:pt>
                <c:pt idx="7">
                  <c:v>1.1999999999999999E-3</c:v>
                </c:pt>
                <c:pt idx="8">
                  <c:v>0</c:v>
                </c:pt>
                <c:pt idx="9">
                  <c:v>0</c:v>
                </c:pt>
                <c:pt idx="10">
                  <c:v>2.4</c:v>
                </c:pt>
                <c:pt idx="11">
                  <c:v>0</c:v>
                </c:pt>
                <c:pt idx="12">
                  <c:v>5.5E-2</c:v>
                </c:pt>
                <c:pt idx="13">
                  <c:v>0</c:v>
                </c:pt>
                <c:pt idx="14">
                  <c:v>9.8400000000000001E-2</c:v>
                </c:pt>
                <c:pt idx="15">
                  <c:v>0</c:v>
                </c:pt>
                <c:pt idx="16">
                  <c:v>0.8</c:v>
                </c:pt>
                <c:pt idx="17">
                  <c:v>0</c:v>
                </c:pt>
                <c:pt idx="18">
                  <c:v>0.19700000000000001</c:v>
                </c:pt>
                <c:pt idx="19">
                  <c:v>0</c:v>
                </c:pt>
                <c:pt idx="20">
                  <c:v>0</c:v>
                </c:pt>
                <c:pt idx="21">
                  <c:v>0</c:v>
                </c:pt>
                <c:pt idx="22">
                  <c:v>0</c:v>
                </c:pt>
                <c:pt idx="23">
                  <c:v>0</c:v>
                </c:pt>
                <c:pt idx="24">
                  <c:v>0</c:v>
                </c:pt>
                <c:pt idx="25">
                  <c:v>0</c:v>
                </c:pt>
                <c:pt idx="26">
                  <c:v>0</c:v>
                </c:pt>
                <c:pt idx="27">
                  <c:v>3.2000000000000001E-2</c:v>
                </c:pt>
                <c:pt idx="28">
                  <c:v>0</c:v>
                </c:pt>
                <c:pt idx="29">
                  <c:v>0</c:v>
                </c:pt>
                <c:pt idx="30">
                  <c:v>0.06</c:v>
                </c:pt>
                <c:pt idx="31">
                  <c:v>0</c:v>
                </c:pt>
                <c:pt idx="32">
                  <c:v>1.4999999999999999E-2</c:v>
                </c:pt>
                <c:pt idx="33">
                  <c:v>0</c:v>
                </c:pt>
                <c:pt idx="34">
                  <c:v>0</c:v>
                </c:pt>
                <c:pt idx="35">
                  <c:v>0.51339999999999997</c:v>
                </c:pt>
                <c:pt idx="36">
                  <c:v>0</c:v>
                </c:pt>
                <c:pt idx="37">
                  <c:v>0.11</c:v>
                </c:pt>
                <c:pt idx="38">
                  <c:v>4.5999999999999999E-3</c:v>
                </c:pt>
                <c:pt idx="39">
                  <c:v>0</c:v>
                </c:pt>
                <c:pt idx="40">
                  <c:v>0</c:v>
                </c:pt>
                <c:pt idx="41">
                  <c:v>0</c:v>
                </c:pt>
                <c:pt idx="42">
                  <c:v>0.02</c:v>
                </c:pt>
                <c:pt idx="43">
                  <c:v>0</c:v>
                </c:pt>
                <c:pt idx="44">
                  <c:v>1.4999999999999999E-2</c:v>
                </c:pt>
                <c:pt idx="45">
                  <c:v>0</c:v>
                </c:pt>
                <c:pt idx="46">
                  <c:v>0.02</c:v>
                </c:pt>
                <c:pt idx="47">
                  <c:v>0</c:v>
                </c:pt>
                <c:pt idx="48">
                  <c:v>0</c:v>
                </c:pt>
                <c:pt idx="49">
                  <c:v>0.52699999999999991</c:v>
                </c:pt>
                <c:pt idx="50">
                  <c:v>2.125</c:v>
                </c:pt>
                <c:pt idx="51">
                  <c:v>0.122</c:v>
                </c:pt>
                <c:pt idx="52">
                  <c:v>2.1000000000000001E-2</c:v>
                </c:pt>
                <c:pt idx="53">
                  <c:v>0</c:v>
                </c:pt>
                <c:pt idx="54">
                  <c:v>0.17599999999999999</c:v>
                </c:pt>
                <c:pt idx="55">
                  <c:v>0</c:v>
                </c:pt>
                <c:pt idx="56">
                  <c:v>0.16200000000000001</c:v>
                </c:pt>
                <c:pt idx="57">
                  <c:v>0</c:v>
                </c:pt>
                <c:pt idx="58">
                  <c:v>0</c:v>
                </c:pt>
                <c:pt idx="59">
                  <c:v>0</c:v>
                </c:pt>
                <c:pt idx="60">
                  <c:v>6.0999999999999999E-2</c:v>
                </c:pt>
                <c:pt idx="61">
                  <c:v>0</c:v>
                </c:pt>
                <c:pt idx="62">
                  <c:v>1.1599999999999999</c:v>
                </c:pt>
                <c:pt idx="63">
                  <c:v>0.25</c:v>
                </c:pt>
                <c:pt idx="64">
                  <c:v>1.9E-2</c:v>
                </c:pt>
                <c:pt idx="65">
                  <c:v>0.42</c:v>
                </c:pt>
                <c:pt idx="66">
                  <c:v>0</c:v>
                </c:pt>
                <c:pt idx="67">
                  <c:v>0.11799999999999999</c:v>
                </c:pt>
                <c:pt idx="68">
                  <c:v>0.02</c:v>
                </c:pt>
                <c:pt idx="69">
                  <c:v>0</c:v>
                </c:pt>
                <c:pt idx="70">
                  <c:v>0</c:v>
                </c:pt>
                <c:pt idx="71">
                  <c:v>0.19400000000000001</c:v>
                </c:pt>
                <c:pt idx="72">
                  <c:v>2.7E-2</c:v>
                </c:pt>
              </c:numCache>
            </c:numRef>
          </c:val>
          <c:extLst>
            <c:ext xmlns:c16="http://schemas.microsoft.com/office/drawing/2014/chart" uri="{C3380CC4-5D6E-409C-BE32-E72D297353CC}">
              <c16:uniqueId val="{00000000-AF40-4003-A0D2-08BB94B0C3AC}"/>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694673323534012E-2"/>
          <c:y val="3.3918058379142864E-2"/>
          <c:w val="0.92959105835415967"/>
          <c:h val="0.79615305580617601"/>
        </c:manualLayout>
      </c:layout>
      <c:barChart>
        <c:barDir val="col"/>
        <c:grouping val="stacked"/>
        <c:varyColors val="0"/>
        <c:ser>
          <c:idx val="4"/>
          <c:order val="0"/>
          <c:spPr>
            <a:solidFill>
              <a:schemeClr val="accent1"/>
            </a:solidFill>
            <a:ln>
              <a:solidFill>
                <a:schemeClr val="tx1"/>
              </a:solidFill>
            </a:ln>
            <a:effectLst/>
          </c:spPr>
          <c:invertIfNegative val="0"/>
          <c:cat>
            <c:numRef>
              <c:f>'A23 PL Land Forces Orders'!$B$7:$B$91</c:f>
              <c:numCache>
                <c:formatCode>mmm\-yyyy</c:formatCode>
                <c:ptCount val="8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numCache>
            </c:numRef>
          </c:cat>
          <c:val>
            <c:numRef>
              <c:f>'A23 PL Land Forces Orders'!$C$7:$C$91</c:f>
              <c:numCache>
                <c:formatCode>_(* #,##0.00_);_(* \(#,##0.00\);_(* "-"??_);_(@_)</c:formatCode>
                <c:ptCount val="85"/>
                <c:pt idx="0">
                  <c:v>0.15901898734177214</c:v>
                </c:pt>
                <c:pt idx="1">
                  <c:v>0.36980794997766864</c:v>
                </c:pt>
                <c:pt idx="2">
                  <c:v>0.16864389426656737</c:v>
                </c:pt>
                <c:pt idx="3">
                  <c:v>0</c:v>
                </c:pt>
                <c:pt idx="4">
                  <c:v>3.9768344657483246E-2</c:v>
                </c:pt>
                <c:pt idx="5">
                  <c:v>0</c:v>
                </c:pt>
                <c:pt idx="6">
                  <c:v>0.40720402084884583</c:v>
                </c:pt>
                <c:pt idx="7">
                  <c:v>0</c:v>
                </c:pt>
                <c:pt idx="8">
                  <c:v>2.896965748324646E-2</c:v>
                </c:pt>
                <c:pt idx="9">
                  <c:v>6.4105547282204023E-2</c:v>
                </c:pt>
                <c:pt idx="10">
                  <c:v>0.10005584512285927</c:v>
                </c:pt>
                <c:pt idx="11">
                  <c:v>0</c:v>
                </c:pt>
                <c:pt idx="12">
                  <c:v>0</c:v>
                </c:pt>
                <c:pt idx="13">
                  <c:v>0</c:v>
                </c:pt>
                <c:pt idx="14">
                  <c:v>0</c:v>
                </c:pt>
                <c:pt idx="15">
                  <c:v>0</c:v>
                </c:pt>
                <c:pt idx="16">
                  <c:v>0.15824893090254333</c:v>
                </c:pt>
                <c:pt idx="17">
                  <c:v>0</c:v>
                </c:pt>
                <c:pt idx="18">
                  <c:v>3.9837947332883192E-2</c:v>
                </c:pt>
                <c:pt idx="19">
                  <c:v>0</c:v>
                </c:pt>
                <c:pt idx="20">
                  <c:v>0</c:v>
                </c:pt>
                <c:pt idx="21">
                  <c:v>0</c:v>
                </c:pt>
                <c:pt idx="22">
                  <c:v>0</c:v>
                </c:pt>
                <c:pt idx="23">
                  <c:v>0</c:v>
                </c:pt>
                <c:pt idx="24">
                  <c:v>0</c:v>
                </c:pt>
                <c:pt idx="25">
                  <c:v>0</c:v>
                </c:pt>
                <c:pt idx="26">
                  <c:v>0</c:v>
                </c:pt>
                <c:pt idx="27">
                  <c:v>7.7105055638307191E-2</c:v>
                </c:pt>
                <c:pt idx="28">
                  <c:v>0.22660015219413207</c:v>
                </c:pt>
                <c:pt idx="29">
                  <c:v>0</c:v>
                </c:pt>
                <c:pt idx="30">
                  <c:v>4.0162340407542061</c:v>
                </c:pt>
                <c:pt idx="31">
                  <c:v>0</c:v>
                </c:pt>
                <c:pt idx="32">
                  <c:v>0</c:v>
                </c:pt>
                <c:pt idx="33">
                  <c:v>0</c:v>
                </c:pt>
                <c:pt idx="34">
                  <c:v>0</c:v>
                </c:pt>
                <c:pt idx="35">
                  <c:v>3.8114430912117761E-2</c:v>
                </c:pt>
                <c:pt idx="36">
                  <c:v>0</c:v>
                </c:pt>
                <c:pt idx="37">
                  <c:v>0</c:v>
                </c:pt>
                <c:pt idx="38">
                  <c:v>0</c:v>
                </c:pt>
                <c:pt idx="39">
                  <c:v>0</c:v>
                </c:pt>
                <c:pt idx="40">
                  <c:v>0</c:v>
                </c:pt>
                <c:pt idx="41">
                  <c:v>0.74688973773500356</c:v>
                </c:pt>
                <c:pt idx="42">
                  <c:v>4.4025031050489325</c:v>
                </c:pt>
                <c:pt idx="43">
                  <c:v>0</c:v>
                </c:pt>
                <c:pt idx="44">
                  <c:v>0.81090885811228952</c:v>
                </c:pt>
                <c:pt idx="45">
                  <c:v>6.600189933523267</c:v>
                </c:pt>
                <c:pt idx="46">
                  <c:v>0</c:v>
                </c:pt>
                <c:pt idx="47">
                  <c:v>0</c:v>
                </c:pt>
                <c:pt idx="48">
                  <c:v>1.2947378155923426</c:v>
                </c:pt>
                <c:pt idx="49">
                  <c:v>0.46477322765301632</c:v>
                </c:pt>
                <c:pt idx="50">
                  <c:v>0.242184059885513</c:v>
                </c:pt>
                <c:pt idx="51">
                  <c:v>0</c:v>
                </c:pt>
                <c:pt idx="52">
                  <c:v>0</c:v>
                </c:pt>
                <c:pt idx="53">
                  <c:v>0.11228533685601057</c:v>
                </c:pt>
                <c:pt idx="54">
                  <c:v>0</c:v>
                </c:pt>
                <c:pt idx="55">
                  <c:v>0.48436811977102601</c:v>
                </c:pt>
                <c:pt idx="56">
                  <c:v>6.6050198150594458E-2</c:v>
                </c:pt>
                <c:pt idx="57">
                  <c:v>0</c:v>
                </c:pt>
                <c:pt idx="58">
                  <c:v>0</c:v>
                </c:pt>
                <c:pt idx="59">
                  <c:v>2.2016732716864817</c:v>
                </c:pt>
                <c:pt idx="60">
                  <c:v>0</c:v>
                </c:pt>
                <c:pt idx="61">
                  <c:v>2.3373983739837398</c:v>
                </c:pt>
                <c:pt idx="62">
                  <c:v>1.5095917135027175</c:v>
                </c:pt>
                <c:pt idx="63">
                  <c:v>1.4915739051782435</c:v>
                </c:pt>
                <c:pt idx="64">
                  <c:v>1.5659645232815964</c:v>
                </c:pt>
                <c:pt idx="65">
                  <c:v>0</c:v>
                </c:pt>
                <c:pt idx="66">
                  <c:v>0.92897951600167228</c:v>
                </c:pt>
                <c:pt idx="67">
                  <c:v>10.608973537026339</c:v>
                </c:pt>
                <c:pt idx="68">
                  <c:v>1.5490733429327885E-2</c:v>
                </c:pt>
                <c:pt idx="69">
                  <c:v>0</c:v>
                </c:pt>
                <c:pt idx="70">
                  <c:v>0.32514283060058524</c:v>
                </c:pt>
                <c:pt idx="71">
                  <c:v>5.573644851131033</c:v>
                </c:pt>
                <c:pt idx="72">
                  <c:v>0.65929203539823023</c:v>
                </c:pt>
                <c:pt idx="73">
                  <c:v>0.26548672566371684</c:v>
                </c:pt>
                <c:pt idx="74">
                  <c:v>3.3313427377667604</c:v>
                </c:pt>
                <c:pt idx="75">
                  <c:v>0</c:v>
                </c:pt>
                <c:pt idx="76">
                  <c:v>0</c:v>
                </c:pt>
                <c:pt idx="77">
                  <c:v>5.8966436304455506E-2</c:v>
                </c:pt>
                <c:pt idx="78">
                  <c:v>0.1017699115044248</c:v>
                </c:pt>
                <c:pt idx="79">
                  <c:v>5.7522123893805315</c:v>
                </c:pt>
                <c:pt idx="80">
                  <c:v>0</c:v>
                </c:pt>
                <c:pt idx="81">
                  <c:v>0</c:v>
                </c:pt>
                <c:pt idx="82">
                  <c:v>0</c:v>
                </c:pt>
                <c:pt idx="83">
                  <c:v>3.3021204330495082</c:v>
                </c:pt>
                <c:pt idx="84">
                  <c:v>3.5606618083414441</c:v>
                </c:pt>
              </c:numCache>
            </c:numRef>
          </c:val>
          <c:extLst>
            <c:ext xmlns:c16="http://schemas.microsoft.com/office/drawing/2014/chart" uri="{C3380CC4-5D6E-409C-BE32-E72D297353CC}">
              <c16:uniqueId val="{00000000-59B7-4593-BBBC-66CCBEBC0E7B}"/>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694673323534012E-2"/>
          <c:y val="4.9650585712184198E-2"/>
          <c:w val="0.92959105835415967"/>
          <c:h val="0.7804205668981643"/>
        </c:manualLayout>
      </c:layout>
      <c:barChart>
        <c:barDir val="col"/>
        <c:grouping val="stacked"/>
        <c:varyColors val="0"/>
        <c:ser>
          <c:idx val="4"/>
          <c:order val="0"/>
          <c:tx>
            <c:strRef>
              <c:f>'A24 UK Navy Forces Orders'!$C$6</c:f>
              <c:strCache>
                <c:ptCount val="1"/>
                <c:pt idx="0">
                  <c:v>Orders for naval forces</c:v>
                </c:pt>
              </c:strCache>
            </c:strRef>
          </c:tx>
          <c:spPr>
            <a:solidFill>
              <a:schemeClr val="accent1"/>
            </a:solidFill>
            <a:ln>
              <a:solidFill>
                <a:schemeClr val="tx1"/>
              </a:solidFill>
            </a:ln>
            <a:effectLst/>
          </c:spPr>
          <c:invertIfNegative val="0"/>
          <c:cat>
            <c:numRef>
              <c:f>'A24 UK Navy Forces Orders'!$B$7:$B$81</c:f>
              <c:numCache>
                <c:formatCode>mmm\-yyyy</c:formatCode>
                <c:ptCount val="7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pt idx="73">
                  <c:v>46054</c:v>
                </c:pt>
              </c:numCache>
            </c:numRef>
          </c:cat>
          <c:val>
            <c:numRef>
              <c:f>'A24 UK Navy Forces Orders'!$C$7:$C$81</c:f>
              <c:numCache>
                <c:formatCode>_(* #,##0.00_);_(* \(#,##0.00\);_(* "-"??_);_(@_)</c:formatCode>
                <c:ptCount val="75"/>
                <c:pt idx="0">
                  <c:v>0</c:v>
                </c:pt>
                <c:pt idx="1">
                  <c:v>0.33</c:v>
                </c:pt>
                <c:pt idx="2">
                  <c:v>0</c:v>
                </c:pt>
                <c:pt idx="3">
                  <c:v>0</c:v>
                </c:pt>
                <c:pt idx="4">
                  <c:v>0</c:v>
                </c:pt>
                <c:pt idx="5">
                  <c:v>0</c:v>
                </c:pt>
                <c:pt idx="6">
                  <c:v>9.9000000000000008E-3</c:v>
                </c:pt>
                <c:pt idx="7">
                  <c:v>0</c:v>
                </c:pt>
                <c:pt idx="8">
                  <c:v>7.0000000000000001E-3</c:v>
                </c:pt>
                <c:pt idx="9">
                  <c:v>0</c:v>
                </c:pt>
                <c:pt idx="10">
                  <c:v>0.184</c:v>
                </c:pt>
                <c:pt idx="11">
                  <c:v>0</c:v>
                </c:pt>
                <c:pt idx="12">
                  <c:v>0</c:v>
                </c:pt>
                <c:pt idx="13">
                  <c:v>0</c:v>
                </c:pt>
                <c:pt idx="14">
                  <c:v>0</c:v>
                </c:pt>
                <c:pt idx="15">
                  <c:v>0</c:v>
                </c:pt>
                <c:pt idx="16">
                  <c:v>0</c:v>
                </c:pt>
                <c:pt idx="17">
                  <c:v>3.5999999999999997E-2</c:v>
                </c:pt>
                <c:pt idx="18">
                  <c:v>0.50044</c:v>
                </c:pt>
                <c:pt idx="19">
                  <c:v>0</c:v>
                </c:pt>
                <c:pt idx="20">
                  <c:v>0.17</c:v>
                </c:pt>
                <c:pt idx="21">
                  <c:v>0</c:v>
                </c:pt>
                <c:pt idx="22">
                  <c:v>0.1</c:v>
                </c:pt>
                <c:pt idx="23">
                  <c:v>0</c:v>
                </c:pt>
                <c:pt idx="24">
                  <c:v>0</c:v>
                </c:pt>
                <c:pt idx="25">
                  <c:v>0</c:v>
                </c:pt>
                <c:pt idx="26">
                  <c:v>0</c:v>
                </c:pt>
                <c:pt idx="27">
                  <c:v>0</c:v>
                </c:pt>
                <c:pt idx="28">
                  <c:v>2.5649999999999999</c:v>
                </c:pt>
                <c:pt idx="29">
                  <c:v>0</c:v>
                </c:pt>
                <c:pt idx="30">
                  <c:v>0</c:v>
                </c:pt>
                <c:pt idx="31">
                  <c:v>0</c:v>
                </c:pt>
                <c:pt idx="32">
                  <c:v>0</c:v>
                </c:pt>
                <c:pt idx="33">
                  <c:v>3.4000000000000002E-2</c:v>
                </c:pt>
                <c:pt idx="34">
                  <c:v>4.2</c:v>
                </c:pt>
                <c:pt idx="35">
                  <c:v>0</c:v>
                </c:pt>
                <c:pt idx="36">
                  <c:v>1.665</c:v>
                </c:pt>
                <c:pt idx="37">
                  <c:v>0</c:v>
                </c:pt>
                <c:pt idx="38">
                  <c:v>0</c:v>
                </c:pt>
                <c:pt idx="39">
                  <c:v>0</c:v>
                </c:pt>
                <c:pt idx="40">
                  <c:v>0</c:v>
                </c:pt>
                <c:pt idx="41">
                  <c:v>0.27</c:v>
                </c:pt>
                <c:pt idx="42">
                  <c:v>0.16900000000000001</c:v>
                </c:pt>
                <c:pt idx="43">
                  <c:v>0</c:v>
                </c:pt>
                <c:pt idx="44">
                  <c:v>0</c:v>
                </c:pt>
                <c:pt idx="45">
                  <c:v>4</c:v>
                </c:pt>
                <c:pt idx="46">
                  <c:v>0</c:v>
                </c:pt>
                <c:pt idx="47">
                  <c:v>0</c:v>
                </c:pt>
                <c:pt idx="48">
                  <c:v>0.40500000000000003</c:v>
                </c:pt>
                <c:pt idx="49">
                  <c:v>1.85</c:v>
                </c:pt>
                <c:pt idx="50">
                  <c:v>0.13500000000000001</c:v>
                </c:pt>
                <c:pt idx="51">
                  <c:v>0</c:v>
                </c:pt>
                <c:pt idx="52">
                  <c:v>0</c:v>
                </c:pt>
                <c:pt idx="53">
                  <c:v>0</c:v>
                </c:pt>
                <c:pt idx="54">
                  <c:v>0</c:v>
                </c:pt>
                <c:pt idx="55">
                  <c:v>0</c:v>
                </c:pt>
                <c:pt idx="56">
                  <c:v>0.06</c:v>
                </c:pt>
                <c:pt idx="57">
                  <c:v>0</c:v>
                </c:pt>
                <c:pt idx="58">
                  <c:v>0</c:v>
                </c:pt>
                <c:pt idx="59">
                  <c:v>0.47599999999999998</c:v>
                </c:pt>
                <c:pt idx="60">
                  <c:v>9.2850000000000001</c:v>
                </c:pt>
                <c:pt idx="61">
                  <c:v>0.25</c:v>
                </c:pt>
                <c:pt idx="62">
                  <c:v>0</c:v>
                </c:pt>
                <c:pt idx="63">
                  <c:v>0</c:v>
                </c:pt>
                <c:pt idx="64">
                  <c:v>0</c:v>
                </c:pt>
                <c:pt idx="65">
                  <c:v>0</c:v>
                </c:pt>
                <c:pt idx="66">
                  <c:v>0</c:v>
                </c:pt>
                <c:pt idx="67">
                  <c:v>0</c:v>
                </c:pt>
                <c:pt idx="68">
                  <c:v>0</c:v>
                </c:pt>
                <c:pt idx="69">
                  <c:v>0</c:v>
                </c:pt>
                <c:pt idx="70">
                  <c:v>0</c:v>
                </c:pt>
                <c:pt idx="71">
                  <c:v>0</c:v>
                </c:pt>
                <c:pt idx="72">
                  <c:v>0</c:v>
                </c:pt>
                <c:pt idx="73">
                  <c:v>0</c:v>
                </c:pt>
              </c:numCache>
            </c:numRef>
          </c:val>
          <c:extLst>
            <c:ext xmlns:c16="http://schemas.microsoft.com/office/drawing/2014/chart" uri="{C3380CC4-5D6E-409C-BE32-E72D297353CC}">
              <c16:uniqueId val="{00000000-FABD-42F4-A867-A9570EB0C85A}"/>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'Fig 4 DE Years to Delivery'!$L$6</c:f>
              <c:strCache>
                <c:ptCount val="1"/>
                <c:pt idx="0">
                  <c:v>Average Years (earliest)</c:v>
                </c:pt>
              </c:strCache>
            </c:strRef>
          </c:tx>
          <c:spPr>
            <a:ln w="28575" cap="rnd">
              <a:solidFill>
                <a:schemeClr val="accent1">
                  <a:lumMod val="60000"/>
                  <a:lumOff val="40000"/>
                </a:schemeClr>
              </a:solidFill>
              <a:prstDash val="sysDash"/>
              <a:round/>
            </a:ln>
            <a:effectLst/>
          </c:spPr>
          <c:marker>
            <c:symbol val="none"/>
          </c:marker>
          <c:cat>
            <c:numRef>
              <c:f>'Fig 4 DE Years to Delivery'!$K$7:$K$26</c:f>
              <c:numCache>
                <c:formatCode>[$-409]mmm\-yy;@</c:formatCode>
                <c:ptCount val="20"/>
                <c:pt idx="0">
                  <c:v>43983</c:v>
                </c:pt>
                <c:pt idx="1">
                  <c:v>44075</c:v>
                </c:pt>
                <c:pt idx="2">
                  <c:v>44166</c:v>
                </c:pt>
                <c:pt idx="3">
                  <c:v>44256</c:v>
                </c:pt>
                <c:pt idx="4">
                  <c:v>44348</c:v>
                </c:pt>
                <c:pt idx="5">
                  <c:v>44713</c:v>
                </c:pt>
                <c:pt idx="6">
                  <c:v>44805</c:v>
                </c:pt>
                <c:pt idx="7">
                  <c:v>44896</c:v>
                </c:pt>
                <c:pt idx="8">
                  <c:v>44986</c:v>
                </c:pt>
                <c:pt idx="9">
                  <c:v>45078</c:v>
                </c:pt>
                <c:pt idx="10">
                  <c:v>45170</c:v>
                </c:pt>
                <c:pt idx="11">
                  <c:v>45261</c:v>
                </c:pt>
                <c:pt idx="12">
                  <c:v>45352</c:v>
                </c:pt>
                <c:pt idx="13">
                  <c:v>45444</c:v>
                </c:pt>
                <c:pt idx="14">
                  <c:v>45536</c:v>
                </c:pt>
                <c:pt idx="15">
                  <c:v>45627</c:v>
                </c:pt>
                <c:pt idx="16">
                  <c:v>45717</c:v>
                </c:pt>
                <c:pt idx="17">
                  <c:v>45809</c:v>
                </c:pt>
                <c:pt idx="18">
                  <c:v>45901</c:v>
                </c:pt>
                <c:pt idx="19">
                  <c:v>45992</c:v>
                </c:pt>
              </c:numCache>
            </c:numRef>
          </c:cat>
          <c:val>
            <c:numRef>
              <c:f>'Fig 4 DE Years to Delivery'!$L$7:$L$26</c:f>
              <c:numCache>
                <c:formatCode>0</c:formatCode>
                <c:ptCount val="20"/>
                <c:pt idx="0">
                  <c:v>3.6666666666666665</c:v>
                </c:pt>
                <c:pt idx="1">
                  <c:v>1.5</c:v>
                </c:pt>
                <c:pt idx="2">
                  <c:v>1.375</c:v>
                </c:pt>
                <c:pt idx="3">
                  <c:v>1</c:v>
                </c:pt>
                <c:pt idx="4">
                  <c:v>1.4285714285714286</c:v>
                </c:pt>
                <c:pt idx="5">
                  <c:v>2</c:v>
                </c:pt>
                <c:pt idx="6">
                  <c:v>1.5</c:v>
                </c:pt>
                <c:pt idx="7">
                  <c:v>1.25</c:v>
                </c:pt>
                <c:pt idx="8">
                  <c:v>1</c:v>
                </c:pt>
                <c:pt idx="9">
                  <c:v>1.5</c:v>
                </c:pt>
                <c:pt idx="10">
                  <c:v>3</c:v>
                </c:pt>
                <c:pt idx="11">
                  <c:v>2</c:v>
                </c:pt>
                <c:pt idx="12">
                  <c:v>1</c:v>
                </c:pt>
                <c:pt idx="13">
                  <c:v>1.9090909090909092</c:v>
                </c:pt>
                <c:pt idx="14">
                  <c:v>2.75</c:v>
                </c:pt>
                <c:pt idx="15">
                  <c:v>0.77777777777777779</c:v>
                </c:pt>
                <c:pt idx="16">
                  <c:v>0.5</c:v>
                </c:pt>
                <c:pt idx="17">
                  <c:v>0</c:v>
                </c:pt>
                <c:pt idx="18">
                  <c:v>0.8</c:v>
                </c:pt>
                <c:pt idx="19">
                  <c:v>2.2352941176470589</c:v>
                </c:pt>
              </c:numCache>
            </c:numRef>
          </c:val>
          <c:smooth val="0"/>
          <c:extLst>
            <c:ext xmlns:c16="http://schemas.microsoft.com/office/drawing/2014/chart" uri="{C3380CC4-5D6E-409C-BE32-E72D297353CC}">
              <c16:uniqueId val="{00000000-81D1-49E2-ACA4-93D776125CDB}"/>
            </c:ext>
          </c:extLst>
        </c:ser>
        <c:ser>
          <c:idx val="0"/>
          <c:order val="1"/>
          <c:tx>
            <c:strRef>
              <c:f>'Fig 4 DE Years to Delivery'!$M$6</c:f>
              <c:strCache>
                <c:ptCount val="1"/>
                <c:pt idx="0">
                  <c:v>Average Years (latest)</c:v>
                </c:pt>
              </c:strCache>
            </c:strRef>
          </c:tx>
          <c:spPr>
            <a:ln w="28575" cap="rnd">
              <a:solidFill>
                <a:schemeClr val="accent1"/>
              </a:solidFill>
              <a:round/>
            </a:ln>
            <a:effectLst/>
          </c:spPr>
          <c:marker>
            <c:symbol val="none"/>
          </c:marker>
          <c:cat>
            <c:numRef>
              <c:f>'Fig 4 DE Years to Delivery'!$K$7:$K$26</c:f>
              <c:numCache>
                <c:formatCode>[$-409]mmm\-yy;@</c:formatCode>
                <c:ptCount val="20"/>
                <c:pt idx="0">
                  <c:v>43983</c:v>
                </c:pt>
                <c:pt idx="1">
                  <c:v>44075</c:v>
                </c:pt>
                <c:pt idx="2">
                  <c:v>44166</c:v>
                </c:pt>
                <c:pt idx="3">
                  <c:v>44256</c:v>
                </c:pt>
                <c:pt idx="4">
                  <c:v>44348</c:v>
                </c:pt>
                <c:pt idx="5">
                  <c:v>44713</c:v>
                </c:pt>
                <c:pt idx="6">
                  <c:v>44805</c:v>
                </c:pt>
                <c:pt idx="7">
                  <c:v>44896</c:v>
                </c:pt>
                <c:pt idx="8">
                  <c:v>44986</c:v>
                </c:pt>
                <c:pt idx="9">
                  <c:v>45078</c:v>
                </c:pt>
                <c:pt idx="10">
                  <c:v>45170</c:v>
                </c:pt>
                <c:pt idx="11">
                  <c:v>45261</c:v>
                </c:pt>
                <c:pt idx="12">
                  <c:v>45352</c:v>
                </c:pt>
                <c:pt idx="13">
                  <c:v>45444</c:v>
                </c:pt>
                <c:pt idx="14">
                  <c:v>45536</c:v>
                </c:pt>
                <c:pt idx="15">
                  <c:v>45627</c:v>
                </c:pt>
                <c:pt idx="16">
                  <c:v>45717</c:v>
                </c:pt>
                <c:pt idx="17">
                  <c:v>45809</c:v>
                </c:pt>
                <c:pt idx="18">
                  <c:v>45901</c:v>
                </c:pt>
                <c:pt idx="19">
                  <c:v>45992</c:v>
                </c:pt>
              </c:numCache>
            </c:numRef>
          </c:cat>
          <c:val>
            <c:numRef>
              <c:f>'Fig 4 DE Years to Delivery'!$M$7:$M$26</c:f>
              <c:numCache>
                <c:formatCode>0</c:formatCode>
                <c:ptCount val="20"/>
                <c:pt idx="0">
                  <c:v>6.333333333333333</c:v>
                </c:pt>
                <c:pt idx="1">
                  <c:v>5.5</c:v>
                </c:pt>
                <c:pt idx="2">
                  <c:v>2.75</c:v>
                </c:pt>
                <c:pt idx="3">
                  <c:v>3</c:v>
                </c:pt>
                <c:pt idx="4">
                  <c:v>4.9523809523809526</c:v>
                </c:pt>
                <c:pt idx="5">
                  <c:v>4.25</c:v>
                </c:pt>
                <c:pt idx="6">
                  <c:v>4.25</c:v>
                </c:pt>
                <c:pt idx="7">
                  <c:v>4.375</c:v>
                </c:pt>
                <c:pt idx="8">
                  <c:v>3</c:v>
                </c:pt>
                <c:pt idx="9">
                  <c:v>2.8333333333333335</c:v>
                </c:pt>
                <c:pt idx="10">
                  <c:v>6.25</c:v>
                </c:pt>
                <c:pt idx="11">
                  <c:v>5.375</c:v>
                </c:pt>
                <c:pt idx="12">
                  <c:v>4</c:v>
                </c:pt>
                <c:pt idx="13">
                  <c:v>3.0909090909090908</c:v>
                </c:pt>
                <c:pt idx="14">
                  <c:v>5.125</c:v>
                </c:pt>
                <c:pt idx="15">
                  <c:v>4.4444444444444446</c:v>
                </c:pt>
                <c:pt idx="16">
                  <c:v>1.75</c:v>
                </c:pt>
                <c:pt idx="17">
                  <c:v>4.8</c:v>
                </c:pt>
                <c:pt idx="18">
                  <c:v>2.4</c:v>
                </c:pt>
                <c:pt idx="19">
                  <c:v>5.7647058823529411</c:v>
                </c:pt>
              </c:numCache>
            </c:numRef>
          </c:val>
          <c:smooth val="0"/>
          <c:extLst>
            <c:ext xmlns:c16="http://schemas.microsoft.com/office/drawing/2014/chart" uri="{C3380CC4-5D6E-409C-BE32-E72D297353CC}">
              <c16:uniqueId val="{00000001-81D1-49E2-ACA4-93D776125CDB}"/>
            </c:ext>
          </c:extLst>
        </c:ser>
        <c:ser>
          <c:idx val="1"/>
          <c:order val="2"/>
          <c:tx>
            <c:strRef>
              <c:f>'Fig 4 DE Years to Delivery'!$N$6</c:f>
              <c:strCache>
                <c:ptCount val="1"/>
                <c:pt idx="0">
                  <c:v>Estimated Years</c:v>
                </c:pt>
              </c:strCache>
            </c:strRef>
          </c:tx>
          <c:spPr>
            <a:ln w="28575" cap="rnd">
              <a:solidFill>
                <a:schemeClr val="accent1">
                  <a:lumMod val="60000"/>
                  <a:lumOff val="40000"/>
                </a:schemeClr>
              </a:solidFill>
              <a:prstDash val="lgDash"/>
              <a:round/>
            </a:ln>
            <a:effectLst/>
          </c:spPr>
          <c:marker>
            <c:symbol val="none"/>
          </c:marker>
          <c:cat>
            <c:numRef>
              <c:f>'Fig 4 DE Years to Delivery'!$K$7:$K$26</c:f>
              <c:numCache>
                <c:formatCode>[$-409]mmm\-yy;@</c:formatCode>
                <c:ptCount val="20"/>
                <c:pt idx="0">
                  <c:v>43983</c:v>
                </c:pt>
                <c:pt idx="1">
                  <c:v>44075</c:v>
                </c:pt>
                <c:pt idx="2">
                  <c:v>44166</c:v>
                </c:pt>
                <c:pt idx="3">
                  <c:v>44256</c:v>
                </c:pt>
                <c:pt idx="4">
                  <c:v>44348</c:v>
                </c:pt>
                <c:pt idx="5">
                  <c:v>44713</c:v>
                </c:pt>
                <c:pt idx="6">
                  <c:v>44805</c:v>
                </c:pt>
                <c:pt idx="7">
                  <c:v>44896</c:v>
                </c:pt>
                <c:pt idx="8">
                  <c:v>44986</c:v>
                </c:pt>
                <c:pt idx="9">
                  <c:v>45078</c:v>
                </c:pt>
                <c:pt idx="10">
                  <c:v>45170</c:v>
                </c:pt>
                <c:pt idx="11">
                  <c:v>45261</c:v>
                </c:pt>
                <c:pt idx="12">
                  <c:v>45352</c:v>
                </c:pt>
                <c:pt idx="13">
                  <c:v>45444</c:v>
                </c:pt>
                <c:pt idx="14">
                  <c:v>45536</c:v>
                </c:pt>
                <c:pt idx="15">
                  <c:v>45627</c:v>
                </c:pt>
                <c:pt idx="16">
                  <c:v>45717</c:v>
                </c:pt>
                <c:pt idx="17">
                  <c:v>45809</c:v>
                </c:pt>
                <c:pt idx="18">
                  <c:v>45901</c:v>
                </c:pt>
                <c:pt idx="19">
                  <c:v>45992</c:v>
                </c:pt>
              </c:numCache>
            </c:numRef>
          </c:cat>
          <c:val>
            <c:numRef>
              <c:f>'Fig 4 DE Years to Delivery'!$N$7:$N$26</c:f>
              <c:numCache>
                <c:formatCode>0</c:formatCode>
                <c:ptCount val="20"/>
                <c:pt idx="0">
                  <c:v>5</c:v>
                </c:pt>
                <c:pt idx="1">
                  <c:v>3.5</c:v>
                </c:pt>
                <c:pt idx="2">
                  <c:v>2.0625</c:v>
                </c:pt>
                <c:pt idx="3">
                  <c:v>2</c:v>
                </c:pt>
                <c:pt idx="4">
                  <c:v>3.1904761904761907</c:v>
                </c:pt>
                <c:pt idx="5">
                  <c:v>3.125</c:v>
                </c:pt>
                <c:pt idx="6">
                  <c:v>2.875</c:v>
                </c:pt>
                <c:pt idx="7">
                  <c:v>2.8125</c:v>
                </c:pt>
                <c:pt idx="8">
                  <c:v>2</c:v>
                </c:pt>
                <c:pt idx="9">
                  <c:v>2.1666666666666665</c:v>
                </c:pt>
                <c:pt idx="10">
                  <c:v>4.625</c:v>
                </c:pt>
                <c:pt idx="11">
                  <c:v>3.6875</c:v>
                </c:pt>
                <c:pt idx="12">
                  <c:v>2.5</c:v>
                </c:pt>
                <c:pt idx="13">
                  <c:v>2.5</c:v>
                </c:pt>
                <c:pt idx="14">
                  <c:v>3.9375</c:v>
                </c:pt>
                <c:pt idx="15">
                  <c:v>2.6111111111111112</c:v>
                </c:pt>
                <c:pt idx="16">
                  <c:v>1.125</c:v>
                </c:pt>
                <c:pt idx="17">
                  <c:v>2.4</c:v>
                </c:pt>
                <c:pt idx="18">
                  <c:v>1.6</c:v>
                </c:pt>
                <c:pt idx="19">
                  <c:v>4</c:v>
                </c:pt>
              </c:numCache>
            </c:numRef>
          </c:val>
          <c:smooth val="0"/>
          <c:extLst>
            <c:ext xmlns:c16="http://schemas.microsoft.com/office/drawing/2014/chart" uri="{C3380CC4-5D6E-409C-BE32-E72D297353CC}">
              <c16:uniqueId val="{00000002-81D1-49E2-ACA4-93D776125CDB}"/>
            </c:ext>
          </c:extLst>
        </c:ser>
        <c:dLbls>
          <c:showLegendKey val="0"/>
          <c:showVal val="0"/>
          <c:showCatName val="0"/>
          <c:showSerName val="0"/>
          <c:showPercent val="0"/>
          <c:showBubbleSize val="0"/>
        </c:dLbls>
        <c:smooth val="0"/>
        <c:axId val="117223903"/>
        <c:axId val="117224863"/>
      </c:lineChart>
      <c:dateAx>
        <c:axId val="117223903"/>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117224863"/>
        <c:crosses val="autoZero"/>
        <c:auto val="1"/>
        <c:lblOffset val="100"/>
        <c:baseTimeUnit val="months"/>
      </c:dateAx>
      <c:valAx>
        <c:axId val="1172248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117223903"/>
        <c:crosses val="autoZero"/>
        <c:crossBetween val="between"/>
      </c:valAx>
      <c:spPr>
        <a:noFill/>
        <a:ln>
          <a:noFill/>
        </a:ln>
        <a:effectLst/>
      </c:spPr>
    </c:plotArea>
    <c:legend>
      <c:legendPos val="b"/>
      <c:layout>
        <c:manualLayout>
          <c:xMode val="edge"/>
          <c:yMode val="edge"/>
          <c:x val="0.64807169284055577"/>
          <c:y val="3.4410113292653283E-2"/>
          <c:w val="0.3147241901838076"/>
          <c:h val="0.19125834773165917"/>
        </c:manualLayout>
      </c:layout>
      <c:overlay val="1"/>
      <c:spPr>
        <a:solidFill>
          <a:srgbClr val="F5F1E7"/>
        </a:solid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200">
          <a:solidFill>
            <a:sysClr val="windowText" lastClr="000000"/>
          </a:solidFill>
          <a:latin typeface="Courier New" panose="02070309020205020404" pitchFamily="49" charset="0"/>
          <a:cs typeface="Courier New" panose="02070309020205020404" pitchFamily="49"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28316653587456E-2"/>
          <c:y val="8.513917080414761E-2"/>
          <c:w val="0.91016350878477936"/>
          <c:h val="0.70100414893133345"/>
        </c:manualLayout>
      </c:layout>
      <c:lineChart>
        <c:grouping val="standard"/>
        <c:varyColors val="0"/>
        <c:ser>
          <c:idx val="2"/>
          <c:order val="0"/>
          <c:tx>
            <c:strRef>
              <c:f>'Fig 5 DE No Delivery Date'!$H$6</c:f>
              <c:strCache>
                <c:ptCount val="1"/>
                <c:pt idx="0">
                  <c:v>3-Month Average</c:v>
                </c:pt>
              </c:strCache>
            </c:strRef>
          </c:tx>
          <c:spPr>
            <a:ln w="28575"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D575-4428-9DDE-7940A25D2E73}"/>
              </c:ext>
            </c:extLst>
          </c:dPt>
          <c:cat>
            <c:numRef>
              <c:f>'Fig 5 DE No Delivery Date'!$G$7:$G$79</c:f>
              <c:numCache>
                <c:formatCode>[$-409]mmm\-yy;@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'Fig 5 DE No Delivery Date'!$H$7:$H$79</c:f>
              <c:numCache>
                <c:formatCode>0%</c:formatCode>
                <c:ptCount val="73"/>
                <c:pt idx="4">
                  <c:v>0</c:v>
                </c:pt>
                <c:pt idx="5">
                  <c:v>0.25</c:v>
                </c:pt>
                <c:pt idx="6">
                  <c:v>0.25</c:v>
                </c:pt>
                <c:pt idx="7">
                  <c:v>0.25</c:v>
                </c:pt>
                <c:pt idx="8">
                  <c:v>0.375</c:v>
                </c:pt>
                <c:pt idx="9">
                  <c:v>0.33333333333333331</c:v>
                </c:pt>
                <c:pt idx="10">
                  <c:v>0.38095238095238093</c:v>
                </c:pt>
                <c:pt idx="11">
                  <c:v>0.39999999999999997</c:v>
                </c:pt>
                <c:pt idx="12">
                  <c:v>0.4285714285714286</c:v>
                </c:pt>
                <c:pt idx="13">
                  <c:v>0.33333333333333331</c:v>
                </c:pt>
                <c:pt idx="14">
                  <c:v>0</c:v>
                </c:pt>
                <c:pt idx="15">
                  <c:v>0.3</c:v>
                </c:pt>
                <c:pt idx="16">
                  <c:v>0.30769230769230771</c:v>
                </c:pt>
                <c:pt idx="17">
                  <c:v>0.5</c:v>
                </c:pt>
                <c:pt idx="18">
                  <c:v>0.52777777777777779</c:v>
                </c:pt>
                <c:pt idx="19">
                  <c:v>0.58064516129032262</c:v>
                </c:pt>
                <c:pt idx="27">
                  <c:v>1</c:v>
                </c:pt>
                <c:pt idx="28">
                  <c:v>0.25</c:v>
                </c:pt>
                <c:pt idx="29">
                  <c:v>0.2</c:v>
                </c:pt>
                <c:pt idx="30">
                  <c:v>0.15384615384615385</c:v>
                </c:pt>
                <c:pt idx="31">
                  <c:v>0.16666666666666666</c:v>
                </c:pt>
                <c:pt idx="32">
                  <c:v>0.16666666666666666</c:v>
                </c:pt>
                <c:pt idx="33">
                  <c:v>0</c:v>
                </c:pt>
                <c:pt idx="34">
                  <c:v>0.25</c:v>
                </c:pt>
                <c:pt idx="35">
                  <c:v>0.30769230769230771</c:v>
                </c:pt>
                <c:pt idx="36">
                  <c:v>0.36363636363636365</c:v>
                </c:pt>
                <c:pt idx="37">
                  <c:v>0.22222222222222221</c:v>
                </c:pt>
                <c:pt idx="38">
                  <c:v>0.125</c:v>
                </c:pt>
                <c:pt idx="39">
                  <c:v>0.65217391304347827</c:v>
                </c:pt>
                <c:pt idx="40">
                  <c:v>0.61538461538461531</c:v>
                </c:pt>
                <c:pt idx="41">
                  <c:v>0.68</c:v>
                </c:pt>
                <c:pt idx="42">
                  <c:v>0.38095238095238093</c:v>
                </c:pt>
                <c:pt idx="43">
                  <c:v>0.4375</c:v>
                </c:pt>
                <c:pt idx="44">
                  <c:v>0.46153846153846156</c:v>
                </c:pt>
                <c:pt idx="45">
                  <c:v>0.22222222222222221</c:v>
                </c:pt>
                <c:pt idx="46">
                  <c:v>0.25</c:v>
                </c:pt>
                <c:pt idx="47">
                  <c:v>0.30434782608695654</c:v>
                </c:pt>
                <c:pt idx="48">
                  <c:v>0.41176470588235292</c:v>
                </c:pt>
                <c:pt idx="49">
                  <c:v>0.49999999999999994</c:v>
                </c:pt>
                <c:pt idx="50">
                  <c:v>0.45454545454545453</c:v>
                </c:pt>
                <c:pt idx="51">
                  <c:v>0.47058823529411764</c:v>
                </c:pt>
                <c:pt idx="52">
                  <c:v>0.52631578947368418</c:v>
                </c:pt>
                <c:pt idx="53">
                  <c:v>0.58064516129032262</c:v>
                </c:pt>
                <c:pt idx="54">
                  <c:v>0.46875</c:v>
                </c:pt>
                <c:pt idx="55">
                  <c:v>0.42857142857142855</c:v>
                </c:pt>
                <c:pt idx="56">
                  <c:v>0.2857142857142857</c:v>
                </c:pt>
                <c:pt idx="57">
                  <c:v>0.3571428571428571</c:v>
                </c:pt>
                <c:pt idx="58">
                  <c:v>0.35</c:v>
                </c:pt>
                <c:pt idx="59">
                  <c:v>0.8</c:v>
                </c:pt>
                <c:pt idx="60">
                  <c:v>0.8392857142857143</c:v>
                </c:pt>
                <c:pt idx="61">
                  <c:v>0.9</c:v>
                </c:pt>
                <c:pt idx="62">
                  <c:v>0.55555555555555558</c:v>
                </c:pt>
                <c:pt idx="65">
                  <c:v>0.61538461538461542</c:v>
                </c:pt>
                <c:pt idx="66">
                  <c:v>0.53333333333333333</c:v>
                </c:pt>
                <c:pt idx="67">
                  <c:v>0.53333333333333333</c:v>
                </c:pt>
                <c:pt idx="68">
                  <c:v>0.5</c:v>
                </c:pt>
                <c:pt idx="69">
                  <c:v>0.68965517241379315</c:v>
                </c:pt>
                <c:pt idx="70">
                  <c:v>0.74468085106382986</c:v>
                </c:pt>
                <c:pt idx="71">
                  <c:v>0.75</c:v>
                </c:pt>
                <c:pt idx="72">
                  <c:v>0.75409836065573765</c:v>
                </c:pt>
              </c:numCache>
            </c:numRef>
          </c:val>
          <c:smooth val="0"/>
          <c:extLst>
            <c:ext xmlns:c16="http://schemas.microsoft.com/office/drawing/2014/chart" uri="{C3380CC4-5D6E-409C-BE32-E72D297353CC}">
              <c16:uniqueId val="{00000001-D575-4428-9DDE-7940A25D2E73}"/>
            </c:ext>
          </c:extLst>
        </c:ser>
        <c:dLbls>
          <c:showLegendKey val="0"/>
          <c:showVal val="0"/>
          <c:showCatName val="0"/>
          <c:showSerName val="0"/>
          <c:showPercent val="0"/>
          <c:showBubbleSize val="0"/>
        </c:dLbls>
        <c:smooth val="0"/>
        <c:axId val="117223903"/>
        <c:axId val="117224863"/>
      </c:lineChart>
      <c:dateAx>
        <c:axId val="117223903"/>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117224863"/>
        <c:crosses val="autoZero"/>
        <c:auto val="1"/>
        <c:lblOffset val="100"/>
        <c:baseTimeUnit val="months"/>
      </c:dateAx>
      <c:valAx>
        <c:axId val="1172248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11722390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200">
          <a:solidFill>
            <a:sysClr val="windowText" lastClr="000000"/>
          </a:solidFill>
          <a:latin typeface="Courier New" panose="02070309020205020404" pitchFamily="49" charset="0"/>
          <a:cs typeface="Courier New" panose="02070309020205020404" pitchFamily="49"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159956327340501E-2"/>
          <c:y val="9.6006823394657714E-2"/>
          <c:w val="0.92853215611846474"/>
          <c:h val="0.77511796129576593"/>
        </c:manualLayout>
      </c:layout>
      <c:barChart>
        <c:barDir val="col"/>
        <c:grouping val="stacked"/>
        <c:varyColors val="0"/>
        <c:ser>
          <c:idx val="2"/>
          <c:order val="0"/>
          <c:tx>
            <c:strRef>
              <c:f>'Fig 6 UK Orders by Category'!$C$6</c:f>
              <c:strCache>
                <c:ptCount val="1"/>
                <c:pt idx="0">
                  <c:v>Air</c:v>
                </c:pt>
              </c:strCache>
            </c:strRef>
          </c:tx>
          <c:spPr>
            <a:solidFill>
              <a:srgbClr val="32C2FF"/>
            </a:solidFill>
            <a:ln>
              <a:solidFill>
                <a:schemeClr val="tx1"/>
              </a:solidFill>
            </a:ln>
            <a:effectLst/>
          </c:spPr>
          <c:invertIfNegative val="0"/>
          <c:cat>
            <c:numRef>
              <c:f>'Fig 6 UK Orders by Category'!$B$7:$B$79</c:f>
              <c:numCache>
                <c:formatCode>[$-409]mmm\-yy;@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'Fig 6 UK Orders by Category'!$C$7:$C$79</c:f>
              <c:numCache>
                <c:formatCode>_(* #,##0.00_);_(* \(#,##0.00\);_(* "-"??_);_(@_)</c:formatCode>
                <c:ptCount val="73"/>
                <c:pt idx="0">
                  <c:v>0</c:v>
                </c:pt>
                <c:pt idx="1">
                  <c:v>0</c:v>
                </c:pt>
                <c:pt idx="2">
                  <c:v>0</c:v>
                </c:pt>
                <c:pt idx="3">
                  <c:v>0</c:v>
                </c:pt>
                <c:pt idx="4">
                  <c:v>0</c:v>
                </c:pt>
                <c:pt idx="5">
                  <c:v>0</c:v>
                </c:pt>
                <c:pt idx="6">
                  <c:v>0</c:v>
                </c:pt>
                <c:pt idx="7">
                  <c:v>0</c:v>
                </c:pt>
                <c:pt idx="8">
                  <c:v>0.317</c:v>
                </c:pt>
                <c:pt idx="9">
                  <c:v>0</c:v>
                </c:pt>
                <c:pt idx="10">
                  <c:v>0</c:v>
                </c:pt>
                <c:pt idx="11">
                  <c:v>0</c:v>
                </c:pt>
                <c:pt idx="12">
                  <c:v>0.55000000000000004</c:v>
                </c:pt>
                <c:pt idx="13">
                  <c:v>0</c:v>
                </c:pt>
                <c:pt idx="14">
                  <c:v>0</c:v>
                </c:pt>
                <c:pt idx="15">
                  <c:v>0</c:v>
                </c:pt>
                <c:pt idx="16">
                  <c:v>0</c:v>
                </c:pt>
                <c:pt idx="17">
                  <c:v>0</c:v>
                </c:pt>
                <c:pt idx="18">
                  <c:v>0.27350000000000002</c:v>
                </c:pt>
                <c:pt idx="19">
                  <c:v>0</c:v>
                </c:pt>
                <c:pt idx="20">
                  <c:v>0.38800000000000001</c:v>
                </c:pt>
                <c:pt idx="21">
                  <c:v>0</c:v>
                </c:pt>
                <c:pt idx="22">
                  <c:v>0.11</c:v>
                </c:pt>
                <c:pt idx="23">
                  <c:v>0</c:v>
                </c:pt>
                <c:pt idx="24">
                  <c:v>0</c:v>
                </c:pt>
                <c:pt idx="25">
                  <c:v>0.08</c:v>
                </c:pt>
                <c:pt idx="26">
                  <c:v>0</c:v>
                </c:pt>
                <c:pt idx="27">
                  <c:v>0</c:v>
                </c:pt>
                <c:pt idx="28">
                  <c:v>0</c:v>
                </c:pt>
                <c:pt idx="29">
                  <c:v>0</c:v>
                </c:pt>
                <c:pt idx="30">
                  <c:v>2.35</c:v>
                </c:pt>
                <c:pt idx="31">
                  <c:v>0</c:v>
                </c:pt>
                <c:pt idx="32">
                  <c:v>0</c:v>
                </c:pt>
                <c:pt idx="33">
                  <c:v>0</c:v>
                </c:pt>
                <c:pt idx="34">
                  <c:v>3.1E-2</c:v>
                </c:pt>
                <c:pt idx="35">
                  <c:v>0</c:v>
                </c:pt>
                <c:pt idx="36">
                  <c:v>0</c:v>
                </c:pt>
                <c:pt idx="37">
                  <c:v>0</c:v>
                </c:pt>
                <c:pt idx="38">
                  <c:v>0</c:v>
                </c:pt>
                <c:pt idx="39">
                  <c:v>0.65600000000000003</c:v>
                </c:pt>
                <c:pt idx="40">
                  <c:v>0</c:v>
                </c:pt>
                <c:pt idx="41">
                  <c:v>0</c:v>
                </c:pt>
                <c:pt idx="42">
                  <c:v>0.115</c:v>
                </c:pt>
                <c:pt idx="43">
                  <c:v>0</c:v>
                </c:pt>
                <c:pt idx="44">
                  <c:v>0.04</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1.1646000000000001</c:v>
                </c:pt>
                <c:pt idx="66">
                  <c:v>0</c:v>
                </c:pt>
                <c:pt idx="67">
                  <c:v>0</c:v>
                </c:pt>
                <c:pt idx="68">
                  <c:v>0</c:v>
                </c:pt>
                <c:pt idx="69">
                  <c:v>0</c:v>
                </c:pt>
                <c:pt idx="70">
                  <c:v>0</c:v>
                </c:pt>
                <c:pt idx="71">
                  <c:v>0</c:v>
                </c:pt>
                <c:pt idx="72">
                  <c:v>0.45350000000000001</c:v>
                </c:pt>
              </c:numCache>
            </c:numRef>
          </c:val>
          <c:extLst>
            <c:ext xmlns:c16="http://schemas.microsoft.com/office/drawing/2014/chart" uri="{C3380CC4-5D6E-409C-BE32-E72D297353CC}">
              <c16:uniqueId val="{00000000-6D05-4C6D-A95B-33D70CBA951E}"/>
            </c:ext>
          </c:extLst>
        </c:ser>
        <c:ser>
          <c:idx val="4"/>
          <c:order val="1"/>
          <c:tx>
            <c:strRef>
              <c:f>'Fig 6 UK Orders by Category'!$D$6</c:f>
              <c:strCache>
                <c:ptCount val="1"/>
                <c:pt idx="0">
                  <c:v>Sea</c:v>
                </c:pt>
              </c:strCache>
            </c:strRef>
          </c:tx>
          <c:spPr>
            <a:solidFill>
              <a:srgbClr val="304DC3"/>
            </a:solidFill>
            <a:ln>
              <a:solidFill>
                <a:schemeClr val="tx1"/>
              </a:solidFill>
            </a:ln>
            <a:effectLst/>
          </c:spPr>
          <c:invertIfNegative val="0"/>
          <c:cat>
            <c:numRef>
              <c:f>'Fig 6 UK Orders by Category'!$B$7:$B$79</c:f>
              <c:numCache>
                <c:formatCode>[$-409]mmm\-yy;@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'Fig 6 UK Orders by Category'!$D$7:$D$79</c:f>
              <c:numCache>
                <c:formatCode>_(* #,##0.00_);_(* \(#,##0.00\);_(* "-"??_);_(@_)</c:formatCode>
                <c:ptCount val="73"/>
                <c:pt idx="0">
                  <c:v>0</c:v>
                </c:pt>
                <c:pt idx="1">
                  <c:v>0.33</c:v>
                </c:pt>
                <c:pt idx="2">
                  <c:v>0</c:v>
                </c:pt>
                <c:pt idx="3">
                  <c:v>0</c:v>
                </c:pt>
                <c:pt idx="4">
                  <c:v>0</c:v>
                </c:pt>
                <c:pt idx="5">
                  <c:v>0</c:v>
                </c:pt>
                <c:pt idx="6">
                  <c:v>9.9000000000000008E-3</c:v>
                </c:pt>
                <c:pt idx="7">
                  <c:v>0</c:v>
                </c:pt>
                <c:pt idx="8">
                  <c:v>7.0000000000000001E-3</c:v>
                </c:pt>
                <c:pt idx="9">
                  <c:v>0</c:v>
                </c:pt>
                <c:pt idx="10">
                  <c:v>0.184</c:v>
                </c:pt>
                <c:pt idx="11">
                  <c:v>0</c:v>
                </c:pt>
                <c:pt idx="12">
                  <c:v>0</c:v>
                </c:pt>
                <c:pt idx="13">
                  <c:v>0</c:v>
                </c:pt>
                <c:pt idx="14">
                  <c:v>0</c:v>
                </c:pt>
                <c:pt idx="15">
                  <c:v>0</c:v>
                </c:pt>
                <c:pt idx="16">
                  <c:v>0</c:v>
                </c:pt>
                <c:pt idx="17">
                  <c:v>3.5999999999999997E-2</c:v>
                </c:pt>
                <c:pt idx="18">
                  <c:v>0.50044</c:v>
                </c:pt>
                <c:pt idx="19">
                  <c:v>0</c:v>
                </c:pt>
                <c:pt idx="20">
                  <c:v>0.17</c:v>
                </c:pt>
                <c:pt idx="21">
                  <c:v>0</c:v>
                </c:pt>
                <c:pt idx="22">
                  <c:v>0.1</c:v>
                </c:pt>
                <c:pt idx="23">
                  <c:v>0</c:v>
                </c:pt>
                <c:pt idx="24">
                  <c:v>0</c:v>
                </c:pt>
                <c:pt idx="25">
                  <c:v>0</c:v>
                </c:pt>
                <c:pt idx="26">
                  <c:v>0</c:v>
                </c:pt>
                <c:pt idx="27">
                  <c:v>0</c:v>
                </c:pt>
                <c:pt idx="28">
                  <c:v>2.5649999999999999</c:v>
                </c:pt>
                <c:pt idx="29">
                  <c:v>0</c:v>
                </c:pt>
                <c:pt idx="30">
                  <c:v>0</c:v>
                </c:pt>
                <c:pt idx="31">
                  <c:v>0</c:v>
                </c:pt>
                <c:pt idx="32">
                  <c:v>0</c:v>
                </c:pt>
                <c:pt idx="33">
                  <c:v>3.4000000000000002E-2</c:v>
                </c:pt>
                <c:pt idx="34">
                  <c:v>4.2</c:v>
                </c:pt>
                <c:pt idx="35">
                  <c:v>0</c:v>
                </c:pt>
                <c:pt idx="36">
                  <c:v>1.665</c:v>
                </c:pt>
                <c:pt idx="37">
                  <c:v>0</c:v>
                </c:pt>
                <c:pt idx="38">
                  <c:v>0</c:v>
                </c:pt>
                <c:pt idx="39">
                  <c:v>0</c:v>
                </c:pt>
                <c:pt idx="40">
                  <c:v>0</c:v>
                </c:pt>
                <c:pt idx="41">
                  <c:v>0.27</c:v>
                </c:pt>
                <c:pt idx="42">
                  <c:v>0.16900000000000001</c:v>
                </c:pt>
                <c:pt idx="43">
                  <c:v>0</c:v>
                </c:pt>
                <c:pt idx="44">
                  <c:v>0</c:v>
                </c:pt>
                <c:pt idx="45">
                  <c:v>4</c:v>
                </c:pt>
                <c:pt idx="46">
                  <c:v>0</c:v>
                </c:pt>
                <c:pt idx="47">
                  <c:v>0</c:v>
                </c:pt>
                <c:pt idx="48">
                  <c:v>0.40500000000000003</c:v>
                </c:pt>
                <c:pt idx="49">
                  <c:v>1.85</c:v>
                </c:pt>
                <c:pt idx="50">
                  <c:v>0.13500000000000001</c:v>
                </c:pt>
                <c:pt idx="51">
                  <c:v>0</c:v>
                </c:pt>
                <c:pt idx="52">
                  <c:v>0</c:v>
                </c:pt>
                <c:pt idx="53">
                  <c:v>0</c:v>
                </c:pt>
                <c:pt idx="54">
                  <c:v>0</c:v>
                </c:pt>
                <c:pt idx="55">
                  <c:v>0</c:v>
                </c:pt>
                <c:pt idx="56">
                  <c:v>0.06</c:v>
                </c:pt>
                <c:pt idx="57">
                  <c:v>0</c:v>
                </c:pt>
                <c:pt idx="58">
                  <c:v>0</c:v>
                </c:pt>
                <c:pt idx="59">
                  <c:v>0.47599999999999998</c:v>
                </c:pt>
                <c:pt idx="60">
                  <c:v>9.2850000000000001</c:v>
                </c:pt>
                <c:pt idx="61">
                  <c:v>0.25</c:v>
                </c:pt>
                <c:pt idx="62">
                  <c:v>0</c:v>
                </c:pt>
                <c:pt idx="63">
                  <c:v>0</c:v>
                </c:pt>
                <c:pt idx="64">
                  <c:v>2.9999999999999997E-4</c:v>
                </c:pt>
                <c:pt idx="65">
                  <c:v>0</c:v>
                </c:pt>
                <c:pt idx="66">
                  <c:v>0</c:v>
                </c:pt>
                <c:pt idx="67">
                  <c:v>4.1000000000000002E-2</c:v>
                </c:pt>
                <c:pt idx="68">
                  <c:v>0</c:v>
                </c:pt>
                <c:pt idx="69">
                  <c:v>0</c:v>
                </c:pt>
                <c:pt idx="70">
                  <c:v>0.316</c:v>
                </c:pt>
                <c:pt idx="71">
                  <c:v>0.01</c:v>
                </c:pt>
                <c:pt idx="72">
                  <c:v>0</c:v>
                </c:pt>
              </c:numCache>
            </c:numRef>
          </c:val>
          <c:extLst>
            <c:ext xmlns:c16="http://schemas.microsoft.com/office/drawing/2014/chart" uri="{C3380CC4-5D6E-409C-BE32-E72D297353CC}">
              <c16:uniqueId val="{00000001-6D05-4C6D-A95B-33D70CBA951E}"/>
            </c:ext>
          </c:extLst>
        </c:ser>
        <c:ser>
          <c:idx val="3"/>
          <c:order val="2"/>
          <c:tx>
            <c:strRef>
              <c:f>'Fig 6 UK Orders by Category'!$E$6</c:f>
              <c:strCache>
                <c:ptCount val="1"/>
                <c:pt idx="0">
                  <c:v>Land</c:v>
                </c:pt>
              </c:strCache>
            </c:strRef>
          </c:tx>
          <c:spPr>
            <a:solidFill>
              <a:srgbClr val="FF6A00"/>
            </a:solidFill>
            <a:ln>
              <a:solidFill>
                <a:schemeClr val="tx1"/>
              </a:solidFill>
            </a:ln>
            <a:effectLst/>
          </c:spPr>
          <c:invertIfNegative val="0"/>
          <c:cat>
            <c:numRef>
              <c:f>'Fig 6 UK Orders by Category'!$B$7:$B$79</c:f>
              <c:numCache>
                <c:formatCode>[$-409]mmm\-yy;@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'Fig 6 UK Orders by Category'!$E$7:$E$79</c:f>
              <c:numCache>
                <c:formatCode>_(* #,##0.00_);_(* \(#,##0.00\);_(* "-"??_);_(@_)</c:formatCode>
                <c:ptCount val="73"/>
                <c:pt idx="0">
                  <c:v>0</c:v>
                </c:pt>
                <c:pt idx="1">
                  <c:v>0</c:v>
                </c:pt>
                <c:pt idx="2">
                  <c:v>0</c:v>
                </c:pt>
                <c:pt idx="3">
                  <c:v>0</c:v>
                </c:pt>
                <c:pt idx="4">
                  <c:v>0</c:v>
                </c:pt>
                <c:pt idx="5">
                  <c:v>0</c:v>
                </c:pt>
                <c:pt idx="6">
                  <c:v>6.5000000000000002E-2</c:v>
                </c:pt>
                <c:pt idx="7">
                  <c:v>1.1999999999999999E-3</c:v>
                </c:pt>
                <c:pt idx="8">
                  <c:v>0</c:v>
                </c:pt>
                <c:pt idx="9">
                  <c:v>0</c:v>
                </c:pt>
                <c:pt idx="10">
                  <c:v>2.4</c:v>
                </c:pt>
                <c:pt idx="11">
                  <c:v>0</c:v>
                </c:pt>
                <c:pt idx="12">
                  <c:v>5.5E-2</c:v>
                </c:pt>
                <c:pt idx="13">
                  <c:v>0</c:v>
                </c:pt>
                <c:pt idx="14">
                  <c:v>9.8400000000000001E-2</c:v>
                </c:pt>
                <c:pt idx="15">
                  <c:v>0</c:v>
                </c:pt>
                <c:pt idx="16">
                  <c:v>0.8</c:v>
                </c:pt>
                <c:pt idx="17">
                  <c:v>0</c:v>
                </c:pt>
                <c:pt idx="18">
                  <c:v>0.19700000000000001</c:v>
                </c:pt>
                <c:pt idx="19">
                  <c:v>0</c:v>
                </c:pt>
                <c:pt idx="20">
                  <c:v>0</c:v>
                </c:pt>
                <c:pt idx="21">
                  <c:v>0</c:v>
                </c:pt>
                <c:pt idx="22">
                  <c:v>0</c:v>
                </c:pt>
                <c:pt idx="23">
                  <c:v>0</c:v>
                </c:pt>
                <c:pt idx="24">
                  <c:v>0</c:v>
                </c:pt>
                <c:pt idx="25">
                  <c:v>0</c:v>
                </c:pt>
                <c:pt idx="26">
                  <c:v>0</c:v>
                </c:pt>
                <c:pt idx="27">
                  <c:v>3.2000000000000001E-2</c:v>
                </c:pt>
                <c:pt idx="28">
                  <c:v>0</c:v>
                </c:pt>
                <c:pt idx="29">
                  <c:v>0</c:v>
                </c:pt>
                <c:pt idx="30">
                  <c:v>0.06</c:v>
                </c:pt>
                <c:pt idx="31">
                  <c:v>0</c:v>
                </c:pt>
                <c:pt idx="32">
                  <c:v>1.4999999999999999E-2</c:v>
                </c:pt>
                <c:pt idx="33">
                  <c:v>0</c:v>
                </c:pt>
                <c:pt idx="34">
                  <c:v>0</c:v>
                </c:pt>
                <c:pt idx="35">
                  <c:v>0.51339999999999997</c:v>
                </c:pt>
                <c:pt idx="36">
                  <c:v>0</c:v>
                </c:pt>
                <c:pt idx="37">
                  <c:v>0.11</c:v>
                </c:pt>
                <c:pt idx="38">
                  <c:v>4.5999999999999999E-3</c:v>
                </c:pt>
                <c:pt idx="39">
                  <c:v>0</c:v>
                </c:pt>
                <c:pt idx="40">
                  <c:v>0</c:v>
                </c:pt>
                <c:pt idx="41">
                  <c:v>0</c:v>
                </c:pt>
                <c:pt idx="42">
                  <c:v>0.02</c:v>
                </c:pt>
                <c:pt idx="43">
                  <c:v>0</c:v>
                </c:pt>
                <c:pt idx="44">
                  <c:v>1.4999999999999999E-2</c:v>
                </c:pt>
                <c:pt idx="45">
                  <c:v>0</c:v>
                </c:pt>
                <c:pt idx="46">
                  <c:v>0.02</c:v>
                </c:pt>
                <c:pt idx="47">
                  <c:v>0</c:v>
                </c:pt>
                <c:pt idx="48">
                  <c:v>0</c:v>
                </c:pt>
                <c:pt idx="49">
                  <c:v>0.52699999999999991</c:v>
                </c:pt>
                <c:pt idx="50">
                  <c:v>2.125</c:v>
                </c:pt>
                <c:pt idx="51">
                  <c:v>0.122</c:v>
                </c:pt>
                <c:pt idx="52">
                  <c:v>2.1000000000000001E-2</c:v>
                </c:pt>
                <c:pt idx="53">
                  <c:v>0</c:v>
                </c:pt>
                <c:pt idx="54">
                  <c:v>0.17599999999999999</c:v>
                </c:pt>
                <c:pt idx="55">
                  <c:v>0</c:v>
                </c:pt>
                <c:pt idx="56">
                  <c:v>0.16200000000000001</c:v>
                </c:pt>
                <c:pt idx="57">
                  <c:v>0</c:v>
                </c:pt>
                <c:pt idx="58">
                  <c:v>0</c:v>
                </c:pt>
                <c:pt idx="59">
                  <c:v>0</c:v>
                </c:pt>
                <c:pt idx="60">
                  <c:v>6.0999999999999999E-2</c:v>
                </c:pt>
                <c:pt idx="61">
                  <c:v>0</c:v>
                </c:pt>
                <c:pt idx="62">
                  <c:v>1.1599999999999999</c:v>
                </c:pt>
                <c:pt idx="63">
                  <c:v>0.25</c:v>
                </c:pt>
                <c:pt idx="64">
                  <c:v>1.9E-2</c:v>
                </c:pt>
                <c:pt idx="65">
                  <c:v>0.42</c:v>
                </c:pt>
                <c:pt idx="66">
                  <c:v>0</c:v>
                </c:pt>
                <c:pt idx="67">
                  <c:v>0.11799999999999999</c:v>
                </c:pt>
                <c:pt idx="68">
                  <c:v>0.02</c:v>
                </c:pt>
                <c:pt idx="69">
                  <c:v>0</c:v>
                </c:pt>
                <c:pt idx="70">
                  <c:v>0</c:v>
                </c:pt>
                <c:pt idx="71">
                  <c:v>0.19400000000000001</c:v>
                </c:pt>
                <c:pt idx="72">
                  <c:v>2.7E-2</c:v>
                </c:pt>
              </c:numCache>
            </c:numRef>
          </c:val>
          <c:extLst>
            <c:ext xmlns:c16="http://schemas.microsoft.com/office/drawing/2014/chart" uri="{C3380CC4-5D6E-409C-BE32-E72D297353CC}">
              <c16:uniqueId val="{00000002-6D05-4C6D-A95B-33D70CBA951E}"/>
            </c:ext>
          </c:extLst>
        </c:ser>
        <c:ser>
          <c:idx val="0"/>
          <c:order val="3"/>
          <c:tx>
            <c:strRef>
              <c:f>'Fig 6 UK Orders by Category'!$F$6</c:f>
              <c:strCache>
                <c:ptCount val="1"/>
                <c:pt idx="0">
                  <c:v>Other</c:v>
                </c:pt>
              </c:strCache>
            </c:strRef>
          </c:tx>
          <c:spPr>
            <a:solidFill>
              <a:srgbClr val="FEF1E7"/>
            </a:solidFill>
            <a:ln>
              <a:solidFill>
                <a:schemeClr val="tx1"/>
              </a:solidFill>
            </a:ln>
            <a:effectLst/>
          </c:spPr>
          <c:invertIfNegative val="0"/>
          <c:cat>
            <c:numRef>
              <c:f>'Fig 6 UK Orders by Category'!$B$7:$B$79</c:f>
              <c:numCache>
                <c:formatCode>[$-409]mmm\-yy;@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'Fig 6 UK Orders by Category'!$F$7:$F$79</c:f>
              <c:numCache>
                <c:formatCode>_(* #,##0.00_);_(* \(#,##0.00\);_(* "-"??_);_(@_)</c:formatCode>
                <c:ptCount val="73"/>
                <c:pt idx="0">
                  <c:v>0.183</c:v>
                </c:pt>
                <c:pt idx="1">
                  <c:v>0</c:v>
                </c:pt>
                <c:pt idx="2">
                  <c:v>0</c:v>
                </c:pt>
                <c:pt idx="3">
                  <c:v>4.5999999999999999E-2</c:v>
                </c:pt>
                <c:pt idx="4">
                  <c:v>0</c:v>
                </c:pt>
                <c:pt idx="5">
                  <c:v>2.6700000000000002E-2</c:v>
                </c:pt>
                <c:pt idx="6">
                  <c:v>0.3</c:v>
                </c:pt>
                <c:pt idx="7">
                  <c:v>0.24</c:v>
                </c:pt>
                <c:pt idx="8">
                  <c:v>0</c:v>
                </c:pt>
                <c:pt idx="9">
                  <c:v>4.5999999999999999E-2</c:v>
                </c:pt>
                <c:pt idx="10">
                  <c:v>0</c:v>
                </c:pt>
                <c:pt idx="11">
                  <c:v>0</c:v>
                </c:pt>
                <c:pt idx="12">
                  <c:v>0.40799999999999997</c:v>
                </c:pt>
                <c:pt idx="13">
                  <c:v>0.18</c:v>
                </c:pt>
                <c:pt idx="14">
                  <c:v>0</c:v>
                </c:pt>
                <c:pt idx="15">
                  <c:v>0</c:v>
                </c:pt>
                <c:pt idx="16">
                  <c:v>0.32100000000000001</c:v>
                </c:pt>
                <c:pt idx="17">
                  <c:v>0</c:v>
                </c:pt>
                <c:pt idx="18">
                  <c:v>0.23</c:v>
                </c:pt>
                <c:pt idx="19">
                  <c:v>0</c:v>
                </c:pt>
                <c:pt idx="20">
                  <c:v>7.2499999999999995E-2</c:v>
                </c:pt>
                <c:pt idx="21">
                  <c:v>0.17499999999999999</c:v>
                </c:pt>
                <c:pt idx="22">
                  <c:v>0</c:v>
                </c:pt>
                <c:pt idx="23">
                  <c:v>1.0200000000000001E-3</c:v>
                </c:pt>
                <c:pt idx="24">
                  <c:v>2.2703699999999998</c:v>
                </c:pt>
                <c:pt idx="25">
                  <c:v>0</c:v>
                </c:pt>
                <c:pt idx="26">
                  <c:v>0.69499999999999995</c:v>
                </c:pt>
                <c:pt idx="27">
                  <c:v>0.38200000000000001</c:v>
                </c:pt>
                <c:pt idx="28">
                  <c:v>0</c:v>
                </c:pt>
                <c:pt idx="29">
                  <c:v>2.0072000000000001</c:v>
                </c:pt>
                <c:pt idx="30">
                  <c:v>4.2000000000000003E-2</c:v>
                </c:pt>
                <c:pt idx="31">
                  <c:v>0</c:v>
                </c:pt>
                <c:pt idx="32">
                  <c:v>0</c:v>
                </c:pt>
                <c:pt idx="33">
                  <c:v>4.4999999999999998E-2</c:v>
                </c:pt>
                <c:pt idx="34">
                  <c:v>0.09</c:v>
                </c:pt>
                <c:pt idx="35">
                  <c:v>0</c:v>
                </c:pt>
                <c:pt idx="36">
                  <c:v>0</c:v>
                </c:pt>
                <c:pt idx="37">
                  <c:v>0.4</c:v>
                </c:pt>
                <c:pt idx="38">
                  <c:v>1.15E-2</c:v>
                </c:pt>
                <c:pt idx="39">
                  <c:v>0.161</c:v>
                </c:pt>
                <c:pt idx="40">
                  <c:v>0.32</c:v>
                </c:pt>
                <c:pt idx="41">
                  <c:v>0.17099999999999999</c:v>
                </c:pt>
                <c:pt idx="42">
                  <c:v>0.05</c:v>
                </c:pt>
                <c:pt idx="43">
                  <c:v>8.8999999999999996E-2</c:v>
                </c:pt>
                <c:pt idx="44">
                  <c:v>0</c:v>
                </c:pt>
                <c:pt idx="45">
                  <c:v>8.7999999999999995E-2</c:v>
                </c:pt>
                <c:pt idx="46">
                  <c:v>1.7000000000000001E-2</c:v>
                </c:pt>
                <c:pt idx="47">
                  <c:v>0.05</c:v>
                </c:pt>
                <c:pt idx="48">
                  <c:v>0.3</c:v>
                </c:pt>
                <c:pt idx="49">
                  <c:v>4.0000000000000001E-3</c:v>
                </c:pt>
                <c:pt idx="50">
                  <c:v>0.24181999999999998</c:v>
                </c:pt>
                <c:pt idx="51">
                  <c:v>0.09</c:v>
                </c:pt>
                <c:pt idx="52">
                  <c:v>0</c:v>
                </c:pt>
                <c:pt idx="53">
                  <c:v>0</c:v>
                </c:pt>
                <c:pt idx="54">
                  <c:v>6.5</c:v>
                </c:pt>
                <c:pt idx="55">
                  <c:v>0.02</c:v>
                </c:pt>
                <c:pt idx="56">
                  <c:v>7.0999999999999994E-2</c:v>
                </c:pt>
                <c:pt idx="57">
                  <c:v>0</c:v>
                </c:pt>
                <c:pt idx="58">
                  <c:v>0.04</c:v>
                </c:pt>
                <c:pt idx="59">
                  <c:v>3.9E-2</c:v>
                </c:pt>
                <c:pt idx="60">
                  <c:v>0</c:v>
                </c:pt>
                <c:pt idx="61">
                  <c:v>0.27700000000000002</c:v>
                </c:pt>
                <c:pt idx="62">
                  <c:v>1.665</c:v>
                </c:pt>
                <c:pt idx="63">
                  <c:v>0.51500000000000001</c:v>
                </c:pt>
                <c:pt idx="64">
                  <c:v>3.3629999999999995</c:v>
                </c:pt>
                <c:pt idx="65">
                  <c:v>1.7521500000000001</c:v>
                </c:pt>
                <c:pt idx="66">
                  <c:v>0.247</c:v>
                </c:pt>
                <c:pt idx="67">
                  <c:v>0.19500000000000001</c:v>
                </c:pt>
                <c:pt idx="68">
                  <c:v>0.502</c:v>
                </c:pt>
                <c:pt idx="69">
                  <c:v>0.52780000000000005</c:v>
                </c:pt>
                <c:pt idx="70">
                  <c:v>0</c:v>
                </c:pt>
                <c:pt idx="71">
                  <c:v>5.3599999999999995E-2</c:v>
                </c:pt>
                <c:pt idx="72">
                  <c:v>0.21529999999999999</c:v>
                </c:pt>
              </c:numCache>
            </c:numRef>
          </c:val>
          <c:extLst>
            <c:ext xmlns:c16="http://schemas.microsoft.com/office/drawing/2014/chart" uri="{C3380CC4-5D6E-409C-BE32-E72D297353CC}">
              <c16:uniqueId val="{00000003-6D05-4C6D-A95B-33D70CBA951E}"/>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409]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112003664"/>
        <c:crosses val="autoZero"/>
        <c:crossBetween val="between"/>
      </c:valAx>
      <c:spPr>
        <a:noFill/>
        <a:ln>
          <a:noFill/>
        </a:ln>
        <a:effectLst/>
      </c:spPr>
    </c:plotArea>
    <c:legend>
      <c:legendPos val="r"/>
      <c:layout>
        <c:manualLayout>
          <c:xMode val="edge"/>
          <c:yMode val="edge"/>
          <c:x val="4.7193906608675201E-2"/>
          <c:y val="0.22736916077110605"/>
          <c:w val="0.10486380330223179"/>
          <c:h val="0.23092357439033848"/>
        </c:manualLayout>
      </c:layout>
      <c:overlay val="0"/>
      <c:spPr>
        <a:solidFill>
          <a:srgbClr val="F5F1E7"/>
        </a:solid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200">
          <a:solidFill>
            <a:sysClr val="windowText" lastClr="000000"/>
          </a:solidFill>
          <a:latin typeface="Courier New" panose="02070309020205020404" pitchFamily="49" charset="0"/>
          <a:cs typeface="Courier New" panose="02070309020205020404" pitchFamily="49"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2687907312011E-2"/>
          <c:y val="3.7800677056937237E-2"/>
          <c:w val="0.59387577652511925"/>
          <c:h val="0.87287499719268402"/>
        </c:manualLayout>
      </c:layout>
      <c:areaChart>
        <c:grouping val="percentStacked"/>
        <c:varyColors val="0"/>
        <c:ser>
          <c:idx val="1"/>
          <c:order val="1"/>
          <c:tx>
            <c:strRef>
              <c:f>'Fig 7 UK Origin (%)'!$C$6</c:f>
              <c:strCache>
                <c:ptCount val="1"/>
                <c:pt idx="0">
                  <c:v>UK only</c:v>
                </c:pt>
              </c:strCache>
            </c:strRef>
          </c:tx>
          <c:spPr>
            <a:solidFill>
              <a:srgbClr val="304DC3"/>
            </a:solidFill>
            <a:ln>
              <a:noFill/>
            </a:ln>
            <a:effectLst/>
          </c:spPr>
          <c:cat>
            <c:numRef>
              <c:f>'Fig 7 UK Origin (%)'!$B$7:$B$12</c:f>
              <c:numCache>
                <c:formatCode>General</c:formatCode>
                <c:ptCount val="6"/>
                <c:pt idx="0">
                  <c:v>2020</c:v>
                </c:pt>
                <c:pt idx="1">
                  <c:v>2021</c:v>
                </c:pt>
                <c:pt idx="2">
                  <c:v>2022</c:v>
                </c:pt>
                <c:pt idx="3">
                  <c:v>2023</c:v>
                </c:pt>
                <c:pt idx="4">
                  <c:v>2024</c:v>
                </c:pt>
                <c:pt idx="5">
                  <c:v>2025</c:v>
                </c:pt>
              </c:numCache>
            </c:numRef>
          </c:cat>
          <c:val>
            <c:numRef>
              <c:f>'Fig 7 UK Origin (%)'!$C$7:$C$12</c:f>
              <c:numCache>
                <c:formatCode>_(* #,##0.00_);_(* \(#,##0.00\);_(* "-"??_);_(@_)</c:formatCode>
                <c:ptCount val="6"/>
                <c:pt idx="0">
                  <c:v>3.2126000000000001</c:v>
                </c:pt>
                <c:pt idx="1">
                  <c:v>0.47295999999999999</c:v>
                </c:pt>
                <c:pt idx="2">
                  <c:v>7.1229699999999996</c:v>
                </c:pt>
                <c:pt idx="3">
                  <c:v>5.2779999999999996</c:v>
                </c:pt>
                <c:pt idx="4">
                  <c:v>0.95199999999999996</c:v>
                </c:pt>
                <c:pt idx="5">
                  <c:v>13.82535</c:v>
                </c:pt>
              </c:numCache>
            </c:numRef>
          </c:val>
          <c:extLst>
            <c:ext xmlns:c16="http://schemas.microsoft.com/office/drawing/2014/chart" uri="{C3380CC4-5D6E-409C-BE32-E72D297353CC}">
              <c16:uniqueId val="{00000000-1FCC-4286-8A09-C16C8B99E36E}"/>
            </c:ext>
          </c:extLst>
        </c:ser>
        <c:ser>
          <c:idx val="2"/>
          <c:order val="2"/>
          <c:tx>
            <c:strRef>
              <c:f>'Fig 7 UK Origin (%)'!$D$6</c:f>
              <c:strCache>
                <c:ptCount val="1"/>
                <c:pt idx="0">
                  <c:v>UK and foreign partnership</c:v>
                </c:pt>
              </c:strCache>
            </c:strRef>
          </c:tx>
          <c:spPr>
            <a:solidFill>
              <a:srgbClr val="4372FF"/>
            </a:solidFill>
            <a:ln>
              <a:noFill/>
            </a:ln>
            <a:effectLst/>
          </c:spPr>
          <c:cat>
            <c:numRef>
              <c:f>'Fig 7 UK Origin (%)'!$B$7:$B$12</c:f>
              <c:numCache>
                <c:formatCode>General</c:formatCode>
                <c:ptCount val="6"/>
                <c:pt idx="0">
                  <c:v>2020</c:v>
                </c:pt>
                <c:pt idx="1">
                  <c:v>2021</c:v>
                </c:pt>
                <c:pt idx="2">
                  <c:v>2022</c:v>
                </c:pt>
                <c:pt idx="3">
                  <c:v>2023</c:v>
                </c:pt>
                <c:pt idx="4">
                  <c:v>2024</c:v>
                </c:pt>
                <c:pt idx="5">
                  <c:v>2025</c:v>
                </c:pt>
              </c:numCache>
            </c:numRef>
          </c:cat>
          <c:val>
            <c:numRef>
              <c:f>'Fig 7 UK Origin (%)'!$D$7:$D$12</c:f>
              <c:numCache>
                <c:formatCode>_(* #,##0.00_);_(* \(#,##0.00\);_(* "-"??_);_(@_)</c:formatCode>
                <c:ptCount val="6"/>
                <c:pt idx="0">
                  <c:v>0.83220000000000005</c:v>
                </c:pt>
                <c:pt idx="1">
                  <c:v>3.3689</c:v>
                </c:pt>
                <c:pt idx="2">
                  <c:v>6.0019999999999998</c:v>
                </c:pt>
                <c:pt idx="3">
                  <c:v>3.0375000000000001</c:v>
                </c:pt>
                <c:pt idx="4">
                  <c:v>11.509</c:v>
                </c:pt>
                <c:pt idx="5">
                  <c:v>3.4630999999999998</c:v>
                </c:pt>
              </c:numCache>
            </c:numRef>
          </c:val>
          <c:extLst>
            <c:ext xmlns:c16="http://schemas.microsoft.com/office/drawing/2014/chart" uri="{C3380CC4-5D6E-409C-BE32-E72D297353CC}">
              <c16:uniqueId val="{00000001-1FCC-4286-8A09-C16C8B99E36E}"/>
            </c:ext>
          </c:extLst>
        </c:ser>
        <c:ser>
          <c:idx val="3"/>
          <c:order val="3"/>
          <c:tx>
            <c:strRef>
              <c:f>'Fig 7 UK Origin (%)'!$E$6</c:f>
              <c:strCache>
                <c:ptCount val="1"/>
                <c:pt idx="0">
                  <c:v>European, non-UK</c:v>
                </c:pt>
              </c:strCache>
            </c:strRef>
          </c:tx>
          <c:spPr>
            <a:solidFill>
              <a:srgbClr val="32C2FF"/>
            </a:solidFill>
            <a:ln>
              <a:noFill/>
            </a:ln>
            <a:effectLst/>
          </c:spPr>
          <c:cat>
            <c:numRef>
              <c:f>'Fig 7 UK Origin (%)'!$B$7:$B$12</c:f>
              <c:numCache>
                <c:formatCode>General</c:formatCode>
                <c:ptCount val="6"/>
                <c:pt idx="0">
                  <c:v>2020</c:v>
                </c:pt>
                <c:pt idx="1">
                  <c:v>2021</c:v>
                </c:pt>
                <c:pt idx="2">
                  <c:v>2022</c:v>
                </c:pt>
                <c:pt idx="3">
                  <c:v>2023</c:v>
                </c:pt>
                <c:pt idx="4">
                  <c:v>2024</c:v>
                </c:pt>
                <c:pt idx="5">
                  <c:v>2025</c:v>
                </c:pt>
              </c:numCache>
            </c:numRef>
          </c:cat>
          <c:val>
            <c:numRef>
              <c:f>'Fig 7 UK Origin (%)'!$E$7:$E$12</c:f>
              <c:numCache>
                <c:formatCode>_(* #,##0.00_);_(* \(#,##0.00\);_(* "-"??_);_(@_)</c:formatCode>
                <c:ptCount val="6"/>
                <c:pt idx="0">
                  <c:v>4.5999999999999999E-2</c:v>
                </c:pt>
                <c:pt idx="1">
                  <c:v>0</c:v>
                </c:pt>
                <c:pt idx="2">
                  <c:v>0</c:v>
                </c:pt>
                <c:pt idx="3">
                  <c:v>8.9599999999999999E-2</c:v>
                </c:pt>
                <c:pt idx="4">
                  <c:v>0.41399999999999998</c:v>
                </c:pt>
                <c:pt idx="5">
                  <c:v>0</c:v>
                </c:pt>
              </c:numCache>
            </c:numRef>
          </c:val>
          <c:extLst>
            <c:ext xmlns:c16="http://schemas.microsoft.com/office/drawing/2014/chart" uri="{C3380CC4-5D6E-409C-BE32-E72D297353CC}">
              <c16:uniqueId val="{00000002-1FCC-4286-8A09-C16C8B99E36E}"/>
            </c:ext>
          </c:extLst>
        </c:ser>
        <c:ser>
          <c:idx val="4"/>
          <c:order val="4"/>
          <c:tx>
            <c:strRef>
              <c:f>'Fig 7 UK Origin (%)'!$F$6</c:f>
              <c:strCache>
                <c:ptCount val="1"/>
                <c:pt idx="0">
                  <c:v>Non-European only</c:v>
                </c:pt>
              </c:strCache>
            </c:strRef>
          </c:tx>
          <c:spPr>
            <a:solidFill>
              <a:schemeClr val="tx2">
                <a:lumMod val="10000"/>
                <a:lumOff val="90000"/>
              </a:schemeClr>
            </a:solidFill>
            <a:ln>
              <a:noFill/>
            </a:ln>
            <a:effectLst/>
          </c:spPr>
          <c:cat>
            <c:numRef>
              <c:f>'Fig 7 UK Origin (%)'!$B$7:$B$12</c:f>
              <c:numCache>
                <c:formatCode>General</c:formatCode>
                <c:ptCount val="6"/>
                <c:pt idx="0">
                  <c:v>2020</c:v>
                </c:pt>
                <c:pt idx="1">
                  <c:v>2021</c:v>
                </c:pt>
                <c:pt idx="2">
                  <c:v>2022</c:v>
                </c:pt>
                <c:pt idx="3">
                  <c:v>2023</c:v>
                </c:pt>
                <c:pt idx="4">
                  <c:v>2024</c:v>
                </c:pt>
                <c:pt idx="5">
                  <c:v>2025</c:v>
                </c:pt>
              </c:numCache>
            </c:numRef>
          </c:cat>
          <c:val>
            <c:numRef>
              <c:f>'Fig 7 UK Origin (%)'!$F$7:$F$12</c:f>
              <c:numCache>
                <c:formatCode>_(* #,##0.00_);_(* \(#,##0.00\);_(* "-"??_);_(@_)</c:formatCode>
                <c:ptCount val="6"/>
                <c:pt idx="0">
                  <c:v>6.5000000000000002E-2</c:v>
                </c:pt>
                <c:pt idx="1">
                  <c:v>0.32400000000000001</c:v>
                </c:pt>
                <c:pt idx="2">
                  <c:v>0.28699999999999998</c:v>
                </c:pt>
                <c:pt idx="3">
                  <c:v>3.6999999999999998E-2</c:v>
                </c:pt>
                <c:pt idx="4">
                  <c:v>8.0820000000000003E-2</c:v>
                </c:pt>
                <c:pt idx="5">
                  <c:v>0.96</c:v>
                </c:pt>
              </c:numCache>
            </c:numRef>
          </c:val>
          <c:extLst>
            <c:ext xmlns:c16="http://schemas.microsoft.com/office/drawing/2014/chart" uri="{C3380CC4-5D6E-409C-BE32-E72D297353CC}">
              <c16:uniqueId val="{00000003-1FCC-4286-8A09-C16C8B99E36E}"/>
            </c:ext>
          </c:extLst>
        </c:ser>
        <c:ser>
          <c:idx val="8"/>
          <c:order val="5"/>
          <c:tx>
            <c:strRef>
              <c:f>'Fig 7 UK Origin (%)'!$F$6</c:f>
              <c:strCache>
                <c:ptCount val="1"/>
                <c:pt idx="0">
                  <c:v>Non-European only</c:v>
                </c:pt>
              </c:strCache>
            </c:strRef>
          </c:tx>
          <c:spPr>
            <a:solidFill>
              <a:schemeClr val="tx2">
                <a:lumMod val="10000"/>
                <a:lumOff val="90000"/>
              </a:schemeClr>
            </a:solidFill>
            <a:ln w="25400">
              <a:noFill/>
            </a:ln>
            <a:effectLst/>
          </c:spPr>
          <c:val>
            <c:numLit>
              <c:formatCode>General</c:formatCode>
              <c:ptCount val="1"/>
              <c:pt idx="0">
                <c:v>0</c:v>
              </c:pt>
            </c:numLit>
          </c:val>
          <c:extLst>
            <c:ext xmlns:c16="http://schemas.microsoft.com/office/drawing/2014/chart" uri="{C3380CC4-5D6E-409C-BE32-E72D297353CC}">
              <c16:uniqueId val="{00000004-1FCC-4286-8A09-C16C8B99E36E}"/>
            </c:ext>
          </c:extLst>
        </c:ser>
        <c:ser>
          <c:idx val="7"/>
          <c:order val="6"/>
          <c:tx>
            <c:strRef>
              <c:f>'Fig 7 UK Origin (%)'!$E$6</c:f>
              <c:strCache>
                <c:ptCount val="1"/>
                <c:pt idx="0">
                  <c:v>European, non-UK</c:v>
                </c:pt>
              </c:strCache>
            </c:strRef>
          </c:tx>
          <c:spPr>
            <a:solidFill>
              <a:srgbClr val="43CCFF"/>
            </a:solidFill>
            <a:ln w="25400">
              <a:noFill/>
            </a:ln>
            <a:effectLst/>
          </c:spPr>
          <c:val>
            <c:numLit>
              <c:formatCode>General</c:formatCode>
              <c:ptCount val="1"/>
              <c:pt idx="0">
                <c:v>0</c:v>
              </c:pt>
            </c:numLit>
          </c:val>
          <c:extLst>
            <c:ext xmlns:c16="http://schemas.microsoft.com/office/drawing/2014/chart" uri="{C3380CC4-5D6E-409C-BE32-E72D297353CC}">
              <c16:uniqueId val="{00000005-1FCC-4286-8A09-C16C8B99E36E}"/>
            </c:ext>
          </c:extLst>
        </c:ser>
        <c:ser>
          <c:idx val="6"/>
          <c:order val="7"/>
          <c:tx>
            <c:strRef>
              <c:f>'Fig 7 UK Origin (%)'!$D$6</c:f>
              <c:strCache>
                <c:ptCount val="1"/>
                <c:pt idx="0">
                  <c:v>UK and foreign partnership</c:v>
                </c:pt>
              </c:strCache>
            </c:strRef>
          </c:tx>
          <c:spPr>
            <a:solidFill>
              <a:srgbClr val="2E89FF"/>
            </a:solidFill>
            <a:ln w="25400">
              <a:noFill/>
            </a:ln>
            <a:effectLst/>
          </c:spPr>
          <c:val>
            <c:numLit>
              <c:formatCode>General</c:formatCode>
              <c:ptCount val="1"/>
              <c:pt idx="0">
                <c:v>0</c:v>
              </c:pt>
            </c:numLit>
          </c:val>
          <c:extLst>
            <c:ext xmlns:c16="http://schemas.microsoft.com/office/drawing/2014/chart" uri="{C3380CC4-5D6E-409C-BE32-E72D297353CC}">
              <c16:uniqueId val="{00000006-1FCC-4286-8A09-C16C8B99E36E}"/>
            </c:ext>
          </c:extLst>
        </c:ser>
        <c:ser>
          <c:idx val="5"/>
          <c:order val="8"/>
          <c:tx>
            <c:strRef>
              <c:f>'Fig 7 UK Origin (%)'!$C$6</c:f>
              <c:strCache>
                <c:ptCount val="1"/>
                <c:pt idx="0">
                  <c:v>UK only</c:v>
                </c:pt>
              </c:strCache>
            </c:strRef>
          </c:tx>
          <c:spPr>
            <a:solidFill>
              <a:srgbClr val="304DC3"/>
            </a:solidFill>
            <a:ln w="25400">
              <a:noFill/>
            </a:ln>
            <a:effectLst/>
          </c:spPr>
          <c:val>
            <c:numLit>
              <c:formatCode>General</c:formatCode>
              <c:ptCount val="1"/>
              <c:pt idx="0">
                <c:v>0</c:v>
              </c:pt>
            </c:numLit>
          </c:val>
          <c:extLst>
            <c:ext xmlns:c16="http://schemas.microsoft.com/office/drawing/2014/chart" uri="{C3380CC4-5D6E-409C-BE32-E72D297353CC}">
              <c16:uniqueId val="{00000007-1FCC-4286-8A09-C16C8B99E36E}"/>
            </c:ext>
          </c:extLst>
        </c:ser>
        <c:dLbls>
          <c:showLegendKey val="0"/>
          <c:showVal val="0"/>
          <c:showCatName val="0"/>
          <c:showSerName val="0"/>
          <c:showPercent val="0"/>
          <c:showBubbleSize val="0"/>
        </c:dLbls>
        <c:axId val="447906064"/>
        <c:axId val="447907504"/>
        <c:extLst>
          <c:ext xmlns:c15="http://schemas.microsoft.com/office/drawing/2012/chart" uri="{02D57815-91ED-43cb-92C2-25804820EDAC}">
            <c15:filteredAreaSeries>
              <c15:ser>
                <c:idx val="0"/>
                <c:order val="0"/>
                <c:tx>
                  <c:strRef>
                    <c:extLst>
                      <c:ext uri="{02D57815-91ED-43cb-92C2-25804820EDAC}">
                        <c15:formulaRef>
                          <c15:sqref>'Fig 7 UK Origin (%)'!$B$6</c15:sqref>
                        </c15:formulaRef>
                      </c:ext>
                    </c:extLst>
                    <c:strCache>
                      <c:ptCount val="1"/>
                      <c:pt idx="0">
                        <c:v>Year</c:v>
                      </c:pt>
                    </c:strCache>
                  </c:strRef>
                </c:tx>
                <c:spPr>
                  <a:solidFill>
                    <a:schemeClr val="accent1"/>
                  </a:solidFill>
                  <a:ln w="25400">
                    <a:noFill/>
                  </a:ln>
                  <a:effectLst/>
                </c:spPr>
                <c:cat>
                  <c:numRef>
                    <c:extLst>
                      <c:ext uri="{02D57815-91ED-43cb-92C2-25804820EDAC}">
                        <c15:formulaRef>
                          <c15:sqref>'Fig 7 UK Origin (%)'!$B$7:$B$12</c15:sqref>
                        </c15:formulaRef>
                      </c:ext>
                    </c:extLst>
                    <c:numCache>
                      <c:formatCode>General</c:formatCode>
                      <c:ptCount val="6"/>
                      <c:pt idx="0">
                        <c:v>2020</c:v>
                      </c:pt>
                      <c:pt idx="1">
                        <c:v>2021</c:v>
                      </c:pt>
                      <c:pt idx="2">
                        <c:v>2022</c:v>
                      </c:pt>
                      <c:pt idx="3">
                        <c:v>2023</c:v>
                      </c:pt>
                      <c:pt idx="4">
                        <c:v>2024</c:v>
                      </c:pt>
                      <c:pt idx="5">
                        <c:v>2025</c:v>
                      </c:pt>
                    </c:numCache>
                  </c:numRef>
                </c:cat>
                <c:val>
                  <c:numRef>
                    <c:extLst>
                      <c:ext uri="{02D57815-91ED-43cb-92C2-25804820EDAC}">
                        <c15:formulaRef>
                          <c15:sqref>'Fig 7 UK Origin (%)'!$B$7:$B$12</c15:sqref>
                        </c15:formulaRef>
                      </c:ext>
                    </c:extLst>
                    <c:numCache>
                      <c:formatCode>General</c:formatCode>
                      <c:ptCount val="6"/>
                      <c:pt idx="0">
                        <c:v>2020</c:v>
                      </c:pt>
                      <c:pt idx="1">
                        <c:v>2021</c:v>
                      </c:pt>
                      <c:pt idx="2">
                        <c:v>2022</c:v>
                      </c:pt>
                      <c:pt idx="3">
                        <c:v>2023</c:v>
                      </c:pt>
                      <c:pt idx="4">
                        <c:v>2024</c:v>
                      </c:pt>
                      <c:pt idx="5">
                        <c:v>2025</c:v>
                      </c:pt>
                    </c:numCache>
                  </c:numRef>
                </c:val>
                <c:extLst>
                  <c:ext xmlns:c16="http://schemas.microsoft.com/office/drawing/2014/chart" uri="{C3380CC4-5D6E-409C-BE32-E72D297353CC}">
                    <c16:uniqueId val="{00000008-1FCC-4286-8A09-C16C8B99E36E}"/>
                  </c:ext>
                </c:extLst>
              </c15:ser>
            </c15:filteredAreaSeries>
          </c:ext>
        </c:extLst>
      </c:areaChart>
      <c:catAx>
        <c:axId val="4479060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447907504"/>
        <c:crosses val="autoZero"/>
        <c:auto val="1"/>
        <c:lblAlgn val="ctr"/>
        <c:lblOffset val="100"/>
        <c:noMultiLvlLbl val="0"/>
      </c:catAx>
      <c:valAx>
        <c:axId val="447907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447906064"/>
        <c:crosses val="autoZero"/>
        <c:crossBetween val="midCat"/>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66108296834412739"/>
          <c:y val="0.443346662890095"/>
          <c:w val="0.32790342898936287"/>
          <c:h val="0.4266138381967578"/>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legend>
    <c:plotVisOnly val="1"/>
    <c:dispBlanksAs val="zero"/>
    <c:showDLblsOverMax val="0"/>
  </c:chart>
  <c:spPr>
    <a:noFill/>
    <a:ln w="9525" cap="flat" cmpd="sng" algn="ctr">
      <a:noFill/>
      <a:round/>
    </a:ln>
    <a:effectLst/>
  </c:spPr>
  <c:txPr>
    <a:bodyPr/>
    <a:lstStyle/>
    <a:p>
      <a:pPr>
        <a:defRPr sz="1200">
          <a:solidFill>
            <a:sysClr val="windowText" lastClr="000000"/>
          </a:solidFill>
          <a:latin typeface="Courier New" panose="02070309020205020404" pitchFamily="49" charset="0"/>
          <a:cs typeface="Courier New" panose="02070309020205020404" pitchFamily="49" charset="0"/>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'Fig 8 UK Years to Delivery'!$L$6</c:f>
              <c:strCache>
                <c:ptCount val="1"/>
                <c:pt idx="0">
                  <c:v>Average Years (earliest)</c:v>
                </c:pt>
              </c:strCache>
            </c:strRef>
          </c:tx>
          <c:spPr>
            <a:ln w="28575" cap="rnd">
              <a:solidFill>
                <a:schemeClr val="accent1">
                  <a:lumMod val="60000"/>
                  <a:lumOff val="40000"/>
                </a:schemeClr>
              </a:solidFill>
              <a:prstDash val="lgDash"/>
              <a:round/>
            </a:ln>
            <a:effectLst/>
          </c:spPr>
          <c:marker>
            <c:symbol val="none"/>
          </c:marker>
          <c:cat>
            <c:numRef>
              <c:f>'Fig 8 UK Years to Delivery'!$K$7:$K$28</c:f>
              <c:numCache>
                <c:formatCode>[$-409]mmm\-yy;@</c:formatCode>
                <c:ptCount val="22"/>
                <c:pt idx="0">
                  <c:v>43983</c:v>
                </c:pt>
                <c:pt idx="1">
                  <c:v>44075</c:v>
                </c:pt>
                <c:pt idx="2">
                  <c:v>44256</c:v>
                </c:pt>
                <c:pt idx="3">
                  <c:v>44348</c:v>
                </c:pt>
                <c:pt idx="4">
                  <c:v>44440</c:v>
                </c:pt>
                <c:pt idx="5">
                  <c:v>44531</c:v>
                </c:pt>
                <c:pt idx="6">
                  <c:v>44621</c:v>
                </c:pt>
                <c:pt idx="7">
                  <c:v>44713</c:v>
                </c:pt>
                <c:pt idx="8">
                  <c:v>44805</c:v>
                </c:pt>
                <c:pt idx="9">
                  <c:v>44896</c:v>
                </c:pt>
                <c:pt idx="10">
                  <c:v>44986</c:v>
                </c:pt>
                <c:pt idx="11">
                  <c:v>45078</c:v>
                </c:pt>
                <c:pt idx="12">
                  <c:v>45170</c:v>
                </c:pt>
                <c:pt idx="13">
                  <c:v>45261</c:v>
                </c:pt>
                <c:pt idx="14">
                  <c:v>45352</c:v>
                </c:pt>
                <c:pt idx="15">
                  <c:v>45536</c:v>
                </c:pt>
                <c:pt idx="16">
                  <c:v>45627</c:v>
                </c:pt>
                <c:pt idx="17">
                  <c:v>45717</c:v>
                </c:pt>
                <c:pt idx="18">
                  <c:v>45809</c:v>
                </c:pt>
                <c:pt idx="19">
                  <c:v>45901</c:v>
                </c:pt>
                <c:pt idx="20">
                  <c:v>45992</c:v>
                </c:pt>
                <c:pt idx="21">
                  <c:v>46082</c:v>
                </c:pt>
              </c:numCache>
            </c:numRef>
          </c:cat>
          <c:val>
            <c:numRef>
              <c:f>'Fig 8 UK Years to Delivery'!$L$7:$L$28</c:f>
              <c:numCache>
                <c:formatCode>0</c:formatCode>
                <c:ptCount val="22"/>
                <c:pt idx="0">
                  <c:v>1</c:v>
                </c:pt>
                <c:pt idx="1">
                  <c:v>1.2</c:v>
                </c:pt>
                <c:pt idx="2">
                  <c:v>0</c:v>
                </c:pt>
                <c:pt idx="3">
                  <c:v>2</c:v>
                </c:pt>
                <c:pt idx="4">
                  <c:v>1.5</c:v>
                </c:pt>
                <c:pt idx="5">
                  <c:v>2</c:v>
                </c:pt>
                <c:pt idx="6">
                  <c:v>0</c:v>
                </c:pt>
                <c:pt idx="7">
                  <c:v>0</c:v>
                </c:pt>
                <c:pt idx="8">
                  <c:v>2</c:v>
                </c:pt>
                <c:pt idx="9">
                  <c:v>1</c:v>
                </c:pt>
                <c:pt idx="10">
                  <c:v>0.5</c:v>
                </c:pt>
                <c:pt idx="11">
                  <c:v>0</c:v>
                </c:pt>
                <c:pt idx="12">
                  <c:v>0.5</c:v>
                </c:pt>
                <c:pt idx="13">
                  <c:v>2</c:v>
                </c:pt>
                <c:pt idx="14">
                  <c:v>0</c:v>
                </c:pt>
                <c:pt idx="15">
                  <c:v>0.66666666666666663</c:v>
                </c:pt>
                <c:pt idx="16">
                  <c:v>2</c:v>
                </c:pt>
                <c:pt idx="17">
                  <c:v>0.5</c:v>
                </c:pt>
                <c:pt idx="18">
                  <c:v>1.1428571428571428</c:v>
                </c:pt>
                <c:pt idx="19">
                  <c:v>0.22222222222222221</c:v>
                </c:pt>
                <c:pt idx="20">
                  <c:v>0.33333333333333331</c:v>
                </c:pt>
                <c:pt idx="21">
                  <c:v>0</c:v>
                </c:pt>
              </c:numCache>
            </c:numRef>
          </c:val>
          <c:smooth val="0"/>
          <c:extLst>
            <c:ext xmlns:c16="http://schemas.microsoft.com/office/drawing/2014/chart" uri="{C3380CC4-5D6E-409C-BE32-E72D297353CC}">
              <c16:uniqueId val="{00000000-3BF8-4642-9080-BBF6CF48267A}"/>
            </c:ext>
          </c:extLst>
        </c:ser>
        <c:ser>
          <c:idx val="1"/>
          <c:order val="1"/>
          <c:tx>
            <c:strRef>
              <c:f>'Fig 8 UK Years to Delivery'!$M$6</c:f>
              <c:strCache>
                <c:ptCount val="1"/>
                <c:pt idx="0">
                  <c:v>Average Years (latest)</c:v>
                </c:pt>
              </c:strCache>
            </c:strRef>
          </c:tx>
          <c:spPr>
            <a:ln w="28575" cap="rnd">
              <a:solidFill>
                <a:schemeClr val="accent1"/>
              </a:solidFill>
              <a:round/>
            </a:ln>
            <a:effectLst/>
          </c:spPr>
          <c:marker>
            <c:symbol val="none"/>
          </c:marker>
          <c:cat>
            <c:numRef>
              <c:f>'Fig 8 UK Years to Delivery'!$K$7:$K$28</c:f>
              <c:numCache>
                <c:formatCode>[$-409]mmm\-yy;@</c:formatCode>
                <c:ptCount val="22"/>
                <c:pt idx="0">
                  <c:v>43983</c:v>
                </c:pt>
                <c:pt idx="1">
                  <c:v>44075</c:v>
                </c:pt>
                <c:pt idx="2">
                  <c:v>44256</c:v>
                </c:pt>
                <c:pt idx="3">
                  <c:v>44348</c:v>
                </c:pt>
                <c:pt idx="4">
                  <c:v>44440</c:v>
                </c:pt>
                <c:pt idx="5">
                  <c:v>44531</c:v>
                </c:pt>
                <c:pt idx="6">
                  <c:v>44621</c:v>
                </c:pt>
                <c:pt idx="7">
                  <c:v>44713</c:v>
                </c:pt>
                <c:pt idx="8">
                  <c:v>44805</c:v>
                </c:pt>
                <c:pt idx="9">
                  <c:v>44896</c:v>
                </c:pt>
                <c:pt idx="10">
                  <c:v>44986</c:v>
                </c:pt>
                <c:pt idx="11">
                  <c:v>45078</c:v>
                </c:pt>
                <c:pt idx="12">
                  <c:v>45170</c:v>
                </c:pt>
                <c:pt idx="13">
                  <c:v>45261</c:v>
                </c:pt>
                <c:pt idx="14">
                  <c:v>45352</c:v>
                </c:pt>
                <c:pt idx="15">
                  <c:v>45536</c:v>
                </c:pt>
                <c:pt idx="16">
                  <c:v>45627</c:v>
                </c:pt>
                <c:pt idx="17">
                  <c:v>45717</c:v>
                </c:pt>
                <c:pt idx="18">
                  <c:v>45809</c:v>
                </c:pt>
                <c:pt idx="19">
                  <c:v>45901</c:v>
                </c:pt>
                <c:pt idx="20">
                  <c:v>45992</c:v>
                </c:pt>
                <c:pt idx="21">
                  <c:v>46082</c:v>
                </c:pt>
              </c:numCache>
            </c:numRef>
          </c:cat>
          <c:val>
            <c:numRef>
              <c:f>'Fig 8 UK Years to Delivery'!$M$7:$M$28</c:f>
              <c:numCache>
                <c:formatCode>0</c:formatCode>
                <c:ptCount val="22"/>
                <c:pt idx="0">
                  <c:v>5</c:v>
                </c:pt>
                <c:pt idx="1">
                  <c:v>4.4000000000000004</c:v>
                </c:pt>
                <c:pt idx="2">
                  <c:v>4</c:v>
                </c:pt>
                <c:pt idx="3">
                  <c:v>11</c:v>
                </c:pt>
                <c:pt idx="4">
                  <c:v>3</c:v>
                </c:pt>
                <c:pt idx="5">
                  <c:v>4</c:v>
                </c:pt>
                <c:pt idx="6">
                  <c:v>7.5</c:v>
                </c:pt>
                <c:pt idx="7">
                  <c:v>4.5</c:v>
                </c:pt>
                <c:pt idx="8">
                  <c:v>3</c:v>
                </c:pt>
                <c:pt idx="9">
                  <c:v>2.5</c:v>
                </c:pt>
                <c:pt idx="10">
                  <c:v>3.5</c:v>
                </c:pt>
                <c:pt idx="11">
                  <c:v>5.8</c:v>
                </c:pt>
                <c:pt idx="12">
                  <c:v>2.5</c:v>
                </c:pt>
                <c:pt idx="13">
                  <c:v>17</c:v>
                </c:pt>
                <c:pt idx="14">
                  <c:v>5</c:v>
                </c:pt>
                <c:pt idx="15">
                  <c:v>5.333333333333333</c:v>
                </c:pt>
                <c:pt idx="16">
                  <c:v>5</c:v>
                </c:pt>
                <c:pt idx="17">
                  <c:v>6.25</c:v>
                </c:pt>
                <c:pt idx="18">
                  <c:v>4.2857142857142856</c:v>
                </c:pt>
                <c:pt idx="19">
                  <c:v>3.3333333333333335</c:v>
                </c:pt>
                <c:pt idx="20">
                  <c:v>3.6666666666666665</c:v>
                </c:pt>
                <c:pt idx="21">
                  <c:v>3</c:v>
                </c:pt>
              </c:numCache>
            </c:numRef>
          </c:val>
          <c:smooth val="0"/>
          <c:extLst>
            <c:ext xmlns:c16="http://schemas.microsoft.com/office/drawing/2014/chart" uri="{C3380CC4-5D6E-409C-BE32-E72D297353CC}">
              <c16:uniqueId val="{00000002-3BF8-4642-9080-BBF6CF48267A}"/>
            </c:ext>
          </c:extLst>
        </c:ser>
        <c:ser>
          <c:idx val="0"/>
          <c:order val="2"/>
          <c:tx>
            <c:strRef>
              <c:f>'Fig 8 UK Years to Delivery'!$N$6</c:f>
              <c:strCache>
                <c:ptCount val="1"/>
                <c:pt idx="0">
                  <c:v>Estimated Years</c:v>
                </c:pt>
              </c:strCache>
            </c:strRef>
          </c:tx>
          <c:spPr>
            <a:ln w="28575" cap="rnd">
              <a:solidFill>
                <a:schemeClr val="accent1">
                  <a:lumMod val="60000"/>
                  <a:lumOff val="40000"/>
                </a:schemeClr>
              </a:solidFill>
              <a:prstDash val="sysDash"/>
              <a:round/>
            </a:ln>
            <a:effectLst/>
          </c:spPr>
          <c:marker>
            <c:symbol val="none"/>
          </c:marker>
          <c:cat>
            <c:numRef>
              <c:f>'Fig 8 UK Years to Delivery'!$K$7:$K$28</c:f>
              <c:numCache>
                <c:formatCode>[$-409]mmm\-yy;@</c:formatCode>
                <c:ptCount val="22"/>
                <c:pt idx="0">
                  <c:v>43983</c:v>
                </c:pt>
                <c:pt idx="1">
                  <c:v>44075</c:v>
                </c:pt>
                <c:pt idx="2">
                  <c:v>44256</c:v>
                </c:pt>
                <c:pt idx="3">
                  <c:v>44348</c:v>
                </c:pt>
                <c:pt idx="4">
                  <c:v>44440</c:v>
                </c:pt>
                <c:pt idx="5">
                  <c:v>44531</c:v>
                </c:pt>
                <c:pt idx="6">
                  <c:v>44621</c:v>
                </c:pt>
                <c:pt idx="7">
                  <c:v>44713</c:v>
                </c:pt>
                <c:pt idx="8">
                  <c:v>44805</c:v>
                </c:pt>
                <c:pt idx="9">
                  <c:v>44896</c:v>
                </c:pt>
                <c:pt idx="10">
                  <c:v>44986</c:v>
                </c:pt>
                <c:pt idx="11">
                  <c:v>45078</c:v>
                </c:pt>
                <c:pt idx="12">
                  <c:v>45170</c:v>
                </c:pt>
                <c:pt idx="13">
                  <c:v>45261</c:v>
                </c:pt>
                <c:pt idx="14">
                  <c:v>45352</c:v>
                </c:pt>
                <c:pt idx="15">
                  <c:v>45536</c:v>
                </c:pt>
                <c:pt idx="16">
                  <c:v>45627</c:v>
                </c:pt>
                <c:pt idx="17">
                  <c:v>45717</c:v>
                </c:pt>
                <c:pt idx="18">
                  <c:v>45809</c:v>
                </c:pt>
                <c:pt idx="19">
                  <c:v>45901</c:v>
                </c:pt>
                <c:pt idx="20">
                  <c:v>45992</c:v>
                </c:pt>
                <c:pt idx="21">
                  <c:v>46082</c:v>
                </c:pt>
              </c:numCache>
            </c:numRef>
          </c:cat>
          <c:val>
            <c:numRef>
              <c:f>'Fig 8 UK Years to Delivery'!$N$7:$N$28</c:f>
              <c:numCache>
                <c:formatCode>0</c:formatCode>
                <c:ptCount val="22"/>
                <c:pt idx="0">
                  <c:v>3</c:v>
                </c:pt>
                <c:pt idx="1">
                  <c:v>2.8</c:v>
                </c:pt>
                <c:pt idx="2">
                  <c:v>2</c:v>
                </c:pt>
                <c:pt idx="3">
                  <c:v>6.5</c:v>
                </c:pt>
                <c:pt idx="4">
                  <c:v>2.25</c:v>
                </c:pt>
                <c:pt idx="5">
                  <c:v>3</c:v>
                </c:pt>
                <c:pt idx="6">
                  <c:v>3.75</c:v>
                </c:pt>
                <c:pt idx="7">
                  <c:v>2.25</c:v>
                </c:pt>
                <c:pt idx="8">
                  <c:v>2.5</c:v>
                </c:pt>
                <c:pt idx="9">
                  <c:v>1.75</c:v>
                </c:pt>
                <c:pt idx="10">
                  <c:v>2</c:v>
                </c:pt>
                <c:pt idx="11">
                  <c:v>2.9</c:v>
                </c:pt>
                <c:pt idx="12">
                  <c:v>1.5</c:v>
                </c:pt>
                <c:pt idx="13">
                  <c:v>9.5</c:v>
                </c:pt>
                <c:pt idx="14">
                  <c:v>2.5</c:v>
                </c:pt>
                <c:pt idx="15">
                  <c:v>3</c:v>
                </c:pt>
                <c:pt idx="16">
                  <c:v>3.5</c:v>
                </c:pt>
                <c:pt idx="17">
                  <c:v>3.375</c:v>
                </c:pt>
                <c:pt idx="18">
                  <c:v>2.7142857142857144</c:v>
                </c:pt>
                <c:pt idx="19">
                  <c:v>1.7777777777777777</c:v>
                </c:pt>
                <c:pt idx="20">
                  <c:v>2</c:v>
                </c:pt>
                <c:pt idx="21">
                  <c:v>1.5</c:v>
                </c:pt>
              </c:numCache>
            </c:numRef>
          </c:val>
          <c:smooth val="0"/>
          <c:extLst>
            <c:ext xmlns:c16="http://schemas.microsoft.com/office/drawing/2014/chart" uri="{C3380CC4-5D6E-409C-BE32-E72D297353CC}">
              <c16:uniqueId val="{00000001-3BF8-4642-9080-BBF6CF48267A}"/>
            </c:ext>
          </c:extLst>
        </c:ser>
        <c:dLbls>
          <c:showLegendKey val="0"/>
          <c:showVal val="0"/>
          <c:showCatName val="0"/>
          <c:showSerName val="0"/>
          <c:showPercent val="0"/>
          <c:showBubbleSize val="0"/>
        </c:dLbls>
        <c:smooth val="0"/>
        <c:axId val="117223903"/>
        <c:axId val="117224863"/>
      </c:lineChart>
      <c:dateAx>
        <c:axId val="117223903"/>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117224863"/>
        <c:crosses val="autoZero"/>
        <c:auto val="1"/>
        <c:lblOffset val="100"/>
        <c:baseTimeUnit val="months"/>
      </c:dateAx>
      <c:valAx>
        <c:axId val="1172248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117223903"/>
        <c:crosses val="autoZero"/>
        <c:crossBetween val="between"/>
      </c:valAx>
      <c:spPr>
        <a:noFill/>
        <a:ln>
          <a:noFill/>
        </a:ln>
        <a:effectLst/>
      </c:spPr>
    </c:plotArea>
    <c:legend>
      <c:legendPos val="b"/>
      <c:layout>
        <c:manualLayout>
          <c:xMode val="edge"/>
          <c:yMode val="edge"/>
          <c:x val="0.6641954465559029"/>
          <c:y val="3.2759777320089271E-2"/>
          <c:w val="0.32114850806796946"/>
          <c:h val="0.1786167555668445"/>
        </c:manualLayout>
      </c:layout>
      <c:overlay val="1"/>
      <c:spPr>
        <a:solidFill>
          <a:srgbClr val="F5F1E7"/>
        </a:solid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200">
          <a:solidFill>
            <a:sysClr val="windowText" lastClr="000000"/>
          </a:solidFill>
          <a:latin typeface="Courier New" panose="02070309020205020404" pitchFamily="49" charset="0"/>
          <a:cs typeface="Courier New" panose="02070309020205020404" pitchFamily="49" charset="0"/>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88279382491907E-2"/>
          <c:y val="8.513917080414761E-2"/>
          <c:w val="0.89640347918808172"/>
          <c:h val="0.71142222222222218"/>
        </c:manualLayout>
      </c:layout>
      <c:lineChart>
        <c:grouping val="standard"/>
        <c:varyColors val="0"/>
        <c:ser>
          <c:idx val="2"/>
          <c:order val="0"/>
          <c:tx>
            <c:strRef>
              <c:f>'Fig 9 UK No Delivery Date'!$H$6</c:f>
              <c:strCache>
                <c:ptCount val="1"/>
                <c:pt idx="0">
                  <c:v>3-Month Average</c:v>
                </c:pt>
              </c:strCache>
            </c:strRef>
          </c:tx>
          <c:spPr>
            <a:ln w="28575"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6243-4B07-A6BB-C691E9C34830}"/>
              </c:ext>
            </c:extLst>
          </c:dPt>
          <c:cat>
            <c:numRef>
              <c:f>'Fig 9 UK No Delivery Date'!$G$7:$G$79</c:f>
              <c:numCache>
                <c:formatCode>[$-409]mmm\-yy;@</c:formatCode>
                <c:ptCount val="7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numCache>
            </c:numRef>
          </c:cat>
          <c:val>
            <c:numRef>
              <c:f>'Fig 9 UK No Delivery Date'!$H$7:$H$79</c:f>
              <c:numCache>
                <c:formatCode>0%</c:formatCode>
                <c:ptCount val="73"/>
                <c:pt idx="2">
                  <c:v>1</c:v>
                </c:pt>
                <c:pt idx="3">
                  <c:v>0.5</c:v>
                </c:pt>
                <c:pt idx="4">
                  <c:v>0</c:v>
                </c:pt>
                <c:pt idx="5">
                  <c:v>0</c:v>
                </c:pt>
                <c:pt idx="6">
                  <c:v>0</c:v>
                </c:pt>
                <c:pt idx="7">
                  <c:v>0.16666666666666666</c:v>
                </c:pt>
                <c:pt idx="8">
                  <c:v>0.2857142857142857</c:v>
                </c:pt>
                <c:pt idx="9">
                  <c:v>0.60000000000000009</c:v>
                </c:pt>
                <c:pt idx="10">
                  <c:v>0.8</c:v>
                </c:pt>
                <c:pt idx="11">
                  <c:v>1</c:v>
                </c:pt>
                <c:pt idx="12">
                  <c:v>0.625</c:v>
                </c:pt>
                <c:pt idx="13">
                  <c:v>0.5714285714285714</c:v>
                </c:pt>
                <c:pt idx="14">
                  <c:v>0.5</c:v>
                </c:pt>
                <c:pt idx="15">
                  <c:v>0.5</c:v>
                </c:pt>
                <c:pt idx="16">
                  <c:v>0</c:v>
                </c:pt>
                <c:pt idx="17">
                  <c:v>0.25</c:v>
                </c:pt>
                <c:pt idx="18">
                  <c:v>0.61538461538461542</c:v>
                </c:pt>
                <c:pt idx="19">
                  <c:v>0.79999999999999993</c:v>
                </c:pt>
                <c:pt idx="20">
                  <c:v>0.76923076923076916</c:v>
                </c:pt>
                <c:pt idx="21">
                  <c:v>0.8</c:v>
                </c:pt>
                <c:pt idx="22">
                  <c:v>0.625</c:v>
                </c:pt>
                <c:pt idx="23">
                  <c:v>0.60000000000000009</c:v>
                </c:pt>
                <c:pt idx="24">
                  <c:v>0.375</c:v>
                </c:pt>
                <c:pt idx="25">
                  <c:v>0.5</c:v>
                </c:pt>
                <c:pt idx="26">
                  <c:v>0.2857142857142857</c:v>
                </c:pt>
                <c:pt idx="27">
                  <c:v>0.5</c:v>
                </c:pt>
                <c:pt idx="28">
                  <c:v>0.625</c:v>
                </c:pt>
                <c:pt idx="29">
                  <c:v>0.75</c:v>
                </c:pt>
                <c:pt idx="30">
                  <c:v>0.77777777777777768</c:v>
                </c:pt>
                <c:pt idx="31">
                  <c:v>0.66666666666666663</c:v>
                </c:pt>
                <c:pt idx="32">
                  <c:v>0.6</c:v>
                </c:pt>
                <c:pt idx="33">
                  <c:v>0.33333333333333331</c:v>
                </c:pt>
                <c:pt idx="34">
                  <c:v>0.33333333333333331</c:v>
                </c:pt>
                <c:pt idx="35">
                  <c:v>0.30000000000000004</c:v>
                </c:pt>
                <c:pt idx="36">
                  <c:v>0.30000000000000004</c:v>
                </c:pt>
                <c:pt idx="37">
                  <c:v>0.2</c:v>
                </c:pt>
                <c:pt idx="38">
                  <c:v>0.25</c:v>
                </c:pt>
                <c:pt idx="39">
                  <c:v>0.125</c:v>
                </c:pt>
                <c:pt idx="40">
                  <c:v>0.14285714285714285</c:v>
                </c:pt>
                <c:pt idx="41">
                  <c:v>0.14285714285714285</c:v>
                </c:pt>
                <c:pt idx="42">
                  <c:v>0.22222222222222221</c:v>
                </c:pt>
                <c:pt idx="43">
                  <c:v>0.375</c:v>
                </c:pt>
                <c:pt idx="44">
                  <c:v>0.5714285714285714</c:v>
                </c:pt>
                <c:pt idx="45">
                  <c:v>0.8</c:v>
                </c:pt>
                <c:pt idx="46">
                  <c:v>0.8571428571428571</c:v>
                </c:pt>
                <c:pt idx="47">
                  <c:v>0.5714285714285714</c:v>
                </c:pt>
                <c:pt idx="48">
                  <c:v>0.5</c:v>
                </c:pt>
                <c:pt idx="49">
                  <c:v>0.4</c:v>
                </c:pt>
                <c:pt idx="50">
                  <c:v>0.46153846153846156</c:v>
                </c:pt>
                <c:pt idx="51">
                  <c:v>0.53846153846153855</c:v>
                </c:pt>
                <c:pt idx="52">
                  <c:v>0.55555555555555558</c:v>
                </c:pt>
                <c:pt idx="53">
                  <c:v>0.75</c:v>
                </c:pt>
                <c:pt idx="54">
                  <c:v>0.66666666666666663</c:v>
                </c:pt>
                <c:pt idx="55">
                  <c:v>0.5</c:v>
                </c:pt>
                <c:pt idx="56">
                  <c:v>0.5714285714285714</c:v>
                </c:pt>
                <c:pt idx="57">
                  <c:v>0.66666666666666663</c:v>
                </c:pt>
                <c:pt idx="58">
                  <c:v>0.60000000000000009</c:v>
                </c:pt>
                <c:pt idx="59">
                  <c:v>0.60000000000000009</c:v>
                </c:pt>
                <c:pt idx="60">
                  <c:v>0.5714285714285714</c:v>
                </c:pt>
                <c:pt idx="61">
                  <c:v>0.69230769230769229</c:v>
                </c:pt>
                <c:pt idx="62">
                  <c:v>0.6923076923076924</c:v>
                </c:pt>
                <c:pt idx="63">
                  <c:v>0.75</c:v>
                </c:pt>
                <c:pt idx="64">
                  <c:v>0.66666666666666674</c:v>
                </c:pt>
                <c:pt idx="65">
                  <c:v>0.57894736842105265</c:v>
                </c:pt>
                <c:pt idx="66">
                  <c:v>0.42857142857142855</c:v>
                </c:pt>
                <c:pt idx="67">
                  <c:v>0.1875</c:v>
                </c:pt>
                <c:pt idx="68">
                  <c:v>0.23076923076923078</c:v>
                </c:pt>
                <c:pt idx="69">
                  <c:v>0.33333333333333337</c:v>
                </c:pt>
                <c:pt idx="70">
                  <c:v>0.75</c:v>
                </c:pt>
                <c:pt idx="71">
                  <c:v>0.63636363636363635</c:v>
                </c:pt>
                <c:pt idx="72">
                  <c:v>0.53846153846153855</c:v>
                </c:pt>
              </c:numCache>
            </c:numRef>
          </c:val>
          <c:smooth val="0"/>
          <c:extLst>
            <c:ext xmlns:c16="http://schemas.microsoft.com/office/drawing/2014/chart" uri="{C3380CC4-5D6E-409C-BE32-E72D297353CC}">
              <c16:uniqueId val="{00000001-6243-4B07-A6BB-C691E9C34830}"/>
            </c:ext>
          </c:extLst>
        </c:ser>
        <c:dLbls>
          <c:showLegendKey val="0"/>
          <c:showVal val="0"/>
          <c:showCatName val="0"/>
          <c:showSerName val="0"/>
          <c:showPercent val="0"/>
          <c:showBubbleSize val="0"/>
        </c:dLbls>
        <c:smooth val="0"/>
        <c:axId val="117223903"/>
        <c:axId val="117224863"/>
      </c:lineChart>
      <c:dateAx>
        <c:axId val="117223903"/>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117224863"/>
        <c:crosses val="autoZero"/>
        <c:auto val="1"/>
        <c:lblOffset val="100"/>
        <c:baseTimeUnit val="months"/>
      </c:dateAx>
      <c:valAx>
        <c:axId val="1172248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ourier New" panose="02070309020205020404" pitchFamily="49" charset="0"/>
                <a:ea typeface="+mn-ea"/>
                <a:cs typeface="Courier New" panose="02070309020205020404" pitchFamily="49" charset="0"/>
              </a:defRPr>
            </a:pPr>
            <a:endParaRPr lang="en-US"/>
          </a:p>
        </c:txPr>
        <c:crossAx val="11722390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200">
          <a:solidFill>
            <a:sysClr val="windowText" lastClr="000000"/>
          </a:solidFill>
          <a:latin typeface="Courier New" panose="02070309020205020404" pitchFamily="49" charset="0"/>
          <a:cs typeface="Courier New" panose="02070309020205020404" pitchFamily="49"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11</xdr:col>
      <xdr:colOff>95250</xdr:colOff>
      <xdr:row>3</xdr:row>
      <xdr:rowOff>1347107</xdr:rowOff>
    </xdr:from>
    <xdr:to>
      <xdr:col>29</xdr:col>
      <xdr:colOff>50124</xdr:colOff>
      <xdr:row>30</xdr:row>
      <xdr:rowOff>189548</xdr:rowOff>
    </xdr:to>
    <xdr:graphicFrame macro="">
      <xdr:nvGraphicFramePr>
        <xdr:cNvPr id="3" name="Chart 2">
          <a:extLst>
            <a:ext uri="{FF2B5EF4-FFF2-40B4-BE49-F238E27FC236}">
              <a16:creationId xmlns:a16="http://schemas.microsoft.com/office/drawing/2014/main" id="{D34D51F8-387D-4315-8609-D105DA0BD3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0.80062</cdr:x>
      <cdr:y>0.05193</cdr:y>
    </cdr:from>
    <cdr:to>
      <cdr:x>0.97888</cdr:x>
      <cdr:y>0.13065</cdr:y>
    </cdr:to>
    <cdr:sp macro="" textlink="">
      <cdr:nvSpPr>
        <cdr:cNvPr id="2" name="TextBox 1">
          <a:extLst xmlns:a="http://schemas.openxmlformats.org/drawingml/2006/main">
            <a:ext uri="{FF2B5EF4-FFF2-40B4-BE49-F238E27FC236}">
              <a16:creationId xmlns:a16="http://schemas.microsoft.com/office/drawing/2014/main" id="{5A4F1C4D-162F-E5D0-BAB5-A0D7075A63EB}"/>
            </a:ext>
          </a:extLst>
        </cdr:cNvPr>
        <cdr:cNvSpPr txBox="1"/>
      </cdr:nvSpPr>
      <cdr:spPr>
        <a:xfrm xmlns:a="http://schemas.openxmlformats.org/drawingml/2006/main">
          <a:off x="5920740" y="236220"/>
          <a:ext cx="1318260" cy="3581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0.55212</cdr:x>
      <cdr:y>0.00698</cdr:y>
    </cdr:from>
    <cdr:to>
      <cdr:x>0.96162</cdr:x>
      <cdr:y>0.12763</cdr:y>
    </cdr:to>
    <cdr:sp macro="" textlink="">
      <cdr:nvSpPr>
        <cdr:cNvPr id="3" name="TextBox 6">
          <a:extLst xmlns:a="http://schemas.openxmlformats.org/drawingml/2006/main">
            <a:ext uri="{FF2B5EF4-FFF2-40B4-BE49-F238E27FC236}">
              <a16:creationId xmlns:a16="http://schemas.microsoft.com/office/drawing/2014/main" id="{E63E0164-82E4-0C79-1807-57AF1F0343A9}"/>
            </a:ext>
          </a:extLst>
        </cdr:cNvPr>
        <cdr:cNvSpPr txBox="1"/>
      </cdr:nvSpPr>
      <cdr:spPr>
        <a:xfrm xmlns:a="http://schemas.openxmlformats.org/drawingml/2006/main">
          <a:off x="5695205" y="31507"/>
          <a:ext cx="4224061" cy="544661"/>
        </a:xfrm>
        <a:prstGeom xmlns:a="http://schemas.openxmlformats.org/drawingml/2006/main" prst="rect">
          <a:avLst/>
        </a:prstGeom>
        <a:solidFill xmlns:a="http://schemas.openxmlformats.org/drawingml/2006/main">
          <a:srgbClr val="F5F1E7"/>
        </a:solidFill>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0" baseline="0">
              <a:solidFill>
                <a:schemeClr val="tx1"/>
              </a:solidFill>
              <a:effectLst/>
              <a:latin typeface="Courier New" panose="02070309020205020404" pitchFamily="49" charset="0"/>
              <a:ea typeface="Calibri Light" panose="020F0302020204030204" pitchFamily="34" charset="0"/>
              <a:cs typeface="Courier New" panose="02070309020205020404" pitchFamily="49" charset="0"/>
            </a:rPr>
            <a:t>No latest expected delivery date:</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0" baseline="0">
              <a:solidFill>
                <a:schemeClr val="tx1"/>
              </a:solidFill>
              <a:effectLst/>
              <a:latin typeface="Courier New" panose="02070309020205020404" pitchFamily="49" charset="0"/>
              <a:ea typeface="Calibri Light" panose="020F0302020204030204" pitchFamily="34" charset="0"/>
              <a:cs typeface="Courier New" panose="02070309020205020404" pitchFamily="49" charset="0"/>
            </a:rPr>
            <a:t>220 out of 396 </a:t>
          </a:r>
          <a:r>
            <a:rPr lang="en-US" sz="1400" b="0" baseline="0">
              <a:solidFill>
                <a:schemeClr val="tx1"/>
              </a:solidFill>
              <a:latin typeface="Courier New" panose="02070309020205020404" pitchFamily="49" charset="0"/>
              <a:ea typeface="Calibri Light" panose="020F0302020204030204" pitchFamily="34" charset="0"/>
              <a:cs typeface="Courier New" panose="02070309020205020404" pitchFamily="49" charset="0"/>
            </a:rPr>
            <a:t>items ordered</a:t>
          </a:r>
          <a:endParaRPr lang="en-US" sz="1400" b="0">
            <a:solidFill>
              <a:schemeClr val="tx1"/>
            </a:solidFill>
            <a:latin typeface="Courier New" panose="02070309020205020404" pitchFamily="49" charset="0"/>
            <a:ea typeface="Calibri Light" panose="020F0302020204030204" pitchFamily="34" charset="0"/>
            <a:cs typeface="Courier New" panose="02070309020205020404" pitchFamily="49"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353785</xdr:colOff>
      <xdr:row>4</xdr:row>
      <xdr:rowOff>13607</xdr:rowOff>
    </xdr:from>
    <xdr:to>
      <xdr:col>25</xdr:col>
      <xdr:colOff>248058</xdr:colOff>
      <xdr:row>37</xdr:row>
      <xdr:rowOff>27214</xdr:rowOff>
    </xdr:to>
    <xdr:graphicFrame macro="">
      <xdr:nvGraphicFramePr>
        <xdr:cNvPr id="3" name="Chart 2">
          <a:extLst>
            <a:ext uri="{FF2B5EF4-FFF2-40B4-BE49-F238E27FC236}">
              <a16:creationId xmlns:a16="http://schemas.microsoft.com/office/drawing/2014/main" id="{B8FB2102-8CDA-4697-ADD1-87E7C871A2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0.03733</cdr:x>
      <cdr:y>0.09635</cdr:y>
    </cdr:from>
    <cdr:to>
      <cdr:x>0.18688</cdr:x>
      <cdr:y>0.20854</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447808" y="626263"/>
          <a:ext cx="1794095" cy="7292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latin typeface="Courier New" panose="02070309020205020404" pitchFamily="49" charset="0"/>
              <a:ea typeface="Calibri Light" panose="020F0302020204030204" pitchFamily="34" charset="0"/>
              <a:cs typeface="Courier New" panose="02070309020205020404" pitchFamily="49" charset="0"/>
            </a:rPr>
            <a:t>billion GBP</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200">
              <a:latin typeface="Courier New" panose="02070309020205020404" pitchFamily="49" charset="0"/>
              <a:ea typeface="Calibri Light" panose="020F0302020204030204" pitchFamily="34" charset="0"/>
              <a:cs typeface="Courier New" panose="02070309020205020404" pitchFamily="49" charset="0"/>
            </a:rPr>
            <a:t>Total: </a:t>
          </a:r>
          <a:r>
            <a:rPr lang="en-US" sz="12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£69.1 bn</a:t>
          </a:r>
          <a:endParaRPr lang="en-US" sz="1200">
            <a:effectLst/>
            <a:latin typeface="Courier New" panose="02070309020205020404" pitchFamily="49" charset="0"/>
            <a:ea typeface="Calibri Light" panose="020F0302020204030204" pitchFamily="34" charset="0"/>
            <a:cs typeface="Courier New" panose="02070309020205020404" pitchFamily="49" charset="0"/>
          </a:endParaRPr>
        </a:p>
        <a:p xmlns:a="http://schemas.openxmlformats.org/drawingml/2006/main">
          <a:r>
            <a:rPr lang="en-US" sz="1300">
              <a:latin typeface="Courier New" panose="02070309020205020404" pitchFamily="49" charset="0"/>
              <a:cs typeface="Courier New" panose="02070309020205020404" pitchFamily="49" charset="0"/>
            </a:rPr>
            <a:t> </a:t>
          </a:r>
        </a:p>
        <a:p xmlns:a="http://schemas.openxmlformats.org/drawingml/2006/main">
          <a:endParaRPr lang="en-US" sz="1300">
            <a:latin typeface="Courier New" panose="02070309020205020404" pitchFamily="49" charset="0"/>
            <a:cs typeface="Courier New" panose="02070309020205020404" pitchFamily="49" charset="0"/>
          </a:endParaRPr>
        </a:p>
      </cdr:txBody>
    </cdr:sp>
  </cdr:relSizeAnchor>
  <cdr:relSizeAnchor xmlns:cdr="http://schemas.openxmlformats.org/drawingml/2006/chartDrawing">
    <cdr:from>
      <cdr:x>0.19646</cdr:x>
      <cdr:y>0.05758</cdr:y>
    </cdr:from>
    <cdr:to>
      <cdr:x>0.59938</cdr:x>
      <cdr:y>0.32313</cdr:y>
    </cdr:to>
    <cdr:sp macro="" textlink="">
      <cdr:nvSpPr>
        <cdr:cNvPr id="8" name="TextBox 3">
          <a:extLst xmlns:a="http://schemas.openxmlformats.org/drawingml/2006/main">
            <a:ext uri="{FF2B5EF4-FFF2-40B4-BE49-F238E27FC236}">
              <a16:creationId xmlns:a16="http://schemas.microsoft.com/office/drawing/2014/main" id="{3AFB251C-8A38-9C2F-19D8-75F8CADE4E03}"/>
            </a:ext>
          </a:extLst>
        </cdr:cNvPr>
        <cdr:cNvSpPr txBox="1"/>
      </cdr:nvSpPr>
      <cdr:spPr>
        <a:xfrm xmlns:a="http://schemas.openxmlformats.org/drawingml/2006/main">
          <a:off x="2337062" y="392783"/>
          <a:ext cx="4793082" cy="1811574"/>
        </a:xfrm>
        <a:prstGeom xmlns:a="http://schemas.openxmlformats.org/drawingml/2006/main" prst="rect">
          <a:avLst/>
        </a:prstGeom>
        <a:solidFill xmlns:a="http://schemas.openxmlformats.org/drawingml/2006/main">
          <a:srgbClr val="F5F1E7"/>
        </a:solidFill>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300" u="sng">
              <a:latin typeface="Courier New" panose="02070309020205020404" pitchFamily="49" charset="0"/>
              <a:ea typeface="Calibri Light" panose="020F0302020204030204" pitchFamily="34" charset="0"/>
              <a:cs typeface="Courier New" panose="02070309020205020404" pitchFamily="49" charset="0"/>
            </a:rPr>
            <a:t>Land includes:</a:t>
          </a:r>
        </a:p>
        <a:p xmlns:a="http://schemas.openxmlformats.org/drawingml/2006/main">
          <a:r>
            <a:rPr lang="en-US" sz="1300">
              <a:latin typeface="Courier New" panose="02070309020205020404" pitchFamily="49" charset="0"/>
              <a:ea typeface="Calibri Light" panose="020F0302020204030204" pitchFamily="34" charset="0"/>
              <a:cs typeface="Courier New" panose="02070309020205020404" pitchFamily="49" charset="0"/>
            </a:rPr>
            <a:t>Air defence system, Ammunition, Armoured vehicle,</a:t>
          </a:r>
          <a:r>
            <a:rPr lang="en-US" sz="1300" baseline="0">
              <a:latin typeface="Courier New" panose="02070309020205020404" pitchFamily="49" charset="0"/>
              <a:ea typeface="Calibri Light" panose="020F0302020204030204" pitchFamily="34" charset="0"/>
              <a:cs typeface="Courier New" panose="02070309020205020404" pitchFamily="49" charset="0"/>
            </a:rPr>
            <a:t> Artillery, Drone, Helicopter, Infantry, Main battle tank, Mine, Missile (Land)</a:t>
          </a:r>
        </a:p>
        <a:p xmlns:a="http://schemas.openxmlformats.org/drawingml/2006/main">
          <a:r>
            <a:rPr lang="en-US" sz="1300" u="sng" baseline="0">
              <a:latin typeface="Courier New" panose="02070309020205020404" pitchFamily="49" charset="0"/>
              <a:ea typeface="Calibri Light" panose="020F0302020204030204" pitchFamily="34" charset="0"/>
              <a:cs typeface="Courier New" panose="02070309020205020404" pitchFamily="49" charset="0"/>
            </a:rPr>
            <a:t>Other includes:</a:t>
          </a:r>
        </a:p>
        <a:p xmlns:a="http://schemas.openxmlformats.org/drawingml/2006/main">
          <a:r>
            <a:rPr lang="en-US" sz="1300" u="none" baseline="0">
              <a:latin typeface="Courier New" panose="02070309020205020404" pitchFamily="49" charset="0"/>
              <a:ea typeface="Calibri Light" panose="020F0302020204030204" pitchFamily="34" charset="0"/>
              <a:cs typeface="Courier New" panose="02070309020205020404" pitchFamily="49" charset="0"/>
            </a:rPr>
            <a:t>Maintenance, Modernisation, Other</a:t>
          </a:r>
        </a:p>
        <a:p xmlns:a="http://schemas.openxmlformats.org/drawingml/2006/main">
          <a:endParaRPr lang="en-US" sz="1300" u="none" baseline="0">
            <a:latin typeface="Courier New" panose="02070309020205020404" pitchFamily="49" charset="0"/>
            <a:ea typeface="Calibri Light" panose="020F0302020204030204" pitchFamily="34" charset="0"/>
            <a:cs typeface="Courier New" panose="02070309020205020404" pitchFamily="49" charset="0"/>
          </a:endParaRPr>
        </a:p>
        <a:p xmlns:a="http://schemas.openxmlformats.org/drawingml/2006/main">
          <a:r>
            <a:rPr lang="en-US" sz="1300" u="none" baseline="0">
              <a:latin typeface="Courier New" panose="02070309020205020404" pitchFamily="49" charset="0"/>
              <a:ea typeface="Calibri Light" panose="020F0302020204030204" pitchFamily="34" charset="0"/>
              <a:cs typeface="Courier New" panose="02070309020205020404" pitchFamily="49" charset="0"/>
            </a:rPr>
            <a:t>Each category includes costs for development</a:t>
          </a:r>
          <a:endParaRPr lang="en-US" sz="1300" u="none">
            <a:latin typeface="Courier New" panose="02070309020205020404" pitchFamily="49" charset="0"/>
            <a:ea typeface="Calibri Light" panose="020F0302020204030204" pitchFamily="34" charset="0"/>
            <a:cs typeface="Courier New" panose="02070309020205020404" pitchFamily="49" charset="0"/>
          </a:endParaRPr>
        </a:p>
      </cdr:txBody>
    </cdr:sp>
  </cdr:relSizeAnchor>
  <cdr:relSizeAnchor xmlns:cdr="http://schemas.openxmlformats.org/drawingml/2006/chartDrawing">
    <cdr:from>
      <cdr:x>0.63828</cdr:x>
      <cdr:y>0.05961</cdr:y>
    </cdr:from>
    <cdr:to>
      <cdr:x>0.79827</cdr:x>
      <cdr:y>0.14561</cdr:y>
    </cdr:to>
    <cdr:sp macro="" textlink="">
      <cdr:nvSpPr>
        <cdr:cNvPr id="2" name="TextBox 19">
          <a:extLst xmlns:a="http://schemas.openxmlformats.org/drawingml/2006/main">
            <a:ext uri="{FF2B5EF4-FFF2-40B4-BE49-F238E27FC236}">
              <a16:creationId xmlns:a16="http://schemas.microsoft.com/office/drawing/2014/main" id="{2E4DF74C-ECE1-B106-A1F2-241FCF9BEEFD}"/>
            </a:ext>
          </a:extLst>
        </cdr:cNvPr>
        <cdr:cNvSpPr txBox="1"/>
      </cdr:nvSpPr>
      <cdr:spPr>
        <a:xfrm xmlns:a="http://schemas.openxmlformats.org/drawingml/2006/main">
          <a:off x="7592786" y="382877"/>
          <a:ext cx="1903214" cy="55241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300">
              <a:latin typeface="Courier New" panose="02070309020205020404" pitchFamily="49" charset="0"/>
              <a:ea typeface="Calibri Light" panose="020F0302020204030204" pitchFamily="34" charset="0"/>
              <a:cs typeface="Courier New" panose="02070309020205020404" pitchFamily="49" charset="0"/>
            </a:rPr>
            <a:t>Submarine reactor support - £9</a:t>
          </a:r>
          <a:r>
            <a:rPr lang="en-US" sz="1300" baseline="0">
              <a:latin typeface="Courier New" panose="02070309020205020404" pitchFamily="49" charset="0"/>
              <a:ea typeface="Calibri Light" panose="020F0302020204030204" pitchFamily="34" charset="0"/>
              <a:cs typeface="Courier New" panose="02070309020205020404" pitchFamily="49" charset="0"/>
            </a:rPr>
            <a:t> </a:t>
          </a:r>
          <a:r>
            <a:rPr lang="en-US" sz="1300">
              <a:latin typeface="Courier New" panose="02070309020205020404" pitchFamily="49" charset="0"/>
              <a:ea typeface="Calibri Light" panose="020F0302020204030204" pitchFamily="34" charset="0"/>
              <a:cs typeface="Courier New" panose="02070309020205020404" pitchFamily="49" charset="0"/>
            </a:rPr>
            <a:t>bn</a:t>
          </a:r>
          <a:endParaRPr lang="en-US" sz="1300">
            <a:effectLst/>
            <a:latin typeface="Courier New" panose="02070309020205020404" pitchFamily="49" charset="0"/>
            <a:ea typeface="Calibri Light" panose="020F0302020204030204" pitchFamily="34" charset="0"/>
            <a:cs typeface="Courier New" panose="02070309020205020404" pitchFamily="49" charset="0"/>
          </a:endParaRPr>
        </a:p>
        <a:p xmlns:a="http://schemas.openxmlformats.org/drawingml/2006/main">
          <a:r>
            <a:rPr lang="en-US" sz="1300">
              <a:latin typeface="Courier New" panose="02070309020205020404" pitchFamily="49" charset="0"/>
              <a:cs typeface="Courier New" panose="02070309020205020404" pitchFamily="49" charset="0"/>
            </a:rPr>
            <a:t> </a:t>
          </a:r>
        </a:p>
        <a:p xmlns:a="http://schemas.openxmlformats.org/drawingml/2006/main">
          <a:endParaRPr lang="en-US" sz="1300">
            <a:latin typeface="Courier New" panose="02070309020205020404" pitchFamily="49" charset="0"/>
            <a:cs typeface="Courier New" panose="02070309020205020404" pitchFamily="49" charset="0"/>
          </a:endParaRPr>
        </a:p>
      </cdr:txBody>
    </cdr:sp>
  </cdr:relSizeAnchor>
  <cdr:relSizeAnchor xmlns:cdr="http://schemas.openxmlformats.org/drawingml/2006/chartDrawing">
    <cdr:from>
      <cdr:x>0.74957</cdr:x>
      <cdr:y>0.12977</cdr:y>
    </cdr:from>
    <cdr:to>
      <cdr:x>0.7971</cdr:x>
      <cdr:y>0.20217</cdr:y>
    </cdr:to>
    <cdr:cxnSp macro="">
      <cdr:nvCxnSpPr>
        <cdr:cNvPr id="10" name="Straight Arrow Connector 9">
          <a:extLst xmlns:a="http://schemas.openxmlformats.org/drawingml/2006/main">
            <a:ext uri="{FF2B5EF4-FFF2-40B4-BE49-F238E27FC236}">
              <a16:creationId xmlns:a16="http://schemas.microsoft.com/office/drawing/2014/main" id="{0EE7E7C7-5EAC-AD88-0376-00D93AD82251}"/>
            </a:ext>
          </a:extLst>
        </cdr:cNvPr>
        <cdr:cNvCxnSpPr/>
      </cdr:nvCxnSpPr>
      <cdr:spPr>
        <a:xfrm xmlns:a="http://schemas.openxmlformats.org/drawingml/2006/main">
          <a:off x="8992279" y="844127"/>
          <a:ext cx="570199" cy="470957"/>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0.0409</cdr:x>
      <cdr:y>0.56416</cdr:y>
    </cdr:from>
    <cdr:to>
      <cdr:x>0.20818</cdr:x>
      <cdr:y>0.65016</cdr:y>
    </cdr:to>
    <cdr:sp macro="" textlink="">
      <cdr:nvSpPr>
        <cdr:cNvPr id="14" name="TextBox 19">
          <a:extLst xmlns:a="http://schemas.openxmlformats.org/drawingml/2006/main">
            <a:ext uri="{FF2B5EF4-FFF2-40B4-BE49-F238E27FC236}">
              <a16:creationId xmlns:a16="http://schemas.microsoft.com/office/drawing/2014/main" id="{009C239D-7351-517C-59FE-BDB75E19F47F}"/>
            </a:ext>
          </a:extLst>
        </cdr:cNvPr>
        <cdr:cNvSpPr txBox="1"/>
      </cdr:nvSpPr>
      <cdr:spPr>
        <a:xfrm xmlns:a="http://schemas.openxmlformats.org/drawingml/2006/main">
          <a:off x="486479" y="3848671"/>
          <a:ext cx="1990022" cy="58668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300">
              <a:latin typeface="Courier New" panose="02070309020205020404" pitchFamily="49" charset="0"/>
              <a:ea typeface="Calibri Light" panose="020F0302020204030204" pitchFamily="34" charset="0"/>
              <a:cs typeface="Courier New" panose="02070309020205020404" pitchFamily="49" charset="0"/>
            </a:rPr>
            <a:t>Mixed munitions contract - £2.5</a:t>
          </a:r>
          <a:r>
            <a:rPr lang="en-US" sz="1300" baseline="0">
              <a:latin typeface="Courier New" panose="02070309020205020404" pitchFamily="49" charset="0"/>
              <a:ea typeface="Calibri Light" panose="020F0302020204030204" pitchFamily="34" charset="0"/>
              <a:cs typeface="Courier New" panose="02070309020205020404" pitchFamily="49" charset="0"/>
            </a:rPr>
            <a:t> </a:t>
          </a:r>
          <a:r>
            <a:rPr lang="en-US" sz="1300">
              <a:latin typeface="Courier New" panose="02070309020205020404" pitchFamily="49" charset="0"/>
              <a:ea typeface="Calibri Light" panose="020F0302020204030204" pitchFamily="34" charset="0"/>
              <a:cs typeface="Courier New" panose="02070309020205020404" pitchFamily="49" charset="0"/>
            </a:rPr>
            <a:t>bn</a:t>
          </a:r>
          <a:endParaRPr lang="en-US" sz="1300">
            <a:effectLst/>
            <a:latin typeface="Courier New" panose="02070309020205020404" pitchFamily="49" charset="0"/>
            <a:ea typeface="Calibri Light" panose="020F0302020204030204" pitchFamily="34" charset="0"/>
            <a:cs typeface="Courier New" panose="02070309020205020404" pitchFamily="49" charset="0"/>
          </a:endParaRPr>
        </a:p>
        <a:p xmlns:a="http://schemas.openxmlformats.org/drawingml/2006/main">
          <a:r>
            <a:rPr lang="en-US" sz="1300">
              <a:latin typeface="Courier New" panose="02070309020205020404" pitchFamily="49" charset="0"/>
              <a:cs typeface="Courier New" panose="02070309020205020404" pitchFamily="49" charset="0"/>
            </a:rPr>
            <a:t> </a:t>
          </a:r>
        </a:p>
        <a:p xmlns:a="http://schemas.openxmlformats.org/drawingml/2006/main">
          <a:endParaRPr lang="en-US" sz="1300">
            <a:latin typeface="Courier New" panose="02070309020205020404" pitchFamily="49" charset="0"/>
            <a:cs typeface="Courier New" panose="02070309020205020404" pitchFamily="49" charset="0"/>
          </a:endParaRPr>
        </a:p>
      </cdr:txBody>
    </cdr:sp>
  </cdr:relSizeAnchor>
  <cdr:relSizeAnchor xmlns:cdr="http://schemas.openxmlformats.org/drawingml/2006/chartDrawing">
    <cdr:from>
      <cdr:x>0.46154</cdr:x>
      <cdr:y>0.41545</cdr:y>
    </cdr:from>
    <cdr:to>
      <cdr:x>0.60396</cdr:x>
      <cdr:y>0.50145</cdr:y>
    </cdr:to>
    <cdr:sp macro="" textlink="">
      <cdr:nvSpPr>
        <cdr:cNvPr id="15" name="TextBox 19">
          <a:extLst xmlns:a="http://schemas.openxmlformats.org/drawingml/2006/main">
            <a:ext uri="{FF2B5EF4-FFF2-40B4-BE49-F238E27FC236}">
              <a16:creationId xmlns:a16="http://schemas.microsoft.com/office/drawing/2014/main" id="{2698043F-375A-58C0-7345-CDEFF70F4164}"/>
            </a:ext>
          </a:extLst>
        </cdr:cNvPr>
        <cdr:cNvSpPr txBox="1"/>
      </cdr:nvSpPr>
      <cdr:spPr>
        <a:xfrm xmlns:a="http://schemas.openxmlformats.org/drawingml/2006/main">
          <a:off x="5490429" y="2668648"/>
          <a:ext cx="1694142" cy="55241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300">
              <a:latin typeface="Courier New" panose="02070309020205020404" pitchFamily="49" charset="0"/>
              <a:ea typeface="Calibri Light" panose="020F0302020204030204" pitchFamily="34" charset="0"/>
              <a:cs typeface="Courier New" panose="02070309020205020404" pitchFamily="49" charset="0"/>
            </a:rPr>
            <a:t>Type 26 Frigate - £4.2</a:t>
          </a:r>
          <a:r>
            <a:rPr lang="en-US" sz="1300" baseline="0">
              <a:latin typeface="Courier New" panose="02070309020205020404" pitchFamily="49" charset="0"/>
              <a:ea typeface="Calibri Light" panose="020F0302020204030204" pitchFamily="34" charset="0"/>
              <a:cs typeface="Courier New" panose="02070309020205020404" pitchFamily="49" charset="0"/>
            </a:rPr>
            <a:t> </a:t>
          </a:r>
          <a:r>
            <a:rPr lang="en-US" sz="1300">
              <a:latin typeface="Courier New" panose="02070309020205020404" pitchFamily="49" charset="0"/>
              <a:ea typeface="Calibri Light" panose="020F0302020204030204" pitchFamily="34" charset="0"/>
              <a:cs typeface="Courier New" panose="02070309020205020404" pitchFamily="49" charset="0"/>
            </a:rPr>
            <a:t>bn</a:t>
          </a:r>
          <a:endParaRPr lang="en-US" sz="1300">
            <a:effectLst/>
            <a:latin typeface="Courier New" panose="02070309020205020404" pitchFamily="49" charset="0"/>
            <a:ea typeface="Calibri Light" panose="020F0302020204030204" pitchFamily="34" charset="0"/>
            <a:cs typeface="Courier New" panose="02070309020205020404" pitchFamily="49" charset="0"/>
          </a:endParaRPr>
        </a:p>
        <a:p xmlns:a="http://schemas.openxmlformats.org/drawingml/2006/main">
          <a:r>
            <a:rPr lang="en-US" sz="1300">
              <a:latin typeface="Courier New" panose="02070309020205020404" pitchFamily="49" charset="0"/>
              <a:cs typeface="Courier New" panose="02070309020205020404" pitchFamily="49" charset="0"/>
            </a:rPr>
            <a:t> </a:t>
          </a:r>
        </a:p>
        <a:p xmlns:a="http://schemas.openxmlformats.org/drawingml/2006/main">
          <a:endParaRPr lang="en-US" sz="1300">
            <a:latin typeface="Courier New" panose="02070309020205020404" pitchFamily="49" charset="0"/>
            <a:cs typeface="Courier New" panose="02070309020205020404" pitchFamily="49" charset="0"/>
          </a:endParaRPr>
        </a:p>
      </cdr:txBody>
    </cdr:sp>
  </cdr:relSizeAnchor>
  <cdr:relSizeAnchor xmlns:cdr="http://schemas.openxmlformats.org/drawingml/2006/chartDrawing">
    <cdr:from>
      <cdr:x>0.53793</cdr:x>
      <cdr:y>0.49009</cdr:y>
    </cdr:from>
    <cdr:to>
      <cdr:x>0.68329</cdr:x>
      <cdr:y>0.57609</cdr:y>
    </cdr:to>
    <cdr:sp macro="" textlink="">
      <cdr:nvSpPr>
        <cdr:cNvPr id="18" name="TextBox 19">
          <a:extLst xmlns:a="http://schemas.openxmlformats.org/drawingml/2006/main">
            <a:ext uri="{FF2B5EF4-FFF2-40B4-BE49-F238E27FC236}">
              <a16:creationId xmlns:a16="http://schemas.microsoft.com/office/drawing/2014/main" id="{C64B0545-1BF9-8969-0777-D62AC664BD4E}"/>
            </a:ext>
          </a:extLst>
        </cdr:cNvPr>
        <cdr:cNvSpPr txBox="1"/>
      </cdr:nvSpPr>
      <cdr:spPr>
        <a:xfrm xmlns:a="http://schemas.openxmlformats.org/drawingml/2006/main">
          <a:off x="6399117" y="3148075"/>
          <a:ext cx="1729169" cy="55241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300">
              <a:latin typeface="Courier New" panose="02070309020205020404" pitchFamily="49" charset="0"/>
              <a:ea typeface="Calibri Light" panose="020F0302020204030204" pitchFamily="34" charset="0"/>
              <a:cs typeface="Courier New" panose="02070309020205020404" pitchFamily="49" charset="0"/>
            </a:rPr>
            <a:t>AUKUS submarine parts - £4</a:t>
          </a:r>
          <a:r>
            <a:rPr lang="en-US" sz="1300" baseline="0">
              <a:latin typeface="Courier New" panose="02070309020205020404" pitchFamily="49" charset="0"/>
              <a:ea typeface="Calibri Light" panose="020F0302020204030204" pitchFamily="34" charset="0"/>
              <a:cs typeface="Courier New" panose="02070309020205020404" pitchFamily="49" charset="0"/>
            </a:rPr>
            <a:t> </a:t>
          </a:r>
          <a:r>
            <a:rPr lang="en-US" sz="1300">
              <a:latin typeface="Courier New" panose="02070309020205020404" pitchFamily="49" charset="0"/>
              <a:ea typeface="Calibri Light" panose="020F0302020204030204" pitchFamily="34" charset="0"/>
              <a:cs typeface="Courier New" panose="02070309020205020404" pitchFamily="49" charset="0"/>
            </a:rPr>
            <a:t>bn</a:t>
          </a:r>
          <a:endParaRPr lang="en-US" sz="1300">
            <a:effectLst/>
            <a:latin typeface="Courier New" panose="02070309020205020404" pitchFamily="49" charset="0"/>
            <a:ea typeface="Calibri Light" panose="020F0302020204030204" pitchFamily="34" charset="0"/>
            <a:cs typeface="Courier New" panose="02070309020205020404" pitchFamily="49" charset="0"/>
          </a:endParaRPr>
        </a:p>
        <a:p xmlns:a="http://schemas.openxmlformats.org/drawingml/2006/main">
          <a:r>
            <a:rPr lang="en-US" sz="1300">
              <a:latin typeface="Courier New" panose="02070309020205020404" pitchFamily="49" charset="0"/>
              <a:cs typeface="Courier New" panose="02070309020205020404" pitchFamily="49" charset="0"/>
            </a:rPr>
            <a:t> </a:t>
          </a:r>
        </a:p>
        <a:p xmlns:a="http://schemas.openxmlformats.org/drawingml/2006/main">
          <a:endParaRPr lang="en-US" sz="1300">
            <a:latin typeface="Courier New" panose="02070309020205020404" pitchFamily="49" charset="0"/>
            <a:cs typeface="Courier New" panose="02070309020205020404" pitchFamily="49" charset="0"/>
          </a:endParaRPr>
        </a:p>
      </cdr:txBody>
    </cdr:sp>
  </cdr:relSizeAnchor>
  <cdr:relSizeAnchor xmlns:cdr="http://schemas.openxmlformats.org/drawingml/2006/chartDrawing">
    <cdr:from>
      <cdr:x>0.58451</cdr:x>
      <cdr:y>0.56049</cdr:y>
    </cdr:from>
    <cdr:to>
      <cdr:x>0.60968</cdr:x>
      <cdr:y>0.64426</cdr:y>
    </cdr:to>
    <cdr:cxnSp macro="">
      <cdr:nvCxnSpPr>
        <cdr:cNvPr id="22" name="Straight Arrow Connector 21">
          <a:extLst xmlns:a="http://schemas.openxmlformats.org/drawingml/2006/main">
            <a:ext uri="{FF2B5EF4-FFF2-40B4-BE49-F238E27FC236}">
              <a16:creationId xmlns:a16="http://schemas.microsoft.com/office/drawing/2014/main" id="{5E5959FD-609C-22AF-F06C-D0793F40549B}"/>
            </a:ext>
          </a:extLst>
        </cdr:cNvPr>
        <cdr:cNvCxnSpPr/>
      </cdr:nvCxnSpPr>
      <cdr:spPr>
        <a:xfrm xmlns:a="http://schemas.openxmlformats.org/drawingml/2006/main">
          <a:off x="6953251" y="3823607"/>
          <a:ext cx="299310" cy="571497"/>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0.49261</cdr:x>
      <cdr:y>0.48978</cdr:y>
    </cdr:from>
    <cdr:to>
      <cdr:x>0.51184</cdr:x>
      <cdr:y>0.60354</cdr:y>
    </cdr:to>
    <cdr:cxnSp macro="">
      <cdr:nvCxnSpPr>
        <cdr:cNvPr id="24" name="Straight Arrow Connector 23">
          <a:extLst xmlns:a="http://schemas.openxmlformats.org/drawingml/2006/main">
            <a:ext uri="{FF2B5EF4-FFF2-40B4-BE49-F238E27FC236}">
              <a16:creationId xmlns:a16="http://schemas.microsoft.com/office/drawing/2014/main" id="{89D1174E-F8D3-4864-1165-48FBBACF774E}"/>
            </a:ext>
          </a:extLst>
        </cdr:cNvPr>
        <cdr:cNvCxnSpPr/>
      </cdr:nvCxnSpPr>
      <cdr:spPr>
        <a:xfrm xmlns:a="http://schemas.openxmlformats.org/drawingml/2006/main" flipH="1">
          <a:off x="5909702" y="3185991"/>
          <a:ext cx="230696" cy="740001"/>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0.12926</cdr:x>
      <cdr:y>0.62264</cdr:y>
    </cdr:from>
    <cdr:to>
      <cdr:x>0.16321</cdr:x>
      <cdr:y>0.68085</cdr:y>
    </cdr:to>
    <cdr:cxnSp macro="">
      <cdr:nvCxnSpPr>
        <cdr:cNvPr id="28" name="Straight Arrow Connector 27">
          <a:extLst xmlns:a="http://schemas.openxmlformats.org/drawingml/2006/main">
            <a:ext uri="{FF2B5EF4-FFF2-40B4-BE49-F238E27FC236}">
              <a16:creationId xmlns:a16="http://schemas.microsoft.com/office/drawing/2014/main" id="{AE91196A-C893-EFC2-9618-8581444BADBD}"/>
            </a:ext>
          </a:extLst>
        </cdr:cNvPr>
        <cdr:cNvCxnSpPr/>
      </cdr:nvCxnSpPr>
      <cdr:spPr>
        <a:xfrm xmlns:a="http://schemas.openxmlformats.org/drawingml/2006/main">
          <a:off x="1537607" y="4041321"/>
          <a:ext cx="403864" cy="377809"/>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0.64586</cdr:x>
      <cdr:y>0.55925</cdr:y>
    </cdr:from>
    <cdr:to>
      <cdr:x>0.7304</cdr:x>
      <cdr:y>0.64525</cdr:y>
    </cdr:to>
    <cdr:sp macro="" textlink="">
      <cdr:nvSpPr>
        <cdr:cNvPr id="33" name="TextBox 19">
          <a:extLst xmlns:a="http://schemas.openxmlformats.org/drawingml/2006/main">
            <a:ext uri="{FF2B5EF4-FFF2-40B4-BE49-F238E27FC236}">
              <a16:creationId xmlns:a16="http://schemas.microsoft.com/office/drawing/2014/main" id="{B9A29CFD-C05E-600B-7ABB-F1B8C2426EBA}"/>
            </a:ext>
          </a:extLst>
        </cdr:cNvPr>
        <cdr:cNvSpPr txBox="1"/>
      </cdr:nvSpPr>
      <cdr:spPr>
        <a:xfrm xmlns:a="http://schemas.openxmlformats.org/drawingml/2006/main">
          <a:off x="7683050" y="3592306"/>
          <a:ext cx="1005668" cy="55241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300">
              <a:latin typeface="Courier New" panose="02070309020205020404" pitchFamily="49" charset="0"/>
              <a:ea typeface="Calibri Light" panose="020F0302020204030204" pitchFamily="34" charset="0"/>
              <a:cs typeface="Courier New" panose="02070309020205020404" pitchFamily="49" charset="0"/>
            </a:rPr>
            <a:t>CH-47ER Chinook - £2 bn</a:t>
          </a:r>
          <a:endParaRPr lang="en-US" sz="1300">
            <a:effectLst/>
            <a:latin typeface="Courier New" panose="02070309020205020404" pitchFamily="49" charset="0"/>
            <a:ea typeface="Calibri Light" panose="020F0302020204030204" pitchFamily="34" charset="0"/>
            <a:cs typeface="Courier New" panose="02070309020205020404" pitchFamily="49" charset="0"/>
          </a:endParaRPr>
        </a:p>
        <a:p xmlns:a="http://schemas.openxmlformats.org/drawingml/2006/main">
          <a:r>
            <a:rPr lang="en-US" sz="1300">
              <a:latin typeface="Courier New" panose="02070309020205020404" pitchFamily="49" charset="0"/>
              <a:cs typeface="Courier New" panose="02070309020205020404" pitchFamily="49" charset="0"/>
            </a:rPr>
            <a:t> </a:t>
          </a:r>
        </a:p>
        <a:p xmlns:a="http://schemas.openxmlformats.org/drawingml/2006/main">
          <a:endParaRPr lang="en-US" sz="1300">
            <a:latin typeface="Courier New" panose="02070309020205020404" pitchFamily="49" charset="0"/>
            <a:cs typeface="Courier New" panose="02070309020205020404" pitchFamily="49" charset="0"/>
          </a:endParaRPr>
        </a:p>
      </cdr:txBody>
    </cdr:sp>
  </cdr:relSizeAnchor>
  <cdr:relSizeAnchor xmlns:cdr="http://schemas.openxmlformats.org/drawingml/2006/chartDrawing">
    <cdr:from>
      <cdr:x>0.69547</cdr:x>
      <cdr:y>0.66022</cdr:y>
    </cdr:from>
    <cdr:to>
      <cdr:x>0.70576</cdr:x>
      <cdr:y>0.71807</cdr:y>
    </cdr:to>
    <cdr:cxnSp macro="">
      <cdr:nvCxnSpPr>
        <cdr:cNvPr id="36" name="Straight Arrow Connector 35">
          <a:extLst xmlns:a="http://schemas.openxmlformats.org/drawingml/2006/main">
            <a:ext uri="{FF2B5EF4-FFF2-40B4-BE49-F238E27FC236}">
              <a16:creationId xmlns:a16="http://schemas.microsoft.com/office/drawing/2014/main" id="{CECCC1EB-C8DC-7C91-4AA0-352E0267F6F9}"/>
            </a:ext>
          </a:extLst>
        </cdr:cNvPr>
        <cdr:cNvCxnSpPr/>
      </cdr:nvCxnSpPr>
      <cdr:spPr>
        <a:xfrm xmlns:a="http://schemas.openxmlformats.org/drawingml/2006/main" flipH="1">
          <a:off x="8273172" y="4503964"/>
          <a:ext cx="122435" cy="394636"/>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0.31113</cdr:x>
      <cdr:y>0.41249</cdr:y>
    </cdr:from>
    <cdr:to>
      <cdr:x>0.45509</cdr:x>
      <cdr:y>0.49849</cdr:y>
    </cdr:to>
    <cdr:sp macro="" textlink="">
      <cdr:nvSpPr>
        <cdr:cNvPr id="41" name="TextBox 19">
          <a:extLst xmlns:a="http://schemas.openxmlformats.org/drawingml/2006/main">
            <a:ext uri="{FF2B5EF4-FFF2-40B4-BE49-F238E27FC236}">
              <a16:creationId xmlns:a16="http://schemas.microsoft.com/office/drawing/2014/main" id="{3E0D0456-C17A-6CF2-D5DB-36473E425349}"/>
            </a:ext>
          </a:extLst>
        </cdr:cNvPr>
        <cdr:cNvSpPr txBox="1"/>
      </cdr:nvSpPr>
      <cdr:spPr>
        <a:xfrm xmlns:a="http://schemas.openxmlformats.org/drawingml/2006/main">
          <a:off x="3701143" y="2649599"/>
          <a:ext cx="1712494" cy="55241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300">
              <a:latin typeface="Courier New" panose="02070309020205020404" pitchFamily="49" charset="0"/>
              <a:ea typeface="Calibri Light" panose="020F0302020204030204" pitchFamily="34" charset="0"/>
              <a:cs typeface="Courier New" panose="02070309020205020404" pitchFamily="49" charset="0"/>
            </a:rPr>
            <a:t>Eurofighter</a:t>
          </a:r>
          <a:r>
            <a:rPr lang="en-US" sz="1300" baseline="0">
              <a:latin typeface="Courier New" panose="02070309020205020404" pitchFamily="49" charset="0"/>
              <a:ea typeface="Calibri Light" panose="020F0302020204030204" pitchFamily="34" charset="0"/>
              <a:cs typeface="Courier New" panose="02070309020205020404" pitchFamily="49" charset="0"/>
            </a:rPr>
            <a:t> radar </a:t>
          </a:r>
          <a:r>
            <a:rPr lang="en-US" sz="1300">
              <a:latin typeface="Courier New" panose="02070309020205020404" pitchFamily="49" charset="0"/>
              <a:ea typeface="Calibri Light" panose="020F0302020204030204" pitchFamily="34" charset="0"/>
              <a:cs typeface="Courier New" panose="02070309020205020404" pitchFamily="49" charset="0"/>
            </a:rPr>
            <a:t>- £2.3</a:t>
          </a:r>
          <a:r>
            <a:rPr lang="en-US" sz="1300" baseline="0">
              <a:latin typeface="Courier New" panose="02070309020205020404" pitchFamily="49" charset="0"/>
              <a:ea typeface="Calibri Light" panose="020F0302020204030204" pitchFamily="34" charset="0"/>
              <a:cs typeface="Courier New" panose="02070309020205020404" pitchFamily="49" charset="0"/>
            </a:rPr>
            <a:t> </a:t>
          </a:r>
          <a:r>
            <a:rPr lang="en-US" sz="1300">
              <a:latin typeface="Courier New" panose="02070309020205020404" pitchFamily="49" charset="0"/>
              <a:ea typeface="Calibri Light" panose="020F0302020204030204" pitchFamily="34" charset="0"/>
              <a:cs typeface="Courier New" panose="02070309020205020404" pitchFamily="49" charset="0"/>
            </a:rPr>
            <a:t>bn</a:t>
          </a:r>
          <a:endParaRPr lang="en-US" sz="1300">
            <a:effectLst/>
            <a:latin typeface="Courier New" panose="02070309020205020404" pitchFamily="49" charset="0"/>
            <a:ea typeface="Calibri Light" panose="020F0302020204030204" pitchFamily="34" charset="0"/>
            <a:cs typeface="Courier New" panose="02070309020205020404" pitchFamily="49" charset="0"/>
          </a:endParaRPr>
        </a:p>
        <a:p xmlns:a="http://schemas.openxmlformats.org/drawingml/2006/main">
          <a:r>
            <a:rPr lang="en-US" sz="1300">
              <a:latin typeface="Courier New" panose="02070309020205020404" pitchFamily="49" charset="0"/>
              <a:cs typeface="Courier New" panose="02070309020205020404" pitchFamily="49" charset="0"/>
            </a:rPr>
            <a:t> </a:t>
          </a:r>
        </a:p>
        <a:p xmlns:a="http://schemas.openxmlformats.org/drawingml/2006/main">
          <a:endParaRPr lang="en-US" sz="1300">
            <a:latin typeface="Courier New" panose="02070309020205020404" pitchFamily="49" charset="0"/>
            <a:cs typeface="Courier New" panose="02070309020205020404" pitchFamily="49" charset="0"/>
          </a:endParaRPr>
        </a:p>
      </cdr:txBody>
    </cdr:sp>
  </cdr:relSizeAnchor>
  <cdr:relSizeAnchor xmlns:cdr="http://schemas.openxmlformats.org/drawingml/2006/chartDrawing">
    <cdr:from>
      <cdr:x>0.38311</cdr:x>
      <cdr:y>0.49849</cdr:y>
    </cdr:from>
    <cdr:to>
      <cdr:x>0.42209</cdr:x>
      <cdr:y>0.69613</cdr:y>
    </cdr:to>
    <cdr:cxnSp macro="">
      <cdr:nvCxnSpPr>
        <cdr:cNvPr id="43" name="Straight Arrow Connector 42">
          <a:extLst xmlns:a="http://schemas.openxmlformats.org/drawingml/2006/main">
            <a:ext uri="{FF2B5EF4-FFF2-40B4-BE49-F238E27FC236}">
              <a16:creationId xmlns:a16="http://schemas.microsoft.com/office/drawing/2014/main" id="{F3F4CDBA-C6E5-803B-E201-07832D827363}"/>
            </a:ext>
          </a:extLst>
        </cdr:cNvPr>
        <cdr:cNvCxnSpPr>
          <a:stCxn xmlns:a="http://schemas.openxmlformats.org/drawingml/2006/main" id="41" idx="2"/>
        </cdr:cNvCxnSpPr>
      </cdr:nvCxnSpPr>
      <cdr:spPr>
        <a:xfrm xmlns:a="http://schemas.openxmlformats.org/drawingml/2006/main">
          <a:off x="4557390" y="3400669"/>
          <a:ext cx="463706" cy="1348258"/>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0.22766</cdr:x>
      <cdr:y>0.5571</cdr:y>
    </cdr:from>
    <cdr:to>
      <cdr:x>0.3626</cdr:x>
      <cdr:y>0.66673</cdr:y>
    </cdr:to>
    <cdr:sp macro="" textlink="">
      <cdr:nvSpPr>
        <cdr:cNvPr id="45" name="TextBox 19">
          <a:extLst xmlns:a="http://schemas.openxmlformats.org/drawingml/2006/main">
            <a:ext uri="{FF2B5EF4-FFF2-40B4-BE49-F238E27FC236}">
              <a16:creationId xmlns:a16="http://schemas.microsoft.com/office/drawing/2014/main" id="{3E3427B5-C317-C651-BA1E-E14799D44AC5}"/>
            </a:ext>
          </a:extLst>
        </cdr:cNvPr>
        <cdr:cNvSpPr txBox="1"/>
      </cdr:nvSpPr>
      <cdr:spPr>
        <a:xfrm xmlns:a="http://schemas.openxmlformats.org/drawingml/2006/main">
          <a:off x="2708169" y="3800514"/>
          <a:ext cx="1605295" cy="7478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300">
              <a:latin typeface="Courier New" panose="02070309020205020404" pitchFamily="49" charset="0"/>
              <a:ea typeface="Calibri Light" panose="020F0302020204030204" pitchFamily="34" charset="0"/>
              <a:cs typeface="Courier New" panose="02070309020205020404" pitchFamily="49" charset="0"/>
            </a:rPr>
            <a:t>Dreadnought submarine design - £2</a:t>
          </a:r>
          <a:r>
            <a:rPr lang="en-US" sz="1300" baseline="0">
              <a:latin typeface="Courier New" panose="02070309020205020404" pitchFamily="49" charset="0"/>
              <a:ea typeface="Calibri Light" panose="020F0302020204030204" pitchFamily="34" charset="0"/>
              <a:cs typeface="Courier New" panose="02070309020205020404" pitchFamily="49" charset="0"/>
            </a:rPr>
            <a:t> </a:t>
          </a:r>
          <a:r>
            <a:rPr lang="en-US" sz="1300">
              <a:latin typeface="Courier New" panose="02070309020205020404" pitchFamily="49" charset="0"/>
              <a:ea typeface="Calibri Light" panose="020F0302020204030204" pitchFamily="34" charset="0"/>
              <a:cs typeface="Courier New" panose="02070309020205020404" pitchFamily="49" charset="0"/>
            </a:rPr>
            <a:t>bn</a:t>
          </a:r>
          <a:endParaRPr lang="en-US" sz="1300">
            <a:effectLst/>
            <a:latin typeface="Courier New" panose="02070309020205020404" pitchFamily="49" charset="0"/>
            <a:ea typeface="Calibri Light" panose="020F0302020204030204" pitchFamily="34" charset="0"/>
            <a:cs typeface="Courier New" panose="02070309020205020404" pitchFamily="49" charset="0"/>
          </a:endParaRPr>
        </a:p>
        <a:p xmlns:a="http://schemas.openxmlformats.org/drawingml/2006/main">
          <a:r>
            <a:rPr lang="en-US" sz="1300">
              <a:latin typeface="Courier New" panose="02070309020205020404" pitchFamily="49" charset="0"/>
              <a:cs typeface="Courier New" panose="02070309020205020404" pitchFamily="49" charset="0"/>
            </a:rPr>
            <a:t> </a:t>
          </a:r>
        </a:p>
        <a:p xmlns:a="http://schemas.openxmlformats.org/drawingml/2006/main">
          <a:endParaRPr lang="en-US" sz="1300">
            <a:latin typeface="Courier New" panose="02070309020205020404" pitchFamily="49" charset="0"/>
            <a:cs typeface="Courier New" panose="02070309020205020404" pitchFamily="49" charset="0"/>
          </a:endParaRPr>
        </a:p>
      </cdr:txBody>
    </cdr:sp>
  </cdr:relSizeAnchor>
  <cdr:relSizeAnchor xmlns:cdr="http://schemas.openxmlformats.org/drawingml/2006/chartDrawing">
    <cdr:from>
      <cdr:x>0.34202</cdr:x>
      <cdr:y>0.65623</cdr:y>
    </cdr:from>
    <cdr:to>
      <cdr:x>0.39463</cdr:x>
      <cdr:y>0.72405</cdr:y>
    </cdr:to>
    <cdr:cxnSp macro="">
      <cdr:nvCxnSpPr>
        <cdr:cNvPr id="46" name="Straight Arrow Connector 45">
          <a:extLst xmlns:a="http://schemas.openxmlformats.org/drawingml/2006/main">
            <a:ext uri="{FF2B5EF4-FFF2-40B4-BE49-F238E27FC236}">
              <a16:creationId xmlns:a16="http://schemas.microsoft.com/office/drawing/2014/main" id="{E84399CB-222D-774A-45E7-0F3AEF94FCF1}"/>
            </a:ext>
          </a:extLst>
        </cdr:cNvPr>
        <cdr:cNvCxnSpPr/>
      </cdr:nvCxnSpPr>
      <cdr:spPr>
        <a:xfrm xmlns:a="http://schemas.openxmlformats.org/drawingml/2006/main">
          <a:off x="4068536" y="4476750"/>
          <a:ext cx="625929" cy="462643"/>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0.18774</cdr:x>
      <cdr:y>0.68286</cdr:y>
    </cdr:from>
    <cdr:to>
      <cdr:x>0.32143</cdr:x>
      <cdr:y>0.76886</cdr:y>
    </cdr:to>
    <cdr:sp macro="" textlink="">
      <cdr:nvSpPr>
        <cdr:cNvPr id="19" name="TextBox 19">
          <a:extLst xmlns:a="http://schemas.openxmlformats.org/drawingml/2006/main">
            <a:ext uri="{FF2B5EF4-FFF2-40B4-BE49-F238E27FC236}">
              <a16:creationId xmlns:a16="http://schemas.microsoft.com/office/drawing/2014/main" id="{009C239D-7351-517C-59FE-BDB75E19F47F}"/>
            </a:ext>
          </a:extLst>
        </cdr:cNvPr>
        <cdr:cNvSpPr txBox="1"/>
      </cdr:nvSpPr>
      <cdr:spPr>
        <a:xfrm xmlns:a="http://schemas.openxmlformats.org/drawingml/2006/main">
          <a:off x="2233312" y="4432166"/>
          <a:ext cx="1590295" cy="5581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300">
              <a:latin typeface="Courier New" panose="02070309020205020404" pitchFamily="49" charset="0"/>
              <a:ea typeface="Calibri Light" panose="020F0302020204030204" pitchFamily="34" charset="0"/>
              <a:cs typeface="Courier New" panose="02070309020205020404" pitchFamily="49" charset="0"/>
            </a:rPr>
            <a:t>Challenger 3 tank - £0.8</a:t>
          </a:r>
          <a:r>
            <a:rPr lang="en-US" sz="1300" baseline="0">
              <a:latin typeface="Courier New" panose="02070309020205020404" pitchFamily="49" charset="0"/>
              <a:ea typeface="Calibri Light" panose="020F0302020204030204" pitchFamily="34" charset="0"/>
              <a:cs typeface="Courier New" panose="02070309020205020404" pitchFamily="49" charset="0"/>
            </a:rPr>
            <a:t> </a:t>
          </a:r>
          <a:r>
            <a:rPr lang="en-US" sz="1300">
              <a:latin typeface="Courier New" panose="02070309020205020404" pitchFamily="49" charset="0"/>
              <a:ea typeface="Calibri Light" panose="020F0302020204030204" pitchFamily="34" charset="0"/>
              <a:cs typeface="Courier New" panose="02070309020205020404" pitchFamily="49" charset="0"/>
            </a:rPr>
            <a:t>bn</a:t>
          </a:r>
          <a:endParaRPr lang="en-US" sz="1300">
            <a:effectLst/>
            <a:latin typeface="Courier New" panose="02070309020205020404" pitchFamily="49" charset="0"/>
            <a:ea typeface="Calibri Light" panose="020F0302020204030204" pitchFamily="34" charset="0"/>
            <a:cs typeface="Courier New" panose="02070309020205020404" pitchFamily="49" charset="0"/>
          </a:endParaRPr>
        </a:p>
        <a:p xmlns:a="http://schemas.openxmlformats.org/drawingml/2006/main">
          <a:r>
            <a:rPr lang="en-US" sz="1300">
              <a:latin typeface="Courier New" panose="02070309020205020404" pitchFamily="49" charset="0"/>
              <a:cs typeface="Courier New" panose="02070309020205020404" pitchFamily="49" charset="0"/>
            </a:rPr>
            <a:t> </a:t>
          </a:r>
        </a:p>
        <a:p xmlns:a="http://schemas.openxmlformats.org/drawingml/2006/main">
          <a:endParaRPr lang="en-US" sz="1300">
            <a:latin typeface="Courier New" panose="02070309020205020404" pitchFamily="49" charset="0"/>
            <a:cs typeface="Courier New" panose="02070309020205020404" pitchFamily="49" charset="0"/>
          </a:endParaRPr>
        </a:p>
      </cdr:txBody>
    </cdr:sp>
  </cdr:relSizeAnchor>
  <cdr:relSizeAnchor xmlns:cdr="http://schemas.openxmlformats.org/drawingml/2006/chartDrawing">
    <cdr:from>
      <cdr:x>0.21733</cdr:x>
      <cdr:y>0.75396</cdr:y>
    </cdr:from>
    <cdr:to>
      <cdr:x>0.24479</cdr:x>
      <cdr:y>0.82178</cdr:y>
    </cdr:to>
    <cdr:cxnSp macro="">
      <cdr:nvCxnSpPr>
        <cdr:cNvPr id="20" name="Straight Arrow Connector 19">
          <a:extLst xmlns:a="http://schemas.openxmlformats.org/drawingml/2006/main">
            <a:ext uri="{FF2B5EF4-FFF2-40B4-BE49-F238E27FC236}">
              <a16:creationId xmlns:a16="http://schemas.microsoft.com/office/drawing/2014/main" id="{AE91196A-C893-EFC2-9618-8581444BADBD}"/>
            </a:ext>
          </a:extLst>
        </cdr:cNvPr>
        <cdr:cNvCxnSpPr/>
      </cdr:nvCxnSpPr>
      <cdr:spPr>
        <a:xfrm xmlns:a="http://schemas.openxmlformats.org/drawingml/2006/main">
          <a:off x="2585324" y="5143501"/>
          <a:ext cx="326605" cy="462641"/>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0.63417</cdr:x>
      <cdr:y>0.26836</cdr:y>
    </cdr:from>
    <cdr:to>
      <cdr:x>0.78967</cdr:x>
      <cdr:y>0.35436</cdr:y>
    </cdr:to>
    <cdr:sp macro="" textlink="">
      <cdr:nvSpPr>
        <cdr:cNvPr id="5" name="TextBox 19">
          <a:extLst xmlns:a="http://schemas.openxmlformats.org/drawingml/2006/main">
            <a:ext uri="{FF2B5EF4-FFF2-40B4-BE49-F238E27FC236}">
              <a16:creationId xmlns:a16="http://schemas.microsoft.com/office/drawing/2014/main" id="{434DB48F-1BB8-0F56-5DDD-220D1E9249BB}"/>
            </a:ext>
          </a:extLst>
        </cdr:cNvPr>
        <cdr:cNvSpPr txBox="1"/>
      </cdr:nvSpPr>
      <cdr:spPr>
        <a:xfrm xmlns:a="http://schemas.openxmlformats.org/drawingml/2006/main">
          <a:off x="7543959" y="1830762"/>
          <a:ext cx="1849792" cy="58668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300">
              <a:latin typeface="Courier New" panose="02070309020205020404" pitchFamily="49" charset="0"/>
              <a:ea typeface="Calibri Light" panose="020F0302020204030204" pitchFamily="34" charset="0"/>
              <a:cs typeface="Courier New" panose="02070309020205020404" pitchFamily="49" charset="0"/>
            </a:rPr>
            <a:t>MBDA investment</a:t>
          </a:r>
          <a:r>
            <a:rPr lang="en-US" sz="1300" baseline="0">
              <a:latin typeface="Courier New" panose="02070309020205020404" pitchFamily="49" charset="0"/>
              <a:ea typeface="Calibri Light" panose="020F0302020204030204" pitchFamily="34" charset="0"/>
              <a:cs typeface="Courier New" panose="02070309020205020404" pitchFamily="49" charset="0"/>
            </a:rPr>
            <a:t>s </a:t>
          </a:r>
          <a:r>
            <a:rPr lang="en-US" sz="1300">
              <a:latin typeface="Courier New" panose="02070309020205020404" pitchFamily="49" charset="0"/>
              <a:ea typeface="Calibri Light" panose="020F0302020204030204" pitchFamily="34" charset="0"/>
              <a:cs typeface="Courier New" panose="02070309020205020404" pitchFamily="49" charset="0"/>
            </a:rPr>
            <a:t>- £6.5 bn</a:t>
          </a:r>
          <a:endParaRPr lang="en-US" sz="1300">
            <a:effectLst/>
            <a:latin typeface="Courier New" panose="02070309020205020404" pitchFamily="49" charset="0"/>
            <a:ea typeface="Calibri Light" panose="020F0302020204030204" pitchFamily="34" charset="0"/>
            <a:cs typeface="Courier New" panose="02070309020205020404" pitchFamily="49" charset="0"/>
          </a:endParaRPr>
        </a:p>
        <a:p xmlns:a="http://schemas.openxmlformats.org/drawingml/2006/main">
          <a:r>
            <a:rPr lang="en-US" sz="1300">
              <a:latin typeface="Courier New" panose="02070309020205020404" pitchFamily="49" charset="0"/>
              <a:cs typeface="Courier New" panose="02070309020205020404" pitchFamily="49" charset="0"/>
            </a:rPr>
            <a:t> </a:t>
          </a:r>
        </a:p>
        <a:p xmlns:a="http://schemas.openxmlformats.org/drawingml/2006/main">
          <a:endParaRPr lang="en-US" sz="1300">
            <a:latin typeface="Courier New" panose="02070309020205020404" pitchFamily="49" charset="0"/>
            <a:cs typeface="Courier New" panose="02070309020205020404" pitchFamily="49" charset="0"/>
          </a:endParaRPr>
        </a:p>
      </cdr:txBody>
    </cdr:sp>
  </cdr:relSizeAnchor>
  <cdr:relSizeAnchor xmlns:cdr="http://schemas.openxmlformats.org/drawingml/2006/chartDrawing">
    <cdr:from>
      <cdr:x>0.67591</cdr:x>
      <cdr:y>0.33478</cdr:y>
    </cdr:from>
    <cdr:to>
      <cdr:x>0.72344</cdr:x>
      <cdr:y>0.40718</cdr:y>
    </cdr:to>
    <cdr:cxnSp macro="">
      <cdr:nvCxnSpPr>
        <cdr:cNvPr id="6" name="Straight Arrow Connector 5">
          <a:extLst xmlns:a="http://schemas.openxmlformats.org/drawingml/2006/main">
            <a:ext uri="{FF2B5EF4-FFF2-40B4-BE49-F238E27FC236}">
              <a16:creationId xmlns:a16="http://schemas.microsoft.com/office/drawing/2014/main" id="{DB467159-2462-EEB7-14DF-46FC8FC8F5E9}"/>
            </a:ext>
          </a:extLst>
        </cdr:cNvPr>
        <cdr:cNvCxnSpPr/>
      </cdr:nvCxnSpPr>
      <cdr:spPr>
        <a:xfrm xmlns:a="http://schemas.openxmlformats.org/drawingml/2006/main">
          <a:off x="8040502" y="2150429"/>
          <a:ext cx="565406" cy="465057"/>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7</xdr:col>
      <xdr:colOff>590550</xdr:colOff>
      <xdr:row>3</xdr:row>
      <xdr:rowOff>504825</xdr:rowOff>
    </xdr:from>
    <xdr:to>
      <xdr:col>21</xdr:col>
      <xdr:colOff>481013</xdr:colOff>
      <xdr:row>16</xdr:row>
      <xdr:rowOff>55791</xdr:rowOff>
    </xdr:to>
    <xdr:graphicFrame macro="">
      <xdr:nvGraphicFramePr>
        <xdr:cNvPr id="4" name="Chart 5">
          <a:extLst>
            <a:ext uri="{FF2B5EF4-FFF2-40B4-BE49-F238E27FC236}">
              <a16:creationId xmlns:a16="http://schemas.microsoft.com/office/drawing/2014/main" id="{4DB6EABE-71C9-455E-B4A3-91D93EBF4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0.68801</cdr:x>
      <cdr:y>0.08076</cdr:y>
    </cdr:from>
    <cdr:to>
      <cdr:x>0.97883</cdr:x>
      <cdr:y>0.42387</cdr:y>
    </cdr:to>
    <cdr:sp macro="" textlink="">
      <cdr:nvSpPr>
        <cdr:cNvPr id="3" name="TextBox 1">
          <a:extLst xmlns:a="http://schemas.openxmlformats.org/drawingml/2006/main">
            <a:ext uri="{FF2B5EF4-FFF2-40B4-BE49-F238E27FC236}">
              <a16:creationId xmlns:a16="http://schemas.microsoft.com/office/drawing/2014/main" id="{9C848CB0-2EA7-0F9D-E81D-A91EFD2E956A}"/>
            </a:ext>
          </a:extLst>
        </cdr:cNvPr>
        <cdr:cNvSpPr txBox="1"/>
      </cdr:nvSpPr>
      <cdr:spPr>
        <a:xfrm xmlns:a="http://schemas.openxmlformats.org/drawingml/2006/main">
          <a:off x="6346866" y="296047"/>
          <a:ext cx="2682833" cy="12577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tx1"/>
              </a:solidFill>
              <a:latin typeface="Courier New" panose="02070309020205020404" pitchFamily="49" charset="0"/>
              <a:ea typeface="Calibri Light" panose="020F0302020204030204" pitchFamily="34" charset="0"/>
              <a:cs typeface="Courier New" panose="02070309020205020404" pitchFamily="49" charset="0"/>
            </a:rPr>
            <a:t>Total military orders with known origin: </a:t>
          </a:r>
          <a:r>
            <a:rPr lang="en-US" sz="1200" b="1">
              <a:solidFill>
                <a:schemeClr val="tx1"/>
              </a:solidFill>
              <a:effectLst/>
              <a:latin typeface="Courier New" panose="02070309020205020404" pitchFamily="49" charset="0"/>
              <a:ea typeface="Calibri Light" panose="020F0302020204030204" pitchFamily="34" charset="0"/>
              <a:cs typeface="Courier New" panose="02070309020205020404" pitchFamily="49" charset="0"/>
            </a:rPr>
            <a:t>£62.1</a:t>
          </a:r>
          <a:r>
            <a:rPr lang="en-US" sz="1200" b="1">
              <a:solidFill>
                <a:schemeClr val="tx1"/>
              </a:solidFill>
              <a:latin typeface="Courier New" panose="02070309020205020404" pitchFamily="49" charset="0"/>
              <a:ea typeface="Calibri Light" panose="020F0302020204030204" pitchFamily="34" charset="0"/>
              <a:cs typeface="Courier New" panose="02070309020205020404" pitchFamily="49" charset="0"/>
            </a:rPr>
            <a:t> billion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200" b="0">
            <a:solidFill>
              <a:schemeClr val="tx1"/>
            </a:solidFill>
            <a:latin typeface="Courier New" panose="02070309020205020404" pitchFamily="49" charset="0"/>
            <a:ea typeface="Calibri Light" panose="020F0302020204030204" pitchFamily="34" charset="0"/>
            <a:cs typeface="Courier New" panose="02070309020205020404" pitchFamily="49"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200" b="0">
              <a:solidFill>
                <a:schemeClr val="tx1"/>
              </a:solidFill>
              <a:latin typeface="Courier New" panose="02070309020205020404" pitchFamily="49" charset="0"/>
              <a:ea typeface="Calibri Light" panose="020F0302020204030204" pitchFamily="34" charset="0"/>
              <a:cs typeface="Courier New" panose="02070309020205020404" pitchFamily="49" charset="0"/>
            </a:rPr>
            <a:t>out</a:t>
          </a:r>
          <a:r>
            <a:rPr lang="en-US" sz="1200" b="0" baseline="0">
              <a:solidFill>
                <a:schemeClr val="tx1"/>
              </a:solidFill>
              <a:latin typeface="Courier New" panose="02070309020205020404" pitchFamily="49" charset="0"/>
              <a:ea typeface="Calibri Light" panose="020F0302020204030204" pitchFamily="34" charset="0"/>
              <a:cs typeface="Courier New" panose="02070309020205020404" pitchFamily="49" charset="0"/>
            </a:rPr>
            <a:t> of £69.1 billion total orders Jan 2020 - Jan 2026</a:t>
          </a:r>
          <a:endParaRPr lang="en-US" sz="1200" b="0">
            <a:solidFill>
              <a:schemeClr val="tx1"/>
            </a:solidFill>
            <a:latin typeface="Courier New" panose="02070309020205020404" pitchFamily="49" charset="0"/>
            <a:ea typeface="Calibri Light" panose="020F0302020204030204" pitchFamily="34" charset="0"/>
            <a:cs typeface="Courier New" panose="02070309020205020404" pitchFamily="49"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16</xdr:col>
      <xdr:colOff>0</xdr:colOff>
      <xdr:row>5</xdr:row>
      <xdr:rowOff>0</xdr:rowOff>
    </xdr:from>
    <xdr:to>
      <xdr:col>31</xdr:col>
      <xdr:colOff>78750</xdr:colOff>
      <xdr:row>27</xdr:row>
      <xdr:rowOff>37537</xdr:rowOff>
    </xdr:to>
    <xdr:graphicFrame macro="">
      <xdr:nvGraphicFramePr>
        <xdr:cNvPr id="3" name="Chart 2">
          <a:extLst>
            <a:ext uri="{FF2B5EF4-FFF2-40B4-BE49-F238E27FC236}">
              <a16:creationId xmlns:a16="http://schemas.microsoft.com/office/drawing/2014/main" id="{04546655-D0D1-44C7-A831-0C30FAD569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0.80062</cdr:x>
      <cdr:y>0.05193</cdr:y>
    </cdr:from>
    <cdr:to>
      <cdr:x>0.97888</cdr:x>
      <cdr:y>0.13065</cdr:y>
    </cdr:to>
    <cdr:sp macro="" textlink="">
      <cdr:nvSpPr>
        <cdr:cNvPr id="2" name="TextBox 1">
          <a:extLst xmlns:a="http://schemas.openxmlformats.org/drawingml/2006/main">
            <a:ext uri="{FF2B5EF4-FFF2-40B4-BE49-F238E27FC236}">
              <a16:creationId xmlns:a16="http://schemas.microsoft.com/office/drawing/2014/main" id="{5A4F1C4D-162F-E5D0-BAB5-A0D7075A63EB}"/>
            </a:ext>
          </a:extLst>
        </cdr:cNvPr>
        <cdr:cNvSpPr txBox="1"/>
      </cdr:nvSpPr>
      <cdr:spPr>
        <a:xfrm xmlns:a="http://schemas.openxmlformats.org/drawingml/2006/main">
          <a:off x="5920740" y="236220"/>
          <a:ext cx="1318260" cy="3581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0.03263</cdr:x>
      <cdr:y>0.03118</cdr:y>
    </cdr:from>
    <cdr:to>
      <cdr:x>0.2804</cdr:x>
      <cdr:y>0.09539</cdr:y>
    </cdr:to>
    <cdr:sp macro="" textlink="">
      <cdr:nvSpPr>
        <cdr:cNvPr id="4" name="TextBox 1">
          <a:extLst xmlns:a="http://schemas.openxmlformats.org/drawingml/2006/main">
            <a:ext uri="{FF2B5EF4-FFF2-40B4-BE49-F238E27FC236}">
              <a16:creationId xmlns:a16="http://schemas.microsoft.com/office/drawing/2014/main" id="{8FB0B40B-626A-E164-F638-6918DC36A09C}"/>
            </a:ext>
          </a:extLst>
        </cdr:cNvPr>
        <cdr:cNvSpPr txBox="1"/>
      </cdr:nvSpPr>
      <cdr:spPr>
        <a:xfrm xmlns:a="http://schemas.openxmlformats.org/drawingml/2006/main">
          <a:off x="323851" y="147327"/>
          <a:ext cx="2459108" cy="30335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Courier New" panose="02070309020205020404" pitchFamily="49" charset="0"/>
              <a:ea typeface="Calibri Light" panose="020F0302020204030204" pitchFamily="34" charset="0"/>
              <a:cs typeface="Courier New" panose="02070309020205020404" pitchFamily="49" charset="0"/>
            </a:rPr>
            <a:t>Years since order</a:t>
          </a:r>
        </a:p>
      </cdr:txBody>
    </cdr:sp>
  </cdr:relSizeAnchor>
</c:userShapes>
</file>

<file path=xl/drawings/drawing17.xml><?xml version="1.0" encoding="utf-8"?>
<xdr:wsDr xmlns:xdr="http://schemas.openxmlformats.org/drawingml/2006/spreadsheetDrawing" xmlns:a="http://schemas.openxmlformats.org/drawingml/2006/main">
  <xdr:twoCellAnchor>
    <xdr:from>
      <xdr:col>9</xdr:col>
      <xdr:colOff>655320</xdr:colOff>
      <xdr:row>5</xdr:row>
      <xdr:rowOff>7620</xdr:rowOff>
    </xdr:from>
    <xdr:to>
      <xdr:col>25</xdr:col>
      <xdr:colOff>67320</xdr:colOff>
      <xdr:row>27</xdr:row>
      <xdr:rowOff>40395</xdr:rowOff>
    </xdr:to>
    <xdr:graphicFrame macro="">
      <xdr:nvGraphicFramePr>
        <xdr:cNvPr id="2" name="Chart 1">
          <a:extLst>
            <a:ext uri="{FF2B5EF4-FFF2-40B4-BE49-F238E27FC236}">
              <a16:creationId xmlns:a16="http://schemas.microsoft.com/office/drawing/2014/main" id="{920CC070-2DF4-49E7-A88D-46E430CCA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0.80062</cdr:x>
      <cdr:y>0.05193</cdr:y>
    </cdr:from>
    <cdr:to>
      <cdr:x>0.97888</cdr:x>
      <cdr:y>0.13065</cdr:y>
    </cdr:to>
    <cdr:sp macro="" textlink="">
      <cdr:nvSpPr>
        <cdr:cNvPr id="2" name="TextBox 1">
          <a:extLst xmlns:a="http://schemas.openxmlformats.org/drawingml/2006/main">
            <a:ext uri="{FF2B5EF4-FFF2-40B4-BE49-F238E27FC236}">
              <a16:creationId xmlns:a16="http://schemas.microsoft.com/office/drawing/2014/main" id="{5A4F1C4D-162F-E5D0-BAB5-A0D7075A63EB}"/>
            </a:ext>
          </a:extLst>
        </cdr:cNvPr>
        <cdr:cNvSpPr txBox="1"/>
      </cdr:nvSpPr>
      <cdr:spPr>
        <a:xfrm xmlns:a="http://schemas.openxmlformats.org/drawingml/2006/main">
          <a:off x="5920740" y="236220"/>
          <a:ext cx="1318260" cy="3581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0.5722</cdr:x>
      <cdr:y>0.03435</cdr:y>
    </cdr:from>
    <cdr:to>
      <cdr:x>0.97981</cdr:x>
      <cdr:y>0.155</cdr:y>
    </cdr:to>
    <cdr:sp macro="" textlink="">
      <cdr:nvSpPr>
        <cdr:cNvPr id="3" name="TextBox 6">
          <a:extLst xmlns:a="http://schemas.openxmlformats.org/drawingml/2006/main">
            <a:ext uri="{FF2B5EF4-FFF2-40B4-BE49-F238E27FC236}">
              <a16:creationId xmlns:a16="http://schemas.microsoft.com/office/drawing/2014/main" id="{E63E0164-82E4-0C79-1807-57AF1F0343A9}"/>
            </a:ext>
          </a:extLst>
        </cdr:cNvPr>
        <cdr:cNvSpPr txBox="1"/>
      </cdr:nvSpPr>
      <cdr:spPr>
        <a:xfrm xmlns:a="http://schemas.openxmlformats.org/drawingml/2006/main">
          <a:off x="5767779" y="154590"/>
          <a:ext cx="4108684" cy="542925"/>
        </a:xfrm>
        <a:prstGeom xmlns:a="http://schemas.openxmlformats.org/drawingml/2006/main" prst="rect">
          <a:avLst/>
        </a:prstGeom>
        <a:solidFill xmlns:a="http://schemas.openxmlformats.org/drawingml/2006/main">
          <a:srgbClr val="F5F1E7"/>
        </a:solidFill>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No latest expected delivery date:</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98 out of 193 </a:t>
          </a:r>
          <a:r>
            <a:rPr lang="en-US" sz="1400" b="0" baseline="0">
              <a:solidFill>
                <a:sysClr val="windowText" lastClr="000000"/>
              </a:solidFill>
              <a:latin typeface="Courier New" panose="02070309020205020404" pitchFamily="49" charset="0"/>
              <a:ea typeface="Calibri Light" panose="020F0302020204030204" pitchFamily="34" charset="0"/>
              <a:cs typeface="Courier New" panose="02070309020205020404" pitchFamily="49" charset="0"/>
            </a:rPr>
            <a:t>items ordered</a:t>
          </a:r>
          <a:endParaRPr lang="en-US" sz="1400" b="0">
            <a:solidFill>
              <a:sysClr val="windowText" lastClr="000000"/>
            </a:solidFill>
            <a:latin typeface="Courier New" panose="02070309020205020404" pitchFamily="49" charset="0"/>
            <a:ea typeface="Calibri Light" panose="020F0302020204030204" pitchFamily="34" charset="0"/>
            <a:cs typeface="Courier New" panose="02070309020205020404" pitchFamily="49"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6</xdr:col>
      <xdr:colOff>653143</xdr:colOff>
      <xdr:row>4</xdr:row>
      <xdr:rowOff>190499</xdr:rowOff>
    </xdr:from>
    <xdr:to>
      <xdr:col>25</xdr:col>
      <xdr:colOff>512634</xdr:colOff>
      <xdr:row>38</xdr:row>
      <xdr:rowOff>190499</xdr:rowOff>
    </xdr:to>
    <xdr:graphicFrame macro="">
      <xdr:nvGraphicFramePr>
        <xdr:cNvPr id="2" name="Chart 1">
          <a:extLst>
            <a:ext uri="{FF2B5EF4-FFF2-40B4-BE49-F238E27FC236}">
              <a16:creationId xmlns:a16="http://schemas.microsoft.com/office/drawing/2014/main" id="{538A55B1-27C1-4C4E-A47C-46B334EA8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0.03561</cdr:x>
      <cdr:y>0.08494</cdr:y>
    </cdr:from>
    <cdr:to>
      <cdr:x>0.21835</cdr:x>
      <cdr:y>0.17094</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425965" y="495765"/>
          <a:ext cx="2185778" cy="50194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ourier New" panose="02070309020205020404" pitchFamily="49" charset="0"/>
              <a:ea typeface="Calibri Light" panose="020F0302020204030204" pitchFamily="34" charset="0"/>
              <a:cs typeface="Courier New" panose="02070309020205020404" pitchFamily="49" charset="0"/>
            </a:rPr>
            <a:t>billion Euros</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ourier New" panose="02070309020205020404" pitchFamily="49" charset="0"/>
              <a:ea typeface="Calibri Light" panose="020F0302020204030204" pitchFamily="34" charset="0"/>
              <a:cs typeface="Courier New" panose="02070309020205020404" pitchFamily="49" charset="0"/>
            </a:rPr>
            <a:t>Total: </a:t>
          </a:r>
          <a:r>
            <a:rPr lang="en-US" sz="14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€422.3</a:t>
          </a:r>
          <a:r>
            <a:rPr lang="en-US" sz="1400" baseline="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 </a:t>
          </a:r>
          <a:r>
            <a:rPr lang="en-US" sz="14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bn</a:t>
          </a:r>
          <a:endParaRPr lang="en-US" sz="1400">
            <a:effectLst/>
            <a:latin typeface="Courier New" panose="02070309020205020404" pitchFamily="49" charset="0"/>
            <a:ea typeface="Calibri Light" panose="020F0302020204030204" pitchFamily="34" charset="0"/>
            <a:cs typeface="Courier New" panose="02070309020205020404" pitchFamily="49" charset="0"/>
          </a:endParaRPr>
        </a:p>
        <a:p xmlns:a="http://schemas.openxmlformats.org/drawingml/2006/main">
          <a:r>
            <a:rPr lang="en-US" sz="1100">
              <a:latin typeface="Courier New" panose="02070309020205020404" pitchFamily="49" charset="0"/>
              <a:cs typeface="Courier New" panose="02070309020205020404" pitchFamily="49" charset="0"/>
            </a:rPr>
            <a:t> </a:t>
          </a:r>
        </a:p>
        <a:p xmlns:a="http://schemas.openxmlformats.org/drawingml/2006/main">
          <a:endParaRPr lang="en-US" sz="1100">
            <a:latin typeface="Courier New" panose="02070309020205020404" pitchFamily="49" charset="0"/>
            <a:cs typeface="Courier New" panose="02070309020205020404" pitchFamily="49"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0.03859</cdr:x>
      <cdr:y>0.09846</cdr:y>
    </cdr:from>
    <cdr:to>
      <cdr:x>0.21099</cdr:x>
      <cdr:y>0.18446</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483436" y="690000"/>
          <a:ext cx="2159783" cy="60266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latin typeface="Courier New" panose="02070309020205020404" pitchFamily="49" charset="0"/>
              <a:ea typeface="Calibri Light" panose="020F0302020204030204" pitchFamily="34" charset="0"/>
              <a:cs typeface="Courier New" panose="02070309020205020404" pitchFamily="49" charset="0"/>
            </a:rPr>
            <a:t>billion Euros</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200">
              <a:latin typeface="Courier New" panose="02070309020205020404" pitchFamily="49" charset="0"/>
              <a:ea typeface="Calibri Light" panose="020F0302020204030204" pitchFamily="34" charset="0"/>
              <a:cs typeface="Courier New" panose="02070309020205020404" pitchFamily="49" charset="0"/>
            </a:rPr>
            <a:t>Total: </a:t>
          </a:r>
          <a:r>
            <a:rPr lang="en-US" sz="12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€90.9 bn</a:t>
          </a:r>
          <a:endParaRPr lang="en-US" sz="1200">
            <a:effectLst/>
            <a:latin typeface="Courier New" panose="02070309020205020404" pitchFamily="49" charset="0"/>
            <a:ea typeface="Calibri Light" panose="020F0302020204030204" pitchFamily="34" charset="0"/>
            <a:cs typeface="Courier New" panose="02070309020205020404" pitchFamily="49" charset="0"/>
          </a:endParaRPr>
        </a:p>
        <a:p xmlns:a="http://schemas.openxmlformats.org/drawingml/2006/main">
          <a:r>
            <a:rPr lang="en-US" sz="1300">
              <a:latin typeface="Courier New" panose="02070309020205020404" pitchFamily="49" charset="0"/>
              <a:cs typeface="Courier New" panose="02070309020205020404" pitchFamily="49" charset="0"/>
            </a:rPr>
            <a:t> </a:t>
          </a:r>
        </a:p>
        <a:p xmlns:a="http://schemas.openxmlformats.org/drawingml/2006/main">
          <a:endParaRPr lang="en-US" sz="1300">
            <a:latin typeface="Courier New" panose="02070309020205020404" pitchFamily="49" charset="0"/>
            <a:cs typeface="Courier New" panose="02070309020205020404" pitchFamily="49" charset="0"/>
          </a:endParaRPr>
        </a:p>
      </cdr:txBody>
    </cdr:sp>
  </cdr:relSizeAnchor>
  <cdr:relSizeAnchor xmlns:cdr="http://schemas.openxmlformats.org/drawingml/2006/chartDrawing">
    <cdr:from>
      <cdr:x>0.063</cdr:x>
      <cdr:y>0.57438</cdr:y>
    </cdr:from>
    <cdr:to>
      <cdr:x>0.17053</cdr:x>
      <cdr:y>0.6225</cdr:y>
    </cdr:to>
    <cdr:sp macro="" textlink="">
      <cdr:nvSpPr>
        <cdr:cNvPr id="4" name="TextBox 16">
          <a:extLst xmlns:a="http://schemas.openxmlformats.org/drawingml/2006/main">
            <a:ext uri="{FF2B5EF4-FFF2-40B4-BE49-F238E27FC236}">
              <a16:creationId xmlns:a16="http://schemas.microsoft.com/office/drawing/2014/main" id="{0A175FA4-0DC4-43AE-9263-493F919E58B3}"/>
            </a:ext>
          </a:extLst>
        </cdr:cNvPr>
        <cdr:cNvSpPr txBox="1"/>
      </cdr:nvSpPr>
      <cdr:spPr>
        <a:xfrm xmlns:a="http://schemas.openxmlformats.org/drawingml/2006/main">
          <a:off x="789215" y="4025052"/>
          <a:ext cx="1347107" cy="33721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3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F-35 aircraft </a:t>
          </a:r>
          <a:r>
            <a:rPr lang="en-US" sz="1300" baseline="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 </a:t>
          </a:r>
          <a:r>
            <a:rPr lang="en-US" sz="13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€4 bn</a:t>
          </a:r>
          <a:endParaRPr lang="en-US" sz="1300">
            <a:effectLst/>
            <a:latin typeface="Courier New" panose="02070309020205020404" pitchFamily="49" charset="0"/>
            <a:ea typeface="Calibri Light" panose="020F0302020204030204" pitchFamily="34" charset="0"/>
            <a:cs typeface="Courier New" panose="02070309020205020404" pitchFamily="49" charset="0"/>
          </a:endParaRPr>
        </a:p>
        <a:p xmlns:a="http://schemas.openxmlformats.org/drawingml/2006/main">
          <a:endParaRPr lang="en-US" sz="1300">
            <a:latin typeface="Courier New" panose="02070309020205020404" pitchFamily="49" charset="0"/>
            <a:cs typeface="Courier New" panose="02070309020205020404" pitchFamily="49" charset="0"/>
          </a:endParaRPr>
        </a:p>
      </cdr:txBody>
    </cdr:sp>
  </cdr:relSizeAnchor>
  <cdr:relSizeAnchor xmlns:cdr="http://schemas.openxmlformats.org/drawingml/2006/chartDrawing">
    <cdr:from>
      <cdr:x>0.12256</cdr:x>
      <cdr:y>0.652</cdr:y>
    </cdr:from>
    <cdr:to>
      <cdr:x>0.16727</cdr:x>
      <cdr:y>0.70097</cdr:y>
    </cdr:to>
    <cdr:cxnSp macro="">
      <cdr:nvCxnSpPr>
        <cdr:cNvPr id="5" name="Straight Arrow Connector 4">
          <a:extLst xmlns:a="http://schemas.openxmlformats.org/drawingml/2006/main">
            <a:ext uri="{FF2B5EF4-FFF2-40B4-BE49-F238E27FC236}">
              <a16:creationId xmlns:a16="http://schemas.microsoft.com/office/drawing/2014/main" id="{F6A9B282-F22E-4D5A-8252-50B50C71C91C}"/>
            </a:ext>
          </a:extLst>
        </cdr:cNvPr>
        <cdr:cNvCxnSpPr/>
      </cdr:nvCxnSpPr>
      <cdr:spPr>
        <a:xfrm xmlns:a="http://schemas.openxmlformats.org/drawingml/2006/main">
          <a:off x="1535408" y="4568979"/>
          <a:ext cx="560092" cy="34319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0.21723</cdr:x>
      <cdr:y>0.40499</cdr:y>
    </cdr:from>
    <cdr:to>
      <cdr:x>0.50965</cdr:x>
      <cdr:y>0.49817</cdr:y>
    </cdr:to>
    <cdr:sp macro="" textlink="">
      <cdr:nvSpPr>
        <cdr:cNvPr id="6" name="TextBox 3">
          <a:extLst xmlns:a="http://schemas.openxmlformats.org/drawingml/2006/main">
            <a:ext uri="{FF2B5EF4-FFF2-40B4-BE49-F238E27FC236}">
              <a16:creationId xmlns:a16="http://schemas.microsoft.com/office/drawing/2014/main" id="{F8CAF2E1-8BF1-7DA9-D6F5-BC2B2354071F}"/>
            </a:ext>
          </a:extLst>
        </cdr:cNvPr>
        <cdr:cNvSpPr txBox="1"/>
      </cdr:nvSpPr>
      <cdr:spPr>
        <a:xfrm xmlns:a="http://schemas.openxmlformats.org/drawingml/2006/main">
          <a:off x="2721429" y="2838039"/>
          <a:ext cx="3663334" cy="6529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300">
              <a:latin typeface="Courier New" panose="02070309020205020404" pitchFamily="49" charset="0"/>
              <a:ea typeface="Calibri Light" panose="020F0302020204030204" pitchFamily="34" charset="0"/>
              <a:cs typeface="Courier New" panose="02070309020205020404" pitchFamily="49" charset="0"/>
            </a:rPr>
            <a:t>KRAB and K9</a:t>
          </a:r>
          <a:r>
            <a:rPr lang="en-US" sz="1300" baseline="0">
              <a:latin typeface="Courier New" panose="02070309020205020404" pitchFamily="49" charset="0"/>
              <a:ea typeface="Calibri Light" panose="020F0302020204030204" pitchFamily="34" charset="0"/>
              <a:cs typeface="Courier New" panose="02070309020205020404" pitchFamily="49" charset="0"/>
            </a:rPr>
            <a:t> SP howitzers </a:t>
          </a:r>
          <a:r>
            <a:rPr lang="en-US" sz="1300">
              <a:latin typeface="Courier New" panose="02070309020205020404" pitchFamily="49" charset="0"/>
              <a:ea typeface="Calibri Light" panose="020F0302020204030204" pitchFamily="34" charset="0"/>
              <a:cs typeface="Courier New" panose="02070309020205020404" pitchFamily="49" charset="0"/>
            </a:rPr>
            <a:t>- </a:t>
          </a:r>
          <a:r>
            <a:rPr lang="en-US" sz="13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€3.1 bn</a:t>
          </a:r>
        </a:p>
        <a:p xmlns:a="http://schemas.openxmlformats.org/drawingml/2006/main">
          <a:r>
            <a:rPr lang="en-US" sz="13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AW149 helicopters - €1.7 bn</a:t>
          </a:r>
        </a:p>
        <a:p xmlns:a="http://schemas.openxmlformats.org/drawingml/2006/main">
          <a:endParaRPr lang="en-US" sz="1300">
            <a:latin typeface="Courier New" panose="02070309020205020404" pitchFamily="49" charset="0"/>
            <a:cs typeface="Courier New" panose="02070309020205020404" pitchFamily="49" charset="0"/>
          </a:endParaRPr>
        </a:p>
      </cdr:txBody>
    </cdr:sp>
  </cdr:relSizeAnchor>
  <cdr:relSizeAnchor xmlns:cdr="http://schemas.openxmlformats.org/drawingml/2006/chartDrawing">
    <cdr:from>
      <cdr:x>0.42907</cdr:x>
      <cdr:y>0.31402</cdr:y>
    </cdr:from>
    <cdr:to>
      <cdr:x>0.64192</cdr:x>
      <cdr:y>0.37665</cdr:y>
    </cdr:to>
    <cdr:sp macro="" textlink="">
      <cdr:nvSpPr>
        <cdr:cNvPr id="12" name="TextBox 14">
          <a:extLst xmlns:a="http://schemas.openxmlformats.org/drawingml/2006/main">
            <a:ext uri="{FF2B5EF4-FFF2-40B4-BE49-F238E27FC236}">
              <a16:creationId xmlns:a16="http://schemas.microsoft.com/office/drawing/2014/main" id="{888E77C8-9ADC-4DF3-9329-0A4B1D23BF68}"/>
            </a:ext>
          </a:extLst>
        </cdr:cNvPr>
        <cdr:cNvSpPr txBox="1"/>
      </cdr:nvSpPr>
      <cdr:spPr>
        <a:xfrm xmlns:a="http://schemas.openxmlformats.org/drawingml/2006/main">
          <a:off x="5375257" y="2200546"/>
          <a:ext cx="2666565" cy="43889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3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FA50 aircraft</a:t>
          </a:r>
          <a:r>
            <a:rPr lang="en-US" sz="1300" baseline="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 - </a:t>
          </a:r>
          <a:r>
            <a:rPr lang="en-US" sz="13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 €2.8 bn</a:t>
          </a:r>
          <a:endParaRPr lang="en-US" sz="1300">
            <a:effectLst/>
            <a:latin typeface="Courier New" panose="02070309020205020404" pitchFamily="49" charset="0"/>
            <a:ea typeface="Calibri Light" panose="020F0302020204030204" pitchFamily="34" charset="0"/>
            <a:cs typeface="Courier New" panose="02070309020205020404" pitchFamily="49" charset="0"/>
          </a:endParaRPr>
        </a:p>
      </cdr:txBody>
    </cdr:sp>
  </cdr:relSizeAnchor>
  <cdr:relSizeAnchor xmlns:cdr="http://schemas.openxmlformats.org/drawingml/2006/chartDrawing">
    <cdr:from>
      <cdr:x>0.51663</cdr:x>
      <cdr:y>0.36972</cdr:y>
    </cdr:from>
    <cdr:to>
      <cdr:x>0.5257</cdr:x>
      <cdr:y>0.54951</cdr:y>
    </cdr:to>
    <cdr:cxnSp macro="">
      <cdr:nvCxnSpPr>
        <cdr:cNvPr id="13" name="Straight Arrow Connector 12">
          <a:extLst xmlns:a="http://schemas.openxmlformats.org/drawingml/2006/main">
            <a:ext uri="{FF2B5EF4-FFF2-40B4-BE49-F238E27FC236}">
              <a16:creationId xmlns:a16="http://schemas.microsoft.com/office/drawing/2014/main" id="{1D620CBA-5BEF-4CC1-A026-7741866B087A}"/>
            </a:ext>
          </a:extLst>
        </cdr:cNvPr>
        <cdr:cNvCxnSpPr/>
      </cdr:nvCxnSpPr>
      <cdr:spPr>
        <a:xfrm xmlns:a="http://schemas.openxmlformats.org/drawingml/2006/main">
          <a:off x="6472207" y="2590878"/>
          <a:ext cx="113650" cy="125994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0.65102</cdr:x>
      <cdr:y>0.12279</cdr:y>
    </cdr:from>
    <cdr:to>
      <cdr:x>0.79833</cdr:x>
      <cdr:y>0.23329</cdr:y>
    </cdr:to>
    <cdr:sp macro="" textlink="">
      <cdr:nvSpPr>
        <cdr:cNvPr id="19" name="TextBox 9">
          <a:extLst xmlns:a="http://schemas.openxmlformats.org/drawingml/2006/main">
            <a:ext uri="{FF2B5EF4-FFF2-40B4-BE49-F238E27FC236}">
              <a16:creationId xmlns:a16="http://schemas.microsoft.com/office/drawing/2014/main" id="{D9DAF369-FD2E-45C9-97AB-917F35607EAB}"/>
            </a:ext>
          </a:extLst>
        </cdr:cNvPr>
        <cdr:cNvSpPr txBox="1"/>
      </cdr:nvSpPr>
      <cdr:spPr>
        <a:xfrm xmlns:a="http://schemas.openxmlformats.org/drawingml/2006/main">
          <a:off x="8155810" y="860473"/>
          <a:ext cx="1845440" cy="77434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300">
              <a:latin typeface="Courier New" panose="02070309020205020404" pitchFamily="49" charset="0"/>
              <a:ea typeface="Calibri Light" panose="020F0302020204030204" pitchFamily="34" charset="0"/>
              <a:cs typeface="Courier New" panose="02070309020205020404" pitchFamily="49" charset="0"/>
            </a:rPr>
            <a:t>AH-64E Apache helicopters - </a:t>
          </a:r>
          <a:r>
            <a:rPr lang="en-US" sz="13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a:t>
          </a:r>
          <a:r>
            <a:rPr lang="en-US" sz="1300">
              <a:latin typeface="Courier New" panose="02070309020205020404" pitchFamily="49" charset="0"/>
              <a:ea typeface="Calibri Light" panose="020F0302020204030204" pitchFamily="34" charset="0"/>
              <a:cs typeface="Courier New" panose="02070309020205020404" pitchFamily="49" charset="0"/>
            </a:rPr>
            <a:t>9.2 bn</a:t>
          </a:r>
        </a:p>
        <a:p xmlns:a="http://schemas.openxmlformats.org/drawingml/2006/main">
          <a:endParaRPr lang="en-US" sz="1300">
            <a:latin typeface="Courier New" panose="02070309020205020404" pitchFamily="49" charset="0"/>
            <a:cs typeface="Courier New" panose="02070309020205020404" pitchFamily="49" charset="0"/>
          </a:endParaRPr>
        </a:p>
      </cdr:txBody>
    </cdr:sp>
  </cdr:relSizeAnchor>
  <cdr:relSizeAnchor xmlns:cdr="http://schemas.openxmlformats.org/drawingml/2006/chartDrawing">
    <cdr:from>
      <cdr:x>0.72065</cdr:x>
      <cdr:y>0.19709</cdr:y>
    </cdr:from>
    <cdr:to>
      <cdr:x>0.76255</cdr:x>
      <cdr:y>0.25836</cdr:y>
    </cdr:to>
    <cdr:cxnSp macro="">
      <cdr:nvCxnSpPr>
        <cdr:cNvPr id="20" name="Straight Arrow Connector 19">
          <a:extLst xmlns:a="http://schemas.openxmlformats.org/drawingml/2006/main">
            <a:ext uri="{FF2B5EF4-FFF2-40B4-BE49-F238E27FC236}">
              <a16:creationId xmlns:a16="http://schemas.microsoft.com/office/drawing/2014/main" id="{3479F456-9CA4-4669-8D3B-6D43AAB04EFD}"/>
            </a:ext>
          </a:extLst>
        </cdr:cNvPr>
        <cdr:cNvCxnSpPr/>
      </cdr:nvCxnSpPr>
      <cdr:spPr>
        <a:xfrm xmlns:a="http://schemas.openxmlformats.org/drawingml/2006/main">
          <a:off x="9293332" y="1249456"/>
          <a:ext cx="540228" cy="38845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0.15206</cdr:x>
      <cdr:y>0.52179</cdr:y>
    </cdr:from>
    <cdr:to>
      <cdr:x>0.38194</cdr:x>
      <cdr:y>0.60659</cdr:y>
    </cdr:to>
    <cdr:sp macro="" textlink="">
      <cdr:nvSpPr>
        <cdr:cNvPr id="21" name="TextBox 3">
          <a:extLst xmlns:a="http://schemas.openxmlformats.org/drawingml/2006/main">
            <a:ext uri="{FF2B5EF4-FFF2-40B4-BE49-F238E27FC236}">
              <a16:creationId xmlns:a16="http://schemas.microsoft.com/office/drawing/2014/main" id="{C0F62E8D-E054-CECB-EBDB-C1786EB56E1E}"/>
            </a:ext>
          </a:extLst>
        </cdr:cNvPr>
        <cdr:cNvSpPr txBox="1"/>
      </cdr:nvSpPr>
      <cdr:spPr>
        <a:xfrm xmlns:a="http://schemas.openxmlformats.org/drawingml/2006/main">
          <a:off x="1905001" y="3656519"/>
          <a:ext cx="2879809" cy="59425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300">
              <a:latin typeface="Courier New" panose="02070309020205020404" pitchFamily="49" charset="0"/>
              <a:ea typeface="Calibri Light" panose="020F0302020204030204" pitchFamily="34" charset="0"/>
              <a:cs typeface="Courier New" panose="02070309020205020404" pitchFamily="49" charset="0"/>
            </a:rPr>
            <a:t>M1A2 SEPv3 tanks- </a:t>
          </a:r>
          <a:r>
            <a:rPr lang="en-US" sz="13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€4 bn</a:t>
          </a:r>
        </a:p>
        <a:p xmlns:a="http://schemas.openxmlformats.org/drawingml/2006/main">
          <a:r>
            <a:rPr lang="en-US" sz="13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Miecznik</a:t>
          </a:r>
          <a:r>
            <a:rPr lang="en-US" sz="1300" baseline="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 </a:t>
          </a:r>
          <a:r>
            <a:rPr lang="en-US" sz="13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frigate- €1.7 bn</a:t>
          </a:r>
        </a:p>
      </cdr:txBody>
    </cdr:sp>
  </cdr:relSizeAnchor>
  <cdr:relSizeAnchor xmlns:cdr="http://schemas.openxmlformats.org/drawingml/2006/chartDrawing">
    <cdr:from>
      <cdr:x>0.31716</cdr:x>
      <cdr:y>0.60388</cdr:y>
    </cdr:from>
    <cdr:to>
      <cdr:x>0.36604</cdr:x>
      <cdr:y>0.67767</cdr:y>
    </cdr:to>
    <cdr:cxnSp macro="">
      <cdr:nvCxnSpPr>
        <cdr:cNvPr id="27" name="Straight Arrow Connector 26">
          <a:extLst xmlns:a="http://schemas.openxmlformats.org/drawingml/2006/main">
            <a:ext uri="{FF2B5EF4-FFF2-40B4-BE49-F238E27FC236}">
              <a16:creationId xmlns:a16="http://schemas.microsoft.com/office/drawing/2014/main" id="{7A710D46-E7C4-9479-BD3C-FE2886225255}"/>
            </a:ext>
          </a:extLst>
        </cdr:cNvPr>
        <cdr:cNvCxnSpPr/>
      </cdr:nvCxnSpPr>
      <cdr:spPr>
        <a:xfrm xmlns:a="http://schemas.openxmlformats.org/drawingml/2006/main">
          <a:off x="3973286" y="4231821"/>
          <a:ext cx="612321" cy="517071"/>
        </a:xfrm>
        <a:prstGeom xmlns:a="http://schemas.openxmlformats.org/drawingml/2006/main" prst="straightConnector1">
          <a:avLst/>
        </a:prstGeom>
        <a:ln xmlns:a="http://schemas.openxmlformats.org/drawingml/2006/main">
          <a:tailEnd type="triangle"/>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0.42777</cdr:x>
      <cdr:y>0.4809</cdr:y>
    </cdr:from>
    <cdr:to>
      <cdr:x>0.49094</cdr:x>
      <cdr:y>0.58058</cdr:y>
    </cdr:to>
    <cdr:cxnSp macro="">
      <cdr:nvCxnSpPr>
        <cdr:cNvPr id="32" name="Straight Arrow Connector 31">
          <a:extLst xmlns:a="http://schemas.openxmlformats.org/drawingml/2006/main">
            <a:ext uri="{FF2B5EF4-FFF2-40B4-BE49-F238E27FC236}">
              <a16:creationId xmlns:a16="http://schemas.microsoft.com/office/drawing/2014/main" id="{E5FB51F3-34F3-F1B0-745B-79C76FB0BF87}"/>
            </a:ext>
          </a:extLst>
        </cdr:cNvPr>
        <cdr:cNvCxnSpPr/>
      </cdr:nvCxnSpPr>
      <cdr:spPr>
        <a:xfrm xmlns:a="http://schemas.openxmlformats.org/drawingml/2006/main">
          <a:off x="5358992" y="3369992"/>
          <a:ext cx="791437" cy="69854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0.18909</cdr:x>
      <cdr:y>0.03889</cdr:y>
    </cdr:from>
    <cdr:to>
      <cdr:x>0.62938</cdr:x>
      <cdr:y>0.29406</cdr:y>
    </cdr:to>
    <cdr:sp macro="" textlink="">
      <cdr:nvSpPr>
        <cdr:cNvPr id="8" name="TextBox 3">
          <a:extLst xmlns:a="http://schemas.openxmlformats.org/drawingml/2006/main">
            <a:ext uri="{FF2B5EF4-FFF2-40B4-BE49-F238E27FC236}">
              <a16:creationId xmlns:a16="http://schemas.microsoft.com/office/drawing/2014/main" id="{3AFB251C-8A38-9C2F-19D8-75F8CADE4E03}"/>
            </a:ext>
          </a:extLst>
        </cdr:cNvPr>
        <cdr:cNvSpPr txBox="1"/>
      </cdr:nvSpPr>
      <cdr:spPr>
        <a:xfrm xmlns:a="http://schemas.openxmlformats.org/drawingml/2006/main">
          <a:off x="2437579" y="246529"/>
          <a:ext cx="5675740" cy="1617684"/>
        </a:xfrm>
        <a:prstGeom xmlns:a="http://schemas.openxmlformats.org/drawingml/2006/main" prst="rect">
          <a:avLst/>
        </a:prstGeom>
        <a:solidFill xmlns:a="http://schemas.openxmlformats.org/drawingml/2006/main">
          <a:srgbClr val="F5F1E7"/>
        </a:solidFill>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300" u="sng">
              <a:latin typeface="Courier New" panose="02070309020205020404" pitchFamily="49" charset="0"/>
              <a:ea typeface="Calibri Light" panose="020F0302020204030204" pitchFamily="34" charset="0"/>
              <a:cs typeface="Courier New" panose="02070309020205020404" pitchFamily="49" charset="0"/>
            </a:rPr>
            <a:t>Land includes:</a:t>
          </a:r>
        </a:p>
        <a:p xmlns:a="http://schemas.openxmlformats.org/drawingml/2006/main">
          <a:r>
            <a:rPr lang="en-US" sz="1300">
              <a:latin typeface="Courier New" panose="02070309020205020404" pitchFamily="49" charset="0"/>
              <a:ea typeface="Calibri Light" panose="020F0302020204030204" pitchFamily="34" charset="0"/>
              <a:cs typeface="Courier New" panose="02070309020205020404" pitchFamily="49" charset="0"/>
            </a:rPr>
            <a:t>Air defence system, Ammunition, Armoured vehicle,</a:t>
          </a:r>
          <a:r>
            <a:rPr lang="en-US" sz="1300" baseline="0">
              <a:latin typeface="Courier New" panose="02070309020205020404" pitchFamily="49" charset="0"/>
              <a:ea typeface="Calibri Light" panose="020F0302020204030204" pitchFamily="34" charset="0"/>
              <a:cs typeface="Courier New" panose="02070309020205020404" pitchFamily="49" charset="0"/>
            </a:rPr>
            <a:t> Artillery, Drone, Helicopter, Infantry, Main battle tank, Mine, Missile (Land)</a:t>
          </a:r>
        </a:p>
        <a:p xmlns:a="http://schemas.openxmlformats.org/drawingml/2006/main">
          <a:r>
            <a:rPr lang="en-US" sz="1300" u="sng" baseline="0">
              <a:latin typeface="Courier New" panose="02070309020205020404" pitchFamily="49" charset="0"/>
              <a:ea typeface="Calibri Light" panose="020F0302020204030204" pitchFamily="34" charset="0"/>
              <a:cs typeface="Courier New" panose="02070309020205020404" pitchFamily="49" charset="0"/>
            </a:rPr>
            <a:t>Other includes:</a:t>
          </a:r>
        </a:p>
        <a:p xmlns:a="http://schemas.openxmlformats.org/drawingml/2006/main">
          <a:r>
            <a:rPr lang="en-US" sz="1300" u="none" baseline="0">
              <a:latin typeface="Courier New" panose="02070309020205020404" pitchFamily="49" charset="0"/>
              <a:ea typeface="Calibri Light" panose="020F0302020204030204" pitchFamily="34" charset="0"/>
              <a:cs typeface="Courier New" panose="02070309020205020404" pitchFamily="49" charset="0"/>
            </a:rPr>
            <a:t>Maintenance, Modernisation, Other</a:t>
          </a:r>
        </a:p>
        <a:p xmlns:a="http://schemas.openxmlformats.org/drawingml/2006/main">
          <a:endParaRPr lang="en-US" sz="1300" u="none" baseline="0">
            <a:latin typeface="Courier New" panose="02070309020205020404" pitchFamily="49" charset="0"/>
            <a:ea typeface="Calibri Light" panose="020F0302020204030204" pitchFamily="34" charset="0"/>
            <a:cs typeface="Courier New" panose="02070309020205020404" pitchFamily="49" charset="0"/>
          </a:endParaRPr>
        </a:p>
        <a:p xmlns:a="http://schemas.openxmlformats.org/drawingml/2006/main">
          <a:r>
            <a:rPr lang="en-US" sz="1300" u="none" baseline="0">
              <a:latin typeface="Courier New" panose="02070309020205020404" pitchFamily="49" charset="0"/>
              <a:ea typeface="Calibri Light" panose="020F0302020204030204" pitchFamily="34" charset="0"/>
              <a:cs typeface="Courier New" panose="02070309020205020404" pitchFamily="49" charset="0"/>
            </a:rPr>
            <a:t>Each category includes costs for development</a:t>
          </a:r>
          <a:endParaRPr lang="en-US" sz="1300" u="none">
            <a:latin typeface="Courier New" panose="02070309020205020404" pitchFamily="49" charset="0"/>
            <a:ea typeface="Calibri Light" panose="020F0302020204030204" pitchFamily="34" charset="0"/>
            <a:cs typeface="Courier New" panose="02070309020205020404" pitchFamily="49" charset="0"/>
          </a:endParaRPr>
        </a:p>
      </cdr:txBody>
    </cdr:sp>
  </cdr:relSizeAnchor>
  <cdr:relSizeAnchor xmlns:cdr="http://schemas.openxmlformats.org/drawingml/2006/chartDrawing">
    <cdr:from>
      <cdr:x>0.77552</cdr:x>
      <cdr:y>0.26772</cdr:y>
    </cdr:from>
    <cdr:to>
      <cdr:x>0.90586</cdr:x>
      <cdr:y>0.41551</cdr:y>
    </cdr:to>
    <cdr:sp macro="" textlink="">
      <cdr:nvSpPr>
        <cdr:cNvPr id="34" name="TextBox 9">
          <a:extLst xmlns:a="http://schemas.openxmlformats.org/drawingml/2006/main">
            <a:ext uri="{FF2B5EF4-FFF2-40B4-BE49-F238E27FC236}">
              <a16:creationId xmlns:a16="http://schemas.microsoft.com/office/drawing/2014/main" id="{9B703106-11B4-1105-70AA-43EB37868E20}"/>
            </a:ext>
          </a:extLst>
        </cdr:cNvPr>
        <cdr:cNvSpPr txBox="1"/>
      </cdr:nvSpPr>
      <cdr:spPr>
        <a:xfrm xmlns:a="http://schemas.openxmlformats.org/drawingml/2006/main">
          <a:off x="9715502" y="1876070"/>
          <a:ext cx="1632856" cy="103566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300">
              <a:latin typeface="Courier New" panose="02070309020205020404" pitchFamily="49" charset="0"/>
              <a:ea typeface="Calibri Light" panose="020F0302020204030204" pitchFamily="34" charset="0"/>
              <a:cs typeface="Courier New" panose="02070309020205020404" pitchFamily="49" charset="0"/>
            </a:rPr>
            <a:t>KRAB SP</a:t>
          </a:r>
          <a:r>
            <a:rPr lang="en-US" sz="1300" baseline="0">
              <a:latin typeface="Courier New" panose="02070309020205020404" pitchFamily="49" charset="0"/>
              <a:ea typeface="Calibri Light" panose="020F0302020204030204" pitchFamily="34" charset="0"/>
              <a:cs typeface="Courier New" panose="02070309020205020404" pitchFamily="49" charset="0"/>
            </a:rPr>
            <a:t> howitzer and K9 SP howitzer accompanying vehicles - </a:t>
          </a:r>
          <a:r>
            <a:rPr lang="en-US" sz="1300">
              <a:solidFill>
                <a:schemeClr val="dk1"/>
              </a:solidFill>
              <a:effectLst/>
              <a:latin typeface="Courier New" panose="02070309020205020404" pitchFamily="49" charset="0"/>
              <a:ea typeface="+mn-ea"/>
              <a:cs typeface="Courier New" panose="02070309020205020404" pitchFamily="49" charset="0"/>
            </a:rPr>
            <a:t>€</a:t>
          </a:r>
          <a:r>
            <a:rPr lang="en-US" sz="1300" baseline="0">
              <a:latin typeface="Courier New" panose="02070309020205020404" pitchFamily="49" charset="0"/>
              <a:ea typeface="Calibri Light" panose="020F0302020204030204" pitchFamily="34" charset="0"/>
              <a:cs typeface="Courier New" panose="02070309020205020404" pitchFamily="49" charset="0"/>
            </a:rPr>
            <a:t>3.9 bn</a:t>
          </a:r>
          <a:endParaRPr lang="en-US" sz="1300">
            <a:latin typeface="Courier New" panose="02070309020205020404" pitchFamily="49" charset="0"/>
            <a:ea typeface="Calibri Light" panose="020F0302020204030204" pitchFamily="34" charset="0"/>
            <a:cs typeface="Courier New" panose="02070309020205020404" pitchFamily="49" charset="0"/>
          </a:endParaRPr>
        </a:p>
        <a:p xmlns:a="http://schemas.openxmlformats.org/drawingml/2006/main">
          <a:endParaRPr lang="en-US" sz="1300">
            <a:latin typeface="Courier New" panose="02070309020205020404" pitchFamily="49" charset="0"/>
            <a:cs typeface="Courier New" panose="02070309020205020404" pitchFamily="49" charset="0"/>
          </a:endParaRPr>
        </a:p>
      </cdr:txBody>
    </cdr:sp>
  </cdr:relSizeAnchor>
  <cdr:relSizeAnchor xmlns:cdr="http://schemas.openxmlformats.org/drawingml/2006/chartDrawing">
    <cdr:from>
      <cdr:x>0.83577</cdr:x>
      <cdr:y>0.44018</cdr:y>
    </cdr:from>
    <cdr:to>
      <cdr:x>0.85097</cdr:x>
      <cdr:y>0.52546</cdr:y>
    </cdr:to>
    <cdr:cxnSp macro="">
      <cdr:nvCxnSpPr>
        <cdr:cNvPr id="35" name="Straight Arrow Connector 34">
          <a:extLst xmlns:a="http://schemas.openxmlformats.org/drawingml/2006/main">
            <a:ext uri="{FF2B5EF4-FFF2-40B4-BE49-F238E27FC236}">
              <a16:creationId xmlns:a16="http://schemas.microsoft.com/office/drawing/2014/main" id="{7F2C9875-8200-B56B-D2A3-B651EC42C1ED}"/>
            </a:ext>
          </a:extLst>
        </cdr:cNvPr>
        <cdr:cNvCxnSpPr/>
      </cdr:nvCxnSpPr>
      <cdr:spPr>
        <a:xfrm xmlns:a="http://schemas.openxmlformats.org/drawingml/2006/main" flipH="1">
          <a:off x="10470369" y="3084624"/>
          <a:ext cx="190421" cy="59761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0.55675</cdr:x>
      <cdr:y>0.49901</cdr:y>
    </cdr:from>
    <cdr:to>
      <cdr:x>0.72773</cdr:x>
      <cdr:y>0.62001</cdr:y>
    </cdr:to>
    <cdr:sp macro="" textlink="">
      <cdr:nvSpPr>
        <cdr:cNvPr id="22" name="TextBox 10">
          <a:extLst xmlns:a="http://schemas.openxmlformats.org/drawingml/2006/main">
            <a:ext uri="{FF2B5EF4-FFF2-40B4-BE49-F238E27FC236}">
              <a16:creationId xmlns:a16="http://schemas.microsoft.com/office/drawing/2014/main" id="{0B23F16C-F392-2D1F-47C1-0907E3825EB7}"/>
            </a:ext>
          </a:extLst>
        </cdr:cNvPr>
        <cdr:cNvSpPr txBox="1"/>
      </cdr:nvSpPr>
      <cdr:spPr>
        <a:xfrm xmlns:a="http://schemas.openxmlformats.org/drawingml/2006/main">
          <a:off x="6974802" y="3496889"/>
          <a:ext cx="2141984" cy="84792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300">
              <a:latin typeface="Courier New" panose="02070309020205020404" pitchFamily="49" charset="0"/>
              <a:ea typeface="Calibri Light" panose="020F0302020204030204" pitchFamily="34" charset="0"/>
              <a:cs typeface="Courier New" panose="02070309020205020404" pitchFamily="49" charset="0"/>
            </a:rPr>
            <a:t>K2 tanks - </a:t>
          </a:r>
          <a:r>
            <a:rPr lang="en-US" sz="1300">
              <a:solidFill>
                <a:schemeClr val="tx1"/>
              </a:solidFill>
              <a:effectLst/>
              <a:latin typeface="Courier New" panose="02070309020205020404" pitchFamily="49" charset="0"/>
              <a:ea typeface="Calibri Light" panose="020F0302020204030204" pitchFamily="34" charset="0"/>
              <a:cs typeface="Courier New" panose="02070309020205020404" pitchFamily="49" charset="0"/>
            </a:rPr>
            <a:t>€3.2 bn</a:t>
          </a:r>
        </a:p>
        <a:p xmlns:a="http://schemas.openxmlformats.org/drawingml/2006/main">
          <a:r>
            <a:rPr lang="en-US" sz="1300">
              <a:solidFill>
                <a:schemeClr val="tx1"/>
              </a:solidFill>
              <a:effectLst/>
              <a:latin typeface="Courier New" panose="02070309020205020404" pitchFamily="49" charset="0"/>
              <a:ea typeface="Calibri Light" panose="020F0302020204030204" pitchFamily="34" charset="0"/>
              <a:cs typeface="Courier New" panose="02070309020205020404" pitchFamily="49" charset="0"/>
            </a:rPr>
            <a:t>K239</a:t>
          </a:r>
          <a:r>
            <a:rPr lang="en-US" sz="1300" baseline="0">
              <a:solidFill>
                <a:schemeClr val="tx1"/>
              </a:solidFill>
              <a:effectLst/>
              <a:latin typeface="Courier New" panose="02070309020205020404" pitchFamily="49" charset="0"/>
              <a:ea typeface="Calibri Light" panose="020F0302020204030204" pitchFamily="34" charset="0"/>
              <a:cs typeface="Courier New" panose="02070309020205020404" pitchFamily="49" charset="0"/>
            </a:rPr>
            <a:t> Chunmoo launchers</a:t>
          </a:r>
          <a:r>
            <a:rPr lang="en-US" sz="1300">
              <a:solidFill>
                <a:schemeClr val="tx1"/>
              </a:solidFill>
              <a:effectLst/>
              <a:latin typeface="Courier New" panose="02070309020205020404" pitchFamily="49" charset="0"/>
              <a:ea typeface="Calibri Light" panose="020F0302020204030204" pitchFamily="34" charset="0"/>
              <a:cs typeface="Courier New" panose="02070309020205020404" pitchFamily="49" charset="0"/>
            </a:rPr>
            <a:t> - €3.3 bn</a:t>
          </a:r>
        </a:p>
        <a:p xmlns:a="http://schemas.openxmlformats.org/drawingml/2006/main">
          <a:endParaRPr lang="en-US" sz="1300">
            <a:solidFill>
              <a:schemeClr val="tx1"/>
            </a:solidFill>
            <a:effectLst/>
            <a:latin typeface="Courier New" panose="02070309020205020404" pitchFamily="49" charset="0"/>
            <a:ea typeface="Calibri Light" panose="020F0302020204030204" pitchFamily="34" charset="0"/>
            <a:cs typeface="Courier New" panose="02070309020205020404" pitchFamily="49" charset="0"/>
          </a:endParaRPr>
        </a:p>
      </cdr:txBody>
    </cdr:sp>
  </cdr:relSizeAnchor>
  <cdr:relSizeAnchor xmlns:cdr="http://schemas.openxmlformats.org/drawingml/2006/chartDrawing">
    <cdr:from>
      <cdr:x>0.55139</cdr:x>
      <cdr:y>0.59425</cdr:y>
    </cdr:from>
    <cdr:to>
      <cdr:x>0.57909</cdr:x>
      <cdr:y>0.66314</cdr:y>
    </cdr:to>
    <cdr:cxnSp macro="">
      <cdr:nvCxnSpPr>
        <cdr:cNvPr id="23" name="Straight Arrow Connector 22">
          <a:extLst xmlns:a="http://schemas.openxmlformats.org/drawingml/2006/main">
            <a:ext uri="{FF2B5EF4-FFF2-40B4-BE49-F238E27FC236}">
              <a16:creationId xmlns:a16="http://schemas.microsoft.com/office/drawing/2014/main" id="{2A45A8CF-EEE9-6D59-B17A-9703C402D8BD}"/>
            </a:ext>
          </a:extLst>
        </cdr:cNvPr>
        <cdr:cNvCxnSpPr/>
      </cdr:nvCxnSpPr>
      <cdr:spPr>
        <a:xfrm xmlns:a="http://schemas.openxmlformats.org/drawingml/2006/main" flipH="1">
          <a:off x="6907662" y="4164312"/>
          <a:ext cx="347018" cy="48275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0.82698</cdr:x>
      <cdr:y>0.10511</cdr:y>
    </cdr:from>
    <cdr:to>
      <cdr:x>0.99384</cdr:x>
      <cdr:y>0.24222</cdr:y>
    </cdr:to>
    <cdr:sp macro="" textlink="">
      <cdr:nvSpPr>
        <cdr:cNvPr id="2" name="TextBox 10">
          <a:extLst xmlns:a="http://schemas.openxmlformats.org/drawingml/2006/main">
            <a:ext uri="{FF2B5EF4-FFF2-40B4-BE49-F238E27FC236}">
              <a16:creationId xmlns:a16="http://schemas.microsoft.com/office/drawing/2014/main" id="{74F4AFA1-F4A1-E51D-7569-E1B310F4818F}"/>
            </a:ext>
          </a:extLst>
        </cdr:cNvPr>
        <cdr:cNvSpPr txBox="1"/>
      </cdr:nvSpPr>
      <cdr:spPr>
        <a:xfrm xmlns:a="http://schemas.openxmlformats.org/drawingml/2006/main">
          <a:off x="10360204" y="736556"/>
          <a:ext cx="2090331" cy="96082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300">
              <a:latin typeface="Courier New" panose="02070309020205020404" pitchFamily="49" charset="0"/>
              <a:ea typeface="Calibri Light" panose="020F0302020204030204" pitchFamily="34" charset="0"/>
              <a:cs typeface="Courier New" panose="02070309020205020404" pitchFamily="49" charset="0"/>
            </a:rPr>
            <a:t>K2 tanks - </a:t>
          </a:r>
          <a:r>
            <a:rPr lang="en-US" sz="1300">
              <a:solidFill>
                <a:schemeClr val="tx1"/>
              </a:solidFill>
              <a:effectLst/>
              <a:latin typeface="Courier New" panose="02070309020205020404" pitchFamily="49" charset="0"/>
              <a:ea typeface="Calibri Light" panose="020F0302020204030204" pitchFamily="34" charset="0"/>
              <a:cs typeface="Courier New" panose="02070309020205020404" pitchFamily="49" charset="0"/>
            </a:rPr>
            <a:t>€5.7 bn</a:t>
          </a:r>
        </a:p>
        <a:p xmlns:a="http://schemas.openxmlformats.org/drawingml/2006/main">
          <a:r>
            <a:rPr lang="en-US" sz="1300">
              <a:solidFill>
                <a:schemeClr val="tx1"/>
              </a:solidFill>
              <a:effectLst/>
              <a:latin typeface="Courier New" panose="02070309020205020404" pitchFamily="49" charset="0"/>
              <a:ea typeface="Calibri Light" panose="020F0302020204030204" pitchFamily="34" charset="0"/>
              <a:cs typeface="Courier New" panose="02070309020205020404" pitchFamily="49" charset="0"/>
            </a:rPr>
            <a:t>F-16</a:t>
          </a:r>
          <a:r>
            <a:rPr lang="en-US" sz="1300" baseline="0">
              <a:solidFill>
                <a:schemeClr val="tx1"/>
              </a:solidFill>
              <a:effectLst/>
              <a:latin typeface="Courier New" panose="02070309020205020404" pitchFamily="49" charset="0"/>
              <a:ea typeface="Calibri Light" panose="020F0302020204030204" pitchFamily="34" charset="0"/>
              <a:cs typeface="Courier New" panose="02070309020205020404" pitchFamily="49" charset="0"/>
            </a:rPr>
            <a:t> modernisation - €3.3 bn</a:t>
          </a:r>
          <a:endParaRPr lang="en-US" sz="1300">
            <a:solidFill>
              <a:schemeClr val="tx1"/>
            </a:solidFill>
            <a:effectLst/>
            <a:latin typeface="Courier New" panose="02070309020205020404" pitchFamily="49" charset="0"/>
            <a:ea typeface="Calibri Light" panose="020F0302020204030204" pitchFamily="34" charset="0"/>
            <a:cs typeface="Courier New" panose="02070309020205020404" pitchFamily="49" charset="0"/>
          </a:endParaRPr>
        </a:p>
      </cdr:txBody>
    </cdr:sp>
  </cdr:relSizeAnchor>
  <cdr:relSizeAnchor xmlns:cdr="http://schemas.openxmlformats.org/drawingml/2006/chartDrawing">
    <cdr:from>
      <cdr:x>0.92215</cdr:x>
      <cdr:y>0.19612</cdr:y>
    </cdr:from>
    <cdr:to>
      <cdr:x>0.9417</cdr:x>
      <cdr:y>0.2932</cdr:y>
    </cdr:to>
    <cdr:cxnSp macro="">
      <cdr:nvCxnSpPr>
        <cdr:cNvPr id="7" name="Straight Arrow Connector 6">
          <a:extLst xmlns:a="http://schemas.openxmlformats.org/drawingml/2006/main">
            <a:ext uri="{FF2B5EF4-FFF2-40B4-BE49-F238E27FC236}">
              <a16:creationId xmlns:a16="http://schemas.microsoft.com/office/drawing/2014/main" id="{6E3D2463-7CF7-11EB-EB34-3F5D80BF3A49}"/>
            </a:ext>
          </a:extLst>
        </cdr:cNvPr>
        <cdr:cNvCxnSpPr/>
      </cdr:nvCxnSpPr>
      <cdr:spPr>
        <a:xfrm xmlns:a="http://schemas.openxmlformats.org/drawingml/2006/main" flipH="1">
          <a:off x="11552456" y="1374321"/>
          <a:ext cx="244937" cy="68033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1.xml><?xml version="1.0" encoding="utf-8"?>
<xdr:wsDr xmlns:xdr="http://schemas.openxmlformats.org/drawingml/2006/spreadsheetDrawing" xmlns:a="http://schemas.openxmlformats.org/drawingml/2006/main">
  <xdr:twoCellAnchor>
    <xdr:from>
      <xdr:col>7</xdr:col>
      <xdr:colOff>526676</xdr:colOff>
      <xdr:row>3</xdr:row>
      <xdr:rowOff>448235</xdr:rowOff>
    </xdr:from>
    <xdr:to>
      <xdr:col>21</xdr:col>
      <xdr:colOff>411536</xdr:colOff>
      <xdr:row>16</xdr:row>
      <xdr:rowOff>25773</xdr:rowOff>
    </xdr:to>
    <xdr:graphicFrame macro="">
      <xdr:nvGraphicFramePr>
        <xdr:cNvPr id="4" name="Chart 5">
          <a:extLst>
            <a:ext uri="{FF2B5EF4-FFF2-40B4-BE49-F238E27FC236}">
              <a16:creationId xmlns:a16="http://schemas.microsoft.com/office/drawing/2014/main" id="{5BCD17C8-EA2A-4B42-B6FC-C4FB20CB56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0.67665</cdr:x>
      <cdr:y>0.0859</cdr:y>
    </cdr:from>
    <cdr:to>
      <cdr:x>0.97057</cdr:x>
      <cdr:y>0.42901</cdr:y>
    </cdr:to>
    <cdr:sp macro="" textlink="">
      <cdr:nvSpPr>
        <cdr:cNvPr id="3" name="TextBox 1">
          <a:extLst xmlns:a="http://schemas.openxmlformats.org/drawingml/2006/main">
            <a:ext uri="{FF2B5EF4-FFF2-40B4-BE49-F238E27FC236}">
              <a16:creationId xmlns:a16="http://schemas.microsoft.com/office/drawing/2014/main" id="{9C848CB0-2EA7-0F9D-E81D-A91EFD2E956A}"/>
            </a:ext>
          </a:extLst>
        </cdr:cNvPr>
        <cdr:cNvSpPr txBox="1"/>
      </cdr:nvSpPr>
      <cdr:spPr>
        <a:xfrm xmlns:a="http://schemas.openxmlformats.org/drawingml/2006/main">
          <a:off x="6242070" y="318905"/>
          <a:ext cx="2711429" cy="12737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tx1"/>
              </a:solidFill>
              <a:latin typeface="Courier New" panose="02070309020205020404" pitchFamily="49" charset="0"/>
              <a:ea typeface="Calibri Light" panose="020F0302020204030204" pitchFamily="34" charset="0"/>
              <a:cs typeface="Courier New" panose="02070309020205020404" pitchFamily="49" charset="0"/>
            </a:rPr>
            <a:t>Total military orders with known origin: </a:t>
          </a:r>
          <a:r>
            <a:rPr lang="en-US" sz="1200" b="1">
              <a:solidFill>
                <a:schemeClr val="tx1"/>
              </a:solidFill>
              <a:effectLst/>
              <a:latin typeface="Courier New" panose="02070309020205020404" pitchFamily="49" charset="0"/>
              <a:ea typeface="Calibri Light" panose="020F0302020204030204" pitchFamily="34" charset="0"/>
              <a:cs typeface="Courier New" panose="02070309020205020404" pitchFamily="49" charset="0"/>
            </a:rPr>
            <a:t>€87.7</a:t>
          </a:r>
          <a:r>
            <a:rPr lang="en-US" sz="1200" b="1" baseline="0">
              <a:solidFill>
                <a:schemeClr val="tx1"/>
              </a:solidFill>
              <a:effectLst/>
              <a:latin typeface="Courier New" panose="02070309020205020404" pitchFamily="49" charset="0"/>
              <a:ea typeface="Calibri Light" panose="020F0302020204030204" pitchFamily="34" charset="0"/>
              <a:cs typeface="Courier New" panose="02070309020205020404" pitchFamily="49" charset="0"/>
            </a:rPr>
            <a:t> </a:t>
          </a:r>
          <a:r>
            <a:rPr lang="en-US" sz="1200" b="1">
              <a:solidFill>
                <a:schemeClr val="tx1"/>
              </a:solidFill>
              <a:latin typeface="Courier New" panose="02070309020205020404" pitchFamily="49" charset="0"/>
              <a:ea typeface="Calibri Light" panose="020F0302020204030204" pitchFamily="34" charset="0"/>
              <a:cs typeface="Courier New" panose="02070309020205020404" pitchFamily="49" charset="0"/>
            </a:rPr>
            <a:t>billion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200" b="0">
            <a:solidFill>
              <a:schemeClr val="tx1"/>
            </a:solidFill>
            <a:latin typeface="Courier New" panose="02070309020205020404" pitchFamily="49" charset="0"/>
            <a:ea typeface="Calibri Light" panose="020F0302020204030204" pitchFamily="34" charset="0"/>
            <a:cs typeface="Courier New" panose="02070309020205020404" pitchFamily="49"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200" b="0">
              <a:solidFill>
                <a:schemeClr val="tx1"/>
              </a:solidFill>
              <a:latin typeface="Courier New" panose="02070309020205020404" pitchFamily="49" charset="0"/>
              <a:ea typeface="Calibri Light" panose="020F0302020204030204" pitchFamily="34" charset="0"/>
              <a:cs typeface="Courier New" panose="02070309020205020404" pitchFamily="49" charset="0"/>
            </a:rPr>
            <a:t>out</a:t>
          </a:r>
          <a:r>
            <a:rPr lang="en-US" sz="1200" b="0" baseline="0">
              <a:solidFill>
                <a:schemeClr val="tx1"/>
              </a:solidFill>
              <a:latin typeface="Courier New" panose="02070309020205020404" pitchFamily="49" charset="0"/>
              <a:ea typeface="Calibri Light" panose="020F0302020204030204" pitchFamily="34" charset="0"/>
              <a:cs typeface="Courier New" panose="02070309020205020404" pitchFamily="49" charset="0"/>
            </a:rPr>
            <a:t> of €88.3 billion total orders Jan 2020 - Jan 2026</a:t>
          </a:r>
          <a:endParaRPr lang="en-US" sz="1200" b="0">
            <a:solidFill>
              <a:schemeClr val="tx1"/>
            </a:solidFill>
            <a:latin typeface="Courier New" panose="02070309020205020404" pitchFamily="49" charset="0"/>
            <a:ea typeface="Calibri Light" panose="020F0302020204030204" pitchFamily="34" charset="0"/>
            <a:cs typeface="Courier New" panose="02070309020205020404" pitchFamily="49" charset="0"/>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17</xdr:col>
      <xdr:colOff>0</xdr:colOff>
      <xdr:row>5</xdr:row>
      <xdr:rowOff>0</xdr:rowOff>
    </xdr:from>
    <xdr:to>
      <xdr:col>32</xdr:col>
      <xdr:colOff>78750</xdr:colOff>
      <xdr:row>27</xdr:row>
      <xdr:rowOff>37537</xdr:rowOff>
    </xdr:to>
    <xdr:graphicFrame macro="">
      <xdr:nvGraphicFramePr>
        <xdr:cNvPr id="2" name="Chart 2">
          <a:extLst>
            <a:ext uri="{FF2B5EF4-FFF2-40B4-BE49-F238E27FC236}">
              <a16:creationId xmlns:a16="http://schemas.microsoft.com/office/drawing/2014/main" id="{B2A3A5B6-C8FC-4521-8C1E-10324646C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0.80062</cdr:x>
      <cdr:y>0.05193</cdr:y>
    </cdr:from>
    <cdr:to>
      <cdr:x>0.97888</cdr:x>
      <cdr:y>0.13065</cdr:y>
    </cdr:to>
    <cdr:sp macro="" textlink="">
      <cdr:nvSpPr>
        <cdr:cNvPr id="2" name="TextBox 1">
          <a:extLst xmlns:a="http://schemas.openxmlformats.org/drawingml/2006/main">
            <a:ext uri="{FF2B5EF4-FFF2-40B4-BE49-F238E27FC236}">
              <a16:creationId xmlns:a16="http://schemas.microsoft.com/office/drawing/2014/main" id="{5A4F1C4D-162F-E5D0-BAB5-A0D7075A63EB}"/>
            </a:ext>
          </a:extLst>
        </cdr:cNvPr>
        <cdr:cNvSpPr txBox="1"/>
      </cdr:nvSpPr>
      <cdr:spPr>
        <a:xfrm xmlns:a="http://schemas.openxmlformats.org/drawingml/2006/main">
          <a:off x="5920740" y="236220"/>
          <a:ext cx="1318260" cy="3581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0.03541</cdr:x>
      <cdr:y>0.03098</cdr:y>
    </cdr:from>
    <cdr:to>
      <cdr:x>0.25832</cdr:x>
      <cdr:y>0.09519</cdr:y>
    </cdr:to>
    <cdr:sp macro="" textlink="">
      <cdr:nvSpPr>
        <cdr:cNvPr id="4" name="TextBox 1">
          <a:extLst xmlns:a="http://schemas.openxmlformats.org/drawingml/2006/main">
            <a:ext uri="{FF2B5EF4-FFF2-40B4-BE49-F238E27FC236}">
              <a16:creationId xmlns:a16="http://schemas.microsoft.com/office/drawing/2014/main" id="{8FB0B40B-626A-E164-F638-6918DC36A09C}"/>
            </a:ext>
          </a:extLst>
        </cdr:cNvPr>
        <cdr:cNvSpPr txBox="1"/>
      </cdr:nvSpPr>
      <cdr:spPr>
        <a:xfrm xmlns:a="http://schemas.openxmlformats.org/drawingml/2006/main">
          <a:off x="357114" y="139577"/>
          <a:ext cx="2247994" cy="289251"/>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Courier New" panose="02070309020205020404" pitchFamily="49" charset="0"/>
              <a:ea typeface="Calibri Light" panose="020F0302020204030204" pitchFamily="34" charset="0"/>
              <a:cs typeface="Courier New" panose="02070309020205020404" pitchFamily="49" charset="0"/>
            </a:rPr>
            <a:t>Years since order</a:t>
          </a:r>
        </a:p>
      </cdr:txBody>
    </cdr:sp>
  </cdr:relSizeAnchor>
</c:userShapes>
</file>

<file path=xl/drawings/drawing25.xml><?xml version="1.0" encoding="utf-8"?>
<xdr:wsDr xmlns:xdr="http://schemas.openxmlformats.org/drawingml/2006/spreadsheetDrawing" xmlns:a="http://schemas.openxmlformats.org/drawingml/2006/main">
  <xdr:twoCellAnchor>
    <xdr:from>
      <xdr:col>9</xdr:col>
      <xdr:colOff>655320</xdr:colOff>
      <xdr:row>5</xdr:row>
      <xdr:rowOff>7620</xdr:rowOff>
    </xdr:from>
    <xdr:to>
      <xdr:col>25</xdr:col>
      <xdr:colOff>67320</xdr:colOff>
      <xdr:row>27</xdr:row>
      <xdr:rowOff>40395</xdr:rowOff>
    </xdr:to>
    <xdr:graphicFrame macro="">
      <xdr:nvGraphicFramePr>
        <xdr:cNvPr id="2" name="Chart 1">
          <a:extLst>
            <a:ext uri="{FF2B5EF4-FFF2-40B4-BE49-F238E27FC236}">
              <a16:creationId xmlns:a16="http://schemas.microsoft.com/office/drawing/2014/main" id="{058439CF-C429-4ED0-AA8A-FA56893FA9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0.80062</cdr:x>
      <cdr:y>0.05193</cdr:y>
    </cdr:from>
    <cdr:to>
      <cdr:x>0.97888</cdr:x>
      <cdr:y>0.13065</cdr:y>
    </cdr:to>
    <cdr:sp macro="" textlink="">
      <cdr:nvSpPr>
        <cdr:cNvPr id="2" name="TextBox 1">
          <a:extLst xmlns:a="http://schemas.openxmlformats.org/drawingml/2006/main">
            <a:ext uri="{FF2B5EF4-FFF2-40B4-BE49-F238E27FC236}">
              <a16:creationId xmlns:a16="http://schemas.microsoft.com/office/drawing/2014/main" id="{5A4F1C4D-162F-E5D0-BAB5-A0D7075A63EB}"/>
            </a:ext>
          </a:extLst>
        </cdr:cNvPr>
        <cdr:cNvSpPr txBox="1"/>
      </cdr:nvSpPr>
      <cdr:spPr>
        <a:xfrm xmlns:a="http://schemas.openxmlformats.org/drawingml/2006/main">
          <a:off x="5920740" y="236220"/>
          <a:ext cx="1318260" cy="3581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0.60633</cdr:x>
      <cdr:y>0.0146</cdr:y>
    </cdr:from>
    <cdr:to>
      <cdr:x>0.98265</cdr:x>
      <cdr:y>0.13377</cdr:y>
    </cdr:to>
    <cdr:sp macro="" textlink="">
      <cdr:nvSpPr>
        <cdr:cNvPr id="3" name="TextBox 6">
          <a:extLst xmlns:a="http://schemas.openxmlformats.org/drawingml/2006/main">
            <a:ext uri="{FF2B5EF4-FFF2-40B4-BE49-F238E27FC236}">
              <a16:creationId xmlns:a16="http://schemas.microsoft.com/office/drawing/2014/main" id="{E63E0164-82E4-0C79-1807-57AF1F0343A9}"/>
            </a:ext>
          </a:extLst>
        </cdr:cNvPr>
        <cdr:cNvSpPr txBox="1"/>
      </cdr:nvSpPr>
      <cdr:spPr>
        <a:xfrm xmlns:a="http://schemas.openxmlformats.org/drawingml/2006/main">
          <a:off x="6111771" y="65698"/>
          <a:ext cx="3793372" cy="536282"/>
        </a:xfrm>
        <a:prstGeom xmlns:a="http://schemas.openxmlformats.org/drawingml/2006/main" prst="rect">
          <a:avLst/>
        </a:prstGeom>
        <a:solidFill xmlns:a="http://schemas.openxmlformats.org/drawingml/2006/main">
          <a:srgbClr val="F5F1E7"/>
        </a:solidFill>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No latest expected delivery date: 51 out of 115 </a:t>
          </a:r>
          <a:r>
            <a:rPr lang="en-US" sz="1400" b="0" baseline="0">
              <a:solidFill>
                <a:sysClr val="windowText" lastClr="000000"/>
              </a:solidFill>
              <a:latin typeface="Courier New" panose="02070309020205020404" pitchFamily="49" charset="0"/>
              <a:ea typeface="Calibri Light" panose="020F0302020204030204" pitchFamily="34" charset="0"/>
              <a:cs typeface="Courier New" panose="02070309020205020404" pitchFamily="49" charset="0"/>
            </a:rPr>
            <a:t>items ordered</a:t>
          </a:r>
          <a:endParaRPr lang="en-US" sz="1400" b="0">
            <a:solidFill>
              <a:sysClr val="windowText" lastClr="000000"/>
            </a:solidFill>
            <a:latin typeface="Courier New" panose="02070309020205020404" pitchFamily="49" charset="0"/>
            <a:ea typeface="Calibri Light" panose="020F0302020204030204" pitchFamily="34" charset="0"/>
            <a:cs typeface="Courier New" panose="02070309020205020404" pitchFamily="49" charset="0"/>
          </a:endParaRPr>
        </a:p>
      </cdr:txBody>
    </cdr:sp>
  </cdr:relSizeAnchor>
</c:userShapes>
</file>

<file path=xl/drawings/drawing27.xml><?xml version="1.0" encoding="utf-8"?>
<xdr:wsDr xmlns:xdr="http://schemas.openxmlformats.org/drawingml/2006/spreadsheetDrawing" xmlns:a="http://schemas.openxmlformats.org/drawingml/2006/main">
  <xdr:twoCellAnchor>
    <xdr:from>
      <xdr:col>5</xdr:col>
      <xdr:colOff>20002</xdr:colOff>
      <xdr:row>5</xdr:row>
      <xdr:rowOff>0</xdr:rowOff>
    </xdr:from>
    <xdr:to>
      <xdr:col>23</xdr:col>
      <xdr:colOff>27622</xdr:colOff>
      <xdr:row>36</xdr:row>
      <xdr:rowOff>160020</xdr:rowOff>
    </xdr:to>
    <xdr:graphicFrame macro="">
      <xdr:nvGraphicFramePr>
        <xdr:cNvPr id="2" name="Chart 1">
          <a:extLst>
            <a:ext uri="{FF2B5EF4-FFF2-40B4-BE49-F238E27FC236}">
              <a16:creationId xmlns:a16="http://schemas.microsoft.com/office/drawing/2014/main" id="{81EEFA06-C6CF-426F-82C0-DC1ABD08CD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0.07175</cdr:x>
      <cdr:y>0.38399</cdr:y>
    </cdr:from>
    <cdr:to>
      <cdr:x>0.25069</cdr:x>
      <cdr:y>0.46111</cdr:y>
    </cdr:to>
    <cdr:sp macro="" textlink="">
      <cdr:nvSpPr>
        <cdr:cNvPr id="4" name="TextBox 16">
          <a:extLst xmlns:a="http://schemas.openxmlformats.org/drawingml/2006/main">
            <a:ext uri="{FF2B5EF4-FFF2-40B4-BE49-F238E27FC236}">
              <a16:creationId xmlns:a16="http://schemas.microsoft.com/office/drawing/2014/main" id="{0A175FA4-0DC4-43AE-9263-493F919E58B3}"/>
            </a:ext>
          </a:extLst>
        </cdr:cNvPr>
        <cdr:cNvSpPr txBox="1"/>
      </cdr:nvSpPr>
      <cdr:spPr>
        <a:xfrm xmlns:a="http://schemas.openxmlformats.org/drawingml/2006/main">
          <a:off x="868900" y="2488303"/>
          <a:ext cx="2166959" cy="499748"/>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Class F126 ship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€5.6 bn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IT operations -</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€4.6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0.30316</cdr:x>
      <cdr:y>0.26896</cdr:y>
    </cdr:from>
    <cdr:to>
      <cdr:x>0.48933</cdr:x>
      <cdr:y>0.49429</cdr:y>
    </cdr:to>
    <cdr:sp macro="" textlink="">
      <cdr:nvSpPr>
        <cdr:cNvPr id="6" name="TextBox 3">
          <a:extLst xmlns:a="http://schemas.openxmlformats.org/drawingml/2006/main">
            <a:ext uri="{FF2B5EF4-FFF2-40B4-BE49-F238E27FC236}">
              <a16:creationId xmlns:a16="http://schemas.microsoft.com/office/drawing/2014/main" id="{F8CAF2E1-8BF1-7DA9-D6F5-BC2B2354071F}"/>
            </a:ext>
          </a:extLst>
        </cdr:cNvPr>
        <cdr:cNvSpPr txBox="1"/>
      </cdr:nvSpPr>
      <cdr:spPr>
        <a:xfrm xmlns:a="http://schemas.openxmlformats.org/drawingml/2006/main">
          <a:off x="3640634" y="1728703"/>
          <a:ext cx="2235738" cy="1448302"/>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Future Combat Air System project - €4.4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Class 424 ship - €2.1 bn</a:t>
          </a: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U212 submarine -</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 bn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P-8A Poseidon - €1.1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Puma retrofit</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€1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0.29457</cdr:x>
      <cdr:y>0.48946</cdr:y>
    </cdr:from>
    <cdr:to>
      <cdr:x>0.33426</cdr:x>
      <cdr:y>0.61187</cdr:y>
    </cdr:to>
    <cdr:cxnSp macro="">
      <cdr:nvCxnSpPr>
        <cdr:cNvPr id="11" name="Straight Arrow Connector 10">
          <a:extLst xmlns:a="http://schemas.openxmlformats.org/drawingml/2006/main">
            <a:ext uri="{FF2B5EF4-FFF2-40B4-BE49-F238E27FC236}">
              <a16:creationId xmlns:a16="http://schemas.microsoft.com/office/drawing/2014/main" id="{D28453E8-9CE1-4B63-7637-5833EDF664EA}"/>
            </a:ext>
          </a:extLst>
        </cdr:cNvPr>
        <cdr:cNvCxnSpPr/>
      </cdr:nvCxnSpPr>
      <cdr:spPr>
        <a:xfrm xmlns:a="http://schemas.openxmlformats.org/drawingml/2006/main" flipH="1">
          <a:off x="3537476" y="3145961"/>
          <a:ext cx="476642" cy="78678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0.3004</cdr:x>
      <cdr:y>0.60683</cdr:y>
    </cdr:from>
    <cdr:to>
      <cdr:x>0.43794</cdr:x>
      <cdr:y>0.68185</cdr:y>
    </cdr:to>
    <cdr:sp macro="" textlink="">
      <cdr:nvSpPr>
        <cdr:cNvPr id="12" name="TextBox 14">
          <a:extLst xmlns:a="http://schemas.openxmlformats.org/drawingml/2006/main">
            <a:ext uri="{FF2B5EF4-FFF2-40B4-BE49-F238E27FC236}">
              <a16:creationId xmlns:a16="http://schemas.microsoft.com/office/drawing/2014/main" id="{888E77C8-9ADC-4DF3-9329-0A4B1D23BF68}"/>
            </a:ext>
          </a:extLst>
        </cdr:cNvPr>
        <cdr:cNvSpPr txBox="1"/>
      </cdr:nvSpPr>
      <cdr:spPr>
        <a:xfrm xmlns:a="http://schemas.openxmlformats.org/drawingml/2006/main">
          <a:off x="3607591" y="3900355"/>
          <a:ext cx="1651735" cy="482189"/>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Clothing &amp; personal equipment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€6.9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0.39513</cdr:x>
      <cdr:y>0.68155</cdr:y>
    </cdr:from>
    <cdr:to>
      <cdr:x>0.44533</cdr:x>
      <cdr:y>0.81417</cdr:y>
    </cdr:to>
    <cdr:cxnSp macro="">
      <cdr:nvCxnSpPr>
        <cdr:cNvPr id="13" name="Straight Arrow Connector 12">
          <a:extLst xmlns:a="http://schemas.openxmlformats.org/drawingml/2006/main">
            <a:ext uri="{FF2B5EF4-FFF2-40B4-BE49-F238E27FC236}">
              <a16:creationId xmlns:a16="http://schemas.microsoft.com/office/drawing/2014/main" id="{1D620CBA-5BEF-4CC1-A026-7741866B087A}"/>
            </a:ext>
          </a:extLst>
        </cdr:cNvPr>
        <cdr:cNvCxnSpPr/>
      </cdr:nvCxnSpPr>
      <cdr:spPr>
        <a:xfrm xmlns:a="http://schemas.openxmlformats.org/drawingml/2006/main">
          <a:off x="4745215" y="4380616"/>
          <a:ext cx="602858" cy="85241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0.3732</cdr:x>
      <cdr:y>0.55186</cdr:y>
    </cdr:from>
    <cdr:to>
      <cdr:x>0.53388</cdr:x>
      <cdr:y>0.59394</cdr:y>
    </cdr:to>
    <cdr:sp macro="" textlink="">
      <cdr:nvSpPr>
        <cdr:cNvPr id="15" name="TextBox 12">
          <a:extLst xmlns:a="http://schemas.openxmlformats.org/drawingml/2006/main">
            <a:ext uri="{FF2B5EF4-FFF2-40B4-BE49-F238E27FC236}">
              <a16:creationId xmlns:a16="http://schemas.microsoft.com/office/drawing/2014/main" id="{D8B1EB85-7BDE-42DC-917A-A95012AA7169}"/>
            </a:ext>
          </a:extLst>
        </cdr:cNvPr>
        <cdr:cNvSpPr txBox="1"/>
      </cdr:nvSpPr>
      <cdr:spPr>
        <a:xfrm xmlns:a="http://schemas.openxmlformats.org/drawingml/2006/main">
          <a:off x="4481769" y="3547074"/>
          <a:ext cx="1929625" cy="270468"/>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F-35A fighter</a:t>
          </a:r>
          <a:r>
            <a:rPr lang="en-US" sz="1400" baseline="0">
              <a:latin typeface="Calibri Light" panose="020F0302020204030204" pitchFamily="34" charset="0"/>
              <a:ea typeface="Calibri Light" panose="020F0302020204030204" pitchFamily="34" charset="0"/>
              <a:cs typeface="Calibri Light" panose="020F0302020204030204" pitchFamily="34" charset="0"/>
            </a:rPr>
            <a: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€8.3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0.46169</cdr:x>
      <cdr:y>0.59454</cdr:y>
    </cdr:from>
    <cdr:to>
      <cdr:x>0.50516</cdr:x>
      <cdr:y>0.69837</cdr:y>
    </cdr:to>
    <cdr:cxnSp macro="">
      <cdr:nvCxnSpPr>
        <cdr:cNvPr id="16" name="Straight Arrow Connector 15">
          <a:extLst xmlns:a="http://schemas.openxmlformats.org/drawingml/2006/main">
            <a:ext uri="{FF2B5EF4-FFF2-40B4-BE49-F238E27FC236}">
              <a16:creationId xmlns:a16="http://schemas.microsoft.com/office/drawing/2014/main" id="{A682EA32-FFBF-4CAB-A05C-8D3E80FB87CA}"/>
            </a:ext>
          </a:extLst>
        </cdr:cNvPr>
        <cdr:cNvCxnSpPr/>
      </cdr:nvCxnSpPr>
      <cdr:spPr>
        <a:xfrm xmlns:a="http://schemas.openxmlformats.org/drawingml/2006/main">
          <a:off x="5544456" y="3821399"/>
          <a:ext cx="522036" cy="66736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0.48872</cdr:x>
      <cdr:y>0.60909</cdr:y>
    </cdr:from>
    <cdr:to>
      <cdr:x>0.6468</cdr:x>
      <cdr:y>0.65798</cdr:y>
    </cdr:to>
    <cdr:sp macro="" textlink="">
      <cdr:nvSpPr>
        <cdr:cNvPr id="18" name="TextBox 10">
          <a:extLst xmlns:a="http://schemas.openxmlformats.org/drawingml/2006/main">
            <a:ext uri="{FF2B5EF4-FFF2-40B4-BE49-F238E27FC236}">
              <a16:creationId xmlns:a16="http://schemas.microsoft.com/office/drawing/2014/main" id="{BF09E2E1-BBBB-4830-97C0-CBDB04F0B10E}"/>
            </a:ext>
          </a:extLst>
        </cdr:cNvPr>
        <cdr:cNvSpPr txBox="1"/>
      </cdr:nvSpPr>
      <cdr:spPr>
        <a:xfrm xmlns:a="http://schemas.openxmlformats.org/drawingml/2006/main">
          <a:off x="5918395" y="3946972"/>
          <a:ext cx="1914344" cy="316814"/>
        </a:xfrm>
        <a:prstGeom xmlns:a="http://schemas.openxmlformats.org/drawingml/2006/main" prst="rect">
          <a:avLst/>
        </a:prstGeom>
        <a:solidFill xmlns:a="http://schemas.openxmlformats.org/drawingml/2006/main">
          <a:sysClr val="window" lastClr="FFFFFF">
            <a:alpha val="0"/>
          </a:sysClr>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CH-47F Chinook - </a:t>
          </a:r>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€7 bn</a:t>
          </a:r>
        </a:p>
      </cdr:txBody>
    </cdr:sp>
  </cdr:relSizeAnchor>
  <cdr:relSizeAnchor xmlns:cdr="http://schemas.openxmlformats.org/drawingml/2006/chartDrawing">
    <cdr:from>
      <cdr:x>0.59765</cdr:x>
      <cdr:y>0.4225</cdr:y>
    </cdr:from>
    <cdr:to>
      <cdr:x>0.7718</cdr:x>
      <cdr:y>0.48365</cdr:y>
    </cdr:to>
    <cdr:sp macro="" textlink="">
      <cdr:nvSpPr>
        <cdr:cNvPr id="19" name="TextBox 9">
          <a:extLst xmlns:a="http://schemas.openxmlformats.org/drawingml/2006/main">
            <a:ext uri="{FF2B5EF4-FFF2-40B4-BE49-F238E27FC236}">
              <a16:creationId xmlns:a16="http://schemas.microsoft.com/office/drawing/2014/main" id="{D9DAF369-FD2E-45C9-97AB-917F35607EAB}"/>
            </a:ext>
          </a:extLst>
        </cdr:cNvPr>
        <cdr:cNvSpPr txBox="1"/>
      </cdr:nvSpPr>
      <cdr:spPr>
        <a:xfrm xmlns:a="http://schemas.openxmlformats.org/drawingml/2006/main">
          <a:off x="7177296" y="2715590"/>
          <a:ext cx="2091389" cy="393039"/>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Military </a:t>
          </a:r>
          <a:r>
            <a:rPr lang="en-US" sz="1400">
              <a:solidFill>
                <a:schemeClr val="dk1"/>
              </a:solidFill>
              <a:effectLst/>
              <a:latin typeface="Calibri Light" panose="020F0302020204030204" pitchFamily="34" charset="0"/>
              <a:ea typeface="+mn-ea"/>
              <a:cs typeface="Calibri Light" panose="020F0302020204030204" pitchFamily="34" charset="0"/>
            </a:rPr>
            <a:t>vehicle</a:t>
          </a:r>
          <a:r>
            <a:rPr lang="en-US" sz="1400">
              <a:latin typeface="Calibri Light" panose="020F0302020204030204" pitchFamily="34" charset="0"/>
              <a:ea typeface="Calibri Light" panose="020F0302020204030204" pitchFamily="34" charset="0"/>
              <a:cs typeface="Calibri Light" panose="020F0302020204030204" pitchFamily="34" charset="0"/>
            </a:rPr>
            <a:t> maintentance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a:t>
          </a:r>
          <a:r>
            <a:rPr lang="en-US" sz="1400">
              <a:latin typeface="Calibri Light" panose="020F0302020204030204" pitchFamily="34" charset="0"/>
              <a:ea typeface="Calibri Light" panose="020F0302020204030204" pitchFamily="34" charset="0"/>
              <a:cs typeface="Calibri Light" panose="020F0302020204030204" pitchFamily="34" charset="0"/>
            </a:rPr>
            <a:t>13.4 bn</a:t>
          </a:r>
        </a:p>
        <a:p xmlns:a="http://schemas.openxmlformats.org/drawingml/2006/main">
          <a:endParaRPr lang="en-US" sz="1100"/>
        </a:p>
      </cdr:txBody>
    </cdr:sp>
  </cdr:relSizeAnchor>
  <cdr:relSizeAnchor xmlns:cdr="http://schemas.openxmlformats.org/drawingml/2006/chartDrawing">
    <cdr:from>
      <cdr:x>0.66157</cdr:x>
      <cdr:y>0.50029</cdr:y>
    </cdr:from>
    <cdr:to>
      <cdr:x>0.68461</cdr:x>
      <cdr:y>0.57104</cdr:y>
    </cdr:to>
    <cdr:cxnSp macro="">
      <cdr:nvCxnSpPr>
        <cdr:cNvPr id="20" name="Straight Arrow Connector 19">
          <a:extLst xmlns:a="http://schemas.openxmlformats.org/drawingml/2006/main">
            <a:ext uri="{FF2B5EF4-FFF2-40B4-BE49-F238E27FC236}">
              <a16:creationId xmlns:a16="http://schemas.microsoft.com/office/drawing/2014/main" id="{3479F456-9CA4-4669-8D3B-6D43AAB04EFD}"/>
            </a:ext>
          </a:extLst>
        </cdr:cNvPr>
        <cdr:cNvCxnSpPr/>
      </cdr:nvCxnSpPr>
      <cdr:spPr>
        <a:xfrm xmlns:a="http://schemas.openxmlformats.org/drawingml/2006/main" flipH="1">
          <a:off x="7944919" y="3215582"/>
          <a:ext cx="276690" cy="45474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0.57299</cdr:x>
      <cdr:y>0.65712</cdr:y>
    </cdr:from>
    <cdr:to>
      <cdr:x>0.59519</cdr:x>
      <cdr:y>0.71937</cdr:y>
    </cdr:to>
    <cdr:cxnSp macro="">
      <cdr:nvCxnSpPr>
        <cdr:cNvPr id="10" name="Straight Arrow Connector 9">
          <a:extLst xmlns:a="http://schemas.openxmlformats.org/drawingml/2006/main">
            <a:ext uri="{FF2B5EF4-FFF2-40B4-BE49-F238E27FC236}">
              <a16:creationId xmlns:a16="http://schemas.microsoft.com/office/drawing/2014/main" id="{85F54556-EBE9-FA9E-E51F-4184F6101A37}"/>
            </a:ext>
          </a:extLst>
        </cdr:cNvPr>
        <cdr:cNvCxnSpPr/>
      </cdr:nvCxnSpPr>
      <cdr:spPr>
        <a:xfrm xmlns:a="http://schemas.openxmlformats.org/drawingml/2006/main">
          <a:off x="6938851" y="4258235"/>
          <a:ext cx="268941" cy="40341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0.20404</cdr:x>
      <cdr:y>0.68586</cdr:y>
    </cdr:from>
    <cdr:to>
      <cdr:x>0.2182</cdr:x>
      <cdr:y>0.76408</cdr:y>
    </cdr:to>
    <cdr:cxnSp macro="">
      <cdr:nvCxnSpPr>
        <cdr:cNvPr id="8" name="Straight Arrow Connector 7">
          <a:extLst xmlns:a="http://schemas.openxmlformats.org/drawingml/2006/main">
            <a:ext uri="{FF2B5EF4-FFF2-40B4-BE49-F238E27FC236}">
              <a16:creationId xmlns:a16="http://schemas.microsoft.com/office/drawing/2014/main" id="{A82AC6DE-967E-41E8-9606-D1F52977AB79}"/>
            </a:ext>
          </a:extLst>
        </cdr:cNvPr>
        <cdr:cNvCxnSpPr/>
      </cdr:nvCxnSpPr>
      <cdr:spPr>
        <a:xfrm xmlns:a="http://schemas.openxmlformats.org/drawingml/2006/main" flipH="1">
          <a:off x="2450394" y="4408370"/>
          <a:ext cx="170050" cy="50275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0.71919</cdr:x>
      <cdr:y>0.68479</cdr:y>
    </cdr:from>
    <cdr:to>
      <cdr:x>0.73556</cdr:x>
      <cdr:y>0.75756</cdr:y>
    </cdr:to>
    <cdr:cxnSp macro="">
      <cdr:nvCxnSpPr>
        <cdr:cNvPr id="22" name="Straight Arrow Connector 21">
          <a:extLst xmlns:a="http://schemas.openxmlformats.org/drawingml/2006/main">
            <a:ext uri="{FF2B5EF4-FFF2-40B4-BE49-F238E27FC236}">
              <a16:creationId xmlns:a16="http://schemas.microsoft.com/office/drawing/2014/main" id="{DFCA1C9D-D4C3-B3A4-6E79-CA1B24104416}"/>
            </a:ext>
          </a:extLst>
        </cdr:cNvPr>
        <cdr:cNvCxnSpPr/>
      </cdr:nvCxnSpPr>
      <cdr:spPr>
        <a:xfrm xmlns:a="http://schemas.openxmlformats.org/drawingml/2006/main">
          <a:off x="8709381" y="4437529"/>
          <a:ext cx="198231" cy="47156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0.13492</cdr:x>
      <cdr:y>0.47555</cdr:y>
    </cdr:from>
    <cdr:to>
      <cdr:x>0.139</cdr:x>
      <cdr:y>0.59655</cdr:y>
    </cdr:to>
    <cdr:cxnSp macro="">
      <cdr:nvCxnSpPr>
        <cdr:cNvPr id="5" name="Straight Arrow Connector 4">
          <a:extLst xmlns:a="http://schemas.openxmlformats.org/drawingml/2006/main">
            <a:ext uri="{FF2B5EF4-FFF2-40B4-BE49-F238E27FC236}">
              <a16:creationId xmlns:a16="http://schemas.microsoft.com/office/drawing/2014/main" id="{F6A9B282-F22E-4D5A-8252-50B50C71C91C}"/>
            </a:ext>
          </a:extLst>
        </cdr:cNvPr>
        <cdr:cNvCxnSpPr/>
      </cdr:nvCxnSpPr>
      <cdr:spPr>
        <a:xfrm xmlns:a="http://schemas.openxmlformats.org/drawingml/2006/main" flipH="1">
          <a:off x="1633878" y="3081617"/>
          <a:ext cx="49414" cy="78410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0.6726</cdr:x>
      <cdr:y>0.53115</cdr:y>
    </cdr:from>
    <cdr:to>
      <cdr:x>0.76948</cdr:x>
      <cdr:y>0.66327</cdr:y>
    </cdr:to>
    <cdr:sp macro="" textlink="">
      <cdr:nvSpPr>
        <cdr:cNvPr id="21" name="TextBox 16">
          <a:extLst xmlns:a="http://schemas.openxmlformats.org/drawingml/2006/main">
            <a:ext uri="{FF2B5EF4-FFF2-40B4-BE49-F238E27FC236}">
              <a16:creationId xmlns:a16="http://schemas.microsoft.com/office/drawing/2014/main" id="{7EDBD053-766B-DE02-EE82-53294869356C}"/>
            </a:ext>
          </a:extLst>
        </cdr:cNvPr>
        <cdr:cNvSpPr txBox="1"/>
      </cdr:nvSpPr>
      <cdr:spPr>
        <a:xfrm xmlns:a="http://schemas.openxmlformats.org/drawingml/2006/main">
          <a:off x="8145176" y="3441913"/>
          <a:ext cx="1173215" cy="856156"/>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mn-ea"/>
              <a:cs typeface="Calibri Light" panose="020F0302020204030204" pitchFamily="34" charset="0"/>
            </a:rPr>
            <a:t>Class</a:t>
          </a:r>
          <a:r>
            <a:rPr lang="en-US" sz="1400">
              <a:latin typeface="Calibri Light" panose="020F0302020204030204" pitchFamily="34" charset="0"/>
              <a:ea typeface="Calibri Light" panose="020F0302020204030204" pitchFamily="34" charset="0"/>
              <a:cs typeface="Calibri Light" panose="020F0302020204030204" pitchFamily="34" charset="0"/>
            </a:rPr>
            <a:t> F126 ship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€3.2 bn</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p>
        <a:p xmlns:a="http://schemas.openxmlformats.org/drawingml/2006/main">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New satellite </a:t>
          </a:r>
        </a:p>
        <a:p xmlns:a="http://schemas.openxmlformats.org/drawingml/2006/main">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€2.2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p>
      </cdr:txBody>
    </cdr:sp>
  </cdr:relSizeAnchor>
  <cdr:relSizeAnchor xmlns:cdr="http://schemas.openxmlformats.org/drawingml/2006/chartDrawing">
    <cdr:from>
      <cdr:x>0.80799</cdr:x>
      <cdr:y>0.45581</cdr:y>
    </cdr:from>
    <cdr:to>
      <cdr:x>0.81989</cdr:x>
      <cdr:y>0.52397</cdr:y>
    </cdr:to>
    <cdr:cxnSp macro="">
      <cdr:nvCxnSpPr>
        <cdr:cNvPr id="33" name="Straight Arrow Connector 32">
          <a:extLst xmlns:a="http://schemas.openxmlformats.org/drawingml/2006/main">
            <a:ext uri="{FF2B5EF4-FFF2-40B4-BE49-F238E27FC236}">
              <a16:creationId xmlns:a16="http://schemas.microsoft.com/office/drawing/2014/main" id="{7E370974-A879-6F8A-1835-4D57361C763C}"/>
            </a:ext>
          </a:extLst>
        </cdr:cNvPr>
        <cdr:cNvCxnSpPr/>
      </cdr:nvCxnSpPr>
      <cdr:spPr>
        <a:xfrm xmlns:a="http://schemas.openxmlformats.org/drawingml/2006/main">
          <a:off x="9784742" y="2953733"/>
          <a:ext cx="144108" cy="44168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0.74552</cdr:x>
      <cdr:y>0.38132</cdr:y>
    </cdr:from>
    <cdr:to>
      <cdr:x>0.91967</cdr:x>
      <cdr:y>0.44247</cdr:y>
    </cdr:to>
    <cdr:sp macro="" textlink="">
      <cdr:nvSpPr>
        <cdr:cNvPr id="28" name="TextBox 9">
          <a:extLst xmlns:a="http://schemas.openxmlformats.org/drawingml/2006/main">
            <a:ext uri="{FF2B5EF4-FFF2-40B4-BE49-F238E27FC236}">
              <a16:creationId xmlns:a16="http://schemas.microsoft.com/office/drawing/2014/main" id="{5E36591D-2644-C816-E9A1-3338BC48E92B}"/>
            </a:ext>
          </a:extLst>
        </cdr:cNvPr>
        <cdr:cNvSpPr txBox="1"/>
      </cdr:nvSpPr>
      <cdr:spPr>
        <a:xfrm xmlns:a="http://schemas.openxmlformats.org/drawingml/2006/main">
          <a:off x="9028232" y="2471037"/>
          <a:ext cx="2108952" cy="396261"/>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mn-ea"/>
              <a:cs typeface="Calibri Light" panose="020F0302020204030204" pitchFamily="34" charset="0"/>
            </a:rPr>
            <a:t>U212 submarine - €5 bn</a:t>
          </a:r>
          <a:endParaRPr lang="en-GB" sz="1400">
            <a:effectLst/>
            <a:latin typeface="Calibri Light" panose="020F0302020204030204" pitchFamily="34" charset="0"/>
            <a:cs typeface="Calibri Light" panose="020F0302020204030204" pitchFamily="34" charset="0"/>
          </a:endParaRPr>
        </a:p>
        <a:p xmlns:a="http://schemas.openxmlformats.org/drawingml/2006/main">
          <a:pPr eaLnBrk="1" fontAlgn="auto" latinLnBrk="0" hangingPunct="1"/>
          <a:r>
            <a:rPr lang="en-US" sz="1400">
              <a:solidFill>
                <a:schemeClr val="dk1"/>
              </a:solidFill>
              <a:effectLst/>
              <a:latin typeface="Calibri Light" panose="020F0302020204030204" pitchFamily="34" charset="0"/>
              <a:ea typeface="+mn-ea"/>
              <a:cs typeface="Calibri Light" panose="020F0302020204030204" pitchFamily="34" charset="0"/>
            </a:rPr>
            <a:t>Other orders -</a:t>
          </a:r>
          <a:r>
            <a:rPr lang="en-US" sz="1400" baseline="0">
              <a:solidFill>
                <a:schemeClr val="dk1"/>
              </a:solidFill>
              <a:effectLst/>
              <a:latin typeface="Calibri Light" panose="020F0302020204030204" pitchFamily="34" charset="0"/>
              <a:ea typeface="+mn-ea"/>
              <a:cs typeface="Calibri Light" panose="020F0302020204030204" pitchFamily="34" charset="0"/>
            </a:rPr>
            <a:t> </a:t>
          </a:r>
          <a:r>
            <a:rPr lang="en-US" sz="1400">
              <a:solidFill>
                <a:schemeClr val="dk1"/>
              </a:solidFill>
              <a:effectLst/>
              <a:latin typeface="Calibri Light" panose="020F0302020204030204" pitchFamily="34" charset="0"/>
              <a:ea typeface="+mn-ea"/>
              <a:cs typeface="Calibri Light" panose="020F0302020204030204" pitchFamily="34" charset="0"/>
            </a:rPr>
            <a:t> €15 bn</a:t>
          </a:r>
          <a:endParaRPr lang="en-GB" sz="1400">
            <a:effectLst/>
            <a:latin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0.77973</cdr:x>
      <cdr:y>0.07355</cdr:y>
    </cdr:from>
    <cdr:to>
      <cdr:x>0.92964</cdr:x>
      <cdr:y>0.25593</cdr:y>
    </cdr:to>
    <cdr:sp macro="" textlink="">
      <cdr:nvSpPr>
        <cdr:cNvPr id="2" name="TextBox 9">
          <a:extLst xmlns:a="http://schemas.openxmlformats.org/drawingml/2006/main">
            <a:ext uri="{FF2B5EF4-FFF2-40B4-BE49-F238E27FC236}">
              <a16:creationId xmlns:a16="http://schemas.microsoft.com/office/drawing/2014/main" id="{9DEB54CE-E6E3-D589-DC09-F22F9E382DB4}"/>
            </a:ext>
          </a:extLst>
        </cdr:cNvPr>
        <cdr:cNvSpPr txBox="1"/>
      </cdr:nvSpPr>
      <cdr:spPr>
        <a:xfrm xmlns:a="http://schemas.openxmlformats.org/drawingml/2006/main">
          <a:off x="9442525" y="476625"/>
          <a:ext cx="1815353" cy="1181846"/>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mn-ea"/>
              <a:cs typeface="Calibri Light" panose="020F0302020204030204" pitchFamily="34" charset="0"/>
            </a:rPr>
            <a:t>Clothing &amp; personal equipment - €21 bn</a:t>
          </a:r>
        </a:p>
        <a:p xmlns:a="http://schemas.openxmlformats.org/drawingml/2006/main">
          <a:r>
            <a:rPr lang="en-GB" sz="1400">
              <a:effectLst/>
              <a:latin typeface="Calibri Light" panose="020F0302020204030204" pitchFamily="34" charset="0"/>
              <a:cs typeface="Calibri Light" panose="020F0302020204030204" pitchFamily="34" charset="0"/>
            </a:rPr>
            <a:t>Puma tank - €4.5</a:t>
          </a:r>
          <a:r>
            <a:rPr lang="en-GB" sz="1400" baseline="0">
              <a:effectLst/>
              <a:latin typeface="Calibri Light" panose="020F0302020204030204" pitchFamily="34" charset="0"/>
              <a:cs typeface="Calibri Light" panose="020F0302020204030204" pitchFamily="34" charset="0"/>
            </a:rPr>
            <a:t> bn</a:t>
          </a:r>
        </a:p>
        <a:p xmlns:a="http://schemas.openxmlformats.org/drawingml/2006/main">
          <a:r>
            <a:rPr lang="en-GB" sz="1400">
              <a:effectLst/>
              <a:latin typeface="Calibri Light" panose="020F0302020204030204" pitchFamily="34" charset="0"/>
              <a:cs typeface="Calibri Light" panose="020F0302020204030204" pitchFamily="34" charset="0"/>
            </a:rPr>
            <a:t>Eagle V - €4 bn</a:t>
          </a:r>
        </a:p>
        <a:p xmlns:a="http://schemas.openxmlformats.org/drawingml/2006/main">
          <a:r>
            <a:rPr lang="en-GB" sz="1400">
              <a:effectLst/>
              <a:latin typeface="Calibri Light" panose="020F0302020204030204" pitchFamily="34" charset="0"/>
              <a:cs typeface="Calibri Light" panose="020F0302020204030204" pitchFamily="34" charset="0"/>
            </a:rPr>
            <a:t>Arrow missiles - €3</a:t>
          </a:r>
          <a:r>
            <a:rPr lang="en-GB" sz="1400" baseline="0">
              <a:effectLst/>
              <a:latin typeface="Calibri Light" panose="020F0302020204030204" pitchFamily="34" charset="0"/>
              <a:cs typeface="Calibri Light" panose="020F0302020204030204" pitchFamily="34" charset="0"/>
            </a:rPr>
            <a:t> bn</a:t>
          </a:r>
          <a:endParaRPr lang="en-GB" sz="1400">
            <a:effectLst/>
            <a:latin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0.92861</cdr:x>
      <cdr:y>0.1652</cdr:y>
    </cdr:from>
    <cdr:to>
      <cdr:x>0.95832</cdr:x>
      <cdr:y>0.2127</cdr:y>
    </cdr:to>
    <cdr:cxnSp macro="">
      <cdr:nvCxnSpPr>
        <cdr:cNvPr id="9" name="Straight Arrow Connector 8">
          <a:extLst xmlns:a="http://schemas.openxmlformats.org/drawingml/2006/main">
            <a:ext uri="{FF2B5EF4-FFF2-40B4-BE49-F238E27FC236}">
              <a16:creationId xmlns:a16="http://schemas.microsoft.com/office/drawing/2014/main" id="{40CC072C-DE32-C8AB-A71D-B6E1A46897FA}"/>
            </a:ext>
          </a:extLst>
        </cdr:cNvPr>
        <cdr:cNvCxnSpPr/>
      </cdr:nvCxnSpPr>
      <cdr:spPr>
        <a:xfrm xmlns:a="http://schemas.openxmlformats.org/drawingml/2006/main">
          <a:off x="11245477" y="1070536"/>
          <a:ext cx="359784" cy="30778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0.15853</cdr:x>
      <cdr:y>0.52884</cdr:y>
    </cdr:from>
    <cdr:to>
      <cdr:x>0.27977</cdr:x>
      <cdr:y>0.64989</cdr:y>
    </cdr:to>
    <cdr:sp macro="" textlink="">
      <cdr:nvSpPr>
        <cdr:cNvPr id="7" name="TextBox 16">
          <a:extLst xmlns:a="http://schemas.openxmlformats.org/drawingml/2006/main">
            <a:ext uri="{FF2B5EF4-FFF2-40B4-BE49-F238E27FC236}">
              <a16:creationId xmlns:a16="http://schemas.microsoft.com/office/drawing/2014/main" id="{CC18A10F-48D2-2D3B-BFF4-E1D11AAE8469}"/>
            </a:ext>
          </a:extLst>
        </cdr:cNvPr>
        <cdr:cNvSpPr txBox="1"/>
      </cdr:nvSpPr>
      <cdr:spPr>
        <a:xfrm xmlns:a="http://schemas.openxmlformats.org/drawingml/2006/main">
          <a:off x="1919753" y="3426939"/>
          <a:ext cx="1468213" cy="784421"/>
        </a:xfrm>
        <a:prstGeom xmlns:a="http://schemas.openxmlformats.org/drawingml/2006/main" prst="rect">
          <a:avLst/>
        </a:prstGeom>
        <a:solidFill xmlns:a="http://schemas.openxmlformats.org/drawingml/2006/main">
          <a:schemeClr val="bg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Eurofighter </a:t>
          </a:r>
        </a:p>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€5.5 bn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NH90 helicopter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€2.7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p>
      </cdr:txBody>
    </cdr:sp>
  </cdr:relSizeAnchor>
  <cdr:relSizeAnchor xmlns:cdr="http://schemas.openxmlformats.org/drawingml/2006/chartDrawing">
    <cdr:from>
      <cdr:x>0.05694</cdr:x>
      <cdr:y>0.04934</cdr:y>
    </cdr:from>
    <cdr:to>
      <cdr:x>0.20109</cdr:x>
      <cdr:y>0.12832</cdr:y>
    </cdr:to>
    <cdr:sp macro="" textlink="">
      <cdr:nvSpPr>
        <cdr:cNvPr id="50" name="TextBox 19">
          <a:extLst xmlns:a="http://schemas.openxmlformats.org/drawingml/2006/main">
            <a:ext uri="{FF2B5EF4-FFF2-40B4-BE49-F238E27FC236}">
              <a16:creationId xmlns:a16="http://schemas.microsoft.com/office/drawing/2014/main" id="{4DDB1B35-5484-7071-E857-E089290A51BF}"/>
            </a:ext>
          </a:extLst>
        </cdr:cNvPr>
        <cdr:cNvSpPr txBox="1"/>
      </cdr:nvSpPr>
      <cdr:spPr>
        <a:xfrm xmlns:a="http://schemas.openxmlformats.org/drawingml/2006/main">
          <a:off x="689535" y="319741"/>
          <a:ext cx="1745646" cy="511801"/>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Total:</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€253.3 bn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userShapes>
</file>

<file path=xl/drawings/drawing29.xml><?xml version="1.0" encoding="utf-8"?>
<xdr:wsDr xmlns:xdr="http://schemas.openxmlformats.org/drawingml/2006/spreadsheetDrawing" xmlns:a="http://schemas.openxmlformats.org/drawingml/2006/main">
  <xdr:twoCellAnchor>
    <xdr:from>
      <xdr:col>8</xdr:col>
      <xdr:colOff>464276</xdr:colOff>
      <xdr:row>4</xdr:row>
      <xdr:rowOff>136072</xdr:rowOff>
    </xdr:from>
    <xdr:to>
      <xdr:col>19</xdr:col>
      <xdr:colOff>81644</xdr:colOff>
      <xdr:row>36</xdr:row>
      <xdr:rowOff>91985</xdr:rowOff>
    </xdr:to>
    <xdr:graphicFrame macro="">
      <xdr:nvGraphicFramePr>
        <xdr:cNvPr id="2" name="Chart 1">
          <a:extLst>
            <a:ext uri="{FF2B5EF4-FFF2-40B4-BE49-F238E27FC236}">
              <a16:creationId xmlns:a16="http://schemas.microsoft.com/office/drawing/2014/main" id="{65BC11AD-F13E-4129-A47C-5F2F290566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485775</xdr:colOff>
      <xdr:row>6</xdr:row>
      <xdr:rowOff>0</xdr:rowOff>
    </xdr:from>
    <xdr:to>
      <xdr:col>12</xdr:col>
      <xdr:colOff>46198</xdr:colOff>
      <xdr:row>8</xdr:row>
      <xdr:rowOff>106893</xdr:rowOff>
    </xdr:to>
    <xdr:sp macro="" textlink="">
      <xdr:nvSpPr>
        <xdr:cNvPr id="3" name="TextBox 19">
          <a:extLst>
            <a:ext uri="{FF2B5EF4-FFF2-40B4-BE49-F238E27FC236}">
              <a16:creationId xmlns:a16="http://schemas.microsoft.com/office/drawing/2014/main" id="{32B9012A-BA58-4601-88D5-79299297CEC3}"/>
            </a:ext>
          </a:extLst>
        </xdr:cNvPr>
        <xdr:cNvSpPr txBox="1"/>
      </xdr:nvSpPr>
      <xdr:spPr>
        <a:xfrm>
          <a:off x="10296525" y="2838450"/>
          <a:ext cx="1560673" cy="506943"/>
        </a:xfrm>
        <a:prstGeom prst="rect">
          <a:avLst/>
        </a:prstGeom>
        <a:solidFill>
          <a:sysClr val="window" lastClr="FFFFFF">
            <a:alpha val="0"/>
          </a:sys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600">
              <a:latin typeface="Calibri Light" panose="020F0302020204030204" pitchFamily="34" charset="0"/>
              <a:ea typeface="Calibri Light" panose="020F0302020204030204" pitchFamily="34" charset="0"/>
              <a:cs typeface="Calibri Light" panose="020F0302020204030204" pitchFamily="34" charset="0"/>
            </a:rPr>
            <a:t>billion Euros</a:t>
          </a:r>
        </a:p>
        <a:p>
          <a:r>
            <a:rPr lang="en-US" sz="1600">
              <a:latin typeface="Calibri Light" panose="020F0302020204030204" pitchFamily="34" charset="0"/>
              <a:ea typeface="Calibri Light" panose="020F0302020204030204" pitchFamily="34" charset="0"/>
              <a:cs typeface="Calibri Light" panose="020F0302020204030204" pitchFamily="34" charset="0"/>
            </a:rPr>
            <a:t>Total:</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€253.3 bn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a:endParaRPr lang="en-US" sz="1100">
            <a:latin typeface="Times New Roman" panose="02020603050405020304" pitchFamily="18"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81642</xdr:colOff>
      <xdr:row>3</xdr:row>
      <xdr:rowOff>1510392</xdr:rowOff>
    </xdr:from>
    <xdr:to>
      <xdr:col>25</xdr:col>
      <xdr:colOff>109264</xdr:colOff>
      <xdr:row>33</xdr:row>
      <xdr:rowOff>90724</xdr:rowOff>
    </xdr:to>
    <xdr:graphicFrame macro="">
      <xdr:nvGraphicFramePr>
        <xdr:cNvPr id="3" name="Chart 2">
          <a:extLst>
            <a:ext uri="{FF2B5EF4-FFF2-40B4-BE49-F238E27FC236}">
              <a16:creationId xmlns:a16="http://schemas.microsoft.com/office/drawing/2014/main" id="{BC4CAB71-BB8C-40D4-A8E6-F7BE66C167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0.28477</cdr:x>
      <cdr:y>0.4875</cdr:y>
    </cdr:from>
    <cdr:to>
      <cdr:x>0.54549</cdr:x>
      <cdr:y>0.56593</cdr:y>
    </cdr:to>
    <cdr:sp macro="" textlink="">
      <cdr:nvSpPr>
        <cdr:cNvPr id="37" name="TextBox 19">
          <a:extLst xmlns:a="http://schemas.openxmlformats.org/drawingml/2006/main">
            <a:ext uri="{FF2B5EF4-FFF2-40B4-BE49-F238E27FC236}">
              <a16:creationId xmlns:a16="http://schemas.microsoft.com/office/drawing/2014/main" id="{5A185E1E-3FD2-2C3B-D3BE-4C4A8C76C806}"/>
            </a:ext>
          </a:extLst>
        </cdr:cNvPr>
        <cdr:cNvSpPr txBox="1"/>
      </cdr:nvSpPr>
      <cdr:spPr>
        <a:xfrm xmlns:a="http://schemas.openxmlformats.org/drawingml/2006/main">
          <a:off x="1979608" y="3131429"/>
          <a:ext cx="1812426" cy="503786"/>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First</a:t>
          </a:r>
          <a:r>
            <a:rPr lang="en-US" sz="1600" baseline="0">
              <a:latin typeface="Calibri Light" panose="020F0302020204030204" pitchFamily="34" charset="0"/>
              <a:ea typeface="Calibri Light" panose="020F0302020204030204" pitchFamily="34" charset="0"/>
              <a:cs typeface="Calibri Light" panose="020F0302020204030204" pitchFamily="34" charset="0"/>
            </a:rPr>
            <a:t> twelve months following invasion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0.44915</cdr:x>
      <cdr:y>0.5854</cdr:y>
    </cdr:from>
    <cdr:to>
      <cdr:x>0.46896</cdr:x>
      <cdr:y>0.64615</cdr:y>
    </cdr:to>
    <cdr:cxnSp macro="">
      <cdr:nvCxnSpPr>
        <cdr:cNvPr id="38" name="Straight Arrow Connector 37">
          <a:extLst xmlns:a="http://schemas.openxmlformats.org/drawingml/2006/main">
            <a:ext uri="{FF2B5EF4-FFF2-40B4-BE49-F238E27FC236}">
              <a16:creationId xmlns:a16="http://schemas.microsoft.com/office/drawing/2014/main" id="{62279927-C8B9-5F20-5F53-B21F2D7DCA9E}"/>
            </a:ext>
          </a:extLst>
        </cdr:cNvPr>
        <cdr:cNvCxnSpPr/>
      </cdr:nvCxnSpPr>
      <cdr:spPr>
        <a:xfrm xmlns:a="http://schemas.openxmlformats.org/drawingml/2006/main">
          <a:off x="3122313" y="3760234"/>
          <a:ext cx="137712" cy="39022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1.xml><?xml version="1.0" encoding="utf-8"?>
<xdr:wsDr xmlns:xdr="http://schemas.openxmlformats.org/drawingml/2006/spreadsheetDrawing" xmlns:a="http://schemas.openxmlformats.org/drawingml/2006/main">
  <xdr:twoCellAnchor>
    <xdr:from>
      <xdr:col>14</xdr:col>
      <xdr:colOff>8572</xdr:colOff>
      <xdr:row>3</xdr:row>
      <xdr:rowOff>1560480</xdr:rowOff>
    </xdr:from>
    <xdr:to>
      <xdr:col>26</xdr:col>
      <xdr:colOff>640080</xdr:colOff>
      <xdr:row>32</xdr:row>
      <xdr:rowOff>27623</xdr:rowOff>
    </xdr:to>
    <xdr:graphicFrame macro="">
      <xdr:nvGraphicFramePr>
        <xdr:cNvPr id="2" name="Chart 1">
          <a:extLst>
            <a:ext uri="{FF2B5EF4-FFF2-40B4-BE49-F238E27FC236}">
              <a16:creationId xmlns:a16="http://schemas.microsoft.com/office/drawing/2014/main" id="{49F7A118-16E1-498A-89E5-C090B81CF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0.13247</cdr:x>
      <cdr:y>0.65369</cdr:y>
    </cdr:from>
    <cdr:to>
      <cdr:x>0.19535</cdr:x>
      <cdr:y>0.70154</cdr:y>
    </cdr:to>
    <cdr:sp macro="" textlink="">
      <cdr:nvSpPr>
        <cdr:cNvPr id="5" name="TextBox 1">
          <a:extLst xmlns:a="http://schemas.openxmlformats.org/drawingml/2006/main">
            <a:ext uri="{FF2B5EF4-FFF2-40B4-BE49-F238E27FC236}">
              <a16:creationId xmlns:a16="http://schemas.microsoft.com/office/drawing/2014/main" id="{60146156-FF06-2E9F-AF6B-8C97508F15D4}"/>
            </a:ext>
          </a:extLst>
        </cdr:cNvPr>
        <cdr:cNvSpPr txBox="1"/>
      </cdr:nvSpPr>
      <cdr:spPr>
        <a:xfrm xmlns:a="http://schemas.openxmlformats.org/drawingml/2006/main">
          <a:off x="1144136" y="3542829"/>
          <a:ext cx="543112" cy="2593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a:solidFill>
                <a:schemeClr val="tx1"/>
              </a:solidFill>
              <a:latin typeface="Calibri Light" panose="020F0302020204030204" pitchFamily="34" charset="0"/>
              <a:ea typeface="Calibri Light" panose="020F0302020204030204" pitchFamily="34" charset="0"/>
              <a:cs typeface="Calibri Light" panose="020F0302020204030204" pitchFamily="34" charset="0"/>
            </a:rPr>
            <a:t>31%</a:t>
          </a:r>
        </a:p>
      </cdr:txBody>
    </cdr:sp>
  </cdr:relSizeAnchor>
  <cdr:relSizeAnchor xmlns:cdr="http://schemas.openxmlformats.org/drawingml/2006/chartDrawing">
    <cdr:from>
      <cdr:x>0.24472</cdr:x>
      <cdr:y>0.62919</cdr:y>
    </cdr:from>
    <cdr:to>
      <cdr:x>0.30759</cdr:x>
      <cdr:y>0.67704</cdr:y>
    </cdr:to>
    <cdr:sp macro="" textlink="">
      <cdr:nvSpPr>
        <cdr:cNvPr id="6" name="TextBox 1">
          <a:extLst xmlns:a="http://schemas.openxmlformats.org/drawingml/2006/main">
            <a:ext uri="{FF2B5EF4-FFF2-40B4-BE49-F238E27FC236}">
              <a16:creationId xmlns:a16="http://schemas.microsoft.com/office/drawing/2014/main" id="{ABB96369-FF6A-DD0F-959F-41701B832010}"/>
            </a:ext>
          </a:extLst>
        </cdr:cNvPr>
        <cdr:cNvSpPr txBox="1"/>
      </cdr:nvSpPr>
      <cdr:spPr>
        <a:xfrm xmlns:a="http://schemas.openxmlformats.org/drawingml/2006/main">
          <a:off x="2113684" y="3410016"/>
          <a:ext cx="543025" cy="2593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i="1">
              <a:solidFill>
                <a:schemeClr val="tx1"/>
              </a:solidFill>
              <a:latin typeface="Calibri Light" panose="020F0302020204030204" pitchFamily="34" charset="0"/>
              <a:ea typeface="Calibri Light" panose="020F0302020204030204" pitchFamily="34" charset="0"/>
              <a:cs typeface="Calibri Light" panose="020F0302020204030204" pitchFamily="34" charset="0"/>
            </a:rPr>
            <a:t>9%</a:t>
          </a:r>
        </a:p>
      </cdr:txBody>
    </cdr:sp>
  </cdr:relSizeAnchor>
  <cdr:relSizeAnchor xmlns:cdr="http://schemas.openxmlformats.org/drawingml/2006/chartDrawing">
    <cdr:from>
      <cdr:x>0.35839</cdr:x>
      <cdr:y>0.64354</cdr:y>
    </cdr:from>
    <cdr:to>
      <cdr:x>0.42127</cdr:x>
      <cdr:y>0.69138</cdr:y>
    </cdr:to>
    <cdr:sp macro="" textlink="">
      <cdr:nvSpPr>
        <cdr:cNvPr id="7" name="TextBox 1">
          <a:extLst xmlns:a="http://schemas.openxmlformats.org/drawingml/2006/main">
            <a:ext uri="{FF2B5EF4-FFF2-40B4-BE49-F238E27FC236}">
              <a16:creationId xmlns:a16="http://schemas.microsoft.com/office/drawing/2014/main" id="{ABB42CD1-9B5C-2BE1-FCC7-F07D5E8327C2}"/>
            </a:ext>
          </a:extLst>
        </cdr:cNvPr>
        <cdr:cNvSpPr txBox="1"/>
      </cdr:nvSpPr>
      <cdr:spPr>
        <a:xfrm xmlns:a="http://schemas.openxmlformats.org/drawingml/2006/main">
          <a:off x="3095478" y="3487805"/>
          <a:ext cx="543111" cy="2592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a:solidFill>
                <a:schemeClr val="tx1"/>
              </a:solidFill>
              <a:latin typeface="Calibri Light" panose="020F0302020204030204" pitchFamily="34" charset="0"/>
              <a:ea typeface="Calibri Light" panose="020F0302020204030204" pitchFamily="34" charset="0"/>
              <a:cs typeface="Calibri Light" panose="020F0302020204030204" pitchFamily="34" charset="0"/>
            </a:rPr>
            <a:t>34%</a:t>
          </a:r>
        </a:p>
      </cdr:txBody>
    </cdr:sp>
  </cdr:relSizeAnchor>
  <cdr:relSizeAnchor xmlns:cdr="http://schemas.openxmlformats.org/drawingml/2006/chartDrawing">
    <cdr:from>
      <cdr:x>0.46878</cdr:x>
      <cdr:y>0.65118</cdr:y>
    </cdr:from>
    <cdr:to>
      <cdr:x>0.53165</cdr:x>
      <cdr:y>0.70747</cdr:y>
    </cdr:to>
    <cdr:sp macro="" textlink="">
      <cdr:nvSpPr>
        <cdr:cNvPr id="8" name="TextBox 1">
          <a:extLst xmlns:a="http://schemas.openxmlformats.org/drawingml/2006/main">
            <a:ext uri="{FF2B5EF4-FFF2-40B4-BE49-F238E27FC236}">
              <a16:creationId xmlns:a16="http://schemas.microsoft.com/office/drawing/2014/main" id="{3ECA48DA-3EF4-41F3-5D83-9A59E746DFAE}"/>
            </a:ext>
          </a:extLst>
        </cdr:cNvPr>
        <cdr:cNvSpPr txBox="1"/>
      </cdr:nvSpPr>
      <cdr:spPr>
        <a:xfrm xmlns:a="http://schemas.openxmlformats.org/drawingml/2006/main">
          <a:off x="4048946" y="3529212"/>
          <a:ext cx="543025" cy="305076"/>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i="1">
              <a:solidFill>
                <a:schemeClr val="tx1"/>
              </a:solidFill>
              <a:latin typeface="Calibri Light" panose="020F0302020204030204" pitchFamily="34" charset="0"/>
              <a:ea typeface="Calibri Light" panose="020F0302020204030204" pitchFamily="34" charset="0"/>
              <a:cs typeface="Calibri Light" panose="020F0302020204030204" pitchFamily="34" charset="0"/>
            </a:rPr>
            <a:t>8%</a:t>
          </a:r>
        </a:p>
      </cdr:txBody>
    </cdr:sp>
  </cdr:relSizeAnchor>
  <cdr:relSizeAnchor xmlns:cdr="http://schemas.openxmlformats.org/drawingml/2006/chartDrawing">
    <cdr:from>
      <cdr:x>0.56985</cdr:x>
      <cdr:y>0.72725</cdr:y>
    </cdr:from>
    <cdr:to>
      <cdr:x>0.63273</cdr:x>
      <cdr:y>0.7751</cdr:y>
    </cdr:to>
    <cdr:sp macro="" textlink="">
      <cdr:nvSpPr>
        <cdr:cNvPr id="9" name="TextBox 1">
          <a:extLst xmlns:a="http://schemas.openxmlformats.org/drawingml/2006/main">
            <a:ext uri="{FF2B5EF4-FFF2-40B4-BE49-F238E27FC236}">
              <a16:creationId xmlns:a16="http://schemas.microsoft.com/office/drawing/2014/main" id="{888436B6-5FE6-7653-4B36-FCF5175FAE82}"/>
            </a:ext>
          </a:extLst>
        </cdr:cNvPr>
        <cdr:cNvSpPr txBox="1"/>
      </cdr:nvSpPr>
      <cdr:spPr>
        <a:xfrm xmlns:a="http://schemas.openxmlformats.org/drawingml/2006/main">
          <a:off x="4921982" y="3941494"/>
          <a:ext cx="543111" cy="2593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11%</a:t>
          </a:r>
        </a:p>
      </cdr:txBody>
    </cdr:sp>
  </cdr:relSizeAnchor>
  <cdr:relSizeAnchor xmlns:cdr="http://schemas.openxmlformats.org/drawingml/2006/chartDrawing">
    <cdr:from>
      <cdr:x>0.67889</cdr:x>
      <cdr:y>0.25434</cdr:y>
    </cdr:from>
    <cdr:to>
      <cdr:x>0.74177</cdr:x>
      <cdr:y>0.30218</cdr:y>
    </cdr:to>
    <cdr:sp macro="" textlink="">
      <cdr:nvSpPr>
        <cdr:cNvPr id="10" name="TextBox 1">
          <a:extLst xmlns:a="http://schemas.openxmlformats.org/drawingml/2006/main">
            <a:ext uri="{FF2B5EF4-FFF2-40B4-BE49-F238E27FC236}">
              <a16:creationId xmlns:a16="http://schemas.microsoft.com/office/drawing/2014/main" id="{CECA457F-3F1F-D91B-58C6-45E558F58C7C}"/>
            </a:ext>
          </a:extLst>
        </cdr:cNvPr>
        <cdr:cNvSpPr txBox="1"/>
      </cdr:nvSpPr>
      <cdr:spPr>
        <a:xfrm xmlns:a="http://schemas.openxmlformats.org/drawingml/2006/main">
          <a:off x="5863766" y="1378475"/>
          <a:ext cx="543111" cy="25928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i="1">
              <a:solidFill>
                <a:schemeClr val="tx1"/>
              </a:solidFill>
              <a:latin typeface="Calibri Light" panose="020F0302020204030204" pitchFamily="34" charset="0"/>
              <a:ea typeface="Calibri Light" panose="020F0302020204030204" pitchFamily="34" charset="0"/>
              <a:cs typeface="Calibri Light" panose="020F0302020204030204" pitchFamily="34" charset="0"/>
            </a:rPr>
            <a:t>35%</a:t>
          </a:r>
        </a:p>
      </cdr:txBody>
    </cdr:sp>
  </cdr:relSizeAnchor>
  <cdr:relSizeAnchor xmlns:cdr="http://schemas.openxmlformats.org/drawingml/2006/chartDrawing">
    <cdr:from>
      <cdr:x>0.79078</cdr:x>
      <cdr:y>0.67013</cdr:y>
    </cdr:from>
    <cdr:to>
      <cdr:x>0.85366</cdr:x>
      <cdr:y>0.71797</cdr:y>
    </cdr:to>
    <cdr:sp macro="" textlink="">
      <cdr:nvSpPr>
        <cdr:cNvPr id="11" name="TextBox 1">
          <a:extLst xmlns:a="http://schemas.openxmlformats.org/drawingml/2006/main">
            <a:ext uri="{FF2B5EF4-FFF2-40B4-BE49-F238E27FC236}">
              <a16:creationId xmlns:a16="http://schemas.microsoft.com/office/drawing/2014/main" id="{E3A0E8E5-F704-6EF7-FA34-CCB4D175C9C2}"/>
            </a:ext>
          </a:extLst>
        </cdr:cNvPr>
        <cdr:cNvSpPr txBox="1"/>
      </cdr:nvSpPr>
      <cdr:spPr>
        <a:xfrm xmlns:a="http://schemas.openxmlformats.org/drawingml/2006/main">
          <a:off x="6830142" y="3631945"/>
          <a:ext cx="543112" cy="2592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a:solidFill>
                <a:schemeClr val="tx1"/>
              </a:solidFill>
              <a:latin typeface="Calibri Light" panose="020F0302020204030204" pitchFamily="34" charset="0"/>
              <a:ea typeface="Calibri Light" panose="020F0302020204030204" pitchFamily="34" charset="0"/>
              <a:cs typeface="Calibri Light" panose="020F0302020204030204" pitchFamily="34" charset="0"/>
            </a:rPr>
            <a:t>24%</a:t>
          </a:r>
        </a:p>
      </cdr:txBody>
    </cdr:sp>
  </cdr:relSizeAnchor>
  <cdr:relSizeAnchor xmlns:cdr="http://schemas.openxmlformats.org/drawingml/2006/chartDrawing">
    <cdr:from>
      <cdr:x>0.89358</cdr:x>
      <cdr:y>0.09725</cdr:y>
    </cdr:from>
    <cdr:to>
      <cdr:x>0.95646</cdr:x>
      <cdr:y>0.1451</cdr:y>
    </cdr:to>
    <cdr:sp macro="" textlink="">
      <cdr:nvSpPr>
        <cdr:cNvPr id="12" name="TextBox 1">
          <a:extLst xmlns:a="http://schemas.openxmlformats.org/drawingml/2006/main">
            <a:ext uri="{FF2B5EF4-FFF2-40B4-BE49-F238E27FC236}">
              <a16:creationId xmlns:a16="http://schemas.microsoft.com/office/drawing/2014/main" id="{8375F443-06F7-5B32-622B-9AFA944EE95D}"/>
            </a:ext>
          </a:extLst>
        </cdr:cNvPr>
        <cdr:cNvSpPr txBox="1"/>
      </cdr:nvSpPr>
      <cdr:spPr>
        <a:xfrm xmlns:a="http://schemas.openxmlformats.org/drawingml/2006/main">
          <a:off x="7718120" y="527077"/>
          <a:ext cx="543112" cy="25933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i="1">
              <a:solidFill>
                <a:schemeClr val="tx1"/>
              </a:solidFill>
              <a:latin typeface="Calibri Light" panose="020F0302020204030204" pitchFamily="34" charset="0"/>
              <a:ea typeface="Calibri Light" panose="020F0302020204030204" pitchFamily="34" charset="0"/>
              <a:cs typeface="Calibri Light" panose="020F0302020204030204" pitchFamily="34" charset="0"/>
            </a:rPr>
            <a:t>47%</a:t>
          </a:r>
        </a:p>
      </cdr:txBody>
    </cdr:sp>
  </cdr:relSizeAnchor>
  <cdr:relSizeAnchor xmlns:cdr="http://schemas.openxmlformats.org/drawingml/2006/chartDrawing">
    <cdr:from>
      <cdr:x>0.12458</cdr:x>
      <cdr:y>0.18462</cdr:y>
    </cdr:from>
    <cdr:to>
      <cdr:x>0.58669</cdr:x>
      <cdr:y>0.48924</cdr:y>
    </cdr:to>
    <cdr:sp macro="" textlink="">
      <cdr:nvSpPr>
        <cdr:cNvPr id="17" name="TextBox 3">
          <a:extLst xmlns:a="http://schemas.openxmlformats.org/drawingml/2006/main">
            <a:ext uri="{FF2B5EF4-FFF2-40B4-BE49-F238E27FC236}">
              <a16:creationId xmlns:a16="http://schemas.microsoft.com/office/drawing/2014/main" id="{D07259A3-884A-BC40-D200-5DF4F6B955D8}"/>
            </a:ext>
          </a:extLst>
        </cdr:cNvPr>
        <cdr:cNvSpPr txBox="1"/>
      </cdr:nvSpPr>
      <cdr:spPr>
        <a:xfrm xmlns:a="http://schemas.openxmlformats.org/drawingml/2006/main">
          <a:off x="1078463" y="1071453"/>
          <a:ext cx="4000406" cy="1767839"/>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u="sng">
              <a:latin typeface="Calibri Light" panose="020F0302020204030204" pitchFamily="34" charset="0"/>
              <a:ea typeface="Calibri Light" panose="020F0302020204030204" pitchFamily="34" charset="0"/>
              <a:cs typeface="Calibri Light" panose="020F0302020204030204" pitchFamily="34" charset="0"/>
            </a:rPr>
            <a:t>Land includes:</a:t>
          </a:r>
        </a:p>
        <a:p xmlns:a="http://schemas.openxmlformats.org/drawingml/2006/main">
          <a:r>
            <a:rPr lang="en-US" sz="1200">
              <a:latin typeface="Calibri Light" panose="020F0302020204030204" pitchFamily="34" charset="0"/>
              <a:ea typeface="Calibri Light" panose="020F0302020204030204" pitchFamily="34" charset="0"/>
              <a:cs typeface="Calibri Light" panose="020F0302020204030204" pitchFamily="34" charset="0"/>
            </a:rPr>
            <a:t>Air defence system, Ammunition, Armoured vehicle,</a:t>
          </a:r>
          <a:r>
            <a:rPr lang="en-US" sz="1200" baseline="0">
              <a:latin typeface="Calibri Light" panose="020F0302020204030204" pitchFamily="34" charset="0"/>
              <a:ea typeface="Calibri Light" panose="020F0302020204030204" pitchFamily="34" charset="0"/>
              <a:cs typeface="Calibri Light" panose="020F0302020204030204" pitchFamily="34" charset="0"/>
            </a:rPr>
            <a:t> Artillery, Drone, Helicopter, Infantry, Main battle tank, Mine, Missile (Land)</a:t>
          </a:r>
        </a:p>
        <a:p xmlns:a="http://schemas.openxmlformats.org/drawingml/2006/main">
          <a:r>
            <a:rPr lang="en-US" sz="1200" u="sng" baseline="0">
              <a:latin typeface="Calibri Light" panose="020F0302020204030204" pitchFamily="34" charset="0"/>
              <a:ea typeface="Calibri Light" panose="020F0302020204030204" pitchFamily="34" charset="0"/>
              <a:cs typeface="Calibri Light" panose="020F0302020204030204" pitchFamily="34" charset="0"/>
            </a:rPr>
            <a:t>Other includes:</a:t>
          </a:r>
        </a:p>
        <a:p xmlns:a="http://schemas.openxmlformats.org/drawingml/2006/main">
          <a:r>
            <a:rPr lang="en-US" sz="1200" u="none" baseline="0">
              <a:latin typeface="Calibri Light" panose="020F0302020204030204" pitchFamily="34" charset="0"/>
              <a:ea typeface="Calibri Light" panose="020F0302020204030204" pitchFamily="34" charset="0"/>
              <a:cs typeface="Calibri Light" panose="020F0302020204030204" pitchFamily="34" charset="0"/>
            </a:rPr>
            <a:t>Maintenance, Modernisation, Other</a:t>
          </a:r>
        </a:p>
        <a:p xmlns:a="http://schemas.openxmlformats.org/drawingml/2006/main">
          <a:r>
            <a:rPr lang="en-US" sz="1200" u="none" baseline="0">
              <a:latin typeface="Calibri Light" panose="020F0302020204030204" pitchFamily="34" charset="0"/>
              <a:ea typeface="Calibri Light" panose="020F0302020204030204" pitchFamily="34" charset="0"/>
              <a:cs typeface="Calibri Light" panose="020F0302020204030204" pitchFamily="34" charset="0"/>
            </a:rPr>
            <a:t>Each category includes costs for development</a:t>
          </a:r>
          <a:endParaRPr lang="en-US" sz="1200" u="none">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0.10419</cdr:x>
      <cdr:y>0.00349</cdr:y>
    </cdr:from>
    <cdr:to>
      <cdr:x>0.63109</cdr:x>
      <cdr:y>0.14143</cdr:y>
    </cdr:to>
    <cdr:sp macro="" textlink="">
      <cdr:nvSpPr>
        <cdr:cNvPr id="4" name="TextBox 19">
          <a:extLst xmlns:a="http://schemas.openxmlformats.org/drawingml/2006/main">
            <a:ext uri="{FF2B5EF4-FFF2-40B4-BE49-F238E27FC236}">
              <a16:creationId xmlns:a16="http://schemas.microsoft.com/office/drawing/2014/main" id="{87016F72-1595-A54C-7980-0F7D7A9B561B}"/>
            </a:ext>
          </a:extLst>
        </cdr:cNvPr>
        <cdr:cNvSpPr txBox="1"/>
      </cdr:nvSpPr>
      <cdr:spPr>
        <a:xfrm xmlns:a="http://schemas.openxmlformats.org/drawingml/2006/main">
          <a:off x="901969" y="20266"/>
          <a:ext cx="4561267" cy="800504"/>
        </a:xfrm>
        <a:prstGeom xmlns:a="http://schemas.openxmlformats.org/drawingml/2006/main" prst="rect">
          <a:avLst/>
        </a:prstGeom>
        <a:solidFill xmlns:a="http://schemas.openxmlformats.org/drawingml/2006/main">
          <a:schemeClr val="bg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prstClr val="black"/>
              </a:solidFill>
              <a:effectLst/>
              <a:uLnTx/>
              <a:uFillTx/>
              <a:latin typeface="Calibri Light" panose="020F0302020204030204" pitchFamily="34" charset="0"/>
              <a:ea typeface="Calibri Light" panose="020F0302020204030204" pitchFamily="34" charset="0"/>
              <a:cs typeface="Calibri Light" panose="020F0302020204030204" pitchFamily="34" charset="0"/>
            </a:rPr>
            <a:t>Total orders Jan 2020 - Dec 2021: </a:t>
          </a:r>
          <a:r>
            <a:rPr kumimoji="0" lang="en-US" sz="1600" b="1" i="0" u="none" strike="noStrike" kern="0" cap="none" spc="0" normalizeH="0" baseline="0" noProof="0">
              <a:ln>
                <a:noFill/>
              </a:ln>
              <a:solidFill>
                <a:prstClr val="black"/>
              </a:solidFill>
              <a:effectLst/>
              <a:uLnTx/>
              <a:uFillTx/>
              <a:latin typeface="Calibri Light" panose="020F0302020204030204" pitchFamily="34" charset="0"/>
              <a:ea typeface="Calibri Light" panose="020F0302020204030204" pitchFamily="34" charset="0"/>
              <a:cs typeface="Calibri Light" panose="020F0302020204030204" pitchFamily="34" charset="0"/>
            </a:rPr>
            <a:t>€47.8 billion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prstClr val="black"/>
              </a:solidFill>
              <a:effectLst/>
              <a:uLnTx/>
              <a:uFillTx/>
              <a:latin typeface="Calibri Light" panose="020F0302020204030204" pitchFamily="34" charset="0"/>
              <a:ea typeface="Calibri Light" panose="020F0302020204030204" pitchFamily="34" charset="0"/>
              <a:cs typeface="Calibri Light" panose="020F0302020204030204" pitchFamily="34" charset="0"/>
            </a:rPr>
            <a:t>Total orders Jan 2022 - Jan 2026: </a:t>
          </a:r>
          <a:r>
            <a:rPr kumimoji="0" lang="en-US" sz="1600" b="1" i="0" u="none" strike="noStrike" kern="0" cap="none" spc="0" normalizeH="0" baseline="0" noProof="0">
              <a:ln>
                <a:noFill/>
              </a:ln>
              <a:solidFill>
                <a:prstClr val="black"/>
              </a:solidFill>
              <a:effectLst/>
              <a:uLnTx/>
              <a:uFillTx/>
              <a:latin typeface="Calibri Light" panose="020F0302020204030204" pitchFamily="34" charset="0"/>
              <a:ea typeface="Calibri Light" panose="020F0302020204030204" pitchFamily="34" charset="0"/>
              <a:cs typeface="Calibri Light" panose="020F0302020204030204" pitchFamily="34" charset="0"/>
            </a:rPr>
            <a:t>€205.5 billion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xmlns:a="http://schemas.openxmlformats.org/drawingml/2006/main">
          <a:endParaRPr lang="en-US" sz="1100">
            <a:latin typeface="Times New Roman" panose="02020603050405020304" pitchFamily="18" charset="0"/>
            <a:cs typeface="Times New Roman" panose="02020603050405020304" pitchFamily="18"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7</xdr:col>
      <xdr:colOff>0</xdr:colOff>
      <xdr:row>5</xdr:row>
      <xdr:rowOff>0</xdr:rowOff>
    </xdr:from>
    <xdr:to>
      <xdr:col>25</xdr:col>
      <xdr:colOff>0</xdr:colOff>
      <xdr:row>37</xdr:row>
      <xdr:rowOff>0</xdr:rowOff>
    </xdr:to>
    <xdr:graphicFrame macro="">
      <xdr:nvGraphicFramePr>
        <xdr:cNvPr id="2" name="Chart 1">
          <a:extLst>
            <a:ext uri="{FF2B5EF4-FFF2-40B4-BE49-F238E27FC236}">
              <a16:creationId xmlns:a16="http://schemas.microsoft.com/office/drawing/2014/main" id="{88DA0616-3CD7-4EFF-B473-0158F1646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0.06762</cdr:x>
      <cdr:y>0.27619</cdr:y>
    </cdr:from>
    <cdr:to>
      <cdr:x>0.23917</cdr:x>
      <cdr:y>0.34336</cdr:y>
    </cdr:to>
    <cdr:sp macro="" textlink="">
      <cdr:nvSpPr>
        <cdr:cNvPr id="4" name="TextBox 16">
          <a:extLst xmlns:a="http://schemas.openxmlformats.org/drawingml/2006/main">
            <a:ext uri="{FF2B5EF4-FFF2-40B4-BE49-F238E27FC236}">
              <a16:creationId xmlns:a16="http://schemas.microsoft.com/office/drawing/2014/main" id="{0A175FA4-0DC4-43AE-9263-493F919E58B3}"/>
            </a:ext>
          </a:extLst>
        </cdr:cNvPr>
        <cdr:cNvSpPr txBox="1"/>
      </cdr:nvSpPr>
      <cdr:spPr>
        <a:xfrm xmlns:a="http://schemas.openxmlformats.org/drawingml/2006/main">
          <a:off x="818388" y="1801246"/>
          <a:ext cx="2076159" cy="438071"/>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Class F126 ship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€5.6 bn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IT operations -</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€4.6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p>
      </cdr:txBody>
    </cdr:sp>
  </cdr:relSizeAnchor>
  <cdr:relSizeAnchor xmlns:cdr="http://schemas.openxmlformats.org/drawingml/2006/chartDrawing">
    <cdr:from>
      <cdr:x>0.13519</cdr:x>
      <cdr:y>0.35538</cdr:y>
    </cdr:from>
    <cdr:to>
      <cdr:x>0.15247</cdr:x>
      <cdr:y>0.43471</cdr:y>
    </cdr:to>
    <cdr:cxnSp macro="">
      <cdr:nvCxnSpPr>
        <cdr:cNvPr id="5" name="Straight Arrow Connector 4">
          <a:extLst xmlns:a="http://schemas.openxmlformats.org/drawingml/2006/main">
            <a:ext uri="{FF2B5EF4-FFF2-40B4-BE49-F238E27FC236}">
              <a16:creationId xmlns:a16="http://schemas.microsoft.com/office/drawing/2014/main" id="{F6A9B282-F22E-4D5A-8252-50B50C71C91C}"/>
            </a:ext>
          </a:extLst>
        </cdr:cNvPr>
        <cdr:cNvCxnSpPr/>
      </cdr:nvCxnSpPr>
      <cdr:spPr>
        <a:xfrm xmlns:a="http://schemas.openxmlformats.org/drawingml/2006/main" flipH="1">
          <a:off x="1636060" y="2317758"/>
          <a:ext cx="209203" cy="51733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0.27948</cdr:x>
      <cdr:y>0.13137</cdr:y>
    </cdr:from>
    <cdr:to>
      <cdr:x>0.44702</cdr:x>
      <cdr:y>0.34665</cdr:y>
    </cdr:to>
    <cdr:sp macro="" textlink="">
      <cdr:nvSpPr>
        <cdr:cNvPr id="6" name="TextBox 3">
          <a:extLst xmlns:a="http://schemas.openxmlformats.org/drawingml/2006/main">
            <a:ext uri="{FF2B5EF4-FFF2-40B4-BE49-F238E27FC236}">
              <a16:creationId xmlns:a16="http://schemas.microsoft.com/office/drawing/2014/main" id="{F8CAF2E1-8BF1-7DA9-D6F5-BC2B2354071F}"/>
            </a:ext>
          </a:extLst>
        </cdr:cNvPr>
        <cdr:cNvSpPr txBox="1"/>
      </cdr:nvSpPr>
      <cdr:spPr>
        <a:xfrm xmlns:a="http://schemas.openxmlformats.org/drawingml/2006/main">
          <a:off x="3382420" y="856788"/>
          <a:ext cx="2027628" cy="1404018"/>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Future Combat Air System project - €4.4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Class 424 ship - €2.1 bn</a:t>
          </a: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U212 submarine -</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 bn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P-8A Poseidon - €1.1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Puma retrofit</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€1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0.2963</cdr:x>
      <cdr:y>0.34665</cdr:y>
    </cdr:from>
    <cdr:to>
      <cdr:x>0.36325</cdr:x>
      <cdr:y>0.43471</cdr:y>
    </cdr:to>
    <cdr:cxnSp macro="">
      <cdr:nvCxnSpPr>
        <cdr:cNvPr id="11" name="Straight Arrow Connector 10">
          <a:extLst xmlns:a="http://schemas.openxmlformats.org/drawingml/2006/main">
            <a:ext uri="{FF2B5EF4-FFF2-40B4-BE49-F238E27FC236}">
              <a16:creationId xmlns:a16="http://schemas.microsoft.com/office/drawing/2014/main" id="{D28453E8-9CE1-4B63-7637-5833EDF664EA}"/>
            </a:ext>
          </a:extLst>
        </cdr:cNvPr>
        <cdr:cNvCxnSpPr>
          <a:stCxn xmlns:a="http://schemas.openxmlformats.org/drawingml/2006/main" id="6" idx="2"/>
        </cdr:cNvCxnSpPr>
      </cdr:nvCxnSpPr>
      <cdr:spPr>
        <a:xfrm xmlns:a="http://schemas.openxmlformats.org/drawingml/2006/main" flipH="1">
          <a:off x="3585883" y="2260806"/>
          <a:ext cx="810351" cy="57428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0.30452</cdr:x>
      <cdr:y>0.5434</cdr:y>
    </cdr:from>
    <cdr:to>
      <cdr:x>0.44467</cdr:x>
      <cdr:y>0.61874</cdr:y>
    </cdr:to>
    <cdr:sp macro="" textlink="">
      <cdr:nvSpPr>
        <cdr:cNvPr id="12" name="TextBox 14">
          <a:extLst xmlns:a="http://schemas.openxmlformats.org/drawingml/2006/main">
            <a:ext uri="{FF2B5EF4-FFF2-40B4-BE49-F238E27FC236}">
              <a16:creationId xmlns:a16="http://schemas.microsoft.com/office/drawing/2014/main" id="{888E77C8-9ADC-4DF3-9329-0A4B1D23BF68}"/>
            </a:ext>
          </a:extLst>
        </cdr:cNvPr>
        <cdr:cNvSpPr txBox="1"/>
      </cdr:nvSpPr>
      <cdr:spPr>
        <a:xfrm xmlns:a="http://schemas.openxmlformats.org/drawingml/2006/main">
          <a:off x="3685462" y="3543989"/>
          <a:ext cx="1696145" cy="491354"/>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Clothing &amp; personal equipment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€6.9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0.391</cdr:x>
      <cdr:y>0.62042</cdr:y>
    </cdr:from>
    <cdr:to>
      <cdr:x>0.44057</cdr:x>
      <cdr:y>0.74367</cdr:y>
    </cdr:to>
    <cdr:cxnSp macro="">
      <cdr:nvCxnSpPr>
        <cdr:cNvPr id="13" name="Straight Arrow Connector 12">
          <a:extLst xmlns:a="http://schemas.openxmlformats.org/drawingml/2006/main">
            <a:ext uri="{FF2B5EF4-FFF2-40B4-BE49-F238E27FC236}">
              <a16:creationId xmlns:a16="http://schemas.microsoft.com/office/drawing/2014/main" id="{1D620CBA-5BEF-4CC1-A026-7741866B087A}"/>
            </a:ext>
          </a:extLst>
        </cdr:cNvPr>
        <cdr:cNvCxnSpPr/>
      </cdr:nvCxnSpPr>
      <cdr:spPr>
        <a:xfrm xmlns:a="http://schemas.openxmlformats.org/drawingml/2006/main">
          <a:off x="4732074" y="4046300"/>
          <a:ext cx="599913" cy="80381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0.33569</cdr:x>
      <cdr:y>0.45741</cdr:y>
    </cdr:from>
    <cdr:to>
      <cdr:x>0.48973</cdr:x>
      <cdr:y>0.50027</cdr:y>
    </cdr:to>
    <cdr:sp macro="" textlink="">
      <cdr:nvSpPr>
        <cdr:cNvPr id="15" name="TextBox 12">
          <a:extLst xmlns:a="http://schemas.openxmlformats.org/drawingml/2006/main">
            <a:ext uri="{FF2B5EF4-FFF2-40B4-BE49-F238E27FC236}">
              <a16:creationId xmlns:a16="http://schemas.microsoft.com/office/drawing/2014/main" id="{D8B1EB85-7BDE-42DC-917A-A95012AA7169}"/>
            </a:ext>
          </a:extLst>
        </cdr:cNvPr>
        <cdr:cNvSpPr txBox="1"/>
      </cdr:nvSpPr>
      <cdr:spPr>
        <a:xfrm xmlns:a="http://schemas.openxmlformats.org/drawingml/2006/main">
          <a:off x="4062590" y="2983119"/>
          <a:ext cx="1864246" cy="279525"/>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F-35A fighter</a:t>
          </a:r>
          <a:r>
            <a:rPr lang="en-US" sz="1400" baseline="0">
              <a:latin typeface="Calibri Light" panose="020F0302020204030204" pitchFamily="34" charset="0"/>
              <a:ea typeface="Calibri Light" panose="020F0302020204030204" pitchFamily="34" charset="0"/>
              <a:cs typeface="Calibri Light" panose="020F0302020204030204" pitchFamily="34" charset="0"/>
            </a:rPr>
            <a: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€8.3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0.45895</cdr:x>
      <cdr:y>0.50197</cdr:y>
    </cdr:from>
    <cdr:to>
      <cdr:x>0.50242</cdr:x>
      <cdr:y>0.6058</cdr:y>
    </cdr:to>
    <cdr:cxnSp macro="">
      <cdr:nvCxnSpPr>
        <cdr:cNvPr id="16" name="Straight Arrow Connector 15">
          <a:extLst xmlns:a="http://schemas.openxmlformats.org/drawingml/2006/main">
            <a:ext uri="{FF2B5EF4-FFF2-40B4-BE49-F238E27FC236}">
              <a16:creationId xmlns:a16="http://schemas.microsoft.com/office/drawing/2014/main" id="{A682EA32-FFBF-4CAB-A05C-8D3E80FB87CA}"/>
            </a:ext>
          </a:extLst>
        </cdr:cNvPr>
        <cdr:cNvCxnSpPr/>
      </cdr:nvCxnSpPr>
      <cdr:spPr>
        <a:xfrm xmlns:a="http://schemas.openxmlformats.org/drawingml/2006/main">
          <a:off x="5554339" y="3273785"/>
          <a:ext cx="526089" cy="67716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0.49167</cdr:x>
      <cdr:y>0.47396</cdr:y>
    </cdr:from>
    <cdr:to>
      <cdr:x>0.64863</cdr:x>
      <cdr:y>0.52257</cdr:y>
    </cdr:to>
    <cdr:sp macro="" textlink="">
      <cdr:nvSpPr>
        <cdr:cNvPr id="18" name="TextBox 10">
          <a:extLst xmlns:a="http://schemas.openxmlformats.org/drawingml/2006/main">
            <a:ext uri="{FF2B5EF4-FFF2-40B4-BE49-F238E27FC236}">
              <a16:creationId xmlns:a16="http://schemas.microsoft.com/office/drawing/2014/main" id="{BF09E2E1-BBBB-4830-97C0-CBDB04F0B10E}"/>
            </a:ext>
          </a:extLst>
        </cdr:cNvPr>
        <cdr:cNvSpPr txBox="1"/>
      </cdr:nvSpPr>
      <cdr:spPr>
        <a:xfrm xmlns:a="http://schemas.openxmlformats.org/drawingml/2006/main">
          <a:off x="5950373" y="3091065"/>
          <a:ext cx="1899585" cy="317026"/>
        </a:xfrm>
        <a:prstGeom xmlns:a="http://schemas.openxmlformats.org/drawingml/2006/main" prst="rect">
          <a:avLst/>
        </a:prstGeom>
        <a:solidFill xmlns:a="http://schemas.openxmlformats.org/drawingml/2006/main">
          <a:sysClr val="window" lastClr="FFFFFF">
            <a:alpha val="0"/>
          </a:sysClr>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CH-47F Chinook - </a:t>
          </a:r>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€7 bn</a:t>
          </a:r>
        </a:p>
      </cdr:txBody>
    </cdr:sp>
  </cdr:relSizeAnchor>
  <cdr:relSizeAnchor xmlns:cdr="http://schemas.openxmlformats.org/drawingml/2006/chartDrawing">
    <cdr:from>
      <cdr:x>0.66421</cdr:x>
      <cdr:y>0.27916</cdr:y>
    </cdr:from>
    <cdr:to>
      <cdr:x>0.78764</cdr:x>
      <cdr:y>0.39144</cdr:y>
    </cdr:to>
    <cdr:sp macro="" textlink="">
      <cdr:nvSpPr>
        <cdr:cNvPr id="19" name="TextBox 9">
          <a:extLst xmlns:a="http://schemas.openxmlformats.org/drawingml/2006/main">
            <a:ext uri="{FF2B5EF4-FFF2-40B4-BE49-F238E27FC236}">
              <a16:creationId xmlns:a16="http://schemas.microsoft.com/office/drawing/2014/main" id="{D9DAF369-FD2E-45C9-97AB-917F35607EAB}"/>
            </a:ext>
          </a:extLst>
        </cdr:cNvPr>
        <cdr:cNvSpPr txBox="1"/>
      </cdr:nvSpPr>
      <cdr:spPr>
        <a:xfrm xmlns:a="http://schemas.openxmlformats.org/drawingml/2006/main">
          <a:off x="8038481" y="1820642"/>
          <a:ext cx="1493794" cy="732270"/>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Military vehicle maintentance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a:t>
          </a:r>
          <a:r>
            <a:rPr lang="en-US" sz="1400">
              <a:latin typeface="Calibri Light" panose="020F0302020204030204" pitchFamily="34" charset="0"/>
              <a:ea typeface="Calibri Light" panose="020F0302020204030204" pitchFamily="34" charset="0"/>
              <a:cs typeface="Calibri Light" panose="020F0302020204030204" pitchFamily="34" charset="0"/>
            </a:rPr>
            <a:t>13.4 bn</a:t>
          </a:r>
        </a:p>
        <a:p xmlns:a="http://schemas.openxmlformats.org/drawingml/2006/main">
          <a:endParaRPr lang="en-US" sz="1100"/>
        </a:p>
      </cdr:txBody>
    </cdr:sp>
  </cdr:relSizeAnchor>
  <cdr:relSizeAnchor xmlns:cdr="http://schemas.openxmlformats.org/drawingml/2006/chartDrawing">
    <cdr:from>
      <cdr:x>0.66944</cdr:x>
      <cdr:y>0.40065</cdr:y>
    </cdr:from>
    <cdr:to>
      <cdr:x>0.71135</cdr:x>
      <cdr:y>0.49587</cdr:y>
    </cdr:to>
    <cdr:cxnSp macro="">
      <cdr:nvCxnSpPr>
        <cdr:cNvPr id="20" name="Straight Arrow Connector 19">
          <a:extLst xmlns:a="http://schemas.openxmlformats.org/drawingml/2006/main">
            <a:ext uri="{FF2B5EF4-FFF2-40B4-BE49-F238E27FC236}">
              <a16:creationId xmlns:a16="http://schemas.microsoft.com/office/drawing/2014/main" id="{3479F456-9CA4-4669-8D3B-6D43AAB04EFD}"/>
            </a:ext>
          </a:extLst>
        </cdr:cNvPr>
        <cdr:cNvCxnSpPr/>
      </cdr:nvCxnSpPr>
      <cdr:spPr>
        <a:xfrm xmlns:a="http://schemas.openxmlformats.org/drawingml/2006/main" flipH="1">
          <a:off x="8101799" y="2612943"/>
          <a:ext cx="507210" cy="62100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0.54279</cdr:x>
      <cdr:y>0.51808</cdr:y>
    </cdr:from>
    <cdr:to>
      <cdr:x>0.58942</cdr:x>
      <cdr:y>0.64923</cdr:y>
    </cdr:to>
    <cdr:cxnSp macro="">
      <cdr:nvCxnSpPr>
        <cdr:cNvPr id="10" name="Straight Arrow Connector 9">
          <a:extLst xmlns:a="http://schemas.openxmlformats.org/drawingml/2006/main">
            <a:ext uri="{FF2B5EF4-FFF2-40B4-BE49-F238E27FC236}">
              <a16:creationId xmlns:a16="http://schemas.microsoft.com/office/drawing/2014/main" id="{85F54556-EBE9-FA9E-E51F-4184F6101A37}"/>
            </a:ext>
          </a:extLst>
        </cdr:cNvPr>
        <cdr:cNvCxnSpPr/>
      </cdr:nvCxnSpPr>
      <cdr:spPr>
        <a:xfrm xmlns:a="http://schemas.openxmlformats.org/drawingml/2006/main">
          <a:off x="6569045" y="3378808"/>
          <a:ext cx="564333" cy="85533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0.64537</cdr:x>
      <cdr:y>0.14678</cdr:y>
    </cdr:from>
    <cdr:to>
      <cdr:x>0.82288</cdr:x>
      <cdr:y>0.22287</cdr:y>
    </cdr:to>
    <cdr:sp macro="" textlink="">
      <cdr:nvSpPr>
        <cdr:cNvPr id="9" name="TextBox 12">
          <a:extLst xmlns:a="http://schemas.openxmlformats.org/drawingml/2006/main">
            <a:ext uri="{FF2B5EF4-FFF2-40B4-BE49-F238E27FC236}">
              <a16:creationId xmlns:a16="http://schemas.microsoft.com/office/drawing/2014/main" id="{806228DA-5CF5-DF93-C999-8E2461D23AAA}"/>
            </a:ext>
          </a:extLst>
        </cdr:cNvPr>
        <cdr:cNvSpPr txBox="1"/>
      </cdr:nvSpPr>
      <cdr:spPr>
        <a:xfrm xmlns:a="http://schemas.openxmlformats.org/drawingml/2006/main">
          <a:off x="7810478" y="957305"/>
          <a:ext cx="2148289" cy="496245"/>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aseline="0">
              <a:latin typeface="Calibri Light" panose="020F0302020204030204" pitchFamily="34" charset="0"/>
              <a:ea typeface="Calibri Light" panose="020F0302020204030204" pitchFamily="34" charset="0"/>
              <a:cs typeface="Calibri Light" panose="020F0302020204030204" pitchFamily="34" charset="0"/>
            </a:rPr>
            <a:t>U-212 submarine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€5 bn</a:t>
          </a: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Other orders - €15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0.73412</cdr:x>
      <cdr:y>0.22287</cdr:y>
    </cdr:from>
    <cdr:to>
      <cdr:x>0.81019</cdr:x>
      <cdr:y>0.28694</cdr:y>
    </cdr:to>
    <cdr:cxnSp macro="">
      <cdr:nvCxnSpPr>
        <cdr:cNvPr id="14" name="Straight Arrow Connector 13">
          <a:extLst xmlns:a="http://schemas.openxmlformats.org/drawingml/2006/main">
            <a:ext uri="{FF2B5EF4-FFF2-40B4-BE49-F238E27FC236}">
              <a16:creationId xmlns:a16="http://schemas.microsoft.com/office/drawing/2014/main" id="{AF40F3FD-AFB2-2F87-8C8F-78711AAB2113}"/>
            </a:ext>
          </a:extLst>
        </cdr:cNvPr>
        <cdr:cNvCxnSpPr>
          <a:stCxn xmlns:a="http://schemas.openxmlformats.org/drawingml/2006/main" id="9" idx="2"/>
        </cdr:cNvCxnSpPr>
      </cdr:nvCxnSpPr>
      <cdr:spPr>
        <a:xfrm xmlns:a="http://schemas.openxmlformats.org/drawingml/2006/main">
          <a:off x="8884623" y="1453550"/>
          <a:ext cx="920524" cy="41783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0.05883</cdr:x>
      <cdr:y>0.04903</cdr:y>
    </cdr:from>
    <cdr:to>
      <cdr:x>0.19243</cdr:x>
      <cdr:y>0.13465</cdr:y>
    </cdr:to>
    <cdr:sp macro="" textlink="">
      <cdr:nvSpPr>
        <cdr:cNvPr id="2" name="TextBox 19">
          <a:extLst xmlns:a="http://schemas.openxmlformats.org/drawingml/2006/main">
            <a:ext uri="{FF2B5EF4-FFF2-40B4-BE49-F238E27FC236}">
              <a16:creationId xmlns:a16="http://schemas.microsoft.com/office/drawing/2014/main" id="{3F74A243-F95A-44CB-DB9B-5ED8CC6C764E}"/>
            </a:ext>
          </a:extLst>
        </cdr:cNvPr>
        <cdr:cNvSpPr txBox="1"/>
      </cdr:nvSpPr>
      <cdr:spPr>
        <a:xfrm xmlns:a="http://schemas.openxmlformats.org/drawingml/2006/main">
          <a:off x="711946" y="319740"/>
          <a:ext cx="1616962" cy="558398"/>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Total:</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€193.6 bn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7</xdr:col>
      <xdr:colOff>659130</xdr:colOff>
      <xdr:row>4</xdr:row>
      <xdr:rowOff>194310</xdr:rowOff>
    </xdr:from>
    <xdr:to>
      <xdr:col>22</xdr:col>
      <xdr:colOff>238125</xdr:colOff>
      <xdr:row>25</xdr:row>
      <xdr:rowOff>144780</xdr:rowOff>
    </xdr:to>
    <xdr:graphicFrame macro="">
      <xdr:nvGraphicFramePr>
        <xdr:cNvPr id="2" name="Chart 1">
          <a:extLst>
            <a:ext uri="{FF2B5EF4-FFF2-40B4-BE49-F238E27FC236}">
              <a16:creationId xmlns:a16="http://schemas.microsoft.com/office/drawing/2014/main" id="{D42F16A5-BAEF-4C58-91F8-AD5AFB220A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114300</xdr:colOff>
      <xdr:row>4</xdr:row>
      <xdr:rowOff>123825</xdr:rowOff>
    </xdr:from>
    <xdr:to>
      <xdr:col>12</xdr:col>
      <xdr:colOff>105659</xdr:colOff>
      <xdr:row>7</xdr:row>
      <xdr:rowOff>103404</xdr:rowOff>
    </xdr:to>
    <xdr:sp macro="" textlink="">
      <xdr:nvSpPr>
        <xdr:cNvPr id="3" name="TextBox 19">
          <a:extLst>
            <a:ext uri="{FF2B5EF4-FFF2-40B4-BE49-F238E27FC236}">
              <a16:creationId xmlns:a16="http://schemas.microsoft.com/office/drawing/2014/main" id="{962A271E-8422-49B0-9CF4-087DC56B08E2}"/>
            </a:ext>
          </a:extLst>
        </xdr:cNvPr>
        <xdr:cNvSpPr txBox="1"/>
      </xdr:nvSpPr>
      <xdr:spPr>
        <a:xfrm>
          <a:off x="9906000" y="2495550"/>
          <a:ext cx="1991609" cy="646329"/>
        </a:xfrm>
        <a:prstGeom prst="rect">
          <a:avLst/>
        </a:prstGeom>
        <a:solidFill>
          <a:sysClr val="window" lastClr="FFFFFF">
            <a:alpha val="0"/>
          </a:sys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600">
              <a:latin typeface="Calibri Light" panose="020F0302020204030204" pitchFamily="34" charset="0"/>
              <a:ea typeface="Calibri Light" panose="020F0302020204030204" pitchFamily="34" charset="0"/>
              <a:cs typeface="Calibri Light" panose="020F0302020204030204" pitchFamily="34" charset="0"/>
            </a:rPr>
            <a:t>billion Euros</a:t>
          </a:r>
        </a:p>
        <a:p>
          <a:r>
            <a:rPr lang="en-US" sz="1600">
              <a:latin typeface="Calibri Light" panose="020F0302020204030204" pitchFamily="34" charset="0"/>
              <a:ea typeface="Calibri Light" panose="020F0302020204030204" pitchFamily="34" charset="0"/>
              <a:cs typeface="Calibri Light" panose="020F0302020204030204" pitchFamily="34" charset="0"/>
            </a:rPr>
            <a:t>Total:</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€193.6 bn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a:endParaRPr lang="en-US" sz="1100">
            <a:latin typeface="Times New Roman" panose="02020603050405020304" pitchFamily="18" charset="0"/>
            <a:cs typeface="Times New Roman" panose="02020603050405020304" pitchFamily="18" charset="0"/>
          </a:endParaRPr>
        </a:p>
      </xdr:txBody>
    </xdr:sp>
    <xdr:clientData/>
  </xdr:twoCellAnchor>
</xdr:wsDr>
</file>

<file path=xl/drawings/drawing36.xml><?xml version="1.0" encoding="utf-8"?>
<c:userShapes xmlns:c="http://schemas.openxmlformats.org/drawingml/2006/chart">
  <cdr:relSizeAnchor xmlns:cdr="http://schemas.openxmlformats.org/drawingml/2006/chartDrawing">
    <cdr:from>
      <cdr:x>0.16268</cdr:x>
      <cdr:y>0.36141</cdr:y>
    </cdr:from>
    <cdr:to>
      <cdr:x>0.23444</cdr:x>
      <cdr:y>0.43082</cdr:y>
    </cdr:to>
    <cdr:sp macro="" textlink="">
      <cdr:nvSpPr>
        <cdr:cNvPr id="3" name="TextBox 19">
          <a:extLst xmlns:a="http://schemas.openxmlformats.org/drawingml/2006/main">
            <a:ext uri="{FF2B5EF4-FFF2-40B4-BE49-F238E27FC236}">
              <a16:creationId xmlns:a16="http://schemas.microsoft.com/office/drawing/2014/main" id="{16E67DC5-A514-7BDB-B14C-D9CCC6C29954}"/>
            </a:ext>
          </a:extLst>
        </cdr:cNvPr>
        <cdr:cNvSpPr txBox="1"/>
      </cdr:nvSpPr>
      <cdr:spPr>
        <a:xfrm xmlns:a="http://schemas.openxmlformats.org/drawingml/2006/main">
          <a:off x="1558533" y="1524305"/>
          <a:ext cx="687462" cy="29274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€47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0.84751</cdr:x>
      <cdr:y>0.68456</cdr:y>
    </cdr:from>
    <cdr:to>
      <cdr:x>0.94435</cdr:x>
      <cdr:y>0.74784</cdr:y>
    </cdr:to>
    <cdr:sp macro="" textlink="">
      <cdr:nvSpPr>
        <cdr:cNvPr id="4" name="TextBox 19">
          <a:extLst xmlns:a="http://schemas.openxmlformats.org/drawingml/2006/main">
            <a:ext uri="{FF2B5EF4-FFF2-40B4-BE49-F238E27FC236}">
              <a16:creationId xmlns:a16="http://schemas.microsoft.com/office/drawing/2014/main" id="{16E67DC5-A514-7BDB-B14C-D9CCC6C29954}"/>
            </a:ext>
          </a:extLst>
        </cdr:cNvPr>
        <cdr:cNvSpPr txBox="1"/>
      </cdr:nvSpPr>
      <cdr:spPr>
        <a:xfrm xmlns:a="http://schemas.openxmlformats.org/drawingml/2006/main">
          <a:off x="8119376" y="2887234"/>
          <a:ext cx="927751" cy="266894"/>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€5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0.39145</cdr:x>
      <cdr:y>0.2988</cdr:y>
    </cdr:from>
    <cdr:to>
      <cdr:x>0.47703</cdr:x>
      <cdr:y>0.36859</cdr:y>
    </cdr:to>
    <cdr:sp macro="" textlink="">
      <cdr:nvSpPr>
        <cdr:cNvPr id="5" name="TextBox 19">
          <a:extLst xmlns:a="http://schemas.openxmlformats.org/drawingml/2006/main">
            <a:ext uri="{FF2B5EF4-FFF2-40B4-BE49-F238E27FC236}">
              <a16:creationId xmlns:a16="http://schemas.microsoft.com/office/drawing/2014/main" id="{16E67DC5-A514-7BDB-B14C-D9CCC6C29954}"/>
            </a:ext>
          </a:extLst>
        </cdr:cNvPr>
        <cdr:cNvSpPr txBox="1"/>
      </cdr:nvSpPr>
      <cdr:spPr>
        <a:xfrm xmlns:a="http://schemas.openxmlformats.org/drawingml/2006/main">
          <a:off x="3750180" y="1260240"/>
          <a:ext cx="819877" cy="29435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€55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0.61647</cdr:x>
      <cdr:y>0.0733</cdr:y>
    </cdr:from>
    <cdr:to>
      <cdr:x>0.69278</cdr:x>
      <cdr:y>0.13387</cdr:y>
    </cdr:to>
    <cdr:sp macro="" textlink="">
      <cdr:nvSpPr>
        <cdr:cNvPr id="6" name="TextBox 19">
          <a:extLst xmlns:a="http://schemas.openxmlformats.org/drawingml/2006/main">
            <a:ext uri="{FF2B5EF4-FFF2-40B4-BE49-F238E27FC236}">
              <a16:creationId xmlns:a16="http://schemas.microsoft.com/office/drawing/2014/main" id="{16E67DC5-A514-7BDB-B14C-D9CCC6C29954}"/>
            </a:ext>
          </a:extLst>
        </cdr:cNvPr>
        <cdr:cNvSpPr txBox="1"/>
      </cdr:nvSpPr>
      <cdr:spPr>
        <a:xfrm xmlns:a="http://schemas.openxmlformats.org/drawingml/2006/main">
          <a:off x="5905971" y="309151"/>
          <a:ext cx="731049" cy="255464"/>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€86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userShapes>
</file>

<file path=xl/drawings/drawing37.xml><?xml version="1.0" encoding="utf-8"?>
<xdr:wsDr xmlns:xdr="http://schemas.openxmlformats.org/drawingml/2006/spreadsheetDrawing" xmlns:a="http://schemas.openxmlformats.org/drawingml/2006/main">
  <xdr:twoCellAnchor>
    <xdr:from>
      <xdr:col>8</xdr:col>
      <xdr:colOff>7620</xdr:colOff>
      <xdr:row>5</xdr:row>
      <xdr:rowOff>7620</xdr:rowOff>
    </xdr:from>
    <xdr:to>
      <xdr:col>25</xdr:col>
      <xdr:colOff>582311</xdr:colOff>
      <xdr:row>36</xdr:row>
      <xdr:rowOff>190500</xdr:rowOff>
    </xdr:to>
    <xdr:graphicFrame macro="">
      <xdr:nvGraphicFramePr>
        <xdr:cNvPr id="2" name="Chart 1">
          <a:extLst>
            <a:ext uri="{FF2B5EF4-FFF2-40B4-BE49-F238E27FC236}">
              <a16:creationId xmlns:a16="http://schemas.microsoft.com/office/drawing/2014/main" id="{61AD0C8B-8E0E-45D1-B228-30C6FE83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190500</xdr:colOff>
      <xdr:row>6</xdr:row>
      <xdr:rowOff>28575</xdr:rowOff>
    </xdr:from>
    <xdr:to>
      <xdr:col>25</xdr:col>
      <xdr:colOff>10418</xdr:colOff>
      <xdr:row>12</xdr:row>
      <xdr:rowOff>10272</xdr:rowOff>
    </xdr:to>
    <xdr:sp macro="" textlink="">
      <xdr:nvSpPr>
        <xdr:cNvPr id="3" name="TextBox 9">
          <a:extLst>
            <a:ext uri="{FF2B5EF4-FFF2-40B4-BE49-F238E27FC236}">
              <a16:creationId xmlns:a16="http://schemas.microsoft.com/office/drawing/2014/main" id="{51ED041D-0807-4CF2-AFFC-5DED765CC723}"/>
            </a:ext>
          </a:extLst>
        </xdr:cNvPr>
        <xdr:cNvSpPr txBox="1"/>
      </xdr:nvSpPr>
      <xdr:spPr>
        <a:xfrm>
          <a:off x="20402550" y="2867025"/>
          <a:ext cx="1820168" cy="1181847"/>
        </a:xfrm>
        <a:prstGeom prst="rect">
          <a:avLst/>
        </a:prstGeom>
        <a:solidFill>
          <a:sysClr val="window" lastClr="FFFFFF">
            <a:alpha val="0"/>
          </a:sys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a:solidFill>
                <a:schemeClr val="dk1"/>
              </a:solidFill>
              <a:effectLst/>
              <a:latin typeface="Calibri Light" panose="020F0302020204030204" pitchFamily="34" charset="0"/>
              <a:ea typeface="+mn-ea"/>
              <a:cs typeface="Calibri Light" panose="020F0302020204030204" pitchFamily="34" charset="0"/>
            </a:rPr>
            <a:t>Clothing &amp; personal equipment - €21 bn</a:t>
          </a:r>
        </a:p>
        <a:p>
          <a:r>
            <a:rPr lang="en-GB" sz="1400">
              <a:effectLst/>
              <a:latin typeface="Calibri Light" panose="020F0302020204030204" pitchFamily="34" charset="0"/>
              <a:cs typeface="Calibri Light" panose="020F0302020204030204" pitchFamily="34" charset="0"/>
            </a:rPr>
            <a:t>Puma tank - €4.5</a:t>
          </a:r>
          <a:r>
            <a:rPr lang="en-GB" sz="1400" baseline="0">
              <a:effectLst/>
              <a:latin typeface="Calibri Light" panose="020F0302020204030204" pitchFamily="34" charset="0"/>
              <a:cs typeface="Calibri Light" panose="020F0302020204030204" pitchFamily="34" charset="0"/>
            </a:rPr>
            <a:t> bn</a:t>
          </a:r>
        </a:p>
        <a:p>
          <a:r>
            <a:rPr lang="en-GB" sz="1400">
              <a:effectLst/>
              <a:latin typeface="Calibri Light" panose="020F0302020204030204" pitchFamily="34" charset="0"/>
              <a:cs typeface="Calibri Light" panose="020F0302020204030204" pitchFamily="34" charset="0"/>
            </a:rPr>
            <a:t>Eagle V - €4 bn</a:t>
          </a:r>
        </a:p>
        <a:p>
          <a:r>
            <a:rPr lang="en-GB" sz="1400">
              <a:effectLst/>
              <a:latin typeface="Calibri Light" panose="020F0302020204030204" pitchFamily="34" charset="0"/>
              <a:cs typeface="Calibri Light" panose="020F0302020204030204" pitchFamily="34" charset="0"/>
            </a:rPr>
            <a:t>Arrow missiles - €3</a:t>
          </a:r>
          <a:r>
            <a:rPr lang="en-GB" sz="1400" baseline="0">
              <a:effectLst/>
              <a:latin typeface="Calibri Light" panose="020F0302020204030204" pitchFamily="34" charset="0"/>
              <a:cs typeface="Calibri Light" panose="020F0302020204030204" pitchFamily="34" charset="0"/>
            </a:rPr>
            <a:t> bn</a:t>
          </a:r>
          <a:endParaRPr lang="en-GB" sz="1400">
            <a:effectLst/>
            <a:latin typeface="Calibri Light" panose="020F0302020204030204" pitchFamily="34" charset="0"/>
            <a:cs typeface="Calibri Light" panose="020F0302020204030204" pitchFamily="34" charset="0"/>
          </a:endParaRPr>
        </a:p>
      </xdr:txBody>
    </xdr:sp>
    <xdr:clientData/>
  </xdr:twoCellAnchor>
  <xdr:twoCellAnchor>
    <xdr:from>
      <xdr:col>23</xdr:col>
      <xdr:colOff>400050</xdr:colOff>
      <xdr:row>12</xdr:row>
      <xdr:rowOff>76200</xdr:rowOff>
    </xdr:from>
    <xdr:to>
      <xdr:col>25</xdr:col>
      <xdr:colOff>123825</xdr:colOff>
      <xdr:row>16</xdr:row>
      <xdr:rowOff>38100</xdr:rowOff>
    </xdr:to>
    <xdr:cxnSp macro="">
      <xdr:nvCxnSpPr>
        <xdr:cNvPr id="4" name="Straight Arrow Connector 3">
          <a:extLst>
            <a:ext uri="{FF2B5EF4-FFF2-40B4-BE49-F238E27FC236}">
              <a16:creationId xmlns:a16="http://schemas.microsoft.com/office/drawing/2014/main" id="{1C03A9D3-5304-4370-9002-BBA43DEB89D8}"/>
            </a:ext>
          </a:extLst>
        </xdr:cNvPr>
        <xdr:cNvCxnSpPr/>
      </xdr:nvCxnSpPr>
      <xdr:spPr>
        <a:xfrm>
          <a:off x="21278850" y="4114800"/>
          <a:ext cx="1057275" cy="762000"/>
        </a:xfrm>
        <a:prstGeom prst="straightConnector1">
          <a:avLst/>
        </a:prstGeom>
        <a:ln>
          <a:solidFill>
            <a:sysClr val="windowText" lastClr="00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8.xml><?xml version="1.0" encoding="utf-8"?>
<c:userShapes xmlns:c="http://schemas.openxmlformats.org/drawingml/2006/chart">
  <cdr:relSizeAnchor xmlns:cdr="http://schemas.openxmlformats.org/drawingml/2006/chartDrawing">
    <cdr:from>
      <cdr:x>0.06918</cdr:x>
      <cdr:y>0.00148</cdr:y>
    </cdr:from>
    <cdr:to>
      <cdr:x>0.20749</cdr:x>
      <cdr:y>0.09106</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823862" y="9525"/>
          <a:ext cx="1647195" cy="577820"/>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 </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Total:</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€222.5 bn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0.08794</cdr:x>
      <cdr:y>0.44515</cdr:y>
    </cdr:from>
    <cdr:to>
      <cdr:x>0.25269</cdr:x>
      <cdr:y>0.4962</cdr:y>
    </cdr:to>
    <cdr:sp macro="" textlink="">
      <cdr:nvSpPr>
        <cdr:cNvPr id="4" name="TextBox 16">
          <a:extLst xmlns:a="http://schemas.openxmlformats.org/drawingml/2006/main">
            <a:ext uri="{FF2B5EF4-FFF2-40B4-BE49-F238E27FC236}">
              <a16:creationId xmlns:a16="http://schemas.microsoft.com/office/drawing/2014/main" id="{0A175FA4-0DC4-43AE-9263-493F919E58B3}"/>
            </a:ext>
          </a:extLst>
        </cdr:cNvPr>
        <cdr:cNvSpPr txBox="1"/>
      </cdr:nvSpPr>
      <cdr:spPr>
        <a:xfrm xmlns:a="http://schemas.openxmlformats.org/drawingml/2006/main">
          <a:off x="1047300" y="2871345"/>
          <a:ext cx="1962081" cy="3292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Class F126</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ship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€5.6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p>
      </cdr:txBody>
    </cdr:sp>
  </cdr:relSizeAnchor>
  <cdr:relSizeAnchor xmlns:cdr="http://schemas.openxmlformats.org/drawingml/2006/chartDrawing">
    <cdr:from>
      <cdr:x>0.14044</cdr:x>
      <cdr:y>0.50236</cdr:y>
    </cdr:from>
    <cdr:to>
      <cdr:x>0.14092</cdr:x>
      <cdr:y>0.60641</cdr:y>
    </cdr:to>
    <cdr:cxnSp macro="">
      <cdr:nvCxnSpPr>
        <cdr:cNvPr id="5" name="Straight Arrow Connector 4">
          <a:extLst xmlns:a="http://schemas.openxmlformats.org/drawingml/2006/main">
            <a:ext uri="{FF2B5EF4-FFF2-40B4-BE49-F238E27FC236}">
              <a16:creationId xmlns:a16="http://schemas.microsoft.com/office/drawing/2014/main" id="{F6A9B282-F22E-4D5A-8252-50B50C71C91C}"/>
            </a:ext>
          </a:extLst>
        </cdr:cNvPr>
        <cdr:cNvCxnSpPr/>
      </cdr:nvCxnSpPr>
      <cdr:spPr>
        <a:xfrm xmlns:a="http://schemas.openxmlformats.org/drawingml/2006/main" flipH="1">
          <a:off x="1672517" y="3240405"/>
          <a:ext cx="5788" cy="67114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0.29703</cdr:x>
      <cdr:y>0.2769</cdr:y>
    </cdr:from>
    <cdr:to>
      <cdr:x>0.46674</cdr:x>
      <cdr:y>0.42614</cdr:y>
    </cdr:to>
    <cdr:sp macro="" textlink="">
      <cdr:nvSpPr>
        <cdr:cNvPr id="6" name="TextBox 3">
          <a:extLst xmlns:a="http://schemas.openxmlformats.org/drawingml/2006/main">
            <a:ext uri="{FF2B5EF4-FFF2-40B4-BE49-F238E27FC236}">
              <a16:creationId xmlns:a16="http://schemas.microsoft.com/office/drawing/2014/main" id="{F8CAF2E1-8BF1-7DA9-D6F5-BC2B2354071F}"/>
            </a:ext>
          </a:extLst>
        </cdr:cNvPr>
        <cdr:cNvSpPr txBox="1"/>
      </cdr:nvSpPr>
      <cdr:spPr>
        <a:xfrm xmlns:a="http://schemas.openxmlformats.org/drawingml/2006/main">
          <a:off x="3537513" y="1786096"/>
          <a:ext cx="2021151" cy="962648"/>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Future Combat Air System project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€4.4 bn</a:t>
          </a: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Class 424 ship - €2.1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U212 submarine -</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solidFill>
              <a:schemeClr val="dk1"/>
            </a:solidFill>
            <a:effectLst/>
            <a:latin typeface="Times New Roman" panose="02020603050405020304" pitchFamily="18" charset="0"/>
            <a:ea typeface="+mn-ea"/>
            <a:cs typeface="Times New Roman" panose="02020603050405020304" pitchFamily="18"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0.30008</cdr:x>
      <cdr:y>0.42115</cdr:y>
    </cdr:from>
    <cdr:to>
      <cdr:x>0.32647</cdr:x>
      <cdr:y>0.55778</cdr:y>
    </cdr:to>
    <cdr:cxnSp macro="">
      <cdr:nvCxnSpPr>
        <cdr:cNvPr id="11" name="Straight Arrow Connector 10">
          <a:extLst xmlns:a="http://schemas.openxmlformats.org/drawingml/2006/main">
            <a:ext uri="{FF2B5EF4-FFF2-40B4-BE49-F238E27FC236}">
              <a16:creationId xmlns:a16="http://schemas.microsoft.com/office/drawing/2014/main" id="{D28453E8-9CE1-4B63-7637-5833EDF664EA}"/>
            </a:ext>
          </a:extLst>
        </cdr:cNvPr>
        <cdr:cNvCxnSpPr/>
      </cdr:nvCxnSpPr>
      <cdr:spPr>
        <a:xfrm xmlns:a="http://schemas.openxmlformats.org/drawingml/2006/main" flipH="1">
          <a:off x="3573794" y="2716530"/>
          <a:ext cx="314311" cy="88135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0.44725</cdr:x>
      <cdr:y>0.46387</cdr:y>
    </cdr:from>
    <cdr:to>
      <cdr:x>0.60235</cdr:x>
      <cdr:y>0.50875</cdr:y>
    </cdr:to>
    <cdr:sp macro="" textlink="">
      <cdr:nvSpPr>
        <cdr:cNvPr id="12" name="TextBox 14">
          <a:extLst xmlns:a="http://schemas.openxmlformats.org/drawingml/2006/main">
            <a:ext uri="{FF2B5EF4-FFF2-40B4-BE49-F238E27FC236}">
              <a16:creationId xmlns:a16="http://schemas.microsoft.com/office/drawing/2014/main" id="{888E77C8-9ADC-4DF3-9329-0A4B1D23BF68}"/>
            </a:ext>
          </a:extLst>
        </cdr:cNvPr>
        <cdr:cNvSpPr txBox="1"/>
      </cdr:nvSpPr>
      <cdr:spPr>
        <a:xfrm xmlns:a="http://schemas.openxmlformats.org/drawingml/2006/main">
          <a:off x="5326537" y="2992136"/>
          <a:ext cx="1847155" cy="289491"/>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F-35A fighter</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€8.3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0.52162</cdr:x>
      <cdr:y>0.52599</cdr:y>
    </cdr:from>
    <cdr:to>
      <cdr:x>0.52242</cdr:x>
      <cdr:y>0.65298</cdr:y>
    </cdr:to>
    <cdr:cxnSp macro="">
      <cdr:nvCxnSpPr>
        <cdr:cNvPr id="13" name="Straight Arrow Connector 12">
          <a:extLst xmlns:a="http://schemas.openxmlformats.org/drawingml/2006/main">
            <a:ext uri="{FF2B5EF4-FFF2-40B4-BE49-F238E27FC236}">
              <a16:creationId xmlns:a16="http://schemas.microsoft.com/office/drawing/2014/main" id="{1D620CBA-5BEF-4CC1-A026-7741866B087A}"/>
            </a:ext>
          </a:extLst>
        </cdr:cNvPr>
        <cdr:cNvCxnSpPr/>
      </cdr:nvCxnSpPr>
      <cdr:spPr>
        <a:xfrm xmlns:a="http://schemas.openxmlformats.org/drawingml/2006/main" flipH="1">
          <a:off x="6212205" y="3392805"/>
          <a:ext cx="9525" cy="81915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0.71428</cdr:x>
      <cdr:y>0.47612</cdr:y>
    </cdr:from>
    <cdr:to>
      <cdr:x>0.83623</cdr:x>
      <cdr:y>0.59076</cdr:y>
    </cdr:to>
    <cdr:sp macro="" textlink="">
      <cdr:nvSpPr>
        <cdr:cNvPr id="19" name="TextBox 9">
          <a:extLst xmlns:a="http://schemas.openxmlformats.org/drawingml/2006/main">
            <a:ext uri="{FF2B5EF4-FFF2-40B4-BE49-F238E27FC236}">
              <a16:creationId xmlns:a16="http://schemas.microsoft.com/office/drawing/2014/main" id="{D9DAF369-FD2E-45C9-97AB-917F35607EAB}"/>
            </a:ext>
          </a:extLst>
        </cdr:cNvPr>
        <cdr:cNvSpPr txBox="1"/>
      </cdr:nvSpPr>
      <cdr:spPr>
        <a:xfrm xmlns:a="http://schemas.openxmlformats.org/drawingml/2006/main">
          <a:off x="8506727" y="3071154"/>
          <a:ext cx="1452357" cy="739466"/>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Military vehicle maintentance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a:t>
          </a:r>
          <a:r>
            <a:rPr lang="en-US" sz="1400">
              <a:latin typeface="Calibri Light" panose="020F0302020204030204" pitchFamily="34" charset="0"/>
              <a:ea typeface="Calibri Light" panose="020F0302020204030204" pitchFamily="34" charset="0"/>
              <a:cs typeface="Calibri Light" panose="020F0302020204030204" pitchFamily="34" charset="0"/>
            </a:rPr>
            <a:t>13.4 bn</a:t>
          </a:r>
        </a:p>
        <a:p xmlns:a="http://schemas.openxmlformats.org/drawingml/2006/main">
          <a:endParaRPr lang="en-US" sz="1100"/>
        </a:p>
      </cdr:txBody>
    </cdr:sp>
  </cdr:relSizeAnchor>
  <cdr:relSizeAnchor xmlns:cdr="http://schemas.openxmlformats.org/drawingml/2006/chartDrawing">
    <cdr:from>
      <cdr:x>0.67018</cdr:x>
      <cdr:y>0.57213</cdr:y>
    </cdr:from>
    <cdr:to>
      <cdr:x>0.71626</cdr:x>
      <cdr:y>0.65848</cdr:y>
    </cdr:to>
    <cdr:cxnSp macro="">
      <cdr:nvCxnSpPr>
        <cdr:cNvPr id="20" name="Straight Arrow Connector 19">
          <a:extLst xmlns:a="http://schemas.openxmlformats.org/drawingml/2006/main">
            <a:ext uri="{FF2B5EF4-FFF2-40B4-BE49-F238E27FC236}">
              <a16:creationId xmlns:a16="http://schemas.microsoft.com/office/drawing/2014/main" id="{3479F456-9CA4-4669-8D3B-6D43AAB04EFD}"/>
            </a:ext>
          </a:extLst>
        </cdr:cNvPr>
        <cdr:cNvCxnSpPr/>
      </cdr:nvCxnSpPr>
      <cdr:spPr>
        <a:xfrm xmlns:a="http://schemas.openxmlformats.org/drawingml/2006/main" flipH="1">
          <a:off x="7981494" y="3690450"/>
          <a:ext cx="548787" cy="55698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0.15114</cdr:x>
      <cdr:y>0.52048</cdr:y>
    </cdr:from>
    <cdr:to>
      <cdr:x>0.29568</cdr:x>
      <cdr:y>0.56046</cdr:y>
    </cdr:to>
    <cdr:sp macro="" textlink="">
      <cdr:nvSpPr>
        <cdr:cNvPr id="7" name="TextBox 2">
          <a:extLst xmlns:a="http://schemas.openxmlformats.org/drawingml/2006/main">
            <a:ext uri="{FF2B5EF4-FFF2-40B4-BE49-F238E27FC236}">
              <a16:creationId xmlns:a16="http://schemas.microsoft.com/office/drawing/2014/main" id="{350991D1-BDEB-D5FC-EC56-D27E53F01834}"/>
            </a:ext>
          </a:extLst>
        </cdr:cNvPr>
        <cdr:cNvSpPr txBox="1"/>
      </cdr:nvSpPr>
      <cdr:spPr>
        <a:xfrm xmlns:a="http://schemas.openxmlformats.org/drawingml/2006/main">
          <a:off x="1799940" y="3357247"/>
          <a:ext cx="1721391" cy="2578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rPr>
            <a:t>Eurofighter - </a:t>
          </a:r>
          <a:r>
            <a:rPr lang="en-US" sz="1400">
              <a:solidFill>
                <a:sysClr val="windowText" lastClr="000000"/>
              </a:solidFill>
              <a:effectLst/>
              <a:latin typeface="Calibri Light" panose="020F0302020204030204" pitchFamily="34" charset="0"/>
              <a:ea typeface="Calibri Light" panose="020F0302020204030204" pitchFamily="34" charset="0"/>
              <a:cs typeface="Calibri Light" panose="020F0302020204030204" pitchFamily="34" charset="0"/>
            </a:rPr>
            <a:t>€5.5 bn</a:t>
          </a:r>
        </a:p>
        <a:p xmlns:a="http://schemas.openxmlformats.org/drawingml/2006/main">
          <a:r>
            <a:rPr lang="en-US" sz="1100"/>
            <a:t> </a:t>
          </a:r>
        </a:p>
      </cdr:txBody>
    </cdr:sp>
  </cdr:relSizeAnchor>
  <cdr:relSizeAnchor xmlns:cdr="http://schemas.openxmlformats.org/drawingml/2006/chartDrawing">
    <cdr:from>
      <cdr:x>0.21417</cdr:x>
      <cdr:y>0.56046</cdr:y>
    </cdr:from>
    <cdr:to>
      <cdr:x>0.22341</cdr:x>
      <cdr:y>0.66174</cdr:y>
    </cdr:to>
    <cdr:cxnSp macro="">
      <cdr:nvCxnSpPr>
        <cdr:cNvPr id="16" name="Straight Arrow Connector 15">
          <a:extLst xmlns:a="http://schemas.openxmlformats.org/drawingml/2006/main">
            <a:ext uri="{FF2B5EF4-FFF2-40B4-BE49-F238E27FC236}">
              <a16:creationId xmlns:a16="http://schemas.microsoft.com/office/drawing/2014/main" id="{D3E11DE1-A132-358D-69DF-9867CB71EF4C}"/>
            </a:ext>
          </a:extLst>
        </cdr:cNvPr>
        <cdr:cNvCxnSpPr>
          <a:stCxn xmlns:a="http://schemas.openxmlformats.org/drawingml/2006/main" id="7" idx="2"/>
        </cdr:cNvCxnSpPr>
      </cdr:nvCxnSpPr>
      <cdr:spPr>
        <a:xfrm xmlns:a="http://schemas.openxmlformats.org/drawingml/2006/main" flipH="1">
          <a:off x="2550592" y="3615132"/>
          <a:ext cx="110044" cy="65328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0.35225</cdr:x>
      <cdr:y>0.54876</cdr:y>
    </cdr:from>
    <cdr:to>
      <cdr:x>0.49229</cdr:x>
      <cdr:y>0.64111</cdr:y>
    </cdr:to>
    <cdr:sp macro="" textlink="">
      <cdr:nvSpPr>
        <cdr:cNvPr id="30" name="TextBox 14">
          <a:extLst xmlns:a="http://schemas.openxmlformats.org/drawingml/2006/main">
            <a:ext uri="{FF2B5EF4-FFF2-40B4-BE49-F238E27FC236}">
              <a16:creationId xmlns:a16="http://schemas.microsoft.com/office/drawing/2014/main" id="{684B5A66-AEA3-E1EB-63F2-10915443EC44}"/>
            </a:ext>
          </a:extLst>
        </cdr:cNvPr>
        <cdr:cNvSpPr txBox="1"/>
      </cdr:nvSpPr>
      <cdr:spPr>
        <a:xfrm xmlns:a="http://schemas.openxmlformats.org/drawingml/2006/main">
          <a:off x="4195111" y="3539683"/>
          <a:ext cx="1667798" cy="59568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Clothing &amp; personal equipment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€6.9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0.42227</cdr:x>
      <cdr:y>0.64111</cdr:y>
    </cdr:from>
    <cdr:to>
      <cdr:x>0.45844</cdr:x>
      <cdr:y>0.69138</cdr:y>
    </cdr:to>
    <cdr:cxnSp macro="">
      <cdr:nvCxnSpPr>
        <cdr:cNvPr id="32" name="Straight Arrow Connector 31">
          <a:extLst xmlns:a="http://schemas.openxmlformats.org/drawingml/2006/main">
            <a:ext uri="{FF2B5EF4-FFF2-40B4-BE49-F238E27FC236}">
              <a16:creationId xmlns:a16="http://schemas.microsoft.com/office/drawing/2014/main" id="{E5FB51F3-34F3-F1B0-745B-79C76FB0BF87}"/>
            </a:ext>
          </a:extLst>
        </cdr:cNvPr>
        <cdr:cNvCxnSpPr>
          <a:stCxn xmlns:a="http://schemas.openxmlformats.org/drawingml/2006/main" id="30" idx="2"/>
        </cdr:cNvCxnSpPr>
      </cdr:nvCxnSpPr>
      <cdr:spPr>
        <a:xfrm xmlns:a="http://schemas.openxmlformats.org/drawingml/2006/main">
          <a:off x="5029010" y="4135371"/>
          <a:ext cx="430720" cy="32423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0.54422</cdr:x>
      <cdr:y>0.53877</cdr:y>
    </cdr:from>
    <cdr:to>
      <cdr:x>0.70437</cdr:x>
      <cdr:y>0.58094</cdr:y>
    </cdr:to>
    <cdr:sp macro="" textlink="">
      <cdr:nvSpPr>
        <cdr:cNvPr id="40" name="TextBox 10">
          <a:extLst xmlns:a="http://schemas.openxmlformats.org/drawingml/2006/main">
            <a:ext uri="{FF2B5EF4-FFF2-40B4-BE49-F238E27FC236}">
              <a16:creationId xmlns:a16="http://schemas.microsoft.com/office/drawing/2014/main" id="{6E339E33-970A-6598-51B7-1A6788D9D75A}"/>
            </a:ext>
          </a:extLst>
        </cdr:cNvPr>
        <cdr:cNvSpPr txBox="1"/>
      </cdr:nvSpPr>
      <cdr:spPr>
        <a:xfrm xmlns:a="http://schemas.openxmlformats.org/drawingml/2006/main">
          <a:off x="6481326" y="3475268"/>
          <a:ext cx="1907297" cy="272010"/>
        </a:xfrm>
        <a:prstGeom xmlns:a="http://schemas.openxmlformats.org/drawingml/2006/main" prst="rect">
          <a:avLst/>
        </a:prstGeom>
        <a:solidFill xmlns:a="http://schemas.openxmlformats.org/drawingml/2006/main">
          <a:sysClr val="window" lastClr="FFFFFF">
            <a:alpha val="0"/>
          </a:sysClr>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CH-47F Chinook - </a:t>
          </a:r>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€7 bn</a:t>
          </a:r>
        </a:p>
      </cdr:txBody>
    </cdr:sp>
  </cdr:relSizeAnchor>
  <cdr:relSizeAnchor xmlns:cdr="http://schemas.openxmlformats.org/drawingml/2006/chartDrawing">
    <cdr:from>
      <cdr:x>0.6088</cdr:x>
      <cdr:y>0.60721</cdr:y>
    </cdr:from>
    <cdr:to>
      <cdr:x>0.6098</cdr:x>
      <cdr:y>0.65492</cdr:y>
    </cdr:to>
    <cdr:cxnSp macro="">
      <cdr:nvCxnSpPr>
        <cdr:cNvPr id="42" name="Straight Arrow Connector 41">
          <a:extLst xmlns:a="http://schemas.openxmlformats.org/drawingml/2006/main">
            <a:ext uri="{FF2B5EF4-FFF2-40B4-BE49-F238E27FC236}">
              <a16:creationId xmlns:a16="http://schemas.microsoft.com/office/drawing/2014/main" id="{A461CC11-8CF3-D709-E109-5FD2C8BA7FD6}"/>
            </a:ext>
          </a:extLst>
        </cdr:cNvPr>
        <cdr:cNvCxnSpPr/>
      </cdr:nvCxnSpPr>
      <cdr:spPr>
        <a:xfrm xmlns:a="http://schemas.openxmlformats.org/drawingml/2006/main">
          <a:off x="7250430" y="3916680"/>
          <a:ext cx="11921" cy="30777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0.82753</cdr:x>
      <cdr:y>0.51932</cdr:y>
    </cdr:from>
    <cdr:to>
      <cdr:x>0.94741</cdr:x>
      <cdr:y>0.56529</cdr:y>
    </cdr:to>
    <cdr:sp macro="" textlink="">
      <cdr:nvSpPr>
        <cdr:cNvPr id="8" name="TextBox 9">
          <a:extLst xmlns:a="http://schemas.openxmlformats.org/drawingml/2006/main">
            <a:ext uri="{FF2B5EF4-FFF2-40B4-BE49-F238E27FC236}">
              <a16:creationId xmlns:a16="http://schemas.microsoft.com/office/drawing/2014/main" id="{8E7C9A0A-B27E-F6FF-D780-439F50AF67D8}"/>
            </a:ext>
          </a:extLst>
        </cdr:cNvPr>
        <cdr:cNvSpPr txBox="1"/>
      </cdr:nvSpPr>
      <cdr:spPr>
        <a:xfrm xmlns:a="http://schemas.openxmlformats.org/drawingml/2006/main">
          <a:off x="9855459" y="3349786"/>
          <a:ext cx="1427704" cy="296522"/>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eaLnBrk="1" fontAlgn="auto" latinLnBrk="0" hangingPunct="1"/>
          <a:r>
            <a:rPr lang="en-US" sz="1400">
              <a:solidFill>
                <a:schemeClr val="dk1"/>
              </a:solidFill>
              <a:effectLst/>
              <a:latin typeface="Calibri Light" panose="020F0302020204030204" pitchFamily="34" charset="0"/>
              <a:ea typeface="+mn-ea"/>
              <a:cs typeface="Calibri Light" panose="020F0302020204030204" pitchFamily="34" charset="0"/>
            </a:rPr>
            <a:t>U212</a:t>
          </a:r>
          <a:r>
            <a:rPr lang="en-US" sz="1400" baseline="0">
              <a:solidFill>
                <a:schemeClr val="dk1"/>
              </a:solidFill>
              <a:effectLst/>
              <a:latin typeface="Calibri Light" panose="020F0302020204030204" pitchFamily="34" charset="0"/>
              <a:ea typeface="+mn-ea"/>
              <a:cs typeface="Calibri Light" panose="020F0302020204030204" pitchFamily="34" charset="0"/>
            </a:rPr>
            <a:t> submarine - </a:t>
          </a:r>
          <a:r>
            <a:rPr lang="en-US" sz="1400">
              <a:solidFill>
                <a:schemeClr val="dk1"/>
              </a:solidFill>
              <a:effectLst/>
              <a:latin typeface="Calibri Light" panose="020F0302020204030204" pitchFamily="34" charset="0"/>
              <a:ea typeface="+mn-ea"/>
              <a:cs typeface="Calibri Light" panose="020F0302020204030204" pitchFamily="34" charset="0"/>
            </a:rPr>
            <a:t>€</a:t>
          </a:r>
          <a:r>
            <a:rPr lang="en-US" sz="1400" baseline="0">
              <a:solidFill>
                <a:schemeClr val="dk1"/>
              </a:solidFill>
              <a:effectLst/>
              <a:latin typeface="Calibri Light" panose="020F0302020204030204" pitchFamily="34" charset="0"/>
              <a:ea typeface="+mn-ea"/>
              <a:cs typeface="Calibri Light" panose="020F0302020204030204" pitchFamily="34" charset="0"/>
            </a:rPr>
            <a:t>5</a:t>
          </a:r>
          <a:r>
            <a:rPr lang="en-US" sz="1400">
              <a:solidFill>
                <a:schemeClr val="dk1"/>
              </a:solidFill>
              <a:effectLst/>
              <a:latin typeface="Calibri Light" panose="020F0302020204030204" pitchFamily="34" charset="0"/>
              <a:ea typeface="+mn-ea"/>
              <a:cs typeface="Calibri Light" panose="020F0302020204030204" pitchFamily="34" charset="0"/>
            </a:rPr>
            <a:t> bn</a:t>
          </a:r>
          <a:endParaRPr lang="en-GB" sz="1400">
            <a:effectLst/>
            <a:latin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0.83173</cdr:x>
      <cdr:y>0.60868</cdr:y>
    </cdr:from>
    <cdr:to>
      <cdr:x>0.87593</cdr:x>
      <cdr:y>0.73865</cdr:y>
    </cdr:to>
    <cdr:cxnSp macro="">
      <cdr:nvCxnSpPr>
        <cdr:cNvPr id="9" name="Straight Arrow Connector 8">
          <a:extLst xmlns:a="http://schemas.openxmlformats.org/drawingml/2006/main">
            <a:ext uri="{FF2B5EF4-FFF2-40B4-BE49-F238E27FC236}">
              <a16:creationId xmlns:a16="http://schemas.microsoft.com/office/drawing/2014/main" id="{1505B938-6594-DC90-D8A5-8EBBEB7C1870}"/>
            </a:ext>
          </a:extLst>
        </cdr:cNvPr>
        <cdr:cNvCxnSpPr/>
      </cdr:nvCxnSpPr>
      <cdr:spPr>
        <a:xfrm xmlns:a="http://schemas.openxmlformats.org/drawingml/2006/main" flipH="1">
          <a:off x="9905485" y="3926205"/>
          <a:ext cx="526295" cy="83833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9.xml><?xml version="1.0" encoding="utf-8"?>
<xdr:wsDr xmlns:xdr="http://schemas.openxmlformats.org/drawingml/2006/spreadsheetDrawing" xmlns:a="http://schemas.openxmlformats.org/drawingml/2006/main">
  <xdr:twoCellAnchor>
    <xdr:from>
      <xdr:col>9</xdr:col>
      <xdr:colOff>0</xdr:colOff>
      <xdr:row>5</xdr:row>
      <xdr:rowOff>0</xdr:rowOff>
    </xdr:from>
    <xdr:to>
      <xdr:col>20</xdr:col>
      <xdr:colOff>662940</xdr:colOff>
      <xdr:row>24</xdr:row>
      <xdr:rowOff>0</xdr:rowOff>
    </xdr:to>
    <xdr:graphicFrame macro="">
      <xdr:nvGraphicFramePr>
        <xdr:cNvPr id="2" name="Chart 1">
          <a:extLst>
            <a:ext uri="{FF2B5EF4-FFF2-40B4-BE49-F238E27FC236}">
              <a16:creationId xmlns:a16="http://schemas.microsoft.com/office/drawing/2014/main" id="{62A84AA9-A4ED-4145-876E-E75F62A249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0.0358</cdr:x>
      <cdr:y>0.07705</cdr:y>
    </cdr:from>
    <cdr:to>
      <cdr:x>0.18535</cdr:x>
      <cdr:y>0.16305</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430643" y="479121"/>
          <a:ext cx="1798955" cy="53480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latin typeface="Courier New" panose="02070309020205020404" pitchFamily="49" charset="0"/>
              <a:ea typeface="Calibri Light" panose="020F0302020204030204" pitchFamily="34" charset="0"/>
              <a:cs typeface="Courier New" panose="02070309020205020404" pitchFamily="49" charset="0"/>
            </a:rPr>
            <a:t>billion Euros</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200">
              <a:latin typeface="Courier New" panose="02070309020205020404" pitchFamily="49" charset="0"/>
              <a:ea typeface="Calibri Light" panose="020F0302020204030204" pitchFamily="34" charset="0"/>
              <a:cs typeface="Courier New" panose="02070309020205020404" pitchFamily="49" charset="0"/>
            </a:rPr>
            <a:t>Total: </a:t>
          </a:r>
          <a:r>
            <a:rPr lang="en-US" sz="12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€253.3 bn</a:t>
          </a:r>
          <a:endParaRPr lang="en-US" sz="1200">
            <a:effectLst/>
            <a:latin typeface="Courier New" panose="02070309020205020404" pitchFamily="49" charset="0"/>
            <a:ea typeface="Calibri Light" panose="020F0302020204030204" pitchFamily="34" charset="0"/>
            <a:cs typeface="Courier New" panose="02070309020205020404" pitchFamily="49" charset="0"/>
          </a:endParaRPr>
        </a:p>
        <a:p xmlns:a="http://schemas.openxmlformats.org/drawingml/2006/main">
          <a:r>
            <a:rPr lang="en-US" sz="1300">
              <a:latin typeface="Courier New" panose="02070309020205020404" pitchFamily="49" charset="0"/>
              <a:cs typeface="Courier New" panose="02070309020205020404" pitchFamily="49" charset="0"/>
            </a:rPr>
            <a:t> </a:t>
          </a:r>
        </a:p>
        <a:p xmlns:a="http://schemas.openxmlformats.org/drawingml/2006/main">
          <a:endParaRPr lang="en-US" sz="1300">
            <a:latin typeface="Courier New" panose="02070309020205020404" pitchFamily="49" charset="0"/>
            <a:cs typeface="Courier New" panose="02070309020205020404" pitchFamily="49" charset="0"/>
          </a:endParaRPr>
        </a:p>
      </cdr:txBody>
    </cdr:sp>
  </cdr:relSizeAnchor>
  <cdr:relSizeAnchor xmlns:cdr="http://schemas.openxmlformats.org/drawingml/2006/chartDrawing">
    <cdr:from>
      <cdr:x>0.08597</cdr:x>
      <cdr:y>0.53377</cdr:y>
    </cdr:from>
    <cdr:to>
      <cdr:x>0.22221</cdr:x>
      <cdr:y>0.60611</cdr:y>
    </cdr:to>
    <cdr:sp macro="" textlink="">
      <cdr:nvSpPr>
        <cdr:cNvPr id="4" name="TextBox 16">
          <a:extLst xmlns:a="http://schemas.openxmlformats.org/drawingml/2006/main">
            <a:ext uri="{FF2B5EF4-FFF2-40B4-BE49-F238E27FC236}">
              <a16:creationId xmlns:a16="http://schemas.microsoft.com/office/drawing/2014/main" id="{0A175FA4-0DC4-43AE-9263-493F919E58B3}"/>
            </a:ext>
          </a:extLst>
        </cdr:cNvPr>
        <cdr:cNvSpPr txBox="1"/>
      </cdr:nvSpPr>
      <cdr:spPr>
        <a:xfrm xmlns:a="http://schemas.openxmlformats.org/drawingml/2006/main">
          <a:off x="1034102" y="3319326"/>
          <a:ext cx="1638848" cy="4498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3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Class F126 ship </a:t>
          </a:r>
          <a:r>
            <a:rPr lang="en-US" sz="1300" baseline="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 </a:t>
          </a:r>
          <a:r>
            <a:rPr lang="en-US" sz="13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€5.6 bn</a:t>
          </a:r>
          <a:endParaRPr lang="en-US" sz="1300">
            <a:effectLst/>
            <a:latin typeface="Courier New" panose="02070309020205020404" pitchFamily="49" charset="0"/>
            <a:ea typeface="Calibri Light" panose="020F0302020204030204" pitchFamily="34" charset="0"/>
            <a:cs typeface="Courier New" panose="02070309020205020404" pitchFamily="49" charset="0"/>
          </a:endParaRPr>
        </a:p>
        <a:p xmlns:a="http://schemas.openxmlformats.org/drawingml/2006/main">
          <a:endParaRPr lang="en-US" sz="1300">
            <a:latin typeface="Courier New" panose="02070309020205020404" pitchFamily="49" charset="0"/>
            <a:cs typeface="Courier New" panose="02070309020205020404" pitchFamily="49" charset="0"/>
          </a:endParaRPr>
        </a:p>
      </cdr:txBody>
    </cdr:sp>
  </cdr:relSizeAnchor>
  <cdr:relSizeAnchor xmlns:cdr="http://schemas.openxmlformats.org/drawingml/2006/chartDrawing">
    <cdr:from>
      <cdr:x>0.12669</cdr:x>
      <cdr:y>0.63236</cdr:y>
    </cdr:from>
    <cdr:to>
      <cdr:x>0.14932</cdr:x>
      <cdr:y>0.79428</cdr:y>
    </cdr:to>
    <cdr:cxnSp macro="">
      <cdr:nvCxnSpPr>
        <cdr:cNvPr id="5" name="Straight Arrow Connector 4">
          <a:extLst xmlns:a="http://schemas.openxmlformats.org/drawingml/2006/main">
            <a:ext uri="{FF2B5EF4-FFF2-40B4-BE49-F238E27FC236}">
              <a16:creationId xmlns:a16="http://schemas.microsoft.com/office/drawing/2014/main" id="{F6A9B282-F22E-4D5A-8252-50B50C71C91C}"/>
            </a:ext>
          </a:extLst>
        </cdr:cNvPr>
        <cdr:cNvCxnSpPr/>
      </cdr:nvCxnSpPr>
      <cdr:spPr>
        <a:xfrm xmlns:a="http://schemas.openxmlformats.org/drawingml/2006/main" flipH="1">
          <a:off x="1524000" y="3932464"/>
          <a:ext cx="272143" cy="100692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0.27208</cdr:x>
      <cdr:y>0.70865</cdr:y>
    </cdr:from>
    <cdr:to>
      <cdr:x>0.42871</cdr:x>
      <cdr:y>0.7959</cdr:y>
    </cdr:to>
    <cdr:sp macro="" textlink="">
      <cdr:nvSpPr>
        <cdr:cNvPr id="6" name="TextBox 3">
          <a:extLst xmlns:a="http://schemas.openxmlformats.org/drawingml/2006/main">
            <a:ext uri="{FF2B5EF4-FFF2-40B4-BE49-F238E27FC236}">
              <a16:creationId xmlns:a16="http://schemas.microsoft.com/office/drawing/2014/main" id="{F8CAF2E1-8BF1-7DA9-D6F5-BC2B2354071F}"/>
            </a:ext>
          </a:extLst>
        </cdr:cNvPr>
        <cdr:cNvSpPr txBox="1"/>
      </cdr:nvSpPr>
      <cdr:spPr>
        <a:xfrm xmlns:a="http://schemas.openxmlformats.org/drawingml/2006/main">
          <a:off x="3272926" y="4406859"/>
          <a:ext cx="1884121" cy="54258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300">
              <a:latin typeface="Courier New" panose="02070309020205020404" pitchFamily="49" charset="0"/>
              <a:ea typeface="Calibri Light" panose="020F0302020204030204" pitchFamily="34" charset="0"/>
              <a:cs typeface="Courier New" panose="02070309020205020404" pitchFamily="49" charset="0"/>
            </a:rPr>
            <a:t>Future Combat Air System project - </a:t>
          </a:r>
          <a:r>
            <a:rPr lang="en-US" sz="13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€4.4 bn</a:t>
          </a:r>
        </a:p>
        <a:p xmlns:a="http://schemas.openxmlformats.org/drawingml/2006/main">
          <a:endParaRPr lang="en-US" sz="1300">
            <a:latin typeface="Courier New" panose="02070309020205020404" pitchFamily="49" charset="0"/>
            <a:cs typeface="Courier New" panose="02070309020205020404" pitchFamily="49" charset="0"/>
          </a:endParaRPr>
        </a:p>
      </cdr:txBody>
    </cdr:sp>
  </cdr:relSizeAnchor>
  <cdr:relSizeAnchor xmlns:cdr="http://schemas.openxmlformats.org/drawingml/2006/chartDrawing">
    <cdr:from>
      <cdr:x>0.27571</cdr:x>
      <cdr:y>0.80095</cdr:y>
    </cdr:from>
    <cdr:to>
      <cdr:x>0.30338</cdr:x>
      <cdr:y>0.85274</cdr:y>
    </cdr:to>
    <cdr:cxnSp macro="">
      <cdr:nvCxnSpPr>
        <cdr:cNvPr id="11" name="Straight Arrow Connector 10">
          <a:extLst xmlns:a="http://schemas.openxmlformats.org/drawingml/2006/main">
            <a:ext uri="{FF2B5EF4-FFF2-40B4-BE49-F238E27FC236}">
              <a16:creationId xmlns:a16="http://schemas.microsoft.com/office/drawing/2014/main" id="{D28453E8-9CE1-4B63-7637-5833EDF664EA}"/>
            </a:ext>
          </a:extLst>
        </cdr:cNvPr>
        <cdr:cNvCxnSpPr/>
      </cdr:nvCxnSpPr>
      <cdr:spPr>
        <a:xfrm xmlns:a="http://schemas.openxmlformats.org/drawingml/2006/main" flipH="1">
          <a:off x="3316500" y="4980871"/>
          <a:ext cx="332846" cy="32206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0.47691</cdr:x>
      <cdr:y>0.63263</cdr:y>
    </cdr:from>
    <cdr:to>
      <cdr:x>0.56785</cdr:x>
      <cdr:y>0.72078</cdr:y>
    </cdr:to>
    <cdr:sp macro="" textlink="">
      <cdr:nvSpPr>
        <cdr:cNvPr id="12" name="TextBox 14">
          <a:extLst xmlns:a="http://schemas.openxmlformats.org/drawingml/2006/main">
            <a:ext uri="{FF2B5EF4-FFF2-40B4-BE49-F238E27FC236}">
              <a16:creationId xmlns:a16="http://schemas.microsoft.com/office/drawing/2014/main" id="{888E77C8-9ADC-4DF3-9329-0A4B1D23BF68}"/>
            </a:ext>
          </a:extLst>
        </cdr:cNvPr>
        <cdr:cNvSpPr txBox="1"/>
      </cdr:nvSpPr>
      <cdr:spPr>
        <a:xfrm xmlns:a="http://schemas.openxmlformats.org/drawingml/2006/main">
          <a:off x="5736850" y="3934116"/>
          <a:ext cx="1093936" cy="54817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300">
              <a:solidFill>
                <a:sysClr val="windowText" lastClr="000000"/>
              </a:solidFill>
              <a:effectLst/>
              <a:latin typeface="Courier New" panose="02070309020205020404" pitchFamily="49" charset="0"/>
              <a:ea typeface="Calibri Light" panose="020F0302020204030204" pitchFamily="34" charset="0"/>
              <a:cs typeface="Courier New" panose="02070309020205020404" pitchFamily="49" charset="0"/>
            </a:rPr>
            <a:t>F-35A fighter</a:t>
          </a:r>
          <a:r>
            <a:rPr lang="en-US" sz="1300" baseline="0">
              <a:solidFill>
                <a:sysClr val="windowText" lastClr="000000"/>
              </a:solidFill>
              <a:effectLst/>
              <a:latin typeface="Courier New" panose="02070309020205020404" pitchFamily="49" charset="0"/>
              <a:ea typeface="Calibri Light" panose="020F0302020204030204" pitchFamily="34" charset="0"/>
              <a:cs typeface="Courier New" panose="02070309020205020404" pitchFamily="49" charset="0"/>
            </a:rPr>
            <a:t> - </a:t>
          </a:r>
          <a:r>
            <a:rPr lang="en-US" sz="1300">
              <a:solidFill>
                <a:sysClr val="windowText" lastClr="000000"/>
              </a:solidFill>
              <a:effectLst/>
              <a:latin typeface="Courier New" panose="02070309020205020404" pitchFamily="49" charset="0"/>
              <a:ea typeface="Calibri Light" panose="020F0302020204030204" pitchFamily="34" charset="0"/>
              <a:cs typeface="Courier New" panose="02070309020205020404" pitchFamily="49" charset="0"/>
            </a:rPr>
            <a:t> €8.3 bn</a:t>
          </a:r>
        </a:p>
      </cdr:txBody>
    </cdr:sp>
  </cdr:relSizeAnchor>
  <cdr:relSizeAnchor xmlns:cdr="http://schemas.openxmlformats.org/drawingml/2006/chartDrawing">
    <cdr:from>
      <cdr:x>0.50451</cdr:x>
      <cdr:y>0.73958</cdr:y>
    </cdr:from>
    <cdr:to>
      <cdr:x>0.52148</cdr:x>
      <cdr:y>0.79866</cdr:y>
    </cdr:to>
    <cdr:cxnSp macro="">
      <cdr:nvCxnSpPr>
        <cdr:cNvPr id="13" name="Straight Arrow Connector 12">
          <a:extLst xmlns:a="http://schemas.openxmlformats.org/drawingml/2006/main">
            <a:ext uri="{FF2B5EF4-FFF2-40B4-BE49-F238E27FC236}">
              <a16:creationId xmlns:a16="http://schemas.microsoft.com/office/drawing/2014/main" id="{1D620CBA-5BEF-4CC1-A026-7741866B087A}"/>
            </a:ext>
          </a:extLst>
        </cdr:cNvPr>
        <cdr:cNvCxnSpPr/>
      </cdr:nvCxnSpPr>
      <cdr:spPr>
        <a:xfrm xmlns:a="http://schemas.openxmlformats.org/drawingml/2006/main" flipH="1">
          <a:off x="6068786" y="4599226"/>
          <a:ext cx="204161" cy="36738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0.59235</cdr:x>
      <cdr:y>0.49518</cdr:y>
    </cdr:from>
    <cdr:to>
      <cdr:x>0.74206</cdr:x>
      <cdr:y>0.60568</cdr:y>
    </cdr:to>
    <cdr:sp macro="" textlink="">
      <cdr:nvSpPr>
        <cdr:cNvPr id="19" name="TextBox 9">
          <a:extLst xmlns:a="http://schemas.openxmlformats.org/drawingml/2006/main">
            <a:ext uri="{FF2B5EF4-FFF2-40B4-BE49-F238E27FC236}">
              <a16:creationId xmlns:a16="http://schemas.microsoft.com/office/drawing/2014/main" id="{D9DAF369-FD2E-45C9-97AB-917F35607EAB}"/>
            </a:ext>
          </a:extLst>
        </cdr:cNvPr>
        <cdr:cNvSpPr txBox="1"/>
      </cdr:nvSpPr>
      <cdr:spPr>
        <a:xfrm xmlns:a="http://schemas.openxmlformats.org/drawingml/2006/main">
          <a:off x="7125466" y="3079382"/>
          <a:ext cx="1800820" cy="68716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300">
              <a:latin typeface="Courier New" panose="02070309020205020404" pitchFamily="49" charset="0"/>
              <a:ea typeface="Calibri Light" panose="020F0302020204030204" pitchFamily="34" charset="0"/>
              <a:cs typeface="Courier New" panose="02070309020205020404" pitchFamily="49" charset="0"/>
            </a:rPr>
            <a:t>Military vehicle maintentance - </a:t>
          </a:r>
          <a:r>
            <a:rPr lang="en-US" sz="13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a:t>
          </a:r>
          <a:r>
            <a:rPr lang="en-US" sz="1300">
              <a:latin typeface="Courier New" panose="02070309020205020404" pitchFamily="49" charset="0"/>
              <a:ea typeface="Calibri Light" panose="020F0302020204030204" pitchFamily="34" charset="0"/>
              <a:cs typeface="Courier New" panose="02070309020205020404" pitchFamily="49" charset="0"/>
            </a:rPr>
            <a:t>13.4 bn</a:t>
          </a:r>
        </a:p>
        <a:p xmlns:a="http://schemas.openxmlformats.org/drawingml/2006/main">
          <a:endParaRPr lang="en-US" sz="1300">
            <a:latin typeface="Courier New" panose="02070309020205020404" pitchFamily="49" charset="0"/>
            <a:cs typeface="Courier New" panose="02070309020205020404" pitchFamily="49" charset="0"/>
          </a:endParaRPr>
        </a:p>
      </cdr:txBody>
    </cdr:sp>
  </cdr:relSizeAnchor>
  <cdr:relSizeAnchor xmlns:cdr="http://schemas.openxmlformats.org/drawingml/2006/chartDrawing">
    <cdr:from>
      <cdr:x>0.62328</cdr:x>
      <cdr:y>0.59298</cdr:y>
    </cdr:from>
    <cdr:to>
      <cdr:x>0.6328</cdr:x>
      <cdr:y>0.65881</cdr:y>
    </cdr:to>
    <cdr:cxnSp macro="">
      <cdr:nvCxnSpPr>
        <cdr:cNvPr id="20" name="Straight Arrow Connector 19">
          <a:extLst xmlns:a="http://schemas.openxmlformats.org/drawingml/2006/main">
            <a:ext uri="{FF2B5EF4-FFF2-40B4-BE49-F238E27FC236}">
              <a16:creationId xmlns:a16="http://schemas.microsoft.com/office/drawing/2014/main" id="{3479F456-9CA4-4669-8D3B-6D43AAB04EFD}"/>
            </a:ext>
          </a:extLst>
        </cdr:cNvPr>
        <cdr:cNvCxnSpPr/>
      </cdr:nvCxnSpPr>
      <cdr:spPr>
        <a:xfrm xmlns:a="http://schemas.openxmlformats.org/drawingml/2006/main">
          <a:off x="7497536" y="3687535"/>
          <a:ext cx="114492" cy="40940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0.14592</cdr:x>
      <cdr:y>0.6689</cdr:y>
    </cdr:from>
    <cdr:to>
      <cdr:x>0.25841</cdr:x>
      <cdr:y>0.73201</cdr:y>
    </cdr:to>
    <cdr:sp macro="" textlink="">
      <cdr:nvSpPr>
        <cdr:cNvPr id="7" name="TextBox 2">
          <a:extLst xmlns:a="http://schemas.openxmlformats.org/drawingml/2006/main">
            <a:ext uri="{FF2B5EF4-FFF2-40B4-BE49-F238E27FC236}">
              <a16:creationId xmlns:a16="http://schemas.microsoft.com/office/drawing/2014/main" id="{350991D1-BDEB-D5FC-EC56-D27E53F01834}"/>
            </a:ext>
          </a:extLst>
        </cdr:cNvPr>
        <cdr:cNvSpPr txBox="1"/>
      </cdr:nvSpPr>
      <cdr:spPr>
        <a:xfrm xmlns:a="http://schemas.openxmlformats.org/drawingml/2006/main">
          <a:off x="1755322" y="4159688"/>
          <a:ext cx="1353123" cy="3924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300">
              <a:solidFill>
                <a:sysClr val="windowText" lastClr="000000"/>
              </a:solidFill>
              <a:latin typeface="Courier New" panose="02070309020205020404" pitchFamily="49" charset="0"/>
              <a:ea typeface="Calibri Light" panose="020F0302020204030204" pitchFamily="34" charset="0"/>
              <a:cs typeface="Courier New" panose="02070309020205020404" pitchFamily="49" charset="0"/>
            </a:rPr>
            <a:t>Eurofighter - </a:t>
          </a:r>
          <a:r>
            <a:rPr lang="en-US" sz="1300">
              <a:solidFill>
                <a:sysClr val="windowText" lastClr="000000"/>
              </a:solidFill>
              <a:effectLst/>
              <a:latin typeface="Courier New" panose="02070309020205020404" pitchFamily="49" charset="0"/>
              <a:ea typeface="Calibri Light" panose="020F0302020204030204" pitchFamily="34" charset="0"/>
              <a:cs typeface="Courier New" panose="02070309020205020404" pitchFamily="49" charset="0"/>
            </a:rPr>
            <a:t>€5.5 bn</a:t>
          </a:r>
        </a:p>
        <a:p xmlns:a="http://schemas.openxmlformats.org/drawingml/2006/main">
          <a:r>
            <a:rPr lang="en-US" sz="1300">
              <a:latin typeface="Courier New" panose="02070309020205020404" pitchFamily="49" charset="0"/>
              <a:cs typeface="Courier New" panose="02070309020205020404" pitchFamily="49" charset="0"/>
            </a:rPr>
            <a:t> </a:t>
          </a:r>
        </a:p>
      </cdr:txBody>
    </cdr:sp>
  </cdr:relSizeAnchor>
  <cdr:relSizeAnchor xmlns:cdr="http://schemas.openxmlformats.org/drawingml/2006/chartDrawing">
    <cdr:from>
      <cdr:x>0.18778</cdr:x>
      <cdr:y>0.73201</cdr:y>
    </cdr:from>
    <cdr:to>
      <cdr:x>0.20216</cdr:x>
      <cdr:y>0.82273</cdr:y>
    </cdr:to>
    <cdr:cxnSp macro="">
      <cdr:nvCxnSpPr>
        <cdr:cNvPr id="16" name="Straight Arrow Connector 15">
          <a:extLst xmlns:a="http://schemas.openxmlformats.org/drawingml/2006/main">
            <a:ext uri="{FF2B5EF4-FFF2-40B4-BE49-F238E27FC236}">
              <a16:creationId xmlns:a16="http://schemas.microsoft.com/office/drawing/2014/main" id="{D3E11DE1-A132-358D-69DF-9867CB71EF4C}"/>
            </a:ext>
          </a:extLst>
        </cdr:cNvPr>
        <cdr:cNvCxnSpPr>
          <a:stCxn xmlns:a="http://schemas.openxmlformats.org/drawingml/2006/main" id="7" idx="2"/>
        </cdr:cNvCxnSpPr>
      </cdr:nvCxnSpPr>
      <cdr:spPr>
        <a:xfrm xmlns:a="http://schemas.openxmlformats.org/drawingml/2006/main" flipH="1">
          <a:off x="2258786" y="4552151"/>
          <a:ext cx="173081" cy="56413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0.22707</cdr:x>
      <cdr:y>0.47057</cdr:y>
    </cdr:from>
    <cdr:to>
      <cdr:x>0.44795</cdr:x>
      <cdr:y>0.58738</cdr:y>
    </cdr:to>
    <cdr:sp macro="" textlink="">
      <cdr:nvSpPr>
        <cdr:cNvPr id="21" name="TextBox 3">
          <a:extLst xmlns:a="http://schemas.openxmlformats.org/drawingml/2006/main">
            <a:ext uri="{FF2B5EF4-FFF2-40B4-BE49-F238E27FC236}">
              <a16:creationId xmlns:a16="http://schemas.microsoft.com/office/drawing/2014/main" id="{C0F62E8D-E054-CECB-EBDB-C1786EB56E1E}"/>
            </a:ext>
          </a:extLst>
        </cdr:cNvPr>
        <cdr:cNvSpPr txBox="1"/>
      </cdr:nvSpPr>
      <cdr:spPr>
        <a:xfrm xmlns:a="http://schemas.openxmlformats.org/drawingml/2006/main">
          <a:off x="2731425" y="2926328"/>
          <a:ext cx="2656992" cy="72640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300">
              <a:latin typeface="Courier New" panose="02070309020205020404" pitchFamily="49" charset="0"/>
              <a:ea typeface="Calibri Light" panose="020F0302020204030204" pitchFamily="34" charset="0"/>
              <a:cs typeface="Courier New" panose="02070309020205020404" pitchFamily="49" charset="0"/>
            </a:rPr>
            <a:t>P-8A Poseidon - </a:t>
          </a:r>
          <a:r>
            <a:rPr lang="en-US" sz="13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€1.1 bn</a:t>
          </a:r>
        </a:p>
        <a:p xmlns:a="http://schemas.openxmlformats.org/drawingml/2006/main">
          <a:r>
            <a:rPr lang="en-US" sz="13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Class 424 ship - €2.1 bn</a:t>
          </a:r>
        </a:p>
        <a:p xmlns:a="http://schemas.openxmlformats.org/drawingml/2006/main">
          <a:r>
            <a:rPr lang="en-US" sz="13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U212 submarine -</a:t>
          </a:r>
          <a:r>
            <a:rPr lang="en-US" sz="1300" baseline="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 </a:t>
          </a:r>
          <a:r>
            <a:rPr lang="en-US" sz="13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€2 bn</a:t>
          </a:r>
        </a:p>
      </cdr:txBody>
    </cdr:sp>
  </cdr:relSizeAnchor>
  <cdr:relSizeAnchor xmlns:cdr="http://schemas.openxmlformats.org/drawingml/2006/chartDrawing">
    <cdr:from>
      <cdr:x>0.27375</cdr:x>
      <cdr:y>0.56453</cdr:y>
    </cdr:from>
    <cdr:to>
      <cdr:x>0.30316</cdr:x>
      <cdr:y>0.7177</cdr:y>
    </cdr:to>
    <cdr:cxnSp macro="">
      <cdr:nvCxnSpPr>
        <cdr:cNvPr id="27" name="Straight Arrow Connector 26">
          <a:extLst xmlns:a="http://schemas.openxmlformats.org/drawingml/2006/main">
            <a:ext uri="{FF2B5EF4-FFF2-40B4-BE49-F238E27FC236}">
              <a16:creationId xmlns:a16="http://schemas.microsoft.com/office/drawing/2014/main" id="{7A710D46-E7C4-9479-BD3C-FE2886225255}"/>
            </a:ext>
          </a:extLst>
        </cdr:cNvPr>
        <cdr:cNvCxnSpPr/>
      </cdr:nvCxnSpPr>
      <cdr:spPr>
        <a:xfrm xmlns:a="http://schemas.openxmlformats.org/drawingml/2006/main" flipH="1">
          <a:off x="3292929" y="3510643"/>
          <a:ext cx="353786" cy="952500"/>
        </a:xfrm>
        <a:prstGeom xmlns:a="http://schemas.openxmlformats.org/drawingml/2006/main" prst="straightConnector1">
          <a:avLst/>
        </a:prstGeom>
        <a:ln xmlns:a="http://schemas.openxmlformats.org/drawingml/2006/main">
          <a:tailEnd type="triangle"/>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0.28958</cdr:x>
      <cdr:y>0.60814</cdr:y>
    </cdr:from>
    <cdr:to>
      <cdr:x>0.46433</cdr:x>
      <cdr:y>0.67504</cdr:y>
    </cdr:to>
    <cdr:sp macro="" textlink="">
      <cdr:nvSpPr>
        <cdr:cNvPr id="30" name="TextBox 14">
          <a:extLst xmlns:a="http://schemas.openxmlformats.org/drawingml/2006/main">
            <a:ext uri="{FF2B5EF4-FFF2-40B4-BE49-F238E27FC236}">
              <a16:creationId xmlns:a16="http://schemas.microsoft.com/office/drawing/2014/main" id="{684B5A66-AEA3-E1EB-63F2-10915443EC44}"/>
            </a:ext>
          </a:extLst>
        </cdr:cNvPr>
        <cdr:cNvSpPr txBox="1"/>
      </cdr:nvSpPr>
      <cdr:spPr>
        <a:xfrm xmlns:a="http://schemas.openxmlformats.org/drawingml/2006/main">
          <a:off x="3483429" y="3781826"/>
          <a:ext cx="2101997" cy="41603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300">
              <a:latin typeface="Courier New" panose="02070309020205020404" pitchFamily="49" charset="0"/>
              <a:ea typeface="Calibri Light" panose="020F0302020204030204" pitchFamily="34" charset="0"/>
              <a:cs typeface="Courier New" panose="02070309020205020404" pitchFamily="49" charset="0"/>
            </a:rPr>
            <a:t>Clothing &amp; personal equipment - </a:t>
          </a:r>
          <a:r>
            <a:rPr lang="en-US" sz="13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€6.9 bn</a:t>
          </a:r>
          <a:endParaRPr lang="en-US" sz="1300">
            <a:latin typeface="Courier New" panose="02070309020205020404" pitchFamily="49" charset="0"/>
            <a:ea typeface="Calibri Light" panose="020F0302020204030204" pitchFamily="34" charset="0"/>
            <a:cs typeface="Courier New" panose="02070309020205020404" pitchFamily="49" charset="0"/>
          </a:endParaRPr>
        </a:p>
      </cdr:txBody>
    </cdr:sp>
  </cdr:relSizeAnchor>
  <cdr:relSizeAnchor xmlns:cdr="http://schemas.openxmlformats.org/drawingml/2006/chartDrawing">
    <cdr:from>
      <cdr:x>0.40949</cdr:x>
      <cdr:y>0.68925</cdr:y>
    </cdr:from>
    <cdr:to>
      <cdr:x>0.43237</cdr:x>
      <cdr:y>0.7628</cdr:y>
    </cdr:to>
    <cdr:cxnSp macro="">
      <cdr:nvCxnSpPr>
        <cdr:cNvPr id="32" name="Straight Arrow Connector 31">
          <a:extLst xmlns:a="http://schemas.openxmlformats.org/drawingml/2006/main">
            <a:ext uri="{FF2B5EF4-FFF2-40B4-BE49-F238E27FC236}">
              <a16:creationId xmlns:a16="http://schemas.microsoft.com/office/drawing/2014/main" id="{E5FB51F3-34F3-F1B0-745B-79C76FB0BF87}"/>
            </a:ext>
          </a:extLst>
        </cdr:cNvPr>
        <cdr:cNvCxnSpPr/>
      </cdr:nvCxnSpPr>
      <cdr:spPr>
        <a:xfrm xmlns:a="http://schemas.openxmlformats.org/drawingml/2006/main">
          <a:off x="4925786" y="4286250"/>
          <a:ext cx="275197" cy="45737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0.45474</cdr:x>
      <cdr:y>0.53032</cdr:y>
    </cdr:from>
    <cdr:to>
      <cdr:x>0.59399</cdr:x>
      <cdr:y>0.60592</cdr:y>
    </cdr:to>
    <cdr:sp macro="" textlink="">
      <cdr:nvSpPr>
        <cdr:cNvPr id="40" name="TextBox 10">
          <a:extLst xmlns:a="http://schemas.openxmlformats.org/drawingml/2006/main">
            <a:ext uri="{FF2B5EF4-FFF2-40B4-BE49-F238E27FC236}">
              <a16:creationId xmlns:a16="http://schemas.microsoft.com/office/drawing/2014/main" id="{6E339E33-970A-6598-51B7-1A6788D9D75A}"/>
            </a:ext>
          </a:extLst>
        </cdr:cNvPr>
        <cdr:cNvSpPr txBox="1"/>
      </cdr:nvSpPr>
      <cdr:spPr>
        <a:xfrm xmlns:a="http://schemas.openxmlformats.org/drawingml/2006/main">
          <a:off x="5470073" y="3297906"/>
          <a:ext cx="1675106" cy="47012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300">
              <a:latin typeface="Courier New" panose="02070309020205020404" pitchFamily="49" charset="0"/>
              <a:ea typeface="Calibri Light" panose="020F0302020204030204" pitchFamily="34" charset="0"/>
              <a:cs typeface="Courier New" panose="02070309020205020404" pitchFamily="49" charset="0"/>
            </a:rPr>
            <a:t>CH-47F Chinook - </a:t>
          </a:r>
          <a:r>
            <a:rPr lang="en-US" sz="1300">
              <a:solidFill>
                <a:schemeClr val="tx1"/>
              </a:solidFill>
              <a:effectLst/>
              <a:latin typeface="Courier New" panose="02070309020205020404" pitchFamily="49" charset="0"/>
              <a:ea typeface="Calibri Light" panose="020F0302020204030204" pitchFamily="34" charset="0"/>
              <a:cs typeface="Courier New" panose="02070309020205020404" pitchFamily="49" charset="0"/>
            </a:rPr>
            <a:t>€7 bn</a:t>
          </a:r>
        </a:p>
      </cdr:txBody>
    </cdr:sp>
  </cdr:relSizeAnchor>
  <cdr:relSizeAnchor xmlns:cdr="http://schemas.openxmlformats.org/drawingml/2006/chartDrawing">
    <cdr:from>
      <cdr:x>0.53279</cdr:x>
      <cdr:y>0.5886</cdr:y>
    </cdr:from>
    <cdr:to>
      <cdr:x>0.58013</cdr:x>
      <cdr:y>0.72084</cdr:y>
    </cdr:to>
    <cdr:cxnSp macro="">
      <cdr:nvCxnSpPr>
        <cdr:cNvPr id="42" name="Straight Arrow Connector 41">
          <a:extLst xmlns:a="http://schemas.openxmlformats.org/drawingml/2006/main">
            <a:ext uri="{FF2B5EF4-FFF2-40B4-BE49-F238E27FC236}">
              <a16:creationId xmlns:a16="http://schemas.microsoft.com/office/drawing/2014/main" id="{A461CC11-8CF3-D709-E109-5FD2C8BA7FD6}"/>
            </a:ext>
          </a:extLst>
        </cdr:cNvPr>
        <cdr:cNvCxnSpPr/>
      </cdr:nvCxnSpPr>
      <cdr:spPr>
        <a:xfrm xmlns:a="http://schemas.openxmlformats.org/drawingml/2006/main">
          <a:off x="6408965" y="3660321"/>
          <a:ext cx="569490" cy="82236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0.23161</cdr:x>
      <cdr:y>0.04814</cdr:y>
    </cdr:from>
    <cdr:to>
      <cdr:x>0.63686</cdr:x>
      <cdr:y>0.36979</cdr:y>
    </cdr:to>
    <cdr:sp macro="" textlink="">
      <cdr:nvSpPr>
        <cdr:cNvPr id="8" name="TextBox 3">
          <a:extLst xmlns:a="http://schemas.openxmlformats.org/drawingml/2006/main">
            <a:ext uri="{FF2B5EF4-FFF2-40B4-BE49-F238E27FC236}">
              <a16:creationId xmlns:a16="http://schemas.microsoft.com/office/drawing/2014/main" id="{3AFB251C-8A38-9C2F-19D8-75F8CADE4E03}"/>
            </a:ext>
          </a:extLst>
        </cdr:cNvPr>
        <cdr:cNvSpPr txBox="1"/>
      </cdr:nvSpPr>
      <cdr:spPr>
        <a:xfrm xmlns:a="http://schemas.openxmlformats.org/drawingml/2006/main">
          <a:off x="2786050" y="299357"/>
          <a:ext cx="4874771" cy="2000250"/>
        </a:xfrm>
        <a:prstGeom xmlns:a="http://schemas.openxmlformats.org/drawingml/2006/main" prst="rect">
          <a:avLst/>
        </a:prstGeom>
        <a:solidFill xmlns:a="http://schemas.openxmlformats.org/drawingml/2006/main">
          <a:srgbClr val="F5F1E7"/>
        </a:solidFill>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300" u="sng">
              <a:latin typeface="Courier New" panose="02070309020205020404" pitchFamily="49" charset="0"/>
              <a:ea typeface="Calibri Light" panose="020F0302020204030204" pitchFamily="34" charset="0"/>
              <a:cs typeface="Courier New" panose="02070309020205020404" pitchFamily="49" charset="0"/>
            </a:rPr>
            <a:t>Land includes:</a:t>
          </a:r>
        </a:p>
        <a:p xmlns:a="http://schemas.openxmlformats.org/drawingml/2006/main">
          <a:r>
            <a:rPr lang="en-US" sz="1300">
              <a:latin typeface="Courier New" panose="02070309020205020404" pitchFamily="49" charset="0"/>
              <a:ea typeface="Calibri Light" panose="020F0302020204030204" pitchFamily="34" charset="0"/>
              <a:cs typeface="Courier New" panose="02070309020205020404" pitchFamily="49" charset="0"/>
            </a:rPr>
            <a:t>Air defence system, Ammunition, Armoured vehicle,</a:t>
          </a:r>
          <a:r>
            <a:rPr lang="en-US" sz="1300" baseline="0">
              <a:latin typeface="Courier New" panose="02070309020205020404" pitchFamily="49" charset="0"/>
              <a:ea typeface="Calibri Light" panose="020F0302020204030204" pitchFamily="34" charset="0"/>
              <a:cs typeface="Courier New" panose="02070309020205020404" pitchFamily="49" charset="0"/>
            </a:rPr>
            <a:t> Artillery, Drone, Helicopter, Infantry, Main battle tank, Mine, Missile (Land)</a:t>
          </a:r>
        </a:p>
        <a:p xmlns:a="http://schemas.openxmlformats.org/drawingml/2006/main">
          <a:r>
            <a:rPr lang="en-US" sz="1300" u="sng" baseline="0">
              <a:latin typeface="Courier New" panose="02070309020205020404" pitchFamily="49" charset="0"/>
              <a:ea typeface="Calibri Light" panose="020F0302020204030204" pitchFamily="34" charset="0"/>
              <a:cs typeface="Courier New" panose="02070309020205020404" pitchFamily="49" charset="0"/>
            </a:rPr>
            <a:t>Other includes:</a:t>
          </a:r>
        </a:p>
        <a:p xmlns:a="http://schemas.openxmlformats.org/drawingml/2006/main">
          <a:r>
            <a:rPr lang="en-US" sz="1300" u="none" baseline="0">
              <a:latin typeface="Courier New" panose="02070309020205020404" pitchFamily="49" charset="0"/>
              <a:ea typeface="Calibri Light" panose="020F0302020204030204" pitchFamily="34" charset="0"/>
              <a:cs typeface="Courier New" panose="02070309020205020404" pitchFamily="49" charset="0"/>
            </a:rPr>
            <a:t>Maintenance, Modernisation, Other</a:t>
          </a:r>
        </a:p>
        <a:p xmlns:a="http://schemas.openxmlformats.org/drawingml/2006/main">
          <a:endParaRPr lang="en-US" sz="1300" u="none" baseline="0">
            <a:latin typeface="Courier New" panose="02070309020205020404" pitchFamily="49" charset="0"/>
            <a:ea typeface="Calibri Light" panose="020F0302020204030204" pitchFamily="34" charset="0"/>
            <a:cs typeface="Courier New" panose="02070309020205020404" pitchFamily="49" charset="0"/>
          </a:endParaRPr>
        </a:p>
        <a:p xmlns:a="http://schemas.openxmlformats.org/drawingml/2006/main">
          <a:r>
            <a:rPr lang="en-US" sz="1300" u="none" baseline="0">
              <a:latin typeface="Courier New" panose="02070309020205020404" pitchFamily="49" charset="0"/>
              <a:ea typeface="Calibri Light" panose="020F0302020204030204" pitchFamily="34" charset="0"/>
              <a:cs typeface="Courier New" panose="02070309020205020404" pitchFamily="49" charset="0"/>
            </a:rPr>
            <a:t>Each category includes costs for development</a:t>
          </a:r>
          <a:endParaRPr lang="en-US" sz="1300" u="none">
            <a:latin typeface="Courier New" panose="02070309020205020404" pitchFamily="49" charset="0"/>
            <a:ea typeface="Calibri Light" panose="020F0302020204030204" pitchFamily="34" charset="0"/>
            <a:cs typeface="Courier New" panose="02070309020205020404" pitchFamily="49" charset="0"/>
          </a:endParaRPr>
        </a:p>
      </cdr:txBody>
    </cdr:sp>
  </cdr:relSizeAnchor>
  <cdr:relSizeAnchor xmlns:cdr="http://schemas.openxmlformats.org/drawingml/2006/chartDrawing">
    <cdr:from>
      <cdr:x>0.6821</cdr:x>
      <cdr:y>0.6331</cdr:y>
    </cdr:from>
    <cdr:to>
      <cdr:x>0.77548</cdr:x>
      <cdr:y>0.7436</cdr:y>
    </cdr:to>
    <cdr:sp macro="" textlink="">
      <cdr:nvSpPr>
        <cdr:cNvPr id="34" name="TextBox 9">
          <a:extLst xmlns:a="http://schemas.openxmlformats.org/drawingml/2006/main">
            <a:ext uri="{FF2B5EF4-FFF2-40B4-BE49-F238E27FC236}">
              <a16:creationId xmlns:a16="http://schemas.microsoft.com/office/drawing/2014/main" id="{9B703106-11B4-1105-70AA-43EB37868E20}"/>
            </a:ext>
          </a:extLst>
        </cdr:cNvPr>
        <cdr:cNvSpPr txBox="1"/>
      </cdr:nvSpPr>
      <cdr:spPr>
        <a:xfrm xmlns:a="http://schemas.openxmlformats.org/drawingml/2006/main">
          <a:off x="8205064" y="3937059"/>
          <a:ext cx="1123280" cy="68716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300">
              <a:latin typeface="Courier New" panose="02070309020205020404" pitchFamily="49" charset="0"/>
              <a:ea typeface="Calibri Light" panose="020F0302020204030204" pitchFamily="34" charset="0"/>
              <a:cs typeface="Courier New" panose="02070309020205020404" pitchFamily="49" charset="0"/>
            </a:rPr>
            <a:t>U212</a:t>
          </a:r>
          <a:r>
            <a:rPr lang="en-US" sz="1300" baseline="0">
              <a:latin typeface="Courier New" panose="02070309020205020404" pitchFamily="49" charset="0"/>
              <a:ea typeface="Calibri Light" panose="020F0302020204030204" pitchFamily="34" charset="0"/>
              <a:cs typeface="Courier New" panose="02070309020205020404" pitchFamily="49" charset="0"/>
            </a:rPr>
            <a:t> submarine - </a:t>
          </a:r>
          <a:r>
            <a:rPr lang="en-US" sz="1300">
              <a:solidFill>
                <a:schemeClr val="dk1"/>
              </a:solidFill>
              <a:latin typeface="Courier New" panose="02070309020205020404" pitchFamily="49" charset="0"/>
              <a:ea typeface="Calibri Light" panose="020F0302020204030204" pitchFamily="34" charset="0"/>
              <a:cs typeface="Courier New" panose="02070309020205020404" pitchFamily="49" charset="0"/>
            </a:rPr>
            <a:t>€</a:t>
          </a:r>
          <a:r>
            <a:rPr lang="en-US" sz="1300" baseline="0">
              <a:latin typeface="Courier New" panose="02070309020205020404" pitchFamily="49" charset="0"/>
              <a:ea typeface="Calibri Light" panose="020F0302020204030204" pitchFamily="34" charset="0"/>
              <a:cs typeface="Courier New" panose="02070309020205020404" pitchFamily="49" charset="0"/>
            </a:rPr>
            <a:t>5</a:t>
          </a:r>
          <a:r>
            <a:rPr lang="en-US" sz="1300">
              <a:latin typeface="Courier New" panose="02070309020205020404" pitchFamily="49" charset="0"/>
              <a:ea typeface="Calibri Light" panose="020F0302020204030204" pitchFamily="34" charset="0"/>
              <a:cs typeface="Courier New" panose="02070309020205020404" pitchFamily="49" charset="0"/>
            </a:rPr>
            <a:t> bn</a:t>
          </a:r>
        </a:p>
        <a:p xmlns:a="http://schemas.openxmlformats.org/drawingml/2006/main">
          <a:endParaRPr lang="en-US" sz="1300">
            <a:latin typeface="Courier New" panose="02070309020205020404" pitchFamily="49" charset="0"/>
            <a:cs typeface="Courier New" panose="02070309020205020404" pitchFamily="49" charset="0"/>
          </a:endParaRPr>
        </a:p>
      </cdr:txBody>
    </cdr:sp>
  </cdr:relSizeAnchor>
  <cdr:relSizeAnchor xmlns:cdr="http://schemas.openxmlformats.org/drawingml/2006/chartDrawing">
    <cdr:from>
      <cdr:x>0.7692</cdr:x>
      <cdr:y>0.72864</cdr:y>
    </cdr:from>
    <cdr:to>
      <cdr:x>0.7907</cdr:x>
      <cdr:y>0.80303</cdr:y>
    </cdr:to>
    <cdr:cxnSp macro="">
      <cdr:nvCxnSpPr>
        <cdr:cNvPr id="35" name="Straight Arrow Connector 34">
          <a:extLst xmlns:a="http://schemas.openxmlformats.org/drawingml/2006/main">
            <a:ext uri="{FF2B5EF4-FFF2-40B4-BE49-F238E27FC236}">
              <a16:creationId xmlns:a16="http://schemas.microsoft.com/office/drawing/2014/main" id="{7F2C9875-8200-B56B-D2A3-B651EC42C1ED}"/>
            </a:ext>
          </a:extLst>
        </cdr:cNvPr>
        <cdr:cNvCxnSpPr/>
      </cdr:nvCxnSpPr>
      <cdr:spPr>
        <a:xfrm xmlns:a="http://schemas.openxmlformats.org/drawingml/2006/main">
          <a:off x="9252801" y="4531194"/>
          <a:ext cx="258626" cy="46260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0.8088</cdr:x>
      <cdr:y>0.61048</cdr:y>
    </cdr:from>
    <cdr:to>
      <cdr:x>0.90947</cdr:x>
      <cdr:y>0.72647</cdr:y>
    </cdr:to>
    <cdr:sp macro="" textlink="">
      <cdr:nvSpPr>
        <cdr:cNvPr id="38" name="TextBox 9">
          <a:extLst xmlns:a="http://schemas.openxmlformats.org/drawingml/2006/main">
            <a:ext uri="{FF2B5EF4-FFF2-40B4-BE49-F238E27FC236}">
              <a16:creationId xmlns:a16="http://schemas.microsoft.com/office/drawing/2014/main" id="{CB2B2ADD-79AE-C28D-D491-0DCE12D21B18}"/>
            </a:ext>
          </a:extLst>
        </cdr:cNvPr>
        <cdr:cNvSpPr txBox="1"/>
      </cdr:nvSpPr>
      <cdr:spPr>
        <a:xfrm xmlns:a="http://schemas.openxmlformats.org/drawingml/2006/main">
          <a:off x="9729154" y="3796392"/>
          <a:ext cx="1210972" cy="72130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300">
              <a:latin typeface="Courier New" panose="02070309020205020404" pitchFamily="49" charset="0"/>
              <a:cs typeface="Courier New" panose="02070309020205020404" pitchFamily="49" charset="0"/>
            </a:rPr>
            <a:t>Boxer</a:t>
          </a:r>
          <a:r>
            <a:rPr lang="en-US" sz="1300" baseline="0">
              <a:latin typeface="Courier New" panose="02070309020205020404" pitchFamily="49" charset="0"/>
              <a:cs typeface="Courier New" panose="02070309020205020404" pitchFamily="49" charset="0"/>
            </a:rPr>
            <a:t> APC - </a:t>
          </a:r>
          <a:r>
            <a:rPr lang="en-US" sz="1300">
              <a:solidFill>
                <a:schemeClr val="dk1"/>
              </a:solidFill>
              <a:effectLst/>
              <a:latin typeface="Courier New" panose="02070309020205020404" pitchFamily="49" charset="0"/>
              <a:ea typeface="+mn-ea"/>
              <a:cs typeface="Courier New" panose="02070309020205020404" pitchFamily="49" charset="0"/>
            </a:rPr>
            <a:t>€3.4 bn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300">
              <a:solidFill>
                <a:schemeClr val="dk1"/>
              </a:solidFill>
              <a:effectLst/>
              <a:latin typeface="Courier New" panose="02070309020205020404" pitchFamily="49" charset="0"/>
              <a:ea typeface="+mn-ea"/>
              <a:cs typeface="Courier New" panose="02070309020205020404" pitchFamily="49" charset="0"/>
            </a:rPr>
            <a:t>Eurofigher - €3.8 bn</a:t>
          </a:r>
          <a:endParaRPr lang="en-US" sz="1300">
            <a:effectLst/>
            <a:latin typeface="Courier New" panose="02070309020205020404" pitchFamily="49" charset="0"/>
            <a:cs typeface="Courier New" panose="02070309020205020404" pitchFamily="49"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300">
            <a:effectLst/>
            <a:latin typeface="Courier New" panose="02070309020205020404" pitchFamily="49" charset="0"/>
            <a:cs typeface="Courier New" panose="02070309020205020404" pitchFamily="49" charset="0"/>
          </a:endParaRPr>
        </a:p>
        <a:p xmlns:a="http://schemas.openxmlformats.org/drawingml/2006/main">
          <a:endParaRPr lang="en-US" sz="1300">
            <a:latin typeface="Courier New" panose="02070309020205020404" pitchFamily="49" charset="0"/>
            <a:cs typeface="Courier New" panose="02070309020205020404" pitchFamily="49" charset="0"/>
          </a:endParaRPr>
        </a:p>
      </cdr:txBody>
    </cdr:sp>
  </cdr:relSizeAnchor>
  <cdr:relSizeAnchor xmlns:cdr="http://schemas.openxmlformats.org/drawingml/2006/chartDrawing">
    <cdr:from>
      <cdr:x>0.8959</cdr:x>
      <cdr:y>0.65643</cdr:y>
    </cdr:from>
    <cdr:to>
      <cdr:x>0.91852</cdr:x>
      <cdr:y>0.73301</cdr:y>
    </cdr:to>
    <cdr:cxnSp macro="">
      <cdr:nvCxnSpPr>
        <cdr:cNvPr id="39" name="Straight Arrow Connector 38">
          <a:extLst xmlns:a="http://schemas.openxmlformats.org/drawingml/2006/main">
            <a:ext uri="{FF2B5EF4-FFF2-40B4-BE49-F238E27FC236}">
              <a16:creationId xmlns:a16="http://schemas.microsoft.com/office/drawing/2014/main" id="{4218FCE4-EA30-7EAC-628A-08FB78794598}"/>
            </a:ext>
          </a:extLst>
        </cdr:cNvPr>
        <cdr:cNvCxnSpPr/>
      </cdr:nvCxnSpPr>
      <cdr:spPr>
        <a:xfrm xmlns:a="http://schemas.openxmlformats.org/drawingml/2006/main">
          <a:off x="10776890" y="4082141"/>
          <a:ext cx="272099" cy="47622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0.88007</cdr:x>
      <cdr:y>0.73143</cdr:y>
    </cdr:from>
    <cdr:to>
      <cdr:x>0.91852</cdr:x>
      <cdr:y>0.81179</cdr:y>
    </cdr:to>
    <cdr:cxnSp macro="">
      <cdr:nvCxnSpPr>
        <cdr:cNvPr id="46" name="Straight Arrow Connector 45">
          <a:extLst xmlns:a="http://schemas.openxmlformats.org/drawingml/2006/main">
            <a:ext uri="{FF2B5EF4-FFF2-40B4-BE49-F238E27FC236}">
              <a16:creationId xmlns:a16="http://schemas.microsoft.com/office/drawing/2014/main" id="{A173FAAD-1589-F0AD-984A-42DFBB1029A6}"/>
            </a:ext>
          </a:extLst>
        </cdr:cNvPr>
        <cdr:cNvCxnSpPr/>
      </cdr:nvCxnSpPr>
      <cdr:spPr>
        <a:xfrm xmlns:a="http://schemas.openxmlformats.org/drawingml/2006/main">
          <a:off x="10586469" y="4548544"/>
          <a:ext cx="462520" cy="49973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0.64025</cdr:x>
      <cdr:y>0.29055</cdr:y>
    </cdr:from>
    <cdr:to>
      <cdr:x>0.93328</cdr:x>
      <cdr:y>0.66299</cdr:y>
    </cdr:to>
    <cdr:sp macro="" textlink="">
      <cdr:nvSpPr>
        <cdr:cNvPr id="48" name="TextBox 9">
          <a:extLst xmlns:a="http://schemas.openxmlformats.org/drawingml/2006/main">
            <a:ext uri="{FF2B5EF4-FFF2-40B4-BE49-F238E27FC236}">
              <a16:creationId xmlns:a16="http://schemas.microsoft.com/office/drawing/2014/main" id="{636CB80A-2FBE-EC85-E82C-186B4E7894BD}"/>
            </a:ext>
          </a:extLst>
        </cdr:cNvPr>
        <cdr:cNvSpPr txBox="1"/>
      </cdr:nvSpPr>
      <cdr:spPr>
        <a:xfrm xmlns:a="http://schemas.openxmlformats.org/drawingml/2006/main">
          <a:off x="7701643" y="1806859"/>
          <a:ext cx="3524847" cy="231610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300" baseline="0">
              <a:solidFill>
                <a:schemeClr val="tx1"/>
              </a:solidFill>
              <a:latin typeface="Courier New" panose="02070309020205020404" pitchFamily="49" charset="0"/>
              <a:cs typeface="Courier New" panose="02070309020205020404" pitchFamily="49" charset="0"/>
            </a:rPr>
            <a:t>Puma IFV - </a:t>
          </a:r>
          <a:r>
            <a:rPr lang="en-US" sz="1300">
              <a:solidFill>
                <a:schemeClr val="tx1"/>
              </a:solidFill>
              <a:effectLst/>
              <a:latin typeface="Courier New" panose="02070309020205020404" pitchFamily="49" charset="0"/>
              <a:ea typeface="+mn-ea"/>
              <a:cs typeface="Courier New" panose="02070309020205020404" pitchFamily="49" charset="0"/>
            </a:rPr>
            <a:t>€4.2 bn</a:t>
          </a:r>
        </a:p>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300" baseline="0">
              <a:solidFill>
                <a:schemeClr val="tx1"/>
              </a:solidFill>
              <a:effectLst/>
              <a:latin typeface="Courier New" panose="02070309020205020404" pitchFamily="49" charset="0"/>
              <a:ea typeface="+mn-ea"/>
              <a:cs typeface="Courier New" panose="02070309020205020404" pitchFamily="49" charset="0"/>
            </a:rPr>
            <a:t>Eagle armoured vehicle - </a:t>
          </a:r>
          <a:r>
            <a:rPr lang="en-US" sz="1300">
              <a:solidFill>
                <a:schemeClr val="tx1"/>
              </a:solidFill>
              <a:effectLst/>
              <a:latin typeface="Courier New" panose="02070309020205020404" pitchFamily="49" charset="0"/>
              <a:ea typeface="+mn-ea"/>
              <a:cs typeface="Courier New" panose="02070309020205020404" pitchFamily="49" charset="0"/>
            </a:rPr>
            <a:t>€4.8</a:t>
          </a:r>
          <a:r>
            <a:rPr lang="en-US" sz="1300" baseline="0">
              <a:solidFill>
                <a:schemeClr val="tx1"/>
              </a:solidFill>
              <a:effectLst/>
              <a:latin typeface="Courier New" panose="02070309020205020404" pitchFamily="49" charset="0"/>
              <a:ea typeface="+mn-ea"/>
              <a:cs typeface="Courier New" panose="02070309020205020404" pitchFamily="49" charset="0"/>
            </a:rPr>
            <a:t> </a:t>
          </a:r>
          <a:r>
            <a:rPr lang="en-US" sz="1300">
              <a:solidFill>
                <a:schemeClr val="tx1"/>
              </a:solidFill>
              <a:effectLst/>
              <a:latin typeface="Courier New" panose="02070309020205020404" pitchFamily="49" charset="0"/>
              <a:ea typeface="+mn-ea"/>
              <a:cs typeface="Courier New" panose="02070309020205020404" pitchFamily="49" charset="0"/>
            </a:rPr>
            <a:t>bn</a:t>
          </a:r>
        </a:p>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300" baseline="0">
              <a:solidFill>
                <a:schemeClr val="tx1"/>
              </a:solidFill>
              <a:effectLst/>
              <a:latin typeface="Courier New" panose="02070309020205020404" pitchFamily="49" charset="0"/>
              <a:ea typeface="+mn-ea"/>
              <a:cs typeface="Courier New" panose="02070309020205020404" pitchFamily="49" charset="0"/>
            </a:rPr>
            <a:t>Arrow air defence system- </a:t>
          </a:r>
          <a:r>
            <a:rPr lang="en-US" sz="1300">
              <a:solidFill>
                <a:schemeClr val="tx1"/>
              </a:solidFill>
              <a:effectLst/>
              <a:latin typeface="Courier New" panose="02070309020205020404" pitchFamily="49" charset="0"/>
              <a:ea typeface="+mn-ea"/>
              <a:cs typeface="Courier New" panose="02070309020205020404" pitchFamily="49" charset="0"/>
            </a:rPr>
            <a:t>€3.1 bn</a:t>
          </a:r>
        </a:p>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300" baseline="0">
              <a:solidFill>
                <a:schemeClr val="tx1"/>
              </a:solidFill>
              <a:effectLst/>
              <a:latin typeface="Courier New" panose="02070309020205020404" pitchFamily="49" charset="0"/>
              <a:ea typeface="+mn-ea"/>
              <a:cs typeface="Courier New" panose="02070309020205020404" pitchFamily="49" charset="0"/>
            </a:rPr>
            <a:t>Drones - </a:t>
          </a:r>
          <a:r>
            <a:rPr lang="en-US" sz="1300">
              <a:solidFill>
                <a:schemeClr val="tx1"/>
              </a:solidFill>
              <a:effectLst/>
              <a:latin typeface="Courier New" panose="02070309020205020404" pitchFamily="49" charset="0"/>
              <a:ea typeface="+mn-ea"/>
              <a:cs typeface="Courier New" panose="02070309020205020404" pitchFamily="49" charset="0"/>
            </a:rPr>
            <a:t>€2.6 bn</a:t>
          </a:r>
        </a:p>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300" baseline="0">
              <a:solidFill>
                <a:schemeClr val="tx1"/>
              </a:solidFill>
              <a:effectLst/>
              <a:latin typeface="Courier New" panose="02070309020205020404" pitchFamily="49" charset="0"/>
              <a:ea typeface="+mn-ea"/>
              <a:cs typeface="Courier New" panose="02070309020205020404" pitchFamily="49" charset="0"/>
            </a:rPr>
            <a:t>infantry small arms - </a:t>
          </a:r>
          <a:r>
            <a:rPr lang="en-US" sz="1300">
              <a:solidFill>
                <a:schemeClr val="tx1"/>
              </a:solidFill>
              <a:effectLst/>
              <a:latin typeface="Courier New" panose="02070309020205020404" pitchFamily="49" charset="0"/>
              <a:ea typeface="+mn-ea"/>
              <a:cs typeface="Courier New" panose="02070309020205020404" pitchFamily="49" charset="0"/>
            </a:rPr>
            <a:t>€1.2 bn</a:t>
          </a:r>
        </a:p>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300" baseline="0">
              <a:solidFill>
                <a:schemeClr val="tx1"/>
              </a:solidFill>
              <a:effectLst/>
              <a:latin typeface="Courier New" panose="02070309020205020404" pitchFamily="49" charset="0"/>
              <a:ea typeface="+mn-ea"/>
              <a:cs typeface="Courier New" panose="02070309020205020404" pitchFamily="49" charset="0"/>
            </a:rPr>
            <a:t>155mm howitzer - </a:t>
          </a:r>
          <a:r>
            <a:rPr lang="en-US" sz="1300">
              <a:solidFill>
                <a:schemeClr val="tx1"/>
              </a:solidFill>
              <a:effectLst/>
              <a:latin typeface="Courier New" panose="02070309020205020404" pitchFamily="49" charset="0"/>
              <a:ea typeface="+mn-ea"/>
              <a:cs typeface="Courier New" panose="02070309020205020404" pitchFamily="49" charset="0"/>
            </a:rPr>
            <a:t>€1.2 bn</a:t>
          </a:r>
        </a:p>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300" baseline="0">
              <a:solidFill>
                <a:schemeClr val="tx1"/>
              </a:solidFill>
              <a:effectLst/>
              <a:latin typeface="Courier New" panose="02070309020205020404" pitchFamily="49" charset="0"/>
              <a:ea typeface="+mn-ea"/>
              <a:cs typeface="Courier New" panose="02070309020205020404" pitchFamily="49" charset="0"/>
            </a:rPr>
            <a:t>Patria APC - </a:t>
          </a:r>
          <a:r>
            <a:rPr lang="en-US" sz="1300">
              <a:solidFill>
                <a:schemeClr val="tx1"/>
              </a:solidFill>
              <a:effectLst/>
              <a:latin typeface="Courier New" panose="02070309020205020404" pitchFamily="49" charset="0"/>
              <a:ea typeface="+mn-ea"/>
              <a:cs typeface="Courier New" panose="02070309020205020404" pitchFamily="49" charset="0"/>
            </a:rPr>
            <a:t>€1 bn</a:t>
          </a:r>
        </a:p>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endParaRPr lang="en-US" sz="1300">
            <a:solidFill>
              <a:schemeClr val="tx1"/>
            </a:solidFill>
            <a:effectLst/>
            <a:latin typeface="Courier New" panose="02070309020205020404" pitchFamily="49" charset="0"/>
            <a:cs typeface="Courier New" panose="02070309020205020404" pitchFamily="49" charset="0"/>
          </a:endParaRPr>
        </a:p>
        <a:p xmlns:a="http://schemas.openxmlformats.org/drawingml/2006/main">
          <a:pPr algn="r"/>
          <a:endParaRPr lang="en-US" sz="1300">
            <a:solidFill>
              <a:schemeClr val="tx1"/>
            </a:solidFill>
            <a:latin typeface="Courier New" panose="02070309020205020404" pitchFamily="49" charset="0"/>
            <a:cs typeface="Courier New" panose="02070309020205020404" pitchFamily="49" charset="0"/>
          </a:endParaRPr>
        </a:p>
      </cdr:txBody>
    </cdr:sp>
  </cdr:relSizeAnchor>
  <cdr:relSizeAnchor xmlns:cdr="http://schemas.openxmlformats.org/drawingml/2006/chartDrawing">
    <cdr:from>
      <cdr:x>0.90382</cdr:x>
      <cdr:y>0.52733</cdr:y>
    </cdr:from>
    <cdr:to>
      <cdr:x>0.94114</cdr:x>
      <cdr:y>0.61923</cdr:y>
    </cdr:to>
    <cdr:cxnSp macro="">
      <cdr:nvCxnSpPr>
        <cdr:cNvPr id="49" name="Straight Arrow Connector 48">
          <a:extLst xmlns:a="http://schemas.openxmlformats.org/drawingml/2006/main">
            <a:ext uri="{FF2B5EF4-FFF2-40B4-BE49-F238E27FC236}">
              <a16:creationId xmlns:a16="http://schemas.microsoft.com/office/drawing/2014/main" id="{C6A073AC-2FC5-CA23-70C0-F5AB33506DD5}"/>
            </a:ext>
          </a:extLst>
        </cdr:cNvPr>
        <cdr:cNvCxnSpPr/>
      </cdr:nvCxnSpPr>
      <cdr:spPr>
        <a:xfrm xmlns:a="http://schemas.openxmlformats.org/drawingml/2006/main">
          <a:off x="10872107" y="3279321"/>
          <a:ext cx="449036" cy="57150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0.74658</cdr:x>
      <cdr:y>0.10385</cdr:y>
    </cdr:from>
    <cdr:to>
      <cdr:x>0.93871</cdr:x>
      <cdr:y>0.21435</cdr:y>
    </cdr:to>
    <cdr:sp macro="" textlink="">
      <cdr:nvSpPr>
        <cdr:cNvPr id="51" name="TextBox 9">
          <a:extLst xmlns:a="http://schemas.openxmlformats.org/drawingml/2006/main">
            <a:ext uri="{FF2B5EF4-FFF2-40B4-BE49-F238E27FC236}">
              <a16:creationId xmlns:a16="http://schemas.microsoft.com/office/drawing/2014/main" id="{73F804A5-51A0-91E8-5CD0-74DBC53621E2}"/>
            </a:ext>
          </a:extLst>
        </cdr:cNvPr>
        <cdr:cNvSpPr txBox="1"/>
      </cdr:nvSpPr>
      <cdr:spPr>
        <a:xfrm xmlns:a="http://schemas.openxmlformats.org/drawingml/2006/main">
          <a:off x="8980715" y="645812"/>
          <a:ext cx="2311142" cy="68716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300">
              <a:latin typeface="Courier New" panose="02070309020205020404" pitchFamily="49" charset="0"/>
              <a:ea typeface="Calibri Light" panose="020F0302020204030204" pitchFamily="34" charset="0"/>
              <a:cs typeface="Courier New" panose="02070309020205020404" pitchFamily="49" charset="0"/>
            </a:rPr>
            <a:t>Clothing</a:t>
          </a:r>
          <a:r>
            <a:rPr lang="en-US" sz="1300" baseline="0">
              <a:latin typeface="Courier New" panose="02070309020205020404" pitchFamily="49" charset="0"/>
              <a:ea typeface="Calibri Light" panose="020F0302020204030204" pitchFamily="34" charset="0"/>
              <a:cs typeface="Courier New" panose="02070309020205020404" pitchFamily="49" charset="0"/>
            </a:rPr>
            <a:t> &amp; personal equipment </a:t>
          </a:r>
          <a:r>
            <a:rPr lang="en-US" sz="1300">
              <a:latin typeface="Courier New" panose="02070309020205020404" pitchFamily="49" charset="0"/>
              <a:ea typeface="Calibri Light" panose="020F0302020204030204" pitchFamily="34" charset="0"/>
              <a:cs typeface="Courier New" panose="02070309020205020404" pitchFamily="49" charset="0"/>
            </a:rPr>
            <a:t>- </a:t>
          </a:r>
          <a:r>
            <a:rPr lang="en-US" sz="130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€21</a:t>
          </a:r>
          <a:r>
            <a:rPr lang="en-US" sz="1300" baseline="0">
              <a:solidFill>
                <a:schemeClr val="dk1"/>
              </a:solidFill>
              <a:effectLst/>
              <a:latin typeface="Courier New" panose="02070309020205020404" pitchFamily="49" charset="0"/>
              <a:ea typeface="Calibri Light" panose="020F0302020204030204" pitchFamily="34" charset="0"/>
              <a:cs typeface="Courier New" panose="02070309020205020404" pitchFamily="49" charset="0"/>
            </a:rPr>
            <a:t> </a:t>
          </a:r>
          <a:r>
            <a:rPr lang="en-US" sz="1300">
              <a:latin typeface="Courier New" panose="02070309020205020404" pitchFamily="49" charset="0"/>
              <a:ea typeface="Calibri Light" panose="020F0302020204030204" pitchFamily="34" charset="0"/>
              <a:cs typeface="Courier New" panose="02070309020205020404" pitchFamily="49" charset="0"/>
            </a:rPr>
            <a:t>bn</a:t>
          </a:r>
        </a:p>
        <a:p xmlns:a="http://schemas.openxmlformats.org/drawingml/2006/main">
          <a:endParaRPr lang="en-US" sz="1300">
            <a:latin typeface="Courier New" panose="02070309020205020404" pitchFamily="49" charset="0"/>
            <a:cs typeface="Courier New" panose="02070309020205020404" pitchFamily="49" charset="0"/>
          </a:endParaRPr>
        </a:p>
      </cdr:txBody>
    </cdr:sp>
  </cdr:relSizeAnchor>
  <cdr:relSizeAnchor xmlns:cdr="http://schemas.openxmlformats.org/drawingml/2006/chartDrawing">
    <cdr:from>
      <cdr:x>0.88936</cdr:x>
      <cdr:y>0.17563</cdr:y>
    </cdr:from>
    <cdr:to>
      <cdr:x>0.93594</cdr:x>
      <cdr:y>0.26075</cdr:y>
    </cdr:to>
    <cdr:cxnSp macro="">
      <cdr:nvCxnSpPr>
        <cdr:cNvPr id="52" name="Straight Arrow Connector 51">
          <a:extLst xmlns:a="http://schemas.openxmlformats.org/drawingml/2006/main">
            <a:ext uri="{FF2B5EF4-FFF2-40B4-BE49-F238E27FC236}">
              <a16:creationId xmlns:a16="http://schemas.microsoft.com/office/drawing/2014/main" id="{B131C348-712B-B5CB-627C-2D83C24C5014}"/>
            </a:ext>
          </a:extLst>
        </cdr:cNvPr>
        <cdr:cNvCxnSpPr/>
      </cdr:nvCxnSpPr>
      <cdr:spPr>
        <a:xfrm xmlns:a="http://schemas.openxmlformats.org/drawingml/2006/main">
          <a:off x="10783644" y="1142103"/>
          <a:ext cx="564777" cy="55357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40.xml><?xml version="1.0" encoding="utf-8"?>
<c:userShapes xmlns:c="http://schemas.openxmlformats.org/drawingml/2006/chart">
  <cdr:relSizeAnchor xmlns:cdr="http://schemas.openxmlformats.org/drawingml/2006/chartDrawing">
    <cdr:from>
      <cdr:x>0.61554</cdr:x>
      <cdr:y>0.10313</cdr:y>
    </cdr:from>
    <cdr:to>
      <cdr:x>0.86024</cdr:x>
      <cdr:y>0.23544</cdr:y>
    </cdr:to>
    <cdr:sp macro="" textlink="">
      <cdr:nvSpPr>
        <cdr:cNvPr id="6" name="TextBox 1">
          <a:extLst xmlns:a="http://schemas.openxmlformats.org/drawingml/2006/main">
            <a:ext uri="{FF2B5EF4-FFF2-40B4-BE49-F238E27FC236}">
              <a16:creationId xmlns:a16="http://schemas.microsoft.com/office/drawing/2014/main" id="{9B234FC0-5A99-5431-1322-6D56F2984F1A}"/>
            </a:ext>
          </a:extLst>
        </cdr:cNvPr>
        <cdr:cNvSpPr txBox="1"/>
      </cdr:nvSpPr>
      <cdr:spPr>
        <a:xfrm xmlns:a="http://schemas.openxmlformats.org/drawingml/2006/main">
          <a:off x="4948382" y="395290"/>
          <a:ext cx="1967168" cy="5071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a:latin typeface="Calibri Light" panose="020F0302020204030204" pitchFamily="34" charset="0"/>
              <a:ea typeface="Calibri Light" panose="020F0302020204030204" pitchFamily="34" charset="0"/>
              <a:cs typeface="Calibri Light" panose="020F0302020204030204" pitchFamily="34" charset="0"/>
            </a:rPr>
            <a:t>Total military orders: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€222.3</a:t>
          </a:r>
          <a:r>
            <a:rPr lang="en-US" sz="1600" b="1">
              <a:latin typeface="Calibri Light" panose="020F0302020204030204" pitchFamily="34" charset="0"/>
              <a:ea typeface="Calibri Light" panose="020F0302020204030204" pitchFamily="34" charset="0"/>
              <a:cs typeface="Calibri Light" panose="020F0302020204030204" pitchFamily="34" charset="0"/>
            </a:rPr>
            <a:t> billion</a:t>
          </a:r>
        </a:p>
      </cdr:txBody>
    </cdr:sp>
  </cdr:relSizeAnchor>
</c:userShapes>
</file>

<file path=xl/drawings/drawing41.xml><?xml version="1.0" encoding="utf-8"?>
<xdr:wsDr xmlns:xdr="http://schemas.openxmlformats.org/drawingml/2006/spreadsheetDrawing" xmlns:a="http://schemas.openxmlformats.org/drawingml/2006/main">
  <xdr:twoCellAnchor>
    <xdr:from>
      <xdr:col>5</xdr:col>
      <xdr:colOff>0</xdr:colOff>
      <xdr:row>5</xdr:row>
      <xdr:rowOff>0</xdr:rowOff>
    </xdr:from>
    <xdr:to>
      <xdr:col>22</xdr:col>
      <xdr:colOff>541020</xdr:colOff>
      <xdr:row>36</xdr:row>
      <xdr:rowOff>160020</xdr:rowOff>
    </xdr:to>
    <xdr:graphicFrame macro="">
      <xdr:nvGraphicFramePr>
        <xdr:cNvPr id="2" name="Chart 1">
          <a:extLst>
            <a:ext uri="{FF2B5EF4-FFF2-40B4-BE49-F238E27FC236}">
              <a16:creationId xmlns:a16="http://schemas.microsoft.com/office/drawing/2014/main" id="{E0E494BA-907C-41B1-A522-4E7A46F91C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0.06209</cdr:x>
      <cdr:y>0.05006</cdr:y>
    </cdr:from>
    <cdr:to>
      <cdr:x>0.20745</cdr:x>
      <cdr:y>0.15057</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737415" y="321789"/>
          <a:ext cx="1726262" cy="646025"/>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GBP</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Total:</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£69.1 bn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0.678</cdr:x>
      <cdr:y>0.13525</cdr:y>
    </cdr:from>
    <cdr:to>
      <cdr:x>0.82354</cdr:x>
      <cdr:y>0.22155</cdr:y>
    </cdr:to>
    <cdr:sp macro="" textlink="">
      <cdr:nvSpPr>
        <cdr:cNvPr id="2" name="TextBox 19">
          <a:extLst xmlns:a="http://schemas.openxmlformats.org/drawingml/2006/main">
            <a:ext uri="{FF2B5EF4-FFF2-40B4-BE49-F238E27FC236}">
              <a16:creationId xmlns:a16="http://schemas.microsoft.com/office/drawing/2014/main" id="{A5B322DF-62A1-1B93-625D-1A6237988449}"/>
            </a:ext>
          </a:extLst>
        </cdr:cNvPr>
        <cdr:cNvSpPr txBox="1"/>
      </cdr:nvSpPr>
      <cdr:spPr>
        <a:xfrm xmlns:a="http://schemas.openxmlformats.org/drawingml/2006/main">
          <a:off x="8051742" y="869320"/>
          <a:ext cx="1728399" cy="55469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Submarine reactor support - £9 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0.14253</cdr:x>
      <cdr:y>0.4914</cdr:y>
    </cdr:from>
    <cdr:to>
      <cdr:x>0.28808</cdr:x>
      <cdr:y>0.55629</cdr:y>
    </cdr:to>
    <cdr:sp macro="" textlink="">
      <cdr:nvSpPr>
        <cdr:cNvPr id="9" name="TextBox 19">
          <a:extLst xmlns:a="http://schemas.openxmlformats.org/drawingml/2006/main">
            <a:ext uri="{FF2B5EF4-FFF2-40B4-BE49-F238E27FC236}">
              <a16:creationId xmlns:a16="http://schemas.microsoft.com/office/drawing/2014/main" id="{041D8DBB-80C5-C2E0-A4C6-3BE49F7D9F94}"/>
            </a:ext>
          </a:extLst>
        </cdr:cNvPr>
        <cdr:cNvSpPr txBox="1"/>
      </cdr:nvSpPr>
      <cdr:spPr>
        <a:xfrm xmlns:a="http://schemas.openxmlformats.org/drawingml/2006/main">
          <a:off x="1692610" y="3158459"/>
          <a:ext cx="1728518" cy="41707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Mixed munitions contract - £2.4</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latin typeface="Calibri Light" panose="020F0302020204030204" pitchFamily="34" charset="0"/>
              <a:ea typeface="Calibri Light" panose="020F0302020204030204" pitchFamily="34" charset="0"/>
              <a:cs typeface="Calibri Light" panose="020F0302020204030204" pitchFamily="34" charset="0"/>
            </a:rPr>
            <a:t>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0.4695</cdr:x>
      <cdr:y>0.39322</cdr:y>
    </cdr:from>
    <cdr:to>
      <cdr:x>0.59266</cdr:x>
      <cdr:y>0.47952</cdr:y>
    </cdr:to>
    <cdr:sp macro="" textlink="">
      <cdr:nvSpPr>
        <cdr:cNvPr id="14" name="TextBox 19">
          <a:extLst xmlns:a="http://schemas.openxmlformats.org/drawingml/2006/main">
            <a:ext uri="{FF2B5EF4-FFF2-40B4-BE49-F238E27FC236}">
              <a16:creationId xmlns:a16="http://schemas.microsoft.com/office/drawing/2014/main" id="{FF54F5DB-6E6C-1AF6-185D-D7D4A4C8ABFB}"/>
            </a:ext>
          </a:extLst>
        </cdr:cNvPr>
        <cdr:cNvSpPr txBox="1"/>
      </cdr:nvSpPr>
      <cdr:spPr>
        <a:xfrm xmlns:a="http://schemas.openxmlformats.org/drawingml/2006/main">
          <a:off x="5575651" y="2527424"/>
          <a:ext cx="1462620" cy="55469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Type 26 Frigate - £4.2</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latin typeface="Calibri Light" panose="020F0302020204030204" pitchFamily="34" charset="0"/>
              <a:ea typeface="Calibri Light" panose="020F0302020204030204" pitchFamily="34" charset="0"/>
              <a:cs typeface="Calibri Light" panose="020F0302020204030204" pitchFamily="34" charset="0"/>
            </a:rPr>
            <a:t>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0.56761</cdr:x>
      <cdr:y>0.43504</cdr:y>
    </cdr:from>
    <cdr:to>
      <cdr:x>0.71316</cdr:x>
      <cdr:y>0.52134</cdr:y>
    </cdr:to>
    <cdr:sp macro="" textlink="">
      <cdr:nvSpPr>
        <cdr:cNvPr id="17" name="TextBox 19">
          <a:extLst xmlns:a="http://schemas.openxmlformats.org/drawingml/2006/main">
            <a:ext uri="{FF2B5EF4-FFF2-40B4-BE49-F238E27FC236}">
              <a16:creationId xmlns:a16="http://schemas.microsoft.com/office/drawing/2014/main" id="{EA15B972-C527-39CB-790E-5F1473C7C438}"/>
            </a:ext>
          </a:extLst>
        </cdr:cNvPr>
        <cdr:cNvSpPr txBox="1"/>
      </cdr:nvSpPr>
      <cdr:spPr>
        <a:xfrm xmlns:a="http://schemas.openxmlformats.org/drawingml/2006/main">
          <a:off x="6740861" y="2796214"/>
          <a:ext cx="1728519" cy="55469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AUKUS submarine parts - £4</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latin typeface="Calibri Light" panose="020F0302020204030204" pitchFamily="34" charset="0"/>
              <a:ea typeface="Calibri Light" panose="020F0302020204030204" pitchFamily="34" charset="0"/>
              <a:cs typeface="Calibri Light" panose="020F0302020204030204" pitchFamily="34" charset="0"/>
            </a:rPr>
            <a:t>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0.65687</cdr:x>
      <cdr:y>0.52239</cdr:y>
    </cdr:from>
    <cdr:to>
      <cdr:x>0.74152</cdr:x>
      <cdr:y>0.60869</cdr:y>
    </cdr:to>
    <cdr:sp macro="" textlink="">
      <cdr:nvSpPr>
        <cdr:cNvPr id="23" name="TextBox 19">
          <a:extLst xmlns:a="http://schemas.openxmlformats.org/drawingml/2006/main">
            <a:ext uri="{FF2B5EF4-FFF2-40B4-BE49-F238E27FC236}">
              <a16:creationId xmlns:a16="http://schemas.microsoft.com/office/drawing/2014/main" id="{3F6BDB7A-2C5D-ADD9-B47E-E2ABB3497D43}"/>
            </a:ext>
          </a:extLst>
        </cdr:cNvPr>
        <cdr:cNvSpPr txBox="1"/>
      </cdr:nvSpPr>
      <cdr:spPr>
        <a:xfrm xmlns:a="http://schemas.openxmlformats.org/drawingml/2006/main">
          <a:off x="7800870" y="3357623"/>
          <a:ext cx="1005284" cy="55469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CH-47ER Chinook - £2 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0.32376</cdr:x>
      <cdr:y>0.35084</cdr:y>
    </cdr:from>
    <cdr:to>
      <cdr:x>0.44693</cdr:x>
      <cdr:y>0.43714</cdr:y>
    </cdr:to>
    <cdr:sp macro="" textlink="">
      <cdr:nvSpPr>
        <cdr:cNvPr id="25" name="TextBox 19">
          <a:extLst xmlns:a="http://schemas.openxmlformats.org/drawingml/2006/main">
            <a:ext uri="{FF2B5EF4-FFF2-40B4-BE49-F238E27FC236}">
              <a16:creationId xmlns:a16="http://schemas.microsoft.com/office/drawing/2014/main" id="{E3991798-BAD6-1E0A-8522-9401C3501162}"/>
            </a:ext>
          </a:extLst>
        </cdr:cNvPr>
        <cdr:cNvSpPr txBox="1"/>
      </cdr:nvSpPr>
      <cdr:spPr>
        <a:xfrm xmlns:a="http://schemas.openxmlformats.org/drawingml/2006/main">
          <a:off x="3844858" y="2255001"/>
          <a:ext cx="1462739" cy="55469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Eurofighter</a:t>
          </a:r>
          <a:r>
            <a:rPr lang="en-US" sz="1600" baseline="0">
              <a:latin typeface="Calibri Light" panose="020F0302020204030204" pitchFamily="34" charset="0"/>
              <a:ea typeface="Calibri Light" panose="020F0302020204030204" pitchFamily="34" charset="0"/>
              <a:cs typeface="Calibri Light" panose="020F0302020204030204" pitchFamily="34" charset="0"/>
            </a:rPr>
            <a:t> radar </a:t>
          </a:r>
          <a:r>
            <a:rPr lang="en-US" sz="1600">
              <a:latin typeface="Calibri Light" panose="020F0302020204030204" pitchFamily="34" charset="0"/>
              <a:ea typeface="Calibri Light" panose="020F0302020204030204" pitchFamily="34" charset="0"/>
              <a:cs typeface="Calibri Light" panose="020F0302020204030204" pitchFamily="34" charset="0"/>
            </a:rPr>
            <a:t>- £2.3</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latin typeface="Calibri Light" panose="020F0302020204030204" pitchFamily="34" charset="0"/>
              <a:ea typeface="Calibri Light" panose="020F0302020204030204" pitchFamily="34" charset="0"/>
              <a:cs typeface="Calibri Light" panose="020F0302020204030204" pitchFamily="34" charset="0"/>
            </a:rPr>
            <a:t>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0.27091</cdr:x>
      <cdr:y>0.46973</cdr:y>
    </cdr:from>
    <cdr:to>
      <cdr:x>0.39572</cdr:x>
      <cdr:y>0.57974</cdr:y>
    </cdr:to>
    <cdr:sp macro="" textlink="">
      <cdr:nvSpPr>
        <cdr:cNvPr id="27" name="TextBox 19">
          <a:extLst xmlns:a="http://schemas.openxmlformats.org/drawingml/2006/main">
            <a:ext uri="{FF2B5EF4-FFF2-40B4-BE49-F238E27FC236}">
              <a16:creationId xmlns:a16="http://schemas.microsoft.com/office/drawing/2014/main" id="{7544CFA7-68CE-760F-6871-9E9DABCED4DB}"/>
            </a:ext>
          </a:extLst>
        </cdr:cNvPr>
        <cdr:cNvSpPr txBox="1"/>
      </cdr:nvSpPr>
      <cdr:spPr>
        <a:xfrm xmlns:a="http://schemas.openxmlformats.org/drawingml/2006/main">
          <a:off x="3217206" y="3019203"/>
          <a:ext cx="1482215" cy="707086"/>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Dreadnought submarine design - £2</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latin typeface="Calibri Light" panose="020F0302020204030204" pitchFamily="34" charset="0"/>
              <a:ea typeface="Calibri Light" panose="020F0302020204030204" pitchFamily="34" charset="0"/>
              <a:cs typeface="Calibri Light" panose="020F0302020204030204" pitchFamily="34" charset="0"/>
            </a:rPr>
            <a:t>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0.2277</cdr:x>
      <cdr:y>0.63135</cdr:y>
    </cdr:from>
    <cdr:to>
      <cdr:x>0.34295</cdr:x>
      <cdr:y>0.71765</cdr:y>
    </cdr:to>
    <cdr:sp macro="" textlink="">
      <cdr:nvSpPr>
        <cdr:cNvPr id="28" name="TextBox 19">
          <a:extLst xmlns:a="http://schemas.openxmlformats.org/drawingml/2006/main">
            <a:ext uri="{FF2B5EF4-FFF2-40B4-BE49-F238E27FC236}">
              <a16:creationId xmlns:a16="http://schemas.microsoft.com/office/drawing/2014/main" id="{5BD68B14-D9A2-70A2-8CA9-8D8F9C81967D}"/>
            </a:ext>
          </a:extLst>
        </cdr:cNvPr>
        <cdr:cNvSpPr txBox="1"/>
      </cdr:nvSpPr>
      <cdr:spPr>
        <a:xfrm xmlns:a="http://schemas.openxmlformats.org/drawingml/2006/main">
          <a:off x="2704091" y="4058008"/>
          <a:ext cx="1368682" cy="55469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Challenger 3 tank - £0.8</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latin typeface="Calibri Light" panose="020F0302020204030204" pitchFamily="34" charset="0"/>
              <a:ea typeface="Calibri Light" panose="020F0302020204030204" pitchFamily="34" charset="0"/>
              <a:cs typeface="Calibri Light" panose="020F0302020204030204" pitchFamily="34" charset="0"/>
            </a:rPr>
            <a:t>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0.5479</cdr:x>
      <cdr:y>0.24952</cdr:y>
    </cdr:from>
    <cdr:to>
      <cdr:x>0.76749</cdr:x>
      <cdr:y>0.31441</cdr:y>
    </cdr:to>
    <cdr:sp macro="" textlink="">
      <cdr:nvSpPr>
        <cdr:cNvPr id="29" name="TextBox 19">
          <a:extLst xmlns:a="http://schemas.openxmlformats.org/drawingml/2006/main">
            <a:ext uri="{FF2B5EF4-FFF2-40B4-BE49-F238E27FC236}">
              <a16:creationId xmlns:a16="http://schemas.microsoft.com/office/drawing/2014/main" id="{755C5E59-22A4-1326-2AD1-A12BE9A9A6FF}"/>
            </a:ext>
          </a:extLst>
        </cdr:cNvPr>
        <cdr:cNvSpPr txBox="1"/>
      </cdr:nvSpPr>
      <cdr:spPr>
        <a:xfrm xmlns:a="http://schemas.openxmlformats.org/drawingml/2006/main">
          <a:off x="6506777" y="1603758"/>
          <a:ext cx="2607801" cy="41707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MBDA investment</a:t>
          </a:r>
          <a:r>
            <a:rPr lang="en-US" sz="1600" baseline="0">
              <a:latin typeface="Calibri Light" panose="020F0302020204030204" pitchFamily="34" charset="0"/>
              <a:ea typeface="Calibri Light" panose="020F0302020204030204" pitchFamily="34" charset="0"/>
              <a:cs typeface="Calibri Light" panose="020F0302020204030204" pitchFamily="34" charset="0"/>
            </a:rPr>
            <a:t>s </a:t>
          </a:r>
          <a:r>
            <a:rPr lang="en-US" sz="1600">
              <a:latin typeface="Calibri Light" panose="020F0302020204030204" pitchFamily="34" charset="0"/>
              <a:ea typeface="Calibri Light" panose="020F0302020204030204" pitchFamily="34" charset="0"/>
              <a:cs typeface="Calibri Light" panose="020F0302020204030204" pitchFamily="34" charset="0"/>
            </a:rPr>
            <a:t>- £6.5 bn</a:t>
          </a:r>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0.77917</cdr:x>
      <cdr:y>0.22658</cdr:y>
    </cdr:from>
    <cdr:to>
      <cdr:x>0.82676</cdr:x>
      <cdr:y>0.29923</cdr:y>
    </cdr:to>
    <cdr:cxnSp macro="">
      <cdr:nvCxnSpPr>
        <cdr:cNvPr id="30" name="Straight Arrow Connector 29">
          <a:extLst xmlns:a="http://schemas.openxmlformats.org/drawingml/2006/main">
            <a:ext uri="{FF2B5EF4-FFF2-40B4-BE49-F238E27FC236}">
              <a16:creationId xmlns:a16="http://schemas.microsoft.com/office/drawing/2014/main" id="{A50B403C-9031-152F-5431-6344AFFA04E1}"/>
            </a:ext>
          </a:extLst>
        </cdr:cNvPr>
        <cdr:cNvCxnSpPr/>
      </cdr:nvCxnSpPr>
      <cdr:spPr>
        <a:xfrm xmlns:a="http://schemas.openxmlformats.org/drawingml/2006/main">
          <a:off x="9253213" y="1456341"/>
          <a:ext cx="565168" cy="466956"/>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0.61099</cdr:x>
      <cdr:y>0.53114</cdr:y>
    </cdr:from>
    <cdr:to>
      <cdr:x>0.63331</cdr:x>
      <cdr:y>0.63017</cdr:y>
    </cdr:to>
    <cdr:cxnSp macro="">
      <cdr:nvCxnSpPr>
        <cdr:cNvPr id="31" name="Straight Arrow Connector 30">
          <a:extLst xmlns:a="http://schemas.openxmlformats.org/drawingml/2006/main">
            <a:ext uri="{FF2B5EF4-FFF2-40B4-BE49-F238E27FC236}">
              <a16:creationId xmlns:a16="http://schemas.microsoft.com/office/drawing/2014/main" id="{3EBEEDBD-8588-E0AE-9A92-05116273EE02}"/>
            </a:ext>
          </a:extLst>
        </cdr:cNvPr>
        <cdr:cNvCxnSpPr/>
      </cdr:nvCxnSpPr>
      <cdr:spPr>
        <a:xfrm xmlns:a="http://schemas.openxmlformats.org/drawingml/2006/main">
          <a:off x="7256032" y="3413894"/>
          <a:ext cx="265067" cy="636512"/>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0.52048</cdr:x>
      <cdr:y>0.47952</cdr:y>
    </cdr:from>
    <cdr:to>
      <cdr:x>0.53108</cdr:x>
      <cdr:y>0.59664</cdr:y>
    </cdr:to>
    <cdr:cxnSp macro="">
      <cdr:nvCxnSpPr>
        <cdr:cNvPr id="32" name="Straight Arrow Connector 31">
          <a:extLst xmlns:a="http://schemas.openxmlformats.org/drawingml/2006/main">
            <a:ext uri="{FF2B5EF4-FFF2-40B4-BE49-F238E27FC236}">
              <a16:creationId xmlns:a16="http://schemas.microsoft.com/office/drawing/2014/main" id="{BE264CCB-727F-1BF2-1322-FC09B6F31FEE}"/>
            </a:ext>
          </a:extLst>
        </cdr:cNvPr>
        <cdr:cNvCxnSpPr>
          <a:stCxn xmlns:a="http://schemas.openxmlformats.org/drawingml/2006/main" id="14" idx="2"/>
        </cdr:cNvCxnSpPr>
      </cdr:nvCxnSpPr>
      <cdr:spPr>
        <a:xfrm xmlns:a="http://schemas.openxmlformats.org/drawingml/2006/main" flipH="1">
          <a:off x="6181078" y="3082115"/>
          <a:ext cx="125883" cy="752785"/>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0.20485</cdr:x>
      <cdr:y>0.58334</cdr:y>
    </cdr:from>
    <cdr:to>
      <cdr:x>0.22671</cdr:x>
      <cdr:y>0.6533</cdr:y>
    </cdr:to>
    <cdr:cxnSp macro="">
      <cdr:nvCxnSpPr>
        <cdr:cNvPr id="34" name="Straight Arrow Connector 33">
          <a:extLst xmlns:a="http://schemas.openxmlformats.org/drawingml/2006/main">
            <a:ext uri="{FF2B5EF4-FFF2-40B4-BE49-F238E27FC236}">
              <a16:creationId xmlns:a16="http://schemas.microsoft.com/office/drawing/2014/main" id="{121213CF-EA9A-EFF5-C1E5-E53535206F46}"/>
            </a:ext>
          </a:extLst>
        </cdr:cNvPr>
        <cdr:cNvCxnSpPr/>
      </cdr:nvCxnSpPr>
      <cdr:spPr>
        <a:xfrm xmlns:a="http://schemas.openxmlformats.org/drawingml/2006/main" flipH="1">
          <a:off x="2432708" y="3749400"/>
          <a:ext cx="259604" cy="449666"/>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0.71383</cdr:x>
      <cdr:y>0.60922</cdr:y>
    </cdr:from>
    <cdr:to>
      <cdr:x>0.7239</cdr:x>
      <cdr:y>0.69798</cdr:y>
    </cdr:to>
    <cdr:cxnSp macro="">
      <cdr:nvCxnSpPr>
        <cdr:cNvPr id="35" name="Straight Arrow Connector 34">
          <a:extLst xmlns:a="http://schemas.openxmlformats.org/drawingml/2006/main">
            <a:ext uri="{FF2B5EF4-FFF2-40B4-BE49-F238E27FC236}">
              <a16:creationId xmlns:a16="http://schemas.microsoft.com/office/drawing/2014/main" id="{2704A3D1-6D93-2A66-898E-3E6B4313CBE7}"/>
            </a:ext>
          </a:extLst>
        </cdr:cNvPr>
        <cdr:cNvCxnSpPr/>
      </cdr:nvCxnSpPr>
      <cdr:spPr>
        <a:xfrm xmlns:a="http://schemas.openxmlformats.org/drawingml/2006/main" flipH="1">
          <a:off x="8477250" y="3915775"/>
          <a:ext cx="119614" cy="570500"/>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0.39852</cdr:x>
      <cdr:y>0.4484</cdr:y>
    </cdr:from>
    <cdr:to>
      <cdr:x>0.44385</cdr:x>
      <cdr:y>0.66428</cdr:y>
    </cdr:to>
    <cdr:cxnSp macro="">
      <cdr:nvCxnSpPr>
        <cdr:cNvPr id="36" name="Straight Arrow Connector 35">
          <a:extLst xmlns:a="http://schemas.openxmlformats.org/drawingml/2006/main">
            <a:ext uri="{FF2B5EF4-FFF2-40B4-BE49-F238E27FC236}">
              <a16:creationId xmlns:a16="http://schemas.microsoft.com/office/drawing/2014/main" id="{A321182D-20AC-3DFA-2A9C-1252E6D6DFE3}"/>
            </a:ext>
          </a:extLst>
        </cdr:cNvPr>
        <cdr:cNvCxnSpPr/>
      </cdr:nvCxnSpPr>
      <cdr:spPr>
        <a:xfrm xmlns:a="http://schemas.openxmlformats.org/drawingml/2006/main">
          <a:off x="4732691" y="2882065"/>
          <a:ext cx="538328" cy="1387562"/>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0.37192</cdr:x>
      <cdr:y>0.59751</cdr:y>
    </cdr:from>
    <cdr:to>
      <cdr:x>0.4216</cdr:x>
      <cdr:y>0.71735</cdr:y>
    </cdr:to>
    <cdr:cxnSp macro="">
      <cdr:nvCxnSpPr>
        <cdr:cNvPr id="37" name="Straight Arrow Connector 36">
          <a:extLst xmlns:a="http://schemas.openxmlformats.org/drawingml/2006/main">
            <a:ext uri="{FF2B5EF4-FFF2-40B4-BE49-F238E27FC236}">
              <a16:creationId xmlns:a16="http://schemas.microsoft.com/office/drawing/2014/main" id="{C127F34E-9BE3-A0D4-1DB2-AC0279963373}"/>
            </a:ext>
          </a:extLst>
        </cdr:cNvPr>
        <cdr:cNvCxnSpPr/>
      </cdr:nvCxnSpPr>
      <cdr:spPr>
        <a:xfrm xmlns:a="http://schemas.openxmlformats.org/drawingml/2006/main">
          <a:off x="4416777" y="3840505"/>
          <a:ext cx="590107" cy="770268"/>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0.24989</cdr:x>
      <cdr:y>0.71914</cdr:y>
    </cdr:from>
    <cdr:to>
      <cdr:x>0.26396</cdr:x>
      <cdr:y>0.78704</cdr:y>
    </cdr:to>
    <cdr:cxnSp macro="">
      <cdr:nvCxnSpPr>
        <cdr:cNvPr id="38" name="Straight Arrow Connector 37">
          <a:extLst xmlns:a="http://schemas.openxmlformats.org/drawingml/2006/main">
            <a:ext uri="{FF2B5EF4-FFF2-40B4-BE49-F238E27FC236}">
              <a16:creationId xmlns:a16="http://schemas.microsoft.com/office/drawing/2014/main" id="{C6675F32-D0F3-A5C8-B87F-2B25A074D1C0}"/>
            </a:ext>
          </a:extLst>
        </cdr:cNvPr>
        <cdr:cNvCxnSpPr/>
      </cdr:nvCxnSpPr>
      <cdr:spPr>
        <a:xfrm xmlns:a="http://schemas.openxmlformats.org/drawingml/2006/main">
          <a:off x="2967614" y="4622275"/>
          <a:ext cx="167092" cy="436426"/>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0.70152</cdr:x>
      <cdr:y>0.30308</cdr:y>
    </cdr:from>
    <cdr:to>
      <cdr:x>0.74911</cdr:x>
      <cdr:y>0.37573</cdr:y>
    </cdr:to>
    <cdr:cxnSp macro="">
      <cdr:nvCxnSpPr>
        <cdr:cNvPr id="39" name="Straight Arrow Connector 38">
          <a:extLst xmlns:a="http://schemas.openxmlformats.org/drawingml/2006/main">
            <a:ext uri="{FF2B5EF4-FFF2-40B4-BE49-F238E27FC236}">
              <a16:creationId xmlns:a16="http://schemas.microsoft.com/office/drawing/2014/main" id="{FE118E5B-AB2F-01DE-EBCB-7B194C5A207F}"/>
            </a:ext>
          </a:extLst>
        </cdr:cNvPr>
        <cdr:cNvCxnSpPr/>
      </cdr:nvCxnSpPr>
      <cdr:spPr>
        <a:xfrm xmlns:a="http://schemas.openxmlformats.org/drawingml/2006/main">
          <a:off x="8331133" y="1948013"/>
          <a:ext cx="565168" cy="466956"/>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43.xml><?xml version="1.0" encoding="utf-8"?>
<xdr:wsDr xmlns:xdr="http://schemas.openxmlformats.org/drawingml/2006/spreadsheetDrawing" xmlns:a="http://schemas.openxmlformats.org/drawingml/2006/main">
  <xdr:twoCellAnchor>
    <xdr:from>
      <xdr:col>9</xdr:col>
      <xdr:colOff>0</xdr:colOff>
      <xdr:row>5</xdr:row>
      <xdr:rowOff>0</xdr:rowOff>
    </xdr:from>
    <xdr:to>
      <xdr:col>19</xdr:col>
      <xdr:colOff>204108</xdr:colOff>
      <xdr:row>36</xdr:row>
      <xdr:rowOff>154033</xdr:rowOff>
    </xdr:to>
    <xdr:graphicFrame macro="">
      <xdr:nvGraphicFramePr>
        <xdr:cNvPr id="2" name="Chart 1">
          <a:extLst>
            <a:ext uri="{FF2B5EF4-FFF2-40B4-BE49-F238E27FC236}">
              <a16:creationId xmlns:a16="http://schemas.microsoft.com/office/drawing/2014/main" id="{F43ECAE9-49FE-4939-815E-587426EAF6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0.10038</cdr:x>
      <cdr:y>0.04951</cdr:y>
    </cdr:from>
    <cdr:to>
      <cdr:x>0.3242</cdr:x>
      <cdr:y>0.12849</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690268" y="317451"/>
          <a:ext cx="1539070" cy="50641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GBP</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Total:</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68.6 bn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0.21608</cdr:x>
      <cdr:y>0.27282</cdr:y>
    </cdr:from>
    <cdr:to>
      <cdr:x>0.4768</cdr:x>
      <cdr:y>0.34918</cdr:y>
    </cdr:to>
    <cdr:sp macro="" textlink="">
      <cdr:nvSpPr>
        <cdr:cNvPr id="37" name="TextBox 19">
          <a:extLst xmlns:a="http://schemas.openxmlformats.org/drawingml/2006/main">
            <a:ext uri="{FF2B5EF4-FFF2-40B4-BE49-F238E27FC236}">
              <a16:creationId xmlns:a16="http://schemas.microsoft.com/office/drawing/2014/main" id="{5A185E1E-3FD2-2C3B-D3BE-4C4A8C76C806}"/>
            </a:ext>
          </a:extLst>
        </cdr:cNvPr>
        <cdr:cNvSpPr txBox="1"/>
      </cdr:nvSpPr>
      <cdr:spPr>
        <a:xfrm xmlns:a="http://schemas.openxmlformats.org/drawingml/2006/main">
          <a:off x="1484829" y="1746683"/>
          <a:ext cx="1791565" cy="488889"/>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First</a:t>
          </a:r>
          <a:r>
            <a:rPr lang="en-US" sz="1600" baseline="0">
              <a:latin typeface="Calibri Light" panose="020F0302020204030204" pitchFamily="34" charset="0"/>
              <a:ea typeface="Calibri Light" panose="020F0302020204030204" pitchFamily="34" charset="0"/>
              <a:cs typeface="Calibri Light" panose="020F0302020204030204" pitchFamily="34" charset="0"/>
            </a:rPr>
            <a:t> twelve months following invasion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0.45661</cdr:x>
      <cdr:y>0.33661</cdr:y>
    </cdr:from>
    <cdr:to>
      <cdr:x>0.47642</cdr:x>
      <cdr:y>0.39736</cdr:y>
    </cdr:to>
    <cdr:cxnSp macro="">
      <cdr:nvCxnSpPr>
        <cdr:cNvPr id="38" name="Straight Arrow Connector 37">
          <a:extLst xmlns:a="http://schemas.openxmlformats.org/drawingml/2006/main">
            <a:ext uri="{FF2B5EF4-FFF2-40B4-BE49-F238E27FC236}">
              <a16:creationId xmlns:a16="http://schemas.microsoft.com/office/drawing/2014/main" id="{62279927-C8B9-5F20-5F53-B21F2D7DCA9E}"/>
            </a:ext>
          </a:extLst>
        </cdr:cNvPr>
        <cdr:cNvCxnSpPr/>
      </cdr:nvCxnSpPr>
      <cdr:spPr>
        <a:xfrm xmlns:a="http://schemas.openxmlformats.org/drawingml/2006/main">
          <a:off x="3137657" y="2155094"/>
          <a:ext cx="136126" cy="38894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45.xml><?xml version="1.0" encoding="utf-8"?>
<xdr:wsDr xmlns:xdr="http://schemas.openxmlformats.org/drawingml/2006/spreadsheetDrawing" xmlns:a="http://schemas.openxmlformats.org/drawingml/2006/main">
  <xdr:twoCellAnchor>
    <xdr:from>
      <xdr:col>14</xdr:col>
      <xdr:colOff>0</xdr:colOff>
      <xdr:row>5</xdr:row>
      <xdr:rowOff>0</xdr:rowOff>
    </xdr:from>
    <xdr:to>
      <xdr:col>26</xdr:col>
      <xdr:colOff>544830</xdr:colOff>
      <xdr:row>32</xdr:row>
      <xdr:rowOff>19050</xdr:rowOff>
    </xdr:to>
    <xdr:graphicFrame macro="">
      <xdr:nvGraphicFramePr>
        <xdr:cNvPr id="2" name="Chart 1">
          <a:extLst>
            <a:ext uri="{FF2B5EF4-FFF2-40B4-BE49-F238E27FC236}">
              <a16:creationId xmlns:a16="http://schemas.microsoft.com/office/drawing/2014/main" id="{C67ABF62-DB5C-4C45-B9BC-7397B5752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0.08927</cdr:x>
      <cdr:y>0.06612</cdr:y>
    </cdr:from>
    <cdr:to>
      <cdr:x>0.21671</cdr:x>
      <cdr:y>0.14201</cdr:y>
    </cdr:to>
    <cdr:sp macro="" textlink="">
      <cdr:nvSpPr>
        <cdr:cNvPr id="2" name="TextBox 19">
          <a:extLst xmlns:a="http://schemas.openxmlformats.org/drawingml/2006/main">
            <a:ext uri="{FF2B5EF4-FFF2-40B4-BE49-F238E27FC236}">
              <a16:creationId xmlns:a16="http://schemas.microsoft.com/office/drawing/2014/main" id="{023B84A5-C4CE-536C-1641-011D3421363C}"/>
            </a:ext>
          </a:extLst>
        </cdr:cNvPr>
        <cdr:cNvSpPr txBox="1"/>
      </cdr:nvSpPr>
      <cdr:spPr>
        <a:xfrm xmlns:a="http://schemas.openxmlformats.org/drawingml/2006/main">
          <a:off x="762918" y="358379"/>
          <a:ext cx="1089081" cy="411303"/>
        </a:xfrm>
        <a:prstGeom xmlns:a="http://schemas.openxmlformats.org/drawingml/2006/main" prst="rect">
          <a:avLst/>
        </a:prstGeom>
        <a:solidFill xmlns:a="http://schemas.openxmlformats.org/drawingml/2006/main">
          <a:schemeClr val="bg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GBP</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0.26666</cdr:x>
      <cdr:y>0.01757</cdr:y>
    </cdr:from>
    <cdr:to>
      <cdr:x>0.76433</cdr:x>
      <cdr:y>0.11072</cdr:y>
    </cdr:to>
    <cdr:sp macro="" textlink="">
      <cdr:nvSpPr>
        <cdr:cNvPr id="3" name="TextBox 3">
          <a:extLst xmlns:a="http://schemas.openxmlformats.org/drawingml/2006/main">
            <a:ext uri="{FF2B5EF4-FFF2-40B4-BE49-F238E27FC236}">
              <a16:creationId xmlns:a16="http://schemas.microsoft.com/office/drawing/2014/main" id="{730C4A98-9FBC-F599-FB25-C688C48D1F78}"/>
            </a:ext>
          </a:extLst>
        </cdr:cNvPr>
        <cdr:cNvSpPr txBox="1"/>
      </cdr:nvSpPr>
      <cdr:spPr>
        <a:xfrm xmlns:a="http://schemas.openxmlformats.org/drawingml/2006/main">
          <a:off x="2278872" y="95250"/>
          <a:ext cx="4253004" cy="504847"/>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orders Jan 2020 - Dec 2021:</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b="1">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£8.8 billion</a:t>
          </a:r>
          <a:endParaRPr lang="en-US" sz="1600" b="1">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orders Jan 2022 - Jan 2026: </a:t>
          </a:r>
          <a:r>
            <a:rPr lang="en-US" sz="1600" b="1">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£60.3</a:t>
          </a:r>
          <a:r>
            <a:rPr lang="en-US" sz="1600" b="1"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600" b="1">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billion</a:t>
          </a:r>
        </a:p>
        <a:p xmlns:a="http://schemas.openxmlformats.org/drawingml/2006/main">
          <a:endParaRPr lang="en-US" sz="1100"/>
        </a:p>
      </cdr:txBody>
    </cdr:sp>
  </cdr:relSizeAnchor>
  <cdr:relSizeAnchor xmlns:cdr="http://schemas.openxmlformats.org/drawingml/2006/chartDrawing">
    <cdr:from>
      <cdr:x>0.09135</cdr:x>
      <cdr:y>0.26467</cdr:y>
    </cdr:from>
    <cdr:to>
      <cdr:x>0.41613</cdr:x>
      <cdr:y>0.57376</cdr:y>
    </cdr:to>
    <cdr:sp macro="" textlink="">
      <cdr:nvSpPr>
        <cdr:cNvPr id="17" name="TextBox 3">
          <a:extLst xmlns:a="http://schemas.openxmlformats.org/drawingml/2006/main">
            <a:ext uri="{FF2B5EF4-FFF2-40B4-BE49-F238E27FC236}">
              <a16:creationId xmlns:a16="http://schemas.microsoft.com/office/drawing/2014/main" id="{D07259A3-884A-BC40-D200-5DF4F6B955D8}"/>
            </a:ext>
          </a:extLst>
        </cdr:cNvPr>
        <cdr:cNvSpPr txBox="1"/>
      </cdr:nvSpPr>
      <cdr:spPr>
        <a:xfrm xmlns:a="http://schemas.openxmlformats.org/drawingml/2006/main">
          <a:off x="780702" y="1434455"/>
          <a:ext cx="2775514" cy="1675183"/>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u="sng">
              <a:latin typeface="Calibri Light" panose="020F0302020204030204" pitchFamily="34" charset="0"/>
              <a:ea typeface="Calibri Light" panose="020F0302020204030204" pitchFamily="34" charset="0"/>
              <a:cs typeface="Calibri Light" panose="020F0302020204030204" pitchFamily="34" charset="0"/>
            </a:rPr>
            <a:t>Land includes:</a:t>
          </a:r>
        </a:p>
        <a:p xmlns:a="http://schemas.openxmlformats.org/drawingml/2006/main">
          <a:r>
            <a:rPr lang="en-US" sz="1200">
              <a:latin typeface="Calibri Light" panose="020F0302020204030204" pitchFamily="34" charset="0"/>
              <a:ea typeface="Calibri Light" panose="020F0302020204030204" pitchFamily="34" charset="0"/>
              <a:cs typeface="Calibri Light" panose="020F0302020204030204" pitchFamily="34" charset="0"/>
            </a:rPr>
            <a:t>Air defence system, Ammunition, Armoured vehicle,</a:t>
          </a:r>
          <a:r>
            <a:rPr lang="en-US" sz="1200" baseline="0">
              <a:latin typeface="Calibri Light" panose="020F0302020204030204" pitchFamily="34" charset="0"/>
              <a:ea typeface="Calibri Light" panose="020F0302020204030204" pitchFamily="34" charset="0"/>
              <a:cs typeface="Calibri Light" panose="020F0302020204030204" pitchFamily="34" charset="0"/>
            </a:rPr>
            <a:t> Artillery, Drone, Helicopter, Infantry, Main battle tank, Mine, Missile (Land)</a:t>
          </a:r>
        </a:p>
        <a:p xmlns:a="http://schemas.openxmlformats.org/drawingml/2006/main">
          <a:r>
            <a:rPr lang="en-US" sz="1200" u="sng" baseline="0">
              <a:latin typeface="Calibri Light" panose="020F0302020204030204" pitchFamily="34" charset="0"/>
              <a:ea typeface="Calibri Light" panose="020F0302020204030204" pitchFamily="34" charset="0"/>
              <a:cs typeface="Calibri Light" panose="020F0302020204030204" pitchFamily="34" charset="0"/>
            </a:rPr>
            <a:t>Other includes:</a:t>
          </a:r>
        </a:p>
        <a:p xmlns:a="http://schemas.openxmlformats.org/drawingml/2006/main">
          <a:r>
            <a:rPr lang="en-US" sz="1200" u="none" baseline="0">
              <a:latin typeface="Calibri Light" panose="020F0302020204030204" pitchFamily="34" charset="0"/>
              <a:ea typeface="Calibri Light" panose="020F0302020204030204" pitchFamily="34" charset="0"/>
              <a:cs typeface="Calibri Light" panose="020F0302020204030204" pitchFamily="34" charset="0"/>
            </a:rPr>
            <a:t>Maintenance, Modernisation, Other</a:t>
          </a:r>
        </a:p>
        <a:p xmlns:a="http://schemas.openxmlformats.org/drawingml/2006/main">
          <a:r>
            <a:rPr lang="en-US" sz="1200" u="none" baseline="0">
              <a:latin typeface="Calibri Light" panose="020F0302020204030204" pitchFamily="34" charset="0"/>
              <a:ea typeface="Calibri Light" panose="020F0302020204030204" pitchFamily="34" charset="0"/>
              <a:cs typeface="Calibri Light" panose="020F0302020204030204" pitchFamily="34" charset="0"/>
            </a:rPr>
            <a:t>Each category includes costs for development</a:t>
          </a:r>
          <a:endParaRPr lang="en-US" sz="1200" u="none">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0.12208</cdr:x>
      <cdr:y>0.74425</cdr:y>
    </cdr:from>
    <cdr:to>
      <cdr:x>0.18882</cdr:x>
      <cdr:y>0.79726</cdr:y>
    </cdr:to>
    <cdr:sp macro="" textlink="">
      <cdr:nvSpPr>
        <cdr:cNvPr id="4" name="TextBox 3">
          <a:extLst xmlns:a="http://schemas.openxmlformats.org/drawingml/2006/main">
            <a:ext uri="{FF2B5EF4-FFF2-40B4-BE49-F238E27FC236}">
              <a16:creationId xmlns:a16="http://schemas.microsoft.com/office/drawing/2014/main" id="{B8298D11-66D5-9EB4-D86D-9E321C91F1EA}"/>
            </a:ext>
          </a:extLst>
        </cdr:cNvPr>
        <cdr:cNvSpPr txBox="1"/>
      </cdr:nvSpPr>
      <cdr:spPr>
        <a:xfrm xmlns:a="http://schemas.openxmlformats.org/drawingml/2006/main">
          <a:off x="1037718" y="3995374"/>
          <a:ext cx="567298" cy="284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cs typeface="Calibri Light" panose="020F0302020204030204" pitchFamily="34" charset="0"/>
            </a:rPr>
            <a:t>19%</a:t>
          </a:r>
        </a:p>
      </cdr:txBody>
    </cdr:sp>
  </cdr:relSizeAnchor>
  <cdr:relSizeAnchor xmlns:cdr="http://schemas.openxmlformats.org/drawingml/2006/chartDrawing">
    <cdr:from>
      <cdr:x>0.34277</cdr:x>
      <cdr:y>0.74642</cdr:y>
    </cdr:from>
    <cdr:to>
      <cdr:x>0.40951</cdr:x>
      <cdr:y>0.79943</cdr:y>
    </cdr:to>
    <cdr:sp macro="" textlink="">
      <cdr:nvSpPr>
        <cdr:cNvPr id="5" name="TextBox 1">
          <a:extLst xmlns:a="http://schemas.openxmlformats.org/drawingml/2006/main">
            <a:ext uri="{FF2B5EF4-FFF2-40B4-BE49-F238E27FC236}">
              <a16:creationId xmlns:a16="http://schemas.microsoft.com/office/drawing/2014/main" id="{4BA9262B-9017-5135-383C-F057CF29DACE}"/>
            </a:ext>
          </a:extLst>
        </cdr:cNvPr>
        <cdr:cNvSpPr txBox="1"/>
      </cdr:nvSpPr>
      <cdr:spPr>
        <a:xfrm xmlns:a="http://schemas.openxmlformats.org/drawingml/2006/main">
          <a:off x="2913618" y="4007023"/>
          <a:ext cx="567297" cy="284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cs typeface="Calibri Light" panose="020F0302020204030204" pitchFamily="34" charset="0"/>
            </a:rPr>
            <a:t>15%</a:t>
          </a:r>
        </a:p>
      </cdr:txBody>
    </cdr:sp>
  </cdr:relSizeAnchor>
  <cdr:relSizeAnchor xmlns:cdr="http://schemas.openxmlformats.org/drawingml/2006/chartDrawing">
    <cdr:from>
      <cdr:x>0.56443</cdr:x>
      <cdr:y>0.69307</cdr:y>
    </cdr:from>
    <cdr:to>
      <cdr:x>0.63117</cdr:x>
      <cdr:y>0.74608</cdr:y>
    </cdr:to>
    <cdr:sp macro="" textlink="">
      <cdr:nvSpPr>
        <cdr:cNvPr id="6" name="TextBox 1">
          <a:extLst xmlns:a="http://schemas.openxmlformats.org/drawingml/2006/main">
            <a:ext uri="{FF2B5EF4-FFF2-40B4-BE49-F238E27FC236}">
              <a16:creationId xmlns:a16="http://schemas.microsoft.com/office/drawing/2014/main" id="{3FFC0409-6977-BC3F-BB0F-067F7FF868D5}"/>
            </a:ext>
          </a:extLst>
        </cdr:cNvPr>
        <cdr:cNvSpPr txBox="1"/>
      </cdr:nvSpPr>
      <cdr:spPr>
        <a:xfrm xmlns:a="http://schemas.openxmlformats.org/drawingml/2006/main">
          <a:off x="4823484" y="3756262"/>
          <a:ext cx="570348" cy="287299"/>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cs typeface="Calibri Light" panose="020F0302020204030204" pitchFamily="34" charset="0"/>
            </a:rPr>
            <a:t>41%</a:t>
          </a:r>
        </a:p>
      </cdr:txBody>
    </cdr:sp>
  </cdr:relSizeAnchor>
  <cdr:relSizeAnchor xmlns:cdr="http://schemas.openxmlformats.org/drawingml/2006/chartDrawing">
    <cdr:from>
      <cdr:x>0.78526</cdr:x>
      <cdr:y>0.72772</cdr:y>
    </cdr:from>
    <cdr:to>
      <cdr:x>0.852</cdr:x>
      <cdr:y>0.78073</cdr:y>
    </cdr:to>
    <cdr:sp macro="" textlink="">
      <cdr:nvSpPr>
        <cdr:cNvPr id="7" name="TextBox 1">
          <a:extLst xmlns:a="http://schemas.openxmlformats.org/drawingml/2006/main">
            <a:ext uri="{FF2B5EF4-FFF2-40B4-BE49-F238E27FC236}">
              <a16:creationId xmlns:a16="http://schemas.microsoft.com/office/drawing/2014/main" id="{DDC538D3-65FE-B353-73E2-F79F04AA06FB}"/>
            </a:ext>
          </a:extLst>
        </cdr:cNvPr>
        <cdr:cNvSpPr txBox="1"/>
      </cdr:nvSpPr>
      <cdr:spPr>
        <a:xfrm xmlns:a="http://schemas.openxmlformats.org/drawingml/2006/main">
          <a:off x="6674832" y="3906594"/>
          <a:ext cx="567297" cy="284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cs typeface="Calibri Light" panose="020F0302020204030204" pitchFamily="34" charset="0"/>
            </a:rPr>
            <a:t>25%</a:t>
          </a:r>
        </a:p>
      </cdr:txBody>
    </cdr:sp>
  </cdr:relSizeAnchor>
  <cdr:relSizeAnchor xmlns:cdr="http://schemas.openxmlformats.org/drawingml/2006/chartDrawing">
    <cdr:from>
      <cdr:x>0.23745</cdr:x>
      <cdr:y>0.64434</cdr:y>
    </cdr:from>
    <cdr:to>
      <cdr:x>0.28902</cdr:x>
      <cdr:y>0.69734</cdr:y>
    </cdr:to>
    <cdr:sp macro="" textlink="">
      <cdr:nvSpPr>
        <cdr:cNvPr id="8" name="TextBox 1">
          <a:extLst xmlns:a="http://schemas.openxmlformats.org/drawingml/2006/main">
            <a:ext uri="{FF2B5EF4-FFF2-40B4-BE49-F238E27FC236}">
              <a16:creationId xmlns:a16="http://schemas.microsoft.com/office/drawing/2014/main" id="{2A82369C-F0CB-A10E-D669-0CA3CF06928F}"/>
            </a:ext>
          </a:extLst>
        </cdr:cNvPr>
        <cdr:cNvSpPr txBox="1"/>
      </cdr:nvSpPr>
      <cdr:spPr>
        <a:xfrm xmlns:a="http://schemas.openxmlformats.org/drawingml/2006/main">
          <a:off x="2029215" y="3492165"/>
          <a:ext cx="440708" cy="28724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600" i="1">
              <a:latin typeface="Calibri Light" panose="020F0302020204030204" pitchFamily="34" charset="0"/>
              <a:cs typeface="Calibri Light" panose="020F0302020204030204" pitchFamily="34" charset="0"/>
            </a:rPr>
            <a:t>8%</a:t>
          </a:r>
        </a:p>
      </cdr:txBody>
    </cdr:sp>
  </cdr:relSizeAnchor>
  <cdr:relSizeAnchor xmlns:cdr="http://schemas.openxmlformats.org/drawingml/2006/chartDrawing">
    <cdr:from>
      <cdr:x>0.45028</cdr:x>
      <cdr:y>0.15817</cdr:y>
    </cdr:from>
    <cdr:to>
      <cdr:x>0.51701</cdr:x>
      <cdr:y>0.1947</cdr:y>
    </cdr:to>
    <cdr:sp macro="" textlink="">
      <cdr:nvSpPr>
        <cdr:cNvPr id="18" name="TextBox 1">
          <a:extLst xmlns:a="http://schemas.openxmlformats.org/drawingml/2006/main">
            <a:ext uri="{FF2B5EF4-FFF2-40B4-BE49-F238E27FC236}">
              <a16:creationId xmlns:a16="http://schemas.microsoft.com/office/drawing/2014/main" id="{7FC755AC-ED7D-6FD0-6D7F-F8288C1F5CFB}"/>
            </a:ext>
          </a:extLst>
        </cdr:cNvPr>
        <cdr:cNvSpPr txBox="1"/>
      </cdr:nvSpPr>
      <cdr:spPr>
        <a:xfrm xmlns:a="http://schemas.openxmlformats.org/drawingml/2006/main">
          <a:off x="3848016" y="857232"/>
          <a:ext cx="570264" cy="1979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i="1">
              <a:latin typeface="Calibri Light" panose="020F0302020204030204" pitchFamily="34" charset="0"/>
              <a:cs typeface="Calibri Light" panose="020F0302020204030204" pitchFamily="34" charset="0"/>
            </a:rPr>
            <a:t>43%</a:t>
          </a:r>
        </a:p>
      </cdr:txBody>
    </cdr:sp>
  </cdr:relSizeAnchor>
  <cdr:relSizeAnchor xmlns:cdr="http://schemas.openxmlformats.org/drawingml/2006/chartDrawing">
    <cdr:from>
      <cdr:x>0.6763</cdr:x>
      <cdr:y>0.62825</cdr:y>
    </cdr:from>
    <cdr:to>
      <cdr:x>0.74303</cdr:x>
      <cdr:y>0.68125</cdr:y>
    </cdr:to>
    <cdr:sp macro="" textlink="">
      <cdr:nvSpPr>
        <cdr:cNvPr id="19" name="TextBox 1">
          <a:extLst xmlns:a="http://schemas.openxmlformats.org/drawingml/2006/main">
            <a:ext uri="{FF2B5EF4-FFF2-40B4-BE49-F238E27FC236}">
              <a16:creationId xmlns:a16="http://schemas.microsoft.com/office/drawing/2014/main" id="{D62B2822-5562-846B-7D2F-311D1AA7614A}"/>
            </a:ext>
          </a:extLst>
        </cdr:cNvPr>
        <cdr:cNvSpPr txBox="1"/>
      </cdr:nvSpPr>
      <cdr:spPr>
        <a:xfrm xmlns:a="http://schemas.openxmlformats.org/drawingml/2006/main">
          <a:off x="5779506" y="3404968"/>
          <a:ext cx="570263" cy="28724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i="1">
              <a:latin typeface="Calibri Light" panose="020F0302020204030204" pitchFamily="34" charset="0"/>
              <a:cs typeface="Calibri Light" panose="020F0302020204030204" pitchFamily="34" charset="0"/>
            </a:rPr>
            <a:t>10%</a:t>
          </a:r>
        </a:p>
      </cdr:txBody>
    </cdr:sp>
  </cdr:relSizeAnchor>
  <cdr:relSizeAnchor xmlns:cdr="http://schemas.openxmlformats.org/drawingml/2006/chartDrawing">
    <cdr:from>
      <cdr:x>0.89309</cdr:x>
      <cdr:y>0.20344</cdr:y>
    </cdr:from>
    <cdr:to>
      <cdr:x>0.95982</cdr:x>
      <cdr:y>0.25645</cdr:y>
    </cdr:to>
    <cdr:sp macro="" textlink="">
      <cdr:nvSpPr>
        <cdr:cNvPr id="20" name="TextBox 1">
          <a:extLst xmlns:a="http://schemas.openxmlformats.org/drawingml/2006/main">
            <a:ext uri="{FF2B5EF4-FFF2-40B4-BE49-F238E27FC236}">
              <a16:creationId xmlns:a16="http://schemas.microsoft.com/office/drawing/2014/main" id="{4796831B-F72E-0E6E-308B-7B9F83F5D374}"/>
            </a:ext>
          </a:extLst>
        </cdr:cNvPr>
        <cdr:cNvSpPr txBox="1"/>
      </cdr:nvSpPr>
      <cdr:spPr>
        <a:xfrm xmlns:a="http://schemas.openxmlformats.org/drawingml/2006/main">
          <a:off x="7632156" y="1102568"/>
          <a:ext cx="570263" cy="287300"/>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i="1">
              <a:latin typeface="Calibri Light" panose="020F0302020204030204" pitchFamily="34" charset="0"/>
              <a:cs typeface="Calibri Light" panose="020F0302020204030204" pitchFamily="34" charset="0"/>
            </a:rPr>
            <a:t>39%</a:t>
          </a:r>
        </a:p>
      </cdr:txBody>
    </cdr:sp>
  </cdr:relSizeAnchor>
</c:userShapes>
</file>

<file path=xl/drawings/drawing47.xml><?xml version="1.0" encoding="utf-8"?>
<xdr:wsDr xmlns:xdr="http://schemas.openxmlformats.org/drawingml/2006/spreadsheetDrawing" xmlns:a="http://schemas.openxmlformats.org/drawingml/2006/main">
  <xdr:twoCellAnchor>
    <xdr:from>
      <xdr:col>6</xdr:col>
      <xdr:colOff>0</xdr:colOff>
      <xdr:row>5</xdr:row>
      <xdr:rowOff>0</xdr:rowOff>
    </xdr:from>
    <xdr:to>
      <xdr:col>23</xdr:col>
      <xdr:colOff>547008</xdr:colOff>
      <xdr:row>36</xdr:row>
      <xdr:rowOff>195943</xdr:rowOff>
    </xdr:to>
    <xdr:graphicFrame macro="">
      <xdr:nvGraphicFramePr>
        <xdr:cNvPr id="2" name="Chart 1">
          <a:extLst>
            <a:ext uri="{FF2B5EF4-FFF2-40B4-BE49-F238E27FC236}">
              <a16:creationId xmlns:a16="http://schemas.microsoft.com/office/drawing/2014/main" id="{705848A4-4485-451A-B1C6-2BE6F2A75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0.06975</cdr:x>
      <cdr:y>0.0483</cdr:y>
    </cdr:from>
    <cdr:to>
      <cdr:x>0.2193</cdr:x>
      <cdr:y>0.1343</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829101" y="312389"/>
          <a:ext cx="1777629" cy="556261"/>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million GBP</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£1.2 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0.06061</cdr:x>
      <cdr:y>0.44481</cdr:y>
    </cdr:from>
    <cdr:to>
      <cdr:x>0.25723</cdr:x>
      <cdr:y>0.53081</cdr:y>
    </cdr:to>
    <cdr:sp macro="" textlink="">
      <cdr:nvSpPr>
        <cdr:cNvPr id="2" name="TextBox 19">
          <a:extLst xmlns:a="http://schemas.openxmlformats.org/drawingml/2006/main">
            <a:ext uri="{FF2B5EF4-FFF2-40B4-BE49-F238E27FC236}">
              <a16:creationId xmlns:a16="http://schemas.microsoft.com/office/drawing/2014/main" id="{2E4DF74C-ECE1-B106-A1F2-241FCF9BEEFD}"/>
            </a:ext>
          </a:extLst>
        </cdr:cNvPr>
        <cdr:cNvSpPr txBox="1"/>
      </cdr:nvSpPr>
      <cdr:spPr>
        <a:xfrm xmlns:a="http://schemas.openxmlformats.org/drawingml/2006/main">
          <a:off x="720193" y="2875006"/>
          <a:ext cx="2336191" cy="555851"/>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Protector long-range strike</a:t>
          </a:r>
          <a:r>
            <a:rPr lang="en-US" sz="1600" baseline="0">
              <a:latin typeface="Calibri Light" panose="020F0302020204030204" pitchFamily="34" charset="0"/>
              <a:ea typeface="Calibri Light" panose="020F0302020204030204" pitchFamily="34" charset="0"/>
              <a:cs typeface="Calibri Light" panose="020F0302020204030204" pitchFamily="34" charset="0"/>
            </a:rPr>
            <a:t> drone (x3)</a:t>
          </a:r>
          <a:r>
            <a:rPr lang="en-US" sz="1600">
              <a:latin typeface="Calibri Light" panose="020F0302020204030204" pitchFamily="34" charset="0"/>
              <a:ea typeface="Calibri Light" panose="020F0302020204030204" pitchFamily="34" charset="0"/>
              <a:cs typeface="Calibri Light" panose="020F0302020204030204" pitchFamily="34" charset="0"/>
            </a:rPr>
            <a:t> - £65 mn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0.14909</cdr:x>
      <cdr:y>0.53446</cdr:y>
    </cdr:from>
    <cdr:to>
      <cdr:x>0.30311</cdr:x>
      <cdr:y>0.6674</cdr:y>
    </cdr:to>
    <cdr:sp macro="" textlink="">
      <cdr:nvSpPr>
        <cdr:cNvPr id="7" name="TextBox 19">
          <a:extLst xmlns:a="http://schemas.openxmlformats.org/drawingml/2006/main">
            <a:ext uri="{FF2B5EF4-FFF2-40B4-BE49-F238E27FC236}">
              <a16:creationId xmlns:a16="http://schemas.microsoft.com/office/drawing/2014/main" id="{6DC03C40-CE08-A6C7-39A8-9FD9B67BC26C}"/>
            </a:ext>
          </a:extLst>
        </cdr:cNvPr>
        <cdr:cNvSpPr txBox="1"/>
      </cdr:nvSpPr>
      <cdr:spPr>
        <a:xfrm xmlns:a="http://schemas.openxmlformats.org/drawingml/2006/main">
          <a:off x="1771399" y="3454442"/>
          <a:ext cx="1830028" cy="859243"/>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600">
              <a:effectLst/>
              <a:latin typeface="Calibri Light" panose="020F0302020204030204" pitchFamily="34" charset="0"/>
              <a:ea typeface="Calibri Light" panose="020F0302020204030204" pitchFamily="34" charset="0"/>
              <a:cs typeface="Calibri Light" panose="020F0302020204030204" pitchFamily="34" charset="0"/>
            </a:rPr>
            <a:t>Fighter jet wingman drone development - £30</a:t>
          </a:r>
          <a:r>
            <a:rPr lang="en-US" sz="1600" baseline="0">
              <a:effectLst/>
              <a:latin typeface="Calibri Light" panose="020F0302020204030204" pitchFamily="34" charset="0"/>
              <a:ea typeface="Calibri Light" panose="020F0302020204030204" pitchFamily="34" charset="0"/>
              <a:cs typeface="Calibri Light" panose="020F0302020204030204" pitchFamily="34" charset="0"/>
            </a:rPr>
            <a:t> mn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pPr algn="l"/>
          <a:r>
            <a:rPr lang="en-US" sz="1100">
              <a:latin typeface="Times New Roman" panose="02020603050405020304" pitchFamily="18" charset="0"/>
              <a:cs typeface="Times New Roman" panose="02020603050405020304" pitchFamily="18" charset="0"/>
            </a:rPr>
            <a:t> </a:t>
          </a:r>
        </a:p>
        <a:p xmlns:a="http://schemas.openxmlformats.org/drawingml/2006/main">
          <a:pPr algn="l"/>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0.10898</cdr:x>
      <cdr:y>0.54143</cdr:y>
    </cdr:from>
    <cdr:to>
      <cdr:x>0.14522</cdr:x>
      <cdr:y>0.69863</cdr:y>
    </cdr:to>
    <cdr:cxnSp macro="">
      <cdr:nvCxnSpPr>
        <cdr:cNvPr id="6" name="Straight Arrow Connector 5">
          <a:extLst xmlns:a="http://schemas.openxmlformats.org/drawingml/2006/main">
            <a:ext uri="{FF2B5EF4-FFF2-40B4-BE49-F238E27FC236}">
              <a16:creationId xmlns:a16="http://schemas.microsoft.com/office/drawing/2014/main" id="{DB467159-2462-EEB7-14DF-46FC8FC8F5E9}"/>
            </a:ext>
          </a:extLst>
        </cdr:cNvPr>
        <cdr:cNvCxnSpPr/>
      </cdr:nvCxnSpPr>
      <cdr:spPr>
        <a:xfrm xmlns:a="http://schemas.openxmlformats.org/drawingml/2006/main">
          <a:off x="1294837" y="3499458"/>
          <a:ext cx="430595" cy="1016045"/>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0.18533</cdr:x>
      <cdr:y>0.66533</cdr:y>
    </cdr:from>
    <cdr:to>
      <cdr:x>0.21704</cdr:x>
      <cdr:y>0.81219</cdr:y>
    </cdr:to>
    <cdr:cxnSp macro="">
      <cdr:nvCxnSpPr>
        <cdr:cNvPr id="17" name="Straight Arrow Connector 16">
          <a:extLst xmlns:a="http://schemas.openxmlformats.org/drawingml/2006/main">
            <a:ext uri="{FF2B5EF4-FFF2-40B4-BE49-F238E27FC236}">
              <a16:creationId xmlns:a16="http://schemas.microsoft.com/office/drawing/2014/main" id="{7CDAC64E-065E-9E23-7048-587D6EDD50C8}"/>
            </a:ext>
          </a:extLst>
        </cdr:cNvPr>
        <cdr:cNvCxnSpPr/>
      </cdr:nvCxnSpPr>
      <cdr:spPr>
        <a:xfrm xmlns:a="http://schemas.openxmlformats.org/drawingml/2006/main">
          <a:off x="2201994" y="4300306"/>
          <a:ext cx="376770" cy="949214"/>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0.32101</cdr:x>
      <cdr:y>0.29444</cdr:y>
    </cdr:from>
    <cdr:to>
      <cdr:x>0.53422</cdr:x>
      <cdr:y>0.38187</cdr:y>
    </cdr:to>
    <cdr:sp macro="" textlink="">
      <cdr:nvSpPr>
        <cdr:cNvPr id="25" name="TextBox 19">
          <a:extLst xmlns:a="http://schemas.openxmlformats.org/drawingml/2006/main">
            <a:ext uri="{FF2B5EF4-FFF2-40B4-BE49-F238E27FC236}">
              <a16:creationId xmlns:a16="http://schemas.microsoft.com/office/drawing/2014/main" id="{7F8E5A6F-36A2-D09F-8CC7-191614623E95}"/>
            </a:ext>
          </a:extLst>
        </cdr:cNvPr>
        <cdr:cNvSpPr txBox="1"/>
      </cdr:nvSpPr>
      <cdr:spPr>
        <a:xfrm xmlns:a="http://schemas.openxmlformats.org/drawingml/2006/main">
          <a:off x="3814112" y="1903078"/>
          <a:ext cx="2533310" cy="565094"/>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Protector long-range strike</a:t>
          </a:r>
          <a:r>
            <a:rPr lang="en-US" sz="1600" baseline="0">
              <a:latin typeface="Calibri Light" panose="020F0302020204030204" pitchFamily="34" charset="0"/>
              <a:ea typeface="Calibri Light" panose="020F0302020204030204" pitchFamily="34" charset="0"/>
              <a:cs typeface="Calibri Light" panose="020F0302020204030204" pitchFamily="34" charset="0"/>
            </a:rPr>
            <a:t> drone (x13) - £195 mn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0.31853</cdr:x>
      <cdr:y>0.4051</cdr:y>
    </cdr:from>
    <cdr:to>
      <cdr:x>0.37402</cdr:x>
      <cdr:y>0.5168</cdr:y>
    </cdr:to>
    <cdr:cxnSp macro="">
      <cdr:nvCxnSpPr>
        <cdr:cNvPr id="26" name="Straight Arrow Connector 25">
          <a:extLst xmlns:a="http://schemas.openxmlformats.org/drawingml/2006/main">
            <a:ext uri="{FF2B5EF4-FFF2-40B4-BE49-F238E27FC236}">
              <a16:creationId xmlns:a16="http://schemas.microsoft.com/office/drawing/2014/main" id="{4F91A685-F652-28FE-0D2E-C2337463D94E}"/>
            </a:ext>
          </a:extLst>
        </cdr:cNvPr>
        <cdr:cNvCxnSpPr/>
      </cdr:nvCxnSpPr>
      <cdr:spPr>
        <a:xfrm xmlns:a="http://schemas.openxmlformats.org/drawingml/2006/main" flipH="1">
          <a:off x="3784645" y="2618317"/>
          <a:ext cx="659319" cy="721961"/>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0.34436</cdr:x>
      <cdr:y>0.561</cdr:y>
    </cdr:from>
    <cdr:to>
      <cdr:x>0.4746</cdr:x>
      <cdr:y>0.68152</cdr:y>
    </cdr:to>
    <cdr:sp macro="" textlink="">
      <cdr:nvSpPr>
        <cdr:cNvPr id="52" name="TextBox 19">
          <a:extLst xmlns:a="http://schemas.openxmlformats.org/drawingml/2006/main">
            <a:ext uri="{FF2B5EF4-FFF2-40B4-BE49-F238E27FC236}">
              <a16:creationId xmlns:a16="http://schemas.microsoft.com/office/drawing/2014/main" id="{2B8CBEB4-81AB-A093-6A4D-4A384A2BA528}"/>
            </a:ext>
          </a:extLst>
        </cdr:cNvPr>
        <cdr:cNvSpPr txBox="1"/>
      </cdr:nvSpPr>
      <cdr:spPr>
        <a:xfrm xmlns:a="http://schemas.openxmlformats.org/drawingml/2006/main">
          <a:off x="4091558" y="3625977"/>
          <a:ext cx="1547481" cy="778968"/>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600" i="0">
              <a:latin typeface="Calibri Light" panose="020F0302020204030204" pitchFamily="34" charset="0"/>
              <a:ea typeface="Calibri Light" panose="020F0302020204030204" pitchFamily="34" charset="0"/>
              <a:cs typeface="Calibri Light" panose="020F0302020204030204" pitchFamily="34" charset="0"/>
            </a:rPr>
            <a:t>Helicopter drone prototype (x1) - £60</a:t>
          </a:r>
          <a:r>
            <a:rPr lang="en-US" sz="1600" i="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i="0">
              <a:latin typeface="Calibri Light" panose="020F0302020204030204" pitchFamily="34" charset="0"/>
              <a:ea typeface="Calibri Light" panose="020F0302020204030204" pitchFamily="34" charset="0"/>
              <a:cs typeface="Calibri Light" panose="020F0302020204030204" pitchFamily="34" charset="0"/>
            </a:rPr>
            <a:t>mn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pPr algn="l"/>
          <a:r>
            <a:rPr lang="en-US" sz="1100">
              <a:latin typeface="Times New Roman" panose="02020603050405020304" pitchFamily="18" charset="0"/>
              <a:cs typeface="Times New Roman" panose="02020603050405020304" pitchFamily="18" charset="0"/>
            </a:rPr>
            <a:t> </a:t>
          </a:r>
        </a:p>
        <a:p xmlns:a="http://schemas.openxmlformats.org/drawingml/2006/main">
          <a:pPr algn="l"/>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0.42797</cdr:x>
      <cdr:y>0.69548</cdr:y>
    </cdr:from>
    <cdr:to>
      <cdr:x>0.44609</cdr:x>
      <cdr:y>0.73478</cdr:y>
    </cdr:to>
    <cdr:cxnSp macro="">
      <cdr:nvCxnSpPr>
        <cdr:cNvPr id="55" name="Straight Arrow Connector 54">
          <a:extLst xmlns:a="http://schemas.openxmlformats.org/drawingml/2006/main">
            <a:ext uri="{FF2B5EF4-FFF2-40B4-BE49-F238E27FC236}">
              <a16:creationId xmlns:a16="http://schemas.microsoft.com/office/drawing/2014/main" id="{4CDEF3DF-AEF5-67B5-D2AD-D45654AB8908}"/>
            </a:ext>
          </a:extLst>
        </cdr:cNvPr>
        <cdr:cNvCxnSpPr/>
      </cdr:nvCxnSpPr>
      <cdr:spPr>
        <a:xfrm xmlns:a="http://schemas.openxmlformats.org/drawingml/2006/main">
          <a:off x="5084992" y="4495174"/>
          <a:ext cx="215298" cy="254012"/>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0.43119</cdr:x>
      <cdr:y>0.40723</cdr:y>
    </cdr:from>
    <cdr:to>
      <cdr:x>0.67838</cdr:x>
      <cdr:y>0.49466</cdr:y>
    </cdr:to>
    <cdr:sp macro="" textlink="">
      <cdr:nvSpPr>
        <cdr:cNvPr id="58" name="TextBox 19">
          <a:extLst xmlns:a="http://schemas.openxmlformats.org/drawingml/2006/main">
            <a:ext uri="{FF2B5EF4-FFF2-40B4-BE49-F238E27FC236}">
              <a16:creationId xmlns:a16="http://schemas.microsoft.com/office/drawing/2014/main" id="{4FC2B732-3FE3-DF1F-B5AB-7C781A635BDF}"/>
            </a:ext>
          </a:extLst>
        </cdr:cNvPr>
        <cdr:cNvSpPr txBox="1"/>
      </cdr:nvSpPr>
      <cdr:spPr>
        <a:xfrm xmlns:a="http://schemas.openxmlformats.org/drawingml/2006/main">
          <a:off x="5123332" y="2632118"/>
          <a:ext cx="2937052" cy="565095"/>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effectLst/>
              <a:latin typeface="Calibri Light" panose="020F0302020204030204" pitchFamily="34" charset="0"/>
              <a:cs typeface="Calibri Light" panose="020F0302020204030204" pitchFamily="34" charset="0"/>
            </a:rPr>
            <a:t>Indago/Stalker</a:t>
          </a:r>
          <a:r>
            <a:rPr lang="en-US" sz="1600" baseline="0">
              <a:effectLst/>
              <a:latin typeface="Calibri Light" panose="020F0302020204030204" pitchFamily="34" charset="0"/>
              <a:cs typeface="Calibri Light" panose="020F0302020204030204" pitchFamily="34" charset="0"/>
            </a:rPr>
            <a:t> surveillance drone (x264) - £129 mn</a:t>
          </a:r>
          <a:endParaRPr lang="en-US" sz="1100">
            <a:latin typeface="Times New Roman" panose="02020603050405020304" pitchFamily="18" charset="0"/>
            <a:cs typeface="Times New Roman" panose="02020603050405020304" pitchFamily="18"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0.49274</cdr:x>
      <cdr:y>0.50086</cdr:y>
    </cdr:from>
    <cdr:to>
      <cdr:x>0.51086</cdr:x>
      <cdr:y>0.55878</cdr:y>
    </cdr:to>
    <cdr:cxnSp macro="">
      <cdr:nvCxnSpPr>
        <cdr:cNvPr id="59" name="Straight Arrow Connector 58">
          <a:extLst xmlns:a="http://schemas.openxmlformats.org/drawingml/2006/main">
            <a:ext uri="{FF2B5EF4-FFF2-40B4-BE49-F238E27FC236}">
              <a16:creationId xmlns:a16="http://schemas.microsoft.com/office/drawing/2014/main" id="{226E7D57-B4CF-49B2-10A4-FFB6B7B2A749}"/>
            </a:ext>
          </a:extLst>
        </cdr:cNvPr>
        <cdr:cNvCxnSpPr/>
      </cdr:nvCxnSpPr>
      <cdr:spPr>
        <a:xfrm xmlns:a="http://schemas.openxmlformats.org/drawingml/2006/main">
          <a:off x="5854655" y="3237286"/>
          <a:ext cx="215297" cy="374359"/>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0.6449</cdr:x>
      <cdr:y>0.50301</cdr:y>
    </cdr:from>
    <cdr:to>
      <cdr:x>0.85811</cdr:x>
      <cdr:y>0.59044</cdr:y>
    </cdr:to>
    <cdr:sp macro="" textlink="">
      <cdr:nvSpPr>
        <cdr:cNvPr id="4" name="TextBox 19">
          <a:extLst xmlns:a="http://schemas.openxmlformats.org/drawingml/2006/main">
            <a:ext uri="{FF2B5EF4-FFF2-40B4-BE49-F238E27FC236}">
              <a16:creationId xmlns:a16="http://schemas.microsoft.com/office/drawing/2014/main" id="{51EA0EC5-D645-0E06-7FC4-43A63F2EB1F2}"/>
            </a:ext>
          </a:extLst>
        </cdr:cNvPr>
        <cdr:cNvSpPr txBox="1"/>
      </cdr:nvSpPr>
      <cdr:spPr>
        <a:xfrm xmlns:a="http://schemas.openxmlformats.org/drawingml/2006/main">
          <a:off x="7662523" y="3251168"/>
          <a:ext cx="2533310" cy="565095"/>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First-person view (FPV) drone (x10,000) </a:t>
          </a:r>
          <a:r>
            <a:rPr lang="en-US" sz="1600" baseline="0">
              <a:latin typeface="Calibri Light" panose="020F0302020204030204" pitchFamily="34" charset="0"/>
              <a:ea typeface="Calibri Light" panose="020F0302020204030204" pitchFamily="34" charset="0"/>
              <a:cs typeface="Calibri Light" panose="020F0302020204030204" pitchFamily="34" charset="0"/>
            </a:rPr>
            <a:t>- £125 mn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0.73011</cdr:x>
      <cdr:y>0.59295</cdr:y>
    </cdr:from>
    <cdr:to>
      <cdr:x>0.7443</cdr:x>
      <cdr:y>0.65837</cdr:y>
    </cdr:to>
    <cdr:cxnSp macro="">
      <cdr:nvCxnSpPr>
        <cdr:cNvPr id="5" name="Straight Arrow Connector 4">
          <a:extLst xmlns:a="http://schemas.openxmlformats.org/drawingml/2006/main">
            <a:ext uri="{FF2B5EF4-FFF2-40B4-BE49-F238E27FC236}">
              <a16:creationId xmlns:a16="http://schemas.microsoft.com/office/drawing/2014/main" id="{BF696FA6-9372-496B-F6DD-6F849817F31E}"/>
            </a:ext>
          </a:extLst>
        </cdr:cNvPr>
        <cdr:cNvCxnSpPr/>
      </cdr:nvCxnSpPr>
      <cdr:spPr>
        <a:xfrm xmlns:a="http://schemas.openxmlformats.org/drawingml/2006/main" flipH="1">
          <a:off x="8674974" y="3832479"/>
          <a:ext cx="168602" cy="422835"/>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49.xml><?xml version="1.0" encoding="utf-8"?>
<xdr:wsDr xmlns:xdr="http://schemas.openxmlformats.org/drawingml/2006/spreadsheetDrawing" xmlns:a="http://schemas.openxmlformats.org/drawingml/2006/main">
  <xdr:twoCellAnchor>
    <xdr:from>
      <xdr:col>8</xdr:col>
      <xdr:colOff>0</xdr:colOff>
      <xdr:row>5</xdr:row>
      <xdr:rowOff>0</xdr:rowOff>
    </xdr:from>
    <xdr:to>
      <xdr:col>25</xdr:col>
      <xdr:colOff>556260</xdr:colOff>
      <xdr:row>36</xdr:row>
      <xdr:rowOff>176893</xdr:rowOff>
    </xdr:to>
    <xdr:graphicFrame macro="">
      <xdr:nvGraphicFramePr>
        <xdr:cNvPr id="2" name="Chart 1">
          <a:extLst>
            <a:ext uri="{FF2B5EF4-FFF2-40B4-BE49-F238E27FC236}">
              <a16:creationId xmlns:a16="http://schemas.microsoft.com/office/drawing/2014/main" id="{D30B3FF1-E758-4DF1-9984-5334117072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19050</xdr:colOff>
      <xdr:row>3</xdr:row>
      <xdr:rowOff>419100</xdr:rowOff>
    </xdr:from>
    <xdr:to>
      <xdr:col>21</xdr:col>
      <xdr:colOff>463696</xdr:colOff>
      <xdr:row>15</xdr:row>
      <xdr:rowOff>129889</xdr:rowOff>
    </xdr:to>
    <xdr:graphicFrame macro="">
      <xdr:nvGraphicFramePr>
        <xdr:cNvPr id="4" name="Chart 5">
          <a:extLst>
            <a:ext uri="{FF2B5EF4-FFF2-40B4-BE49-F238E27FC236}">
              <a16:creationId xmlns:a16="http://schemas.microsoft.com/office/drawing/2014/main" id="{47138393-F268-482C-8F3A-A9BEC20223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0.07081</cdr:x>
      <cdr:y>0.05029</cdr:y>
    </cdr:from>
    <cdr:to>
      <cdr:x>0.22036</cdr:x>
      <cdr:y>0.13629</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842365" y="324344"/>
          <a:ext cx="1779012" cy="554623"/>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million GBP</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£1 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0.23422</cdr:x>
      <cdr:y>0.04727</cdr:y>
    </cdr:from>
    <cdr:to>
      <cdr:x>0.61174</cdr:x>
      <cdr:y>0.35284</cdr:y>
    </cdr:to>
    <cdr:sp macro="" textlink="">
      <cdr:nvSpPr>
        <cdr:cNvPr id="8" name="TextBox 3">
          <a:extLst xmlns:a="http://schemas.openxmlformats.org/drawingml/2006/main">
            <a:ext uri="{FF2B5EF4-FFF2-40B4-BE49-F238E27FC236}">
              <a16:creationId xmlns:a16="http://schemas.microsoft.com/office/drawing/2014/main" id="{3AFB251C-8A38-9C2F-19D8-75F8CADE4E03}"/>
            </a:ext>
          </a:extLst>
        </cdr:cNvPr>
        <cdr:cNvSpPr txBox="1"/>
      </cdr:nvSpPr>
      <cdr:spPr>
        <a:xfrm xmlns:a="http://schemas.openxmlformats.org/drawingml/2006/main">
          <a:off x="2786172" y="304820"/>
          <a:ext cx="4490892" cy="1970653"/>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u="sng">
              <a:latin typeface="Calibri Light" panose="020F0302020204030204" pitchFamily="34" charset="0"/>
              <a:ea typeface="Calibri Light" panose="020F0302020204030204" pitchFamily="34" charset="0"/>
              <a:cs typeface="Calibri Light" panose="020F0302020204030204" pitchFamily="34" charset="0"/>
            </a:rPr>
            <a:t>Land includes:</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Air defence system, Ammunition, Armoured vehicle,</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Artillery, Drone, Helicopter, Infantry, Main battle tank, Mine, Missile (Land)</a:t>
          </a:r>
        </a:p>
        <a:p xmlns:a="http://schemas.openxmlformats.org/drawingml/2006/main">
          <a:r>
            <a:rPr lang="en-US" sz="1600" u="sng" baseline="0">
              <a:latin typeface="Calibri Light" panose="020F0302020204030204" pitchFamily="34" charset="0"/>
              <a:ea typeface="Calibri Light" panose="020F0302020204030204" pitchFamily="34" charset="0"/>
              <a:cs typeface="Calibri Light" panose="020F0302020204030204" pitchFamily="34" charset="0"/>
            </a:rPr>
            <a:t>Other includes:</a:t>
          </a:r>
        </a:p>
        <a:p xmlns:a="http://schemas.openxmlformats.org/drawingml/2006/main">
          <a:r>
            <a:rPr lang="en-US" sz="1600" u="none" baseline="0">
              <a:latin typeface="Calibri Light" panose="020F0302020204030204" pitchFamily="34" charset="0"/>
              <a:ea typeface="Calibri Light" panose="020F0302020204030204" pitchFamily="34" charset="0"/>
              <a:cs typeface="Calibri Light" panose="020F0302020204030204" pitchFamily="34" charset="0"/>
            </a:rPr>
            <a:t>Maintenance, Modernisation, Other</a:t>
          </a:r>
        </a:p>
        <a:p xmlns:a="http://schemas.openxmlformats.org/drawingml/2006/main">
          <a:r>
            <a:rPr lang="en-US" sz="1600" u="none" baseline="0">
              <a:latin typeface="Calibri Light" panose="020F0302020204030204" pitchFamily="34" charset="0"/>
              <a:ea typeface="Calibri Light" panose="020F0302020204030204" pitchFamily="34" charset="0"/>
              <a:cs typeface="Calibri Light" panose="020F0302020204030204" pitchFamily="34" charset="0"/>
            </a:rPr>
            <a:t>Each category includes costs for development</a:t>
          </a:r>
          <a:endParaRPr lang="en-US" sz="1600" u="none">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0.77899</cdr:x>
      <cdr:y>0.21871</cdr:y>
    </cdr:from>
    <cdr:to>
      <cdr:x>0.79822</cdr:x>
      <cdr:y>0.33247</cdr:y>
    </cdr:to>
    <cdr:cxnSp macro="">
      <cdr:nvCxnSpPr>
        <cdr:cNvPr id="24" name="Straight Arrow Connector 23">
          <a:extLst xmlns:a="http://schemas.openxmlformats.org/drawingml/2006/main">
            <a:ext uri="{FF2B5EF4-FFF2-40B4-BE49-F238E27FC236}">
              <a16:creationId xmlns:a16="http://schemas.microsoft.com/office/drawing/2014/main" id="{89D1174E-F8D3-4864-1165-48FBBACF774E}"/>
            </a:ext>
          </a:extLst>
        </cdr:cNvPr>
        <cdr:cNvCxnSpPr/>
      </cdr:nvCxnSpPr>
      <cdr:spPr>
        <a:xfrm xmlns:a="http://schemas.openxmlformats.org/drawingml/2006/main" flipH="1">
          <a:off x="9263024" y="1409447"/>
          <a:ext cx="228664" cy="733109"/>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0.72721</cdr:x>
      <cdr:y>0.10963</cdr:y>
    </cdr:from>
    <cdr:to>
      <cdr:x>0.90515</cdr:x>
      <cdr:y>0.18708</cdr:y>
    </cdr:to>
    <cdr:sp macro="" textlink="">
      <cdr:nvSpPr>
        <cdr:cNvPr id="4" name="TextBox 19">
          <a:extLst xmlns:a="http://schemas.openxmlformats.org/drawingml/2006/main">
            <a:ext uri="{FF2B5EF4-FFF2-40B4-BE49-F238E27FC236}">
              <a16:creationId xmlns:a16="http://schemas.microsoft.com/office/drawing/2014/main" id="{6E93BE08-7070-292E-F346-CF9D5DFB0E45}"/>
            </a:ext>
          </a:extLst>
        </cdr:cNvPr>
        <cdr:cNvSpPr txBox="1"/>
      </cdr:nvSpPr>
      <cdr:spPr>
        <a:xfrm xmlns:a="http://schemas.openxmlformats.org/drawingml/2006/main">
          <a:off x="8647262" y="706493"/>
          <a:ext cx="2115886" cy="499115"/>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152mm howitzer ammunition -</a:t>
          </a:r>
          <a:r>
            <a:rPr lang="en-US" sz="1600" baseline="0">
              <a:latin typeface="Calibri Light" panose="020F0302020204030204" pitchFamily="34" charset="0"/>
              <a:ea typeface="Calibri Light" panose="020F0302020204030204" pitchFamily="34" charset="0"/>
              <a:cs typeface="Calibri Light" panose="020F0302020204030204" pitchFamily="34" charset="0"/>
            </a:rPr>
            <a:t> £300 mn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userShapes>
</file>

<file path=xl/drawings/drawing51.xml><?xml version="1.0" encoding="utf-8"?>
<xdr:wsDr xmlns:xdr="http://schemas.openxmlformats.org/drawingml/2006/spreadsheetDrawing" xmlns:a="http://schemas.openxmlformats.org/drawingml/2006/main">
  <xdr:twoCellAnchor>
    <xdr:from>
      <xdr:col>8</xdr:col>
      <xdr:colOff>0</xdr:colOff>
      <xdr:row>5</xdr:row>
      <xdr:rowOff>0</xdr:rowOff>
    </xdr:from>
    <xdr:to>
      <xdr:col>28</xdr:col>
      <xdr:colOff>38100</xdr:colOff>
      <xdr:row>39</xdr:row>
      <xdr:rowOff>171796</xdr:rowOff>
    </xdr:to>
    <xdr:graphicFrame macro="">
      <xdr:nvGraphicFramePr>
        <xdr:cNvPr id="2" name="Chart 1">
          <a:extLst>
            <a:ext uri="{FF2B5EF4-FFF2-40B4-BE49-F238E27FC236}">
              <a16:creationId xmlns:a16="http://schemas.microsoft.com/office/drawing/2014/main" id="{DCA7B6F5-82C5-4871-963C-46FEF0EB92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0.06883</cdr:x>
      <cdr:y>0.03148</cdr:y>
    </cdr:from>
    <cdr:to>
      <cdr:x>0.20714</cdr:x>
      <cdr:y>0.12106</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915245" y="219629"/>
          <a:ext cx="1839094" cy="62495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GBP </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Total:</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£62</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bn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0.71659</cdr:x>
      <cdr:y>0.51892</cdr:y>
    </cdr:from>
    <cdr:to>
      <cdr:x>0.73842</cdr:x>
      <cdr:y>0.70279</cdr:y>
    </cdr:to>
    <cdr:cxnSp macro="">
      <cdr:nvCxnSpPr>
        <cdr:cNvPr id="5" name="Straight Arrow Connector 4">
          <a:extLst xmlns:a="http://schemas.openxmlformats.org/drawingml/2006/main">
            <a:ext uri="{FF2B5EF4-FFF2-40B4-BE49-F238E27FC236}">
              <a16:creationId xmlns:a16="http://schemas.microsoft.com/office/drawing/2014/main" id="{F6A9B282-F22E-4D5A-8252-50B50C71C91C}"/>
            </a:ext>
          </a:extLst>
        </cdr:cNvPr>
        <cdr:cNvCxnSpPr/>
      </cdr:nvCxnSpPr>
      <cdr:spPr>
        <a:xfrm xmlns:a="http://schemas.openxmlformats.org/drawingml/2006/main" flipH="1">
          <a:off x="9582978" y="3652819"/>
          <a:ext cx="291935" cy="129432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0.67621</cdr:x>
      <cdr:y>0.41426</cdr:y>
    </cdr:from>
    <cdr:to>
      <cdr:x>0.75619</cdr:x>
      <cdr:y>0.51646</cdr:y>
    </cdr:to>
    <cdr:sp macro="" textlink="">
      <cdr:nvSpPr>
        <cdr:cNvPr id="8" name="TextBox 9">
          <a:extLst xmlns:a="http://schemas.openxmlformats.org/drawingml/2006/main">
            <a:ext uri="{FF2B5EF4-FFF2-40B4-BE49-F238E27FC236}">
              <a16:creationId xmlns:a16="http://schemas.microsoft.com/office/drawing/2014/main" id="{8E7C9A0A-B27E-F6FF-D780-439F50AF67D8}"/>
            </a:ext>
          </a:extLst>
        </cdr:cNvPr>
        <cdr:cNvSpPr txBox="1"/>
      </cdr:nvSpPr>
      <cdr:spPr>
        <a:xfrm xmlns:a="http://schemas.openxmlformats.org/drawingml/2006/main">
          <a:off x="9042973" y="2916084"/>
          <a:ext cx="1069580" cy="71941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Chinook</a:t>
          </a:r>
          <a:r>
            <a:rPr lang="en-US" sz="1400" baseline="0">
              <a:latin typeface="Calibri Light" panose="020F0302020204030204" pitchFamily="34" charset="0"/>
              <a:ea typeface="Calibri Light" panose="020F0302020204030204" pitchFamily="34" charset="0"/>
              <a:cs typeface="Calibri Light" panose="020F0302020204030204" pitchFamily="34" charset="0"/>
            </a:rPr>
            <a:t> helicopter </a:t>
          </a:r>
          <a:r>
            <a:rPr lang="en-US" sz="1400">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a:t>
          </a:r>
          <a:r>
            <a:rPr lang="en-US" sz="1400">
              <a:latin typeface="Calibri Light" panose="020F0302020204030204" pitchFamily="34" charset="0"/>
              <a:ea typeface="Calibri Light" panose="020F0302020204030204" pitchFamily="34" charset="0"/>
              <a:cs typeface="Calibri Light" panose="020F0302020204030204" pitchFamily="34" charset="0"/>
            </a:rPr>
            <a:t> bn</a:t>
          </a:r>
        </a:p>
        <a:p xmlns:a="http://schemas.openxmlformats.org/drawingml/2006/main">
          <a:endParaRPr lang="en-US" sz="1100"/>
        </a:p>
      </cdr:txBody>
    </cdr:sp>
  </cdr:relSizeAnchor>
  <cdr:relSizeAnchor xmlns:cdr="http://schemas.openxmlformats.org/drawingml/2006/chartDrawing">
    <cdr:from>
      <cdr:x>0.537</cdr:x>
      <cdr:y>0.28908</cdr:y>
    </cdr:from>
    <cdr:to>
      <cdr:x>0.72067</cdr:x>
      <cdr:y>0.33114</cdr:y>
    </cdr:to>
    <cdr:sp macro="" textlink="">
      <cdr:nvSpPr>
        <cdr:cNvPr id="2" name="TextBox 9">
          <a:extLst xmlns:a="http://schemas.openxmlformats.org/drawingml/2006/main">
            <a:ext uri="{FF2B5EF4-FFF2-40B4-BE49-F238E27FC236}">
              <a16:creationId xmlns:a16="http://schemas.microsoft.com/office/drawing/2014/main" id="{29F5D1B4-B7CF-84C0-1C24-BD133AC1C777}"/>
            </a:ext>
          </a:extLst>
        </cdr:cNvPr>
        <cdr:cNvSpPr txBox="1"/>
      </cdr:nvSpPr>
      <cdr:spPr>
        <a:xfrm xmlns:a="http://schemas.openxmlformats.org/drawingml/2006/main">
          <a:off x="7181407" y="2034932"/>
          <a:ext cx="2456237" cy="296073"/>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MBDA investments - £6.5 bn</a:t>
          </a:r>
        </a:p>
        <a:p xmlns:a="http://schemas.openxmlformats.org/drawingml/2006/main">
          <a:endParaRPr lang="en-US" sz="1100"/>
        </a:p>
      </cdr:txBody>
    </cdr:sp>
  </cdr:relSizeAnchor>
  <cdr:relSizeAnchor xmlns:cdr="http://schemas.openxmlformats.org/drawingml/2006/chartDrawing">
    <cdr:from>
      <cdr:x>0.72056</cdr:x>
      <cdr:y>0.32493</cdr:y>
    </cdr:from>
    <cdr:to>
      <cdr:x>0.75179</cdr:x>
      <cdr:y>0.39589</cdr:y>
    </cdr:to>
    <cdr:cxnSp macro="">
      <cdr:nvCxnSpPr>
        <cdr:cNvPr id="4" name="Straight Arrow Connector 3">
          <a:extLst xmlns:a="http://schemas.openxmlformats.org/drawingml/2006/main">
            <a:ext uri="{FF2B5EF4-FFF2-40B4-BE49-F238E27FC236}">
              <a16:creationId xmlns:a16="http://schemas.microsoft.com/office/drawing/2014/main" id="{80DA05F0-38D8-B28A-AFB9-A2DB9BC6547A}"/>
            </a:ext>
          </a:extLst>
        </cdr:cNvPr>
        <cdr:cNvCxnSpPr/>
      </cdr:nvCxnSpPr>
      <cdr:spPr>
        <a:xfrm xmlns:a="http://schemas.openxmlformats.org/drawingml/2006/main">
          <a:off x="9636173" y="2287291"/>
          <a:ext cx="417642" cy="49951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0.65283</cdr:x>
      <cdr:y>0.50743</cdr:y>
    </cdr:from>
    <cdr:to>
      <cdr:x>0.72027</cdr:x>
      <cdr:y>0.60963</cdr:y>
    </cdr:to>
    <cdr:sp macro="" textlink="">
      <cdr:nvSpPr>
        <cdr:cNvPr id="9" name="TextBox 9">
          <a:extLst xmlns:a="http://schemas.openxmlformats.org/drawingml/2006/main">
            <a:ext uri="{FF2B5EF4-FFF2-40B4-BE49-F238E27FC236}">
              <a16:creationId xmlns:a16="http://schemas.microsoft.com/office/drawing/2014/main" id="{FE1663A4-6C74-0D99-9260-5D029C173847}"/>
            </a:ext>
          </a:extLst>
        </cdr:cNvPr>
        <cdr:cNvSpPr txBox="1"/>
      </cdr:nvSpPr>
      <cdr:spPr>
        <a:xfrm xmlns:a="http://schemas.openxmlformats.org/drawingml/2006/main">
          <a:off x="8730376" y="3571991"/>
          <a:ext cx="901882" cy="71941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eaLnBrk="1" fontAlgn="auto" latinLnBrk="0" hangingPunct="1"/>
          <a:r>
            <a:rPr lang="en-US" sz="1400">
              <a:solidFill>
                <a:schemeClr val="dk1"/>
              </a:solidFill>
              <a:effectLst/>
              <a:latin typeface="Calibri Light" panose="020F0302020204030204" pitchFamily="34" charset="0"/>
              <a:ea typeface="+mn-ea"/>
              <a:cs typeface="Calibri Light" panose="020F0302020204030204" pitchFamily="34" charset="0"/>
            </a:rPr>
            <a:t>Sonar and sensor</a:t>
          </a:r>
          <a:r>
            <a:rPr lang="en-US" sz="1400" baseline="0">
              <a:solidFill>
                <a:schemeClr val="dk1"/>
              </a:solidFill>
              <a:effectLst/>
              <a:latin typeface="Calibri Light" panose="020F0302020204030204" pitchFamily="34" charset="0"/>
              <a:ea typeface="+mn-ea"/>
              <a:cs typeface="Calibri Light" panose="020F0302020204030204" pitchFamily="34" charset="0"/>
            </a:rPr>
            <a:t> support - £1.9 bn</a:t>
          </a:r>
          <a:endParaRPr lang="en-GB" sz="1800">
            <a:effectLst/>
            <a:latin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0.66903</cdr:x>
      <cdr:y>0.63993</cdr:y>
    </cdr:from>
    <cdr:to>
      <cdr:x>0.69491</cdr:x>
      <cdr:y>0.70413</cdr:y>
    </cdr:to>
    <cdr:cxnSp macro="">
      <cdr:nvCxnSpPr>
        <cdr:cNvPr id="11" name="Straight Arrow Connector 10">
          <a:extLst xmlns:a="http://schemas.openxmlformats.org/drawingml/2006/main">
            <a:ext uri="{FF2B5EF4-FFF2-40B4-BE49-F238E27FC236}">
              <a16:creationId xmlns:a16="http://schemas.microsoft.com/office/drawing/2014/main" id="{0A010D2F-6832-06DF-8F1E-3310A6587B27}"/>
            </a:ext>
          </a:extLst>
        </cdr:cNvPr>
        <cdr:cNvCxnSpPr/>
      </cdr:nvCxnSpPr>
      <cdr:spPr>
        <a:xfrm xmlns:a="http://schemas.openxmlformats.org/drawingml/2006/main">
          <a:off x="8947021" y="4504701"/>
          <a:ext cx="346096" cy="45192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0.39789</cdr:x>
      <cdr:y>0.50377</cdr:y>
    </cdr:from>
    <cdr:to>
      <cdr:x>0.49511</cdr:x>
      <cdr:y>0.56144</cdr:y>
    </cdr:to>
    <cdr:sp macro="" textlink="">
      <cdr:nvSpPr>
        <cdr:cNvPr id="6" name="TextBox 9">
          <a:extLst xmlns:a="http://schemas.openxmlformats.org/drawingml/2006/main">
            <a:ext uri="{FF2B5EF4-FFF2-40B4-BE49-F238E27FC236}">
              <a16:creationId xmlns:a16="http://schemas.microsoft.com/office/drawing/2014/main" id="{320DFDCE-CB09-B241-A36D-F1864C175A7C}"/>
            </a:ext>
          </a:extLst>
        </cdr:cNvPr>
        <cdr:cNvSpPr txBox="1"/>
      </cdr:nvSpPr>
      <cdr:spPr>
        <a:xfrm xmlns:a="http://schemas.openxmlformats.org/drawingml/2006/main">
          <a:off x="5321082" y="3546186"/>
          <a:ext cx="1300133" cy="40595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eaLnBrk="1" fontAlgn="auto" latinLnBrk="0" hangingPunct="1"/>
          <a:r>
            <a:rPr lang="en-US" sz="1400">
              <a:solidFill>
                <a:schemeClr val="dk1"/>
              </a:solidFill>
              <a:effectLst/>
              <a:latin typeface="Calibri Light" panose="020F0302020204030204" pitchFamily="34" charset="0"/>
              <a:ea typeface="+mn-ea"/>
              <a:cs typeface="Calibri Light" panose="020F0302020204030204" pitchFamily="34" charset="0"/>
            </a:rPr>
            <a:t>Eurofighter radar - £2.3 bn</a:t>
          </a:r>
          <a:endParaRPr lang="en-GB" sz="1800">
            <a:effectLst/>
            <a:latin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0.43676</cdr:x>
      <cdr:y>0.57378</cdr:y>
    </cdr:from>
    <cdr:to>
      <cdr:x>0.45084</cdr:x>
      <cdr:y>0.62486</cdr:y>
    </cdr:to>
    <cdr:cxnSp macro="">
      <cdr:nvCxnSpPr>
        <cdr:cNvPr id="7" name="Straight Arrow Connector 6">
          <a:extLst xmlns:a="http://schemas.openxmlformats.org/drawingml/2006/main">
            <a:ext uri="{FF2B5EF4-FFF2-40B4-BE49-F238E27FC236}">
              <a16:creationId xmlns:a16="http://schemas.microsoft.com/office/drawing/2014/main" id="{BE23F02D-419D-6327-77B2-4D833E1DC4BC}"/>
            </a:ext>
          </a:extLst>
        </cdr:cNvPr>
        <cdr:cNvCxnSpPr/>
      </cdr:nvCxnSpPr>
      <cdr:spPr>
        <a:xfrm xmlns:a="http://schemas.openxmlformats.org/drawingml/2006/main">
          <a:off x="5840895" y="4039009"/>
          <a:ext cx="188293" cy="35956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0.62027</cdr:x>
      <cdr:y>0.06054</cdr:y>
    </cdr:from>
    <cdr:to>
      <cdr:x>0.82152</cdr:x>
      <cdr:y>0.1026</cdr:y>
    </cdr:to>
    <cdr:sp macro="" textlink="">
      <cdr:nvSpPr>
        <cdr:cNvPr id="10" name="TextBox 9">
          <a:extLst xmlns:a="http://schemas.openxmlformats.org/drawingml/2006/main">
            <a:ext uri="{FF2B5EF4-FFF2-40B4-BE49-F238E27FC236}">
              <a16:creationId xmlns:a16="http://schemas.microsoft.com/office/drawing/2014/main" id="{8D696E34-4E52-1D9A-746A-7C0B2895CBF7}"/>
            </a:ext>
          </a:extLst>
        </cdr:cNvPr>
        <cdr:cNvSpPr txBox="1"/>
      </cdr:nvSpPr>
      <cdr:spPr>
        <a:xfrm xmlns:a="http://schemas.openxmlformats.org/drawingml/2006/main">
          <a:off x="8294961" y="426139"/>
          <a:ext cx="2691337" cy="296073"/>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Submarine</a:t>
          </a:r>
          <a:r>
            <a:rPr lang="en-US" sz="1400" baseline="0">
              <a:latin typeface="Calibri Light" panose="020F0302020204030204" pitchFamily="34" charset="0"/>
              <a:ea typeface="Calibri Light" panose="020F0302020204030204" pitchFamily="34" charset="0"/>
              <a:cs typeface="Calibri Light" panose="020F0302020204030204" pitchFamily="34" charset="0"/>
            </a:rPr>
            <a:t> nuclear reactor</a:t>
          </a:r>
          <a:r>
            <a:rPr lang="en-US" sz="1400">
              <a:latin typeface="Calibri Light" panose="020F0302020204030204" pitchFamily="34" charset="0"/>
              <a:ea typeface="Calibri Light" panose="020F0302020204030204" pitchFamily="34" charset="0"/>
              <a:cs typeface="Calibri Light" panose="020F0302020204030204" pitchFamily="34" charset="0"/>
            </a:rPr>
            <a:t> - £9 bn</a:t>
          </a:r>
        </a:p>
        <a:p xmlns:a="http://schemas.openxmlformats.org/drawingml/2006/main">
          <a:endParaRPr lang="en-US" sz="1100"/>
        </a:p>
      </cdr:txBody>
    </cdr:sp>
  </cdr:relSizeAnchor>
  <cdr:relSizeAnchor xmlns:cdr="http://schemas.openxmlformats.org/drawingml/2006/chartDrawing">
    <cdr:from>
      <cdr:x>0.79258</cdr:x>
      <cdr:y>0.10314</cdr:y>
    </cdr:from>
    <cdr:to>
      <cdr:x>0.82381</cdr:x>
      <cdr:y>0.1741</cdr:y>
    </cdr:to>
    <cdr:cxnSp macro="">
      <cdr:nvCxnSpPr>
        <cdr:cNvPr id="12" name="Straight Arrow Connector 11">
          <a:extLst xmlns:a="http://schemas.openxmlformats.org/drawingml/2006/main">
            <a:ext uri="{FF2B5EF4-FFF2-40B4-BE49-F238E27FC236}">
              <a16:creationId xmlns:a16="http://schemas.microsoft.com/office/drawing/2014/main" id="{F66BC20B-B5CB-3A68-A87D-AC8F68F5C407}"/>
            </a:ext>
          </a:extLst>
        </cdr:cNvPr>
        <cdr:cNvCxnSpPr/>
      </cdr:nvCxnSpPr>
      <cdr:spPr>
        <a:xfrm xmlns:a="http://schemas.openxmlformats.org/drawingml/2006/main">
          <a:off x="10599280" y="726014"/>
          <a:ext cx="417642" cy="49951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twoCellAnchor>
    <xdr:from>
      <xdr:col>9</xdr:col>
      <xdr:colOff>0</xdr:colOff>
      <xdr:row>5</xdr:row>
      <xdr:rowOff>0</xdr:rowOff>
    </xdr:from>
    <xdr:to>
      <xdr:col>20</xdr:col>
      <xdr:colOff>579120</xdr:colOff>
      <xdr:row>24</xdr:row>
      <xdr:rowOff>68580</xdr:rowOff>
    </xdr:to>
    <xdr:graphicFrame macro="">
      <xdr:nvGraphicFramePr>
        <xdr:cNvPr id="2" name="Chart 1">
          <a:extLst>
            <a:ext uri="{FF2B5EF4-FFF2-40B4-BE49-F238E27FC236}">
              <a16:creationId xmlns:a16="http://schemas.microsoft.com/office/drawing/2014/main" id="{10808C67-21A1-4BED-AB65-35ADAE40C1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0.61554</cdr:x>
      <cdr:y>0.10313</cdr:y>
    </cdr:from>
    <cdr:to>
      <cdr:x>0.86024</cdr:x>
      <cdr:y>0.23544</cdr:y>
    </cdr:to>
    <cdr:sp macro="" textlink="">
      <cdr:nvSpPr>
        <cdr:cNvPr id="6" name="TextBox 1">
          <a:extLst xmlns:a="http://schemas.openxmlformats.org/drawingml/2006/main">
            <a:ext uri="{FF2B5EF4-FFF2-40B4-BE49-F238E27FC236}">
              <a16:creationId xmlns:a16="http://schemas.microsoft.com/office/drawing/2014/main" id="{9B234FC0-5A99-5431-1322-6D56F2984F1A}"/>
            </a:ext>
          </a:extLst>
        </cdr:cNvPr>
        <cdr:cNvSpPr txBox="1"/>
      </cdr:nvSpPr>
      <cdr:spPr>
        <a:xfrm xmlns:a="http://schemas.openxmlformats.org/drawingml/2006/main">
          <a:off x="4948382" y="395290"/>
          <a:ext cx="1967168" cy="5071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a:latin typeface="Calibri Light" panose="020F0302020204030204" pitchFamily="34" charset="0"/>
              <a:ea typeface="Calibri Light" panose="020F0302020204030204" pitchFamily="34" charset="0"/>
              <a:cs typeface="Calibri Light" panose="020F0302020204030204" pitchFamily="34" charset="0"/>
            </a:rPr>
            <a:t>Total military orders: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a:latin typeface="Calibri Light" panose="020F0302020204030204" pitchFamily="34" charset="0"/>
              <a:ea typeface="Calibri Light" panose="020F0302020204030204" pitchFamily="34" charset="0"/>
              <a:cs typeface="Calibri Light" panose="020F0302020204030204" pitchFamily="34" charset="0"/>
            </a:rPr>
            <a:t>£62 billion</a:t>
          </a:r>
        </a:p>
      </cdr:txBody>
    </cdr:sp>
  </cdr:relSizeAnchor>
</c:userShapes>
</file>

<file path=xl/drawings/drawing55.xml><?xml version="1.0" encoding="utf-8"?>
<xdr:wsDr xmlns:xdr="http://schemas.openxmlformats.org/drawingml/2006/spreadsheetDrawing" xmlns:a="http://schemas.openxmlformats.org/drawingml/2006/main">
  <xdr:twoCellAnchor>
    <xdr:from>
      <xdr:col>5</xdr:col>
      <xdr:colOff>174163</xdr:colOff>
      <xdr:row>5</xdr:row>
      <xdr:rowOff>23553</xdr:rowOff>
    </xdr:from>
    <xdr:to>
      <xdr:col>22</xdr:col>
      <xdr:colOff>268547</xdr:colOff>
      <xdr:row>37</xdr:row>
      <xdr:rowOff>3134</xdr:rowOff>
    </xdr:to>
    <xdr:graphicFrame macro="">
      <xdr:nvGraphicFramePr>
        <xdr:cNvPr id="2" name="Chart 2">
          <a:extLst>
            <a:ext uri="{FF2B5EF4-FFF2-40B4-BE49-F238E27FC236}">
              <a16:creationId xmlns:a16="http://schemas.microsoft.com/office/drawing/2014/main" id="{4AA0689C-734F-4DDC-9AEE-50F81FB454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0.0615</cdr:x>
      <cdr:y>0.52362</cdr:y>
    </cdr:from>
    <cdr:to>
      <cdr:x>0.2365</cdr:x>
      <cdr:y>0.56926</cdr:y>
    </cdr:to>
    <cdr:sp macro="" textlink="">
      <cdr:nvSpPr>
        <cdr:cNvPr id="2" name="TextBox 16">
          <a:extLst xmlns:a="http://schemas.openxmlformats.org/drawingml/2006/main">
            <a:ext uri="{FF2B5EF4-FFF2-40B4-BE49-F238E27FC236}">
              <a16:creationId xmlns:a16="http://schemas.microsoft.com/office/drawing/2014/main" id="{D7679213-7EAC-0EE8-7392-66EAB1565BCF}"/>
            </a:ext>
          </a:extLst>
        </cdr:cNvPr>
        <cdr:cNvSpPr txBox="1"/>
      </cdr:nvSpPr>
      <cdr:spPr>
        <a:xfrm xmlns:a="http://schemas.openxmlformats.org/drawingml/2006/main">
          <a:off x="702900" y="3375824"/>
          <a:ext cx="2000099" cy="29424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F-35 aircraft </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€4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p>
      </cdr:txBody>
    </cdr:sp>
  </cdr:relSizeAnchor>
  <cdr:relSizeAnchor xmlns:cdr="http://schemas.openxmlformats.org/drawingml/2006/chartDrawing">
    <cdr:from>
      <cdr:x>0.06166</cdr:x>
      <cdr:y>0.05332</cdr:y>
    </cdr:from>
    <cdr:to>
      <cdr:x>0.24488</cdr:x>
      <cdr:y>0.13488</cdr:y>
    </cdr:to>
    <cdr:sp macro="" textlink="">
      <cdr:nvSpPr>
        <cdr:cNvPr id="9" name="TextBox 19">
          <a:extLst xmlns:a="http://schemas.openxmlformats.org/drawingml/2006/main">
            <a:ext uri="{FF2B5EF4-FFF2-40B4-BE49-F238E27FC236}">
              <a16:creationId xmlns:a16="http://schemas.microsoft.com/office/drawing/2014/main" id="{6006E80E-2793-6DCC-E4B3-9875E991BC7F}"/>
            </a:ext>
          </a:extLst>
        </cdr:cNvPr>
        <cdr:cNvSpPr txBox="1"/>
      </cdr:nvSpPr>
      <cdr:spPr>
        <a:xfrm xmlns:a="http://schemas.openxmlformats.org/drawingml/2006/main">
          <a:off x="704470" y="343730"/>
          <a:ext cx="2093173" cy="525822"/>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€90.9 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0.1987</cdr:x>
      <cdr:y>0.46538</cdr:y>
    </cdr:from>
    <cdr:to>
      <cdr:x>0.38855</cdr:x>
      <cdr:y>0.54133</cdr:y>
    </cdr:to>
    <cdr:sp macro="" textlink="">
      <cdr:nvSpPr>
        <cdr:cNvPr id="14" name="TextBox 3">
          <a:extLst xmlns:a="http://schemas.openxmlformats.org/drawingml/2006/main">
            <a:ext uri="{FF2B5EF4-FFF2-40B4-BE49-F238E27FC236}">
              <a16:creationId xmlns:a16="http://schemas.microsoft.com/office/drawing/2014/main" id="{2883A15B-6621-EA68-74EA-80E6F094AD7E}"/>
            </a:ext>
          </a:extLst>
        </cdr:cNvPr>
        <cdr:cNvSpPr txBox="1"/>
      </cdr:nvSpPr>
      <cdr:spPr>
        <a:xfrm xmlns:a="http://schemas.openxmlformats.org/drawingml/2006/main">
          <a:off x="2270977" y="3000348"/>
          <a:ext cx="2169822" cy="48965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M1A2 SEPv3 tanks-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€4 bn</a:t>
          </a: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Miecznik</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frigate- €1.7 bn</a:t>
          </a:r>
        </a:p>
      </cdr:txBody>
    </cdr:sp>
  </cdr:relSizeAnchor>
  <cdr:relSizeAnchor xmlns:cdr="http://schemas.openxmlformats.org/drawingml/2006/chartDrawing">
    <cdr:from>
      <cdr:x>0.49491</cdr:x>
      <cdr:y>0.33612</cdr:y>
    </cdr:from>
    <cdr:to>
      <cdr:x>0.66817</cdr:x>
      <cdr:y>0.41972</cdr:y>
    </cdr:to>
    <cdr:sp macro="" textlink="">
      <cdr:nvSpPr>
        <cdr:cNvPr id="23" name="TextBox 14">
          <a:extLst xmlns:a="http://schemas.openxmlformats.org/drawingml/2006/main">
            <a:ext uri="{FF2B5EF4-FFF2-40B4-BE49-F238E27FC236}">
              <a16:creationId xmlns:a16="http://schemas.microsoft.com/office/drawing/2014/main" id="{FB0F328C-E93C-21F0-F5A7-B27209E17297}"/>
            </a:ext>
          </a:extLst>
        </cdr:cNvPr>
        <cdr:cNvSpPr txBox="1"/>
      </cdr:nvSpPr>
      <cdr:spPr>
        <a:xfrm xmlns:a="http://schemas.openxmlformats.org/drawingml/2006/main">
          <a:off x="5656349" y="2166970"/>
          <a:ext cx="1980212" cy="5389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FA50 aircraft</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€2.8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0.25616</cdr:x>
      <cdr:y>0.36503</cdr:y>
    </cdr:from>
    <cdr:to>
      <cdr:x>0.50326</cdr:x>
      <cdr:y>0.4435</cdr:y>
    </cdr:to>
    <cdr:sp macro="" textlink="">
      <cdr:nvSpPr>
        <cdr:cNvPr id="24" name="TextBox 3">
          <a:extLst xmlns:a="http://schemas.openxmlformats.org/drawingml/2006/main">
            <a:ext uri="{FF2B5EF4-FFF2-40B4-BE49-F238E27FC236}">
              <a16:creationId xmlns:a16="http://schemas.microsoft.com/office/drawing/2014/main" id="{56F759A6-6ED5-6B98-E18F-11BBB2B7AED2}"/>
            </a:ext>
          </a:extLst>
        </cdr:cNvPr>
        <cdr:cNvSpPr txBox="1"/>
      </cdr:nvSpPr>
      <cdr:spPr>
        <a:xfrm xmlns:a="http://schemas.openxmlformats.org/drawingml/2006/main">
          <a:off x="2927644" y="2353354"/>
          <a:ext cx="2824139" cy="50590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KRAB and K9</a:t>
          </a:r>
          <a:r>
            <a:rPr lang="en-US" sz="1400" baseline="0">
              <a:latin typeface="Calibri Light" panose="020F0302020204030204" pitchFamily="34" charset="0"/>
              <a:ea typeface="Calibri Light" panose="020F0302020204030204" pitchFamily="34" charset="0"/>
              <a:cs typeface="Calibri Light" panose="020F0302020204030204" pitchFamily="34" charset="0"/>
            </a:rPr>
            <a:t> SP howitzers </a:t>
          </a:r>
          <a:r>
            <a:rPr lang="en-US" sz="1400">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€3.1 bn</a:t>
          </a: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AW149 helicopters - €1.7 bn</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0.57972</cdr:x>
      <cdr:y>0.45459</cdr:y>
    </cdr:from>
    <cdr:to>
      <cdr:x>0.71985</cdr:x>
      <cdr:y>0.58831</cdr:y>
    </cdr:to>
    <cdr:sp macro="" textlink="">
      <cdr:nvSpPr>
        <cdr:cNvPr id="25" name="TextBox 10">
          <a:extLst xmlns:a="http://schemas.openxmlformats.org/drawingml/2006/main">
            <a:ext uri="{FF2B5EF4-FFF2-40B4-BE49-F238E27FC236}">
              <a16:creationId xmlns:a16="http://schemas.microsoft.com/office/drawing/2014/main" id="{4056E845-9DD2-1918-C565-7BC24FBB72B4}"/>
            </a:ext>
          </a:extLst>
        </cdr:cNvPr>
        <cdr:cNvSpPr txBox="1"/>
      </cdr:nvSpPr>
      <cdr:spPr>
        <a:xfrm xmlns:a="http://schemas.openxmlformats.org/drawingml/2006/main">
          <a:off x="6625654" y="2930753"/>
          <a:ext cx="1601565" cy="8621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K2 tanks - </a:t>
          </a:r>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€3.2 bn</a:t>
          </a:r>
        </a:p>
        <a:p xmlns:a="http://schemas.openxmlformats.org/drawingml/2006/main">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K239</a:t>
          </a:r>
          <a:r>
            <a:rPr lang="en-US" sz="1400" baseline="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 Chunmoo launchers</a:t>
          </a:r>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 - €3.3 bn</a:t>
          </a:r>
        </a:p>
        <a:p xmlns:a="http://schemas.openxmlformats.org/drawingml/2006/main">
          <a:endPar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0.62061</cdr:x>
      <cdr:y>0.13212</cdr:y>
    </cdr:from>
    <cdr:to>
      <cdr:x>0.7676</cdr:x>
      <cdr:y>0.22415</cdr:y>
    </cdr:to>
    <cdr:sp macro="" textlink="">
      <cdr:nvSpPr>
        <cdr:cNvPr id="27" name="TextBox 9">
          <a:extLst xmlns:a="http://schemas.openxmlformats.org/drawingml/2006/main">
            <a:ext uri="{FF2B5EF4-FFF2-40B4-BE49-F238E27FC236}">
              <a16:creationId xmlns:a16="http://schemas.microsoft.com/office/drawing/2014/main" id="{2C23538E-2247-F402-460A-DC1DF32B73FD}"/>
            </a:ext>
          </a:extLst>
        </cdr:cNvPr>
        <cdr:cNvSpPr txBox="1"/>
      </cdr:nvSpPr>
      <cdr:spPr>
        <a:xfrm xmlns:a="http://schemas.openxmlformats.org/drawingml/2006/main">
          <a:off x="7090068" y="851768"/>
          <a:ext cx="1679268" cy="59332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AH 64E Apache helicopters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a:t>
          </a:r>
          <a:r>
            <a:rPr lang="en-US" sz="1400">
              <a:latin typeface="Calibri Light" panose="020F0302020204030204" pitchFamily="34" charset="0"/>
              <a:ea typeface="Calibri Light" panose="020F0302020204030204" pitchFamily="34" charset="0"/>
              <a:cs typeface="Calibri Light" panose="020F0302020204030204" pitchFamily="34" charset="0"/>
            </a:rPr>
            <a:t>9.2 bn</a:t>
          </a:r>
        </a:p>
        <a:p xmlns:a="http://schemas.openxmlformats.org/drawingml/2006/main">
          <a:endParaRPr lang="en-US" sz="1100"/>
        </a:p>
      </cdr:txBody>
    </cdr:sp>
  </cdr:relSizeAnchor>
  <cdr:relSizeAnchor xmlns:cdr="http://schemas.openxmlformats.org/drawingml/2006/chartDrawing">
    <cdr:from>
      <cdr:x>0.80535</cdr:x>
      <cdr:y>0.24098</cdr:y>
    </cdr:from>
    <cdr:to>
      <cdr:x>0.91749</cdr:x>
      <cdr:y>0.45164</cdr:y>
    </cdr:to>
    <cdr:sp macro="" textlink="">
      <cdr:nvSpPr>
        <cdr:cNvPr id="29" name="TextBox 9">
          <a:extLst xmlns:a="http://schemas.openxmlformats.org/drawingml/2006/main">
            <a:ext uri="{FF2B5EF4-FFF2-40B4-BE49-F238E27FC236}">
              <a16:creationId xmlns:a16="http://schemas.microsoft.com/office/drawing/2014/main" id="{1E9D844B-56AA-7C8B-71E4-B5FD95493607}"/>
            </a:ext>
          </a:extLst>
        </cdr:cNvPr>
        <cdr:cNvSpPr txBox="1"/>
      </cdr:nvSpPr>
      <cdr:spPr>
        <a:xfrm xmlns:a="http://schemas.openxmlformats.org/drawingml/2006/main">
          <a:off x="9204496" y="1553626"/>
          <a:ext cx="1281663" cy="135813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KRAB SP</a:t>
          </a:r>
          <a:r>
            <a:rPr lang="en-US" sz="1400" baseline="0">
              <a:latin typeface="Calibri Light" panose="020F0302020204030204" pitchFamily="34" charset="0"/>
              <a:ea typeface="Calibri Light" panose="020F0302020204030204" pitchFamily="34" charset="0"/>
              <a:cs typeface="Calibri Light" panose="020F0302020204030204" pitchFamily="34" charset="0"/>
            </a:rPr>
            <a:t> howitzer and K9 SP howitzer accompanying vehicles - </a:t>
          </a:r>
          <a:r>
            <a:rPr lang="en-US" sz="1100">
              <a:solidFill>
                <a:schemeClr val="dk1"/>
              </a:solidFill>
              <a:effectLst/>
              <a:latin typeface="+mn-lt"/>
              <a:ea typeface="+mn-ea"/>
              <a:cs typeface="+mn-cs"/>
            </a:rPr>
            <a:t>€</a:t>
          </a:r>
          <a:r>
            <a:rPr lang="en-US" sz="1400" baseline="0">
              <a:latin typeface="Calibri Light" panose="020F0302020204030204" pitchFamily="34" charset="0"/>
              <a:ea typeface="Calibri Light" panose="020F0302020204030204" pitchFamily="34" charset="0"/>
              <a:cs typeface="Calibri Light" panose="020F0302020204030204" pitchFamily="34" charset="0"/>
            </a:rPr>
            <a:t>3.9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p>
      </cdr:txBody>
    </cdr:sp>
  </cdr:relSizeAnchor>
  <cdr:relSizeAnchor xmlns:cdr="http://schemas.openxmlformats.org/drawingml/2006/chartDrawing">
    <cdr:from>
      <cdr:x>0.85596</cdr:x>
      <cdr:y>0.4263</cdr:y>
    </cdr:from>
    <cdr:to>
      <cdr:x>0.87212</cdr:x>
      <cdr:y>0.50718</cdr:y>
    </cdr:to>
    <cdr:cxnSp macro="">
      <cdr:nvCxnSpPr>
        <cdr:cNvPr id="30" name="Straight Arrow Connector 29">
          <a:extLst xmlns:a="http://schemas.openxmlformats.org/drawingml/2006/main">
            <a:ext uri="{FF2B5EF4-FFF2-40B4-BE49-F238E27FC236}">
              <a16:creationId xmlns:a16="http://schemas.microsoft.com/office/drawing/2014/main" id="{865B2D06-188F-D5A4-8F8E-0674CD99E044}"/>
            </a:ext>
          </a:extLst>
        </cdr:cNvPr>
        <cdr:cNvCxnSpPr/>
      </cdr:nvCxnSpPr>
      <cdr:spPr>
        <a:xfrm xmlns:a="http://schemas.openxmlformats.org/drawingml/2006/main" flipH="1">
          <a:off x="9782924" y="2748395"/>
          <a:ext cx="184695" cy="52143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0.54437</cdr:x>
      <cdr:y>0.37374</cdr:y>
    </cdr:from>
    <cdr:to>
      <cdr:x>0.55347</cdr:x>
      <cdr:y>0.55456</cdr:y>
    </cdr:to>
    <cdr:cxnSp macro="">
      <cdr:nvCxnSpPr>
        <cdr:cNvPr id="52" name="Straight Arrow Connector 51">
          <a:extLst xmlns:a="http://schemas.openxmlformats.org/drawingml/2006/main">
            <a:ext uri="{FF2B5EF4-FFF2-40B4-BE49-F238E27FC236}">
              <a16:creationId xmlns:a16="http://schemas.microsoft.com/office/drawing/2014/main" id="{D06242C3-C5FB-B051-24C8-AAFFC93D47A2}"/>
            </a:ext>
          </a:extLst>
        </cdr:cNvPr>
        <cdr:cNvCxnSpPr/>
      </cdr:nvCxnSpPr>
      <cdr:spPr>
        <a:xfrm xmlns:a="http://schemas.openxmlformats.org/drawingml/2006/main">
          <a:off x="6221634" y="2409508"/>
          <a:ext cx="104005" cy="116575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0.44441</cdr:x>
      <cdr:y>0.44164</cdr:y>
    </cdr:from>
    <cdr:to>
      <cdr:x>0.52258</cdr:x>
      <cdr:y>0.60603</cdr:y>
    </cdr:to>
    <cdr:cxnSp macro="">
      <cdr:nvCxnSpPr>
        <cdr:cNvPr id="53" name="Straight Arrow Connector 52">
          <a:extLst xmlns:a="http://schemas.openxmlformats.org/drawingml/2006/main">
            <a:ext uri="{FF2B5EF4-FFF2-40B4-BE49-F238E27FC236}">
              <a16:creationId xmlns:a16="http://schemas.microsoft.com/office/drawing/2014/main" id="{D06242C3-C5FB-B051-24C8-AAFFC93D47A2}"/>
            </a:ext>
          </a:extLst>
        </cdr:cNvPr>
        <cdr:cNvCxnSpPr/>
      </cdr:nvCxnSpPr>
      <cdr:spPr>
        <a:xfrm xmlns:a="http://schemas.openxmlformats.org/drawingml/2006/main">
          <a:off x="5079178" y="2847263"/>
          <a:ext cx="893416" cy="105983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0.32972</cdr:x>
      <cdr:y>0.53947</cdr:y>
    </cdr:from>
    <cdr:to>
      <cdr:x>0.38983</cdr:x>
      <cdr:y>0.60351</cdr:y>
    </cdr:to>
    <cdr:cxnSp macro="">
      <cdr:nvCxnSpPr>
        <cdr:cNvPr id="54" name="Straight Arrow Connector 53">
          <a:extLst xmlns:a="http://schemas.openxmlformats.org/drawingml/2006/main">
            <a:ext uri="{FF2B5EF4-FFF2-40B4-BE49-F238E27FC236}">
              <a16:creationId xmlns:a16="http://schemas.microsoft.com/office/drawing/2014/main" id="{D06242C3-C5FB-B051-24C8-AAFFC93D47A2}"/>
            </a:ext>
          </a:extLst>
        </cdr:cNvPr>
        <cdr:cNvCxnSpPr/>
      </cdr:nvCxnSpPr>
      <cdr:spPr>
        <a:xfrm xmlns:a="http://schemas.openxmlformats.org/drawingml/2006/main">
          <a:off x="3768423" y="3478010"/>
          <a:ext cx="687005" cy="41286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0.14406</cdr:x>
      <cdr:y>0.56984</cdr:y>
    </cdr:from>
    <cdr:to>
      <cdr:x>0.17654</cdr:x>
      <cdr:y>0.62658</cdr:y>
    </cdr:to>
    <cdr:cxnSp macro="">
      <cdr:nvCxnSpPr>
        <cdr:cNvPr id="55" name="Straight Arrow Connector 54">
          <a:extLst xmlns:a="http://schemas.openxmlformats.org/drawingml/2006/main">
            <a:ext uri="{FF2B5EF4-FFF2-40B4-BE49-F238E27FC236}">
              <a16:creationId xmlns:a16="http://schemas.microsoft.com/office/drawing/2014/main" id="{D06242C3-C5FB-B051-24C8-AAFFC93D47A2}"/>
            </a:ext>
          </a:extLst>
        </cdr:cNvPr>
        <cdr:cNvCxnSpPr/>
      </cdr:nvCxnSpPr>
      <cdr:spPr>
        <a:xfrm xmlns:a="http://schemas.openxmlformats.org/drawingml/2006/main">
          <a:off x="1646490" y="3673807"/>
          <a:ext cx="371218" cy="36580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0.6941</cdr:x>
      <cdr:y>0.22415</cdr:y>
    </cdr:from>
    <cdr:to>
      <cdr:x>0.78663</cdr:x>
      <cdr:y>0.25806</cdr:y>
    </cdr:to>
    <cdr:cxnSp macro="">
      <cdr:nvCxnSpPr>
        <cdr:cNvPr id="57" name="Straight Arrow Connector 56">
          <a:extLst xmlns:a="http://schemas.openxmlformats.org/drawingml/2006/main">
            <a:ext uri="{FF2B5EF4-FFF2-40B4-BE49-F238E27FC236}">
              <a16:creationId xmlns:a16="http://schemas.microsoft.com/office/drawing/2014/main" id="{D06242C3-C5FB-B051-24C8-AAFFC93D47A2}"/>
            </a:ext>
          </a:extLst>
        </cdr:cNvPr>
        <cdr:cNvCxnSpPr>
          <a:stCxn xmlns:a="http://schemas.openxmlformats.org/drawingml/2006/main" id="27" idx="2"/>
        </cdr:cNvCxnSpPr>
      </cdr:nvCxnSpPr>
      <cdr:spPr>
        <a:xfrm xmlns:a="http://schemas.openxmlformats.org/drawingml/2006/main">
          <a:off x="7929702" y="1445091"/>
          <a:ext cx="1057052" cy="21863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0.57346</cdr:x>
      <cdr:y>0.5821</cdr:y>
    </cdr:from>
    <cdr:to>
      <cdr:x>0.59152</cdr:x>
      <cdr:y>0.63501</cdr:y>
    </cdr:to>
    <cdr:cxnSp macro="">
      <cdr:nvCxnSpPr>
        <cdr:cNvPr id="65" name="Straight Arrow Connector 64">
          <a:extLst xmlns:a="http://schemas.openxmlformats.org/drawingml/2006/main">
            <a:ext uri="{FF2B5EF4-FFF2-40B4-BE49-F238E27FC236}">
              <a16:creationId xmlns:a16="http://schemas.microsoft.com/office/drawing/2014/main" id="{7FA02E77-565D-B819-36E2-B651F8262528}"/>
            </a:ext>
          </a:extLst>
        </cdr:cNvPr>
        <cdr:cNvCxnSpPr/>
      </cdr:nvCxnSpPr>
      <cdr:spPr>
        <a:xfrm xmlns:a="http://schemas.openxmlformats.org/drawingml/2006/main" flipH="1">
          <a:off x="6554108" y="3752817"/>
          <a:ext cx="206410" cy="34111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0.85983</cdr:x>
      <cdr:y>0.09948</cdr:y>
    </cdr:from>
    <cdr:to>
      <cdr:x>1</cdr:x>
      <cdr:y>0.2332</cdr:y>
    </cdr:to>
    <cdr:sp macro="" textlink="">
      <cdr:nvSpPr>
        <cdr:cNvPr id="3" name="TextBox 10">
          <a:extLst xmlns:a="http://schemas.openxmlformats.org/drawingml/2006/main">
            <a:ext uri="{FF2B5EF4-FFF2-40B4-BE49-F238E27FC236}">
              <a16:creationId xmlns:a16="http://schemas.microsoft.com/office/drawing/2014/main" id="{0EE7EFEB-CEE4-39AE-09FB-028D057D043F}"/>
            </a:ext>
          </a:extLst>
        </cdr:cNvPr>
        <cdr:cNvSpPr txBox="1"/>
      </cdr:nvSpPr>
      <cdr:spPr>
        <a:xfrm xmlns:a="http://schemas.openxmlformats.org/drawingml/2006/main">
          <a:off x="9827087" y="641350"/>
          <a:ext cx="1602047" cy="8621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K2 tanks - </a:t>
          </a:r>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€5.7 bn</a:t>
          </a:r>
        </a:p>
        <a:p xmlns:a="http://schemas.openxmlformats.org/drawingml/2006/main">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F-16</a:t>
          </a:r>
          <a:r>
            <a:rPr lang="en-US" sz="1400" baseline="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 modernisation - €3.3 bn</a:t>
          </a:r>
          <a:endPar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0.93868</cdr:x>
      <cdr:y>0.18693</cdr:y>
    </cdr:from>
    <cdr:to>
      <cdr:x>0.9465</cdr:x>
      <cdr:y>0.25285</cdr:y>
    </cdr:to>
    <cdr:cxnSp macro="">
      <cdr:nvCxnSpPr>
        <cdr:cNvPr id="4" name="Straight Arrow Connector 3">
          <a:extLst xmlns:a="http://schemas.openxmlformats.org/drawingml/2006/main">
            <a:ext uri="{FF2B5EF4-FFF2-40B4-BE49-F238E27FC236}">
              <a16:creationId xmlns:a16="http://schemas.microsoft.com/office/drawing/2014/main" id="{D1C39ABD-5924-3107-8A0C-B3A2C5ABEAC0}"/>
            </a:ext>
          </a:extLst>
        </cdr:cNvPr>
        <cdr:cNvCxnSpPr/>
      </cdr:nvCxnSpPr>
      <cdr:spPr>
        <a:xfrm xmlns:a="http://schemas.openxmlformats.org/drawingml/2006/main" flipH="1">
          <a:off x="10728325" y="1205172"/>
          <a:ext cx="89362" cy="42499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57.xml><?xml version="1.0" encoding="utf-8"?>
<xdr:wsDr xmlns:xdr="http://schemas.openxmlformats.org/drawingml/2006/spreadsheetDrawing" xmlns:a="http://schemas.openxmlformats.org/drawingml/2006/main">
  <xdr:twoCellAnchor>
    <xdr:from>
      <xdr:col>8</xdr:col>
      <xdr:colOff>466725</xdr:colOff>
      <xdr:row>4</xdr:row>
      <xdr:rowOff>133350</xdr:rowOff>
    </xdr:from>
    <xdr:to>
      <xdr:col>20</xdr:col>
      <xdr:colOff>647700</xdr:colOff>
      <xdr:row>29</xdr:row>
      <xdr:rowOff>180975</xdr:rowOff>
    </xdr:to>
    <xdr:graphicFrame macro="">
      <xdr:nvGraphicFramePr>
        <xdr:cNvPr id="2" name="Chart 1">
          <a:extLst>
            <a:ext uri="{FF2B5EF4-FFF2-40B4-BE49-F238E27FC236}">
              <a16:creationId xmlns:a16="http://schemas.microsoft.com/office/drawing/2014/main" id="{17F4512D-224F-4F26-A607-EB21605CE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0.08976</cdr:x>
      <cdr:y>0.04017</cdr:y>
    </cdr:from>
    <cdr:to>
      <cdr:x>0.31358</cdr:x>
      <cdr:y>0.15733</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734380" y="205466"/>
          <a:ext cx="1831290" cy="599265"/>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Total:</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€90.9 bn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0.34085</cdr:x>
      <cdr:y>0.19628</cdr:y>
    </cdr:from>
    <cdr:to>
      <cdr:x>0.60157</cdr:x>
      <cdr:y>0.31792</cdr:y>
    </cdr:to>
    <cdr:sp macro="" textlink="">
      <cdr:nvSpPr>
        <cdr:cNvPr id="37" name="TextBox 19">
          <a:extLst xmlns:a="http://schemas.openxmlformats.org/drawingml/2006/main">
            <a:ext uri="{FF2B5EF4-FFF2-40B4-BE49-F238E27FC236}">
              <a16:creationId xmlns:a16="http://schemas.microsoft.com/office/drawing/2014/main" id="{5A185E1E-3FD2-2C3B-D3BE-4C4A8C76C806}"/>
            </a:ext>
          </a:extLst>
        </cdr:cNvPr>
        <cdr:cNvSpPr txBox="1"/>
      </cdr:nvSpPr>
      <cdr:spPr>
        <a:xfrm xmlns:a="http://schemas.openxmlformats.org/drawingml/2006/main">
          <a:off x="2788842" y="1003983"/>
          <a:ext cx="2133205" cy="622129"/>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First</a:t>
          </a:r>
          <a:r>
            <a:rPr lang="en-US" sz="1600" baseline="0">
              <a:latin typeface="Calibri Light" panose="020F0302020204030204" pitchFamily="34" charset="0"/>
              <a:ea typeface="Calibri Light" panose="020F0302020204030204" pitchFamily="34" charset="0"/>
              <a:cs typeface="Calibri Light" panose="020F0302020204030204" pitchFamily="34" charset="0"/>
            </a:rPr>
            <a:t> twelve months following invasion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0.47121</cdr:x>
      <cdr:y>0.31792</cdr:y>
    </cdr:from>
    <cdr:to>
      <cdr:x>0.47148</cdr:x>
      <cdr:y>0.43948</cdr:y>
    </cdr:to>
    <cdr:cxnSp macro="">
      <cdr:nvCxnSpPr>
        <cdr:cNvPr id="38" name="Straight Arrow Connector 37">
          <a:extLst xmlns:a="http://schemas.openxmlformats.org/drawingml/2006/main">
            <a:ext uri="{FF2B5EF4-FFF2-40B4-BE49-F238E27FC236}">
              <a16:creationId xmlns:a16="http://schemas.microsoft.com/office/drawing/2014/main" id="{62279927-C8B9-5F20-5F53-B21F2D7DCA9E}"/>
            </a:ext>
          </a:extLst>
        </cdr:cNvPr>
        <cdr:cNvCxnSpPr>
          <a:stCxn xmlns:a="http://schemas.openxmlformats.org/drawingml/2006/main" id="37" idx="2"/>
        </cdr:cNvCxnSpPr>
      </cdr:nvCxnSpPr>
      <cdr:spPr>
        <a:xfrm xmlns:a="http://schemas.openxmlformats.org/drawingml/2006/main">
          <a:off x="3855445" y="1626112"/>
          <a:ext cx="2180" cy="62178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59.xml><?xml version="1.0" encoding="utf-8"?>
<xdr:wsDr xmlns:xdr="http://schemas.openxmlformats.org/drawingml/2006/spreadsheetDrawing" xmlns:a="http://schemas.openxmlformats.org/drawingml/2006/main">
  <xdr:twoCellAnchor>
    <xdr:from>
      <xdr:col>13</xdr:col>
      <xdr:colOff>367665</xdr:colOff>
      <xdr:row>3</xdr:row>
      <xdr:rowOff>1483360</xdr:rowOff>
    </xdr:from>
    <xdr:to>
      <xdr:col>28</xdr:col>
      <xdr:colOff>345440</xdr:colOff>
      <xdr:row>30</xdr:row>
      <xdr:rowOff>28575</xdr:rowOff>
    </xdr:to>
    <xdr:graphicFrame macro="">
      <xdr:nvGraphicFramePr>
        <xdr:cNvPr id="2" name="Chart 1">
          <a:extLst>
            <a:ext uri="{FF2B5EF4-FFF2-40B4-BE49-F238E27FC236}">
              <a16:creationId xmlns:a16="http://schemas.microsoft.com/office/drawing/2014/main" id="{CE932BCB-6A8E-493A-B2E9-16B5EF40AF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0.67113</cdr:x>
      <cdr:y>0.08678</cdr:y>
    </cdr:from>
    <cdr:to>
      <cdr:x>0.97641</cdr:x>
      <cdr:y>0.42989</cdr:y>
    </cdr:to>
    <cdr:sp macro="" textlink="">
      <cdr:nvSpPr>
        <cdr:cNvPr id="3" name="TextBox 1">
          <a:extLst xmlns:a="http://schemas.openxmlformats.org/drawingml/2006/main">
            <a:ext uri="{FF2B5EF4-FFF2-40B4-BE49-F238E27FC236}">
              <a16:creationId xmlns:a16="http://schemas.microsoft.com/office/drawing/2014/main" id="{9C848CB0-2EA7-0F9D-E81D-A91EFD2E956A}"/>
            </a:ext>
          </a:extLst>
        </cdr:cNvPr>
        <cdr:cNvSpPr txBox="1"/>
      </cdr:nvSpPr>
      <cdr:spPr>
        <a:xfrm xmlns:a="http://schemas.openxmlformats.org/drawingml/2006/main">
          <a:off x="6115602" y="315939"/>
          <a:ext cx="2781868" cy="12491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tx1"/>
              </a:solidFill>
              <a:latin typeface="Courier New" panose="02070309020205020404" pitchFamily="49" charset="0"/>
              <a:ea typeface="Calibri Light" panose="020F0302020204030204" pitchFamily="34" charset="0"/>
              <a:cs typeface="Courier New" panose="02070309020205020404" pitchFamily="49" charset="0"/>
            </a:rPr>
            <a:t>Total military orders with known origin: </a:t>
          </a:r>
          <a:r>
            <a:rPr lang="en-US" sz="1200" b="1">
              <a:solidFill>
                <a:schemeClr val="tx1"/>
              </a:solidFill>
              <a:effectLst/>
              <a:latin typeface="Courier New" panose="02070309020205020404" pitchFamily="49" charset="0"/>
              <a:ea typeface="Calibri Light" panose="020F0302020204030204" pitchFamily="34" charset="0"/>
              <a:cs typeface="Courier New" panose="02070309020205020404" pitchFamily="49" charset="0"/>
            </a:rPr>
            <a:t>€222.3</a:t>
          </a:r>
          <a:r>
            <a:rPr lang="en-US" sz="1200" b="1">
              <a:solidFill>
                <a:schemeClr val="tx1"/>
              </a:solidFill>
              <a:latin typeface="Courier New" panose="02070309020205020404" pitchFamily="49" charset="0"/>
              <a:ea typeface="Calibri Light" panose="020F0302020204030204" pitchFamily="34" charset="0"/>
              <a:cs typeface="Courier New" panose="02070309020205020404" pitchFamily="49" charset="0"/>
            </a:rPr>
            <a:t> billion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200" b="0">
            <a:solidFill>
              <a:schemeClr val="tx1"/>
            </a:solidFill>
            <a:latin typeface="Courier New" panose="02070309020205020404" pitchFamily="49" charset="0"/>
            <a:ea typeface="Calibri Light" panose="020F0302020204030204" pitchFamily="34" charset="0"/>
            <a:cs typeface="Courier New" panose="02070309020205020404" pitchFamily="49"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200" b="0">
              <a:solidFill>
                <a:schemeClr val="tx1"/>
              </a:solidFill>
              <a:latin typeface="Courier New" panose="02070309020205020404" pitchFamily="49" charset="0"/>
              <a:ea typeface="Calibri Light" panose="020F0302020204030204" pitchFamily="34" charset="0"/>
              <a:cs typeface="Courier New" panose="02070309020205020404" pitchFamily="49" charset="0"/>
            </a:rPr>
            <a:t>out</a:t>
          </a:r>
          <a:r>
            <a:rPr lang="en-US" sz="1200" b="0" baseline="0">
              <a:solidFill>
                <a:schemeClr val="tx1"/>
              </a:solidFill>
              <a:latin typeface="Courier New" panose="02070309020205020404" pitchFamily="49" charset="0"/>
              <a:ea typeface="Calibri Light" panose="020F0302020204030204" pitchFamily="34" charset="0"/>
              <a:cs typeface="Courier New" panose="02070309020205020404" pitchFamily="49" charset="0"/>
            </a:rPr>
            <a:t> of €253.3 billion total orders Jan 2020 - Jan 2026</a:t>
          </a:r>
          <a:endParaRPr lang="en-US" sz="1200" b="0">
            <a:solidFill>
              <a:schemeClr val="tx1"/>
            </a:solidFill>
            <a:latin typeface="Courier New" panose="02070309020205020404" pitchFamily="49" charset="0"/>
            <a:ea typeface="Calibri Light" panose="020F0302020204030204" pitchFamily="34" charset="0"/>
            <a:cs typeface="Courier New" panose="02070309020205020404" pitchFamily="49"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0.08108</cdr:x>
      <cdr:y>0.24434</cdr:y>
    </cdr:from>
    <cdr:to>
      <cdr:x>0.54319</cdr:x>
      <cdr:y>0.54896</cdr:y>
    </cdr:to>
    <cdr:sp macro="" textlink="">
      <cdr:nvSpPr>
        <cdr:cNvPr id="17" name="TextBox 3">
          <a:extLst xmlns:a="http://schemas.openxmlformats.org/drawingml/2006/main">
            <a:ext uri="{FF2B5EF4-FFF2-40B4-BE49-F238E27FC236}">
              <a16:creationId xmlns:a16="http://schemas.microsoft.com/office/drawing/2014/main" id="{D07259A3-884A-BC40-D200-5DF4F6B955D8}"/>
            </a:ext>
          </a:extLst>
        </cdr:cNvPr>
        <cdr:cNvSpPr txBox="1"/>
      </cdr:nvSpPr>
      <cdr:spPr>
        <a:xfrm xmlns:a="http://schemas.openxmlformats.org/drawingml/2006/main">
          <a:off x="809054" y="1319060"/>
          <a:ext cx="4611408" cy="1644476"/>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u="sng">
              <a:latin typeface="Calibri Light" panose="020F0302020204030204" pitchFamily="34" charset="0"/>
              <a:ea typeface="Calibri Light" panose="020F0302020204030204" pitchFamily="34" charset="0"/>
              <a:cs typeface="Calibri Light" panose="020F0302020204030204" pitchFamily="34" charset="0"/>
            </a:rPr>
            <a:t>Land includes:</a:t>
          </a:r>
        </a:p>
        <a:p xmlns:a="http://schemas.openxmlformats.org/drawingml/2006/main">
          <a:r>
            <a:rPr lang="en-US" sz="1200">
              <a:latin typeface="Calibri Light" panose="020F0302020204030204" pitchFamily="34" charset="0"/>
              <a:ea typeface="Calibri Light" panose="020F0302020204030204" pitchFamily="34" charset="0"/>
              <a:cs typeface="Calibri Light" panose="020F0302020204030204" pitchFamily="34" charset="0"/>
            </a:rPr>
            <a:t>Air defence system, Ammunition, Armoured vehicle,</a:t>
          </a:r>
          <a:r>
            <a:rPr lang="en-US" sz="1200" baseline="0">
              <a:latin typeface="Calibri Light" panose="020F0302020204030204" pitchFamily="34" charset="0"/>
              <a:ea typeface="Calibri Light" panose="020F0302020204030204" pitchFamily="34" charset="0"/>
              <a:cs typeface="Calibri Light" panose="020F0302020204030204" pitchFamily="34" charset="0"/>
            </a:rPr>
            <a:t> Artillery, Drone, Helicopter, Infantry, Main battle tank, Mine, Missile (Land)</a:t>
          </a:r>
        </a:p>
        <a:p xmlns:a="http://schemas.openxmlformats.org/drawingml/2006/main">
          <a:r>
            <a:rPr lang="en-US" sz="1200" u="sng" baseline="0">
              <a:latin typeface="Calibri Light" panose="020F0302020204030204" pitchFamily="34" charset="0"/>
              <a:ea typeface="Calibri Light" panose="020F0302020204030204" pitchFamily="34" charset="0"/>
              <a:cs typeface="Calibri Light" panose="020F0302020204030204" pitchFamily="34" charset="0"/>
            </a:rPr>
            <a:t>Other includes:</a:t>
          </a:r>
        </a:p>
        <a:p xmlns:a="http://schemas.openxmlformats.org/drawingml/2006/main">
          <a:r>
            <a:rPr lang="en-US" sz="1200" u="none" baseline="0">
              <a:latin typeface="Calibri Light" panose="020F0302020204030204" pitchFamily="34" charset="0"/>
              <a:ea typeface="Calibri Light" panose="020F0302020204030204" pitchFamily="34" charset="0"/>
              <a:cs typeface="Calibri Light" panose="020F0302020204030204" pitchFamily="34" charset="0"/>
            </a:rPr>
            <a:t>Maintenance, Modernisation, Other</a:t>
          </a:r>
        </a:p>
        <a:p xmlns:a="http://schemas.openxmlformats.org/drawingml/2006/main">
          <a:r>
            <a:rPr lang="en-US" sz="1200" u="none" baseline="0">
              <a:latin typeface="Calibri Light" panose="020F0302020204030204" pitchFamily="34" charset="0"/>
              <a:ea typeface="Calibri Light" panose="020F0302020204030204" pitchFamily="34" charset="0"/>
              <a:cs typeface="Calibri Light" panose="020F0302020204030204" pitchFamily="34" charset="0"/>
            </a:rPr>
            <a:t>Each category includes costs for development</a:t>
          </a:r>
          <a:endParaRPr lang="en-US" sz="1200" u="none">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0.07853</cdr:x>
      <cdr:y>0.00579</cdr:y>
    </cdr:from>
    <cdr:to>
      <cdr:x>0.54683</cdr:x>
      <cdr:y>0.07628</cdr:y>
    </cdr:to>
    <cdr:sp macro="" textlink="">
      <cdr:nvSpPr>
        <cdr:cNvPr id="2" name="TextBox 19">
          <a:extLst xmlns:a="http://schemas.openxmlformats.org/drawingml/2006/main">
            <a:ext uri="{FF2B5EF4-FFF2-40B4-BE49-F238E27FC236}">
              <a16:creationId xmlns:a16="http://schemas.microsoft.com/office/drawing/2014/main" id="{21CB7A40-98BE-5862-5999-3AFE0037A81F}"/>
            </a:ext>
          </a:extLst>
        </cdr:cNvPr>
        <cdr:cNvSpPr txBox="1"/>
      </cdr:nvSpPr>
      <cdr:spPr>
        <a:xfrm xmlns:a="http://schemas.openxmlformats.org/drawingml/2006/main">
          <a:off x="783663" y="31268"/>
          <a:ext cx="4673210" cy="380537"/>
        </a:xfrm>
        <a:prstGeom xmlns:a="http://schemas.openxmlformats.org/drawingml/2006/main" prst="rect">
          <a:avLst/>
        </a:prstGeom>
        <a:solidFill xmlns:a="http://schemas.openxmlformats.org/drawingml/2006/main">
          <a:schemeClr val="bg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billion Euros</a:t>
          </a:r>
          <a:br>
            <a:rPr lang="en-US" sz="1600">
              <a:latin typeface="Calibri Light" panose="020F0302020204030204" pitchFamily="34" charset="0"/>
              <a:ea typeface="Calibri Light" panose="020F0302020204030204" pitchFamily="34" charset="0"/>
              <a:cs typeface="Calibri Light" panose="020F0302020204030204" pitchFamily="34" charset="0"/>
            </a:rPr>
          </a:br>
          <a:r>
            <a:rPr kumimoji="0" lang="en-US" sz="1600" b="0" i="0" u="none" strike="noStrike" kern="0" cap="none" spc="0" normalizeH="0" baseline="0" noProof="0">
              <a:ln>
                <a:noFill/>
              </a:ln>
              <a:solidFill>
                <a:prstClr val="black"/>
              </a:solidFill>
              <a:effectLst/>
              <a:uLnTx/>
              <a:uFillTx/>
              <a:latin typeface="Calibri Light" panose="020F0302020204030204" pitchFamily="34" charset="0"/>
              <a:ea typeface="Calibri Light" panose="020F0302020204030204" pitchFamily="34" charset="0"/>
              <a:cs typeface="Calibri Light" panose="020F0302020204030204" pitchFamily="34" charset="0"/>
            </a:rPr>
            <a:t>Total orders Jan 2019 - Dec 2021: </a:t>
          </a:r>
          <a:r>
            <a:rPr kumimoji="0" lang="en-US" sz="1600" b="1" i="0" u="none" strike="noStrike" kern="0" cap="none" spc="0" normalizeH="0" baseline="0" noProof="0">
              <a:ln>
                <a:noFill/>
              </a:ln>
              <a:solidFill>
                <a:prstClr val="black"/>
              </a:solidFill>
              <a:effectLst/>
              <a:uLnTx/>
              <a:uFillTx/>
              <a:latin typeface="Calibri Light" panose="020F0302020204030204" pitchFamily="34" charset="0"/>
              <a:ea typeface="Calibri Light" panose="020F0302020204030204" pitchFamily="34" charset="0"/>
              <a:cs typeface="Calibri Light" panose="020F0302020204030204" pitchFamily="34" charset="0"/>
            </a:rPr>
            <a:t>€12.94 billion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prstClr val="black"/>
              </a:solidFill>
              <a:effectLst/>
              <a:uLnTx/>
              <a:uFillTx/>
              <a:latin typeface="Calibri Light" panose="020F0302020204030204" pitchFamily="34" charset="0"/>
              <a:ea typeface="Calibri Light" panose="020F0302020204030204" pitchFamily="34" charset="0"/>
              <a:cs typeface="Calibri Light" panose="020F0302020204030204" pitchFamily="34" charset="0"/>
            </a:rPr>
            <a:t>Total orders Jan 2022 - Jan 2026: </a:t>
          </a:r>
          <a:r>
            <a:rPr kumimoji="0" lang="en-US" sz="1600" b="1" i="0" u="none" strike="noStrike" kern="0" cap="none" spc="0" normalizeH="0" baseline="0" noProof="0">
              <a:ln>
                <a:noFill/>
              </a:ln>
              <a:solidFill>
                <a:prstClr val="black"/>
              </a:solidFill>
              <a:effectLst/>
              <a:uLnTx/>
              <a:uFillTx/>
              <a:latin typeface="Calibri Light" panose="020F0302020204030204" pitchFamily="34" charset="0"/>
              <a:ea typeface="Calibri Light" panose="020F0302020204030204" pitchFamily="34" charset="0"/>
              <a:cs typeface="Calibri Light" panose="020F0302020204030204" pitchFamily="34" charset="0"/>
            </a:rPr>
            <a:t>€77.93 billion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xmlns:a="http://schemas.openxmlformats.org/drawingml/2006/main">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userShapes>
</file>

<file path=xl/drawings/drawing61.xml><?xml version="1.0" encoding="utf-8"?>
<xdr:wsDr xmlns:xdr="http://schemas.openxmlformats.org/drawingml/2006/spreadsheetDrawing" xmlns:a="http://schemas.openxmlformats.org/drawingml/2006/main">
  <xdr:twoCellAnchor>
    <xdr:from>
      <xdr:col>8</xdr:col>
      <xdr:colOff>400370</xdr:colOff>
      <xdr:row>3</xdr:row>
      <xdr:rowOff>1454130</xdr:rowOff>
    </xdr:from>
    <xdr:to>
      <xdr:col>29</xdr:col>
      <xdr:colOff>518808</xdr:colOff>
      <xdr:row>41</xdr:row>
      <xdr:rowOff>77492</xdr:rowOff>
    </xdr:to>
    <xdr:graphicFrame macro="">
      <xdr:nvGraphicFramePr>
        <xdr:cNvPr id="2" name="Chart 1">
          <a:extLst>
            <a:ext uri="{FF2B5EF4-FFF2-40B4-BE49-F238E27FC236}">
              <a16:creationId xmlns:a16="http://schemas.microsoft.com/office/drawing/2014/main" id="{67143862-988D-47D5-863B-D3424D7D8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0.05284</cdr:x>
      <cdr:y>0.02205</cdr:y>
    </cdr:from>
    <cdr:to>
      <cdr:x>0.19115</cdr:x>
      <cdr:y>0.11163</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746357" y="170723"/>
          <a:ext cx="1953622" cy="693667"/>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 </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Total:</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€91.5 bn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0.29134</cdr:x>
      <cdr:y>0.55852</cdr:y>
    </cdr:from>
    <cdr:to>
      <cdr:x>0.36951</cdr:x>
      <cdr:y>0.62959</cdr:y>
    </cdr:to>
    <cdr:cxnSp macro="">
      <cdr:nvCxnSpPr>
        <cdr:cNvPr id="11" name="Straight Arrow Connector 10">
          <a:extLst xmlns:a="http://schemas.openxmlformats.org/drawingml/2006/main">
            <a:ext uri="{FF2B5EF4-FFF2-40B4-BE49-F238E27FC236}">
              <a16:creationId xmlns:a16="http://schemas.microsoft.com/office/drawing/2014/main" id="{D28453E8-9CE1-4B63-7637-5833EDF664EA}"/>
            </a:ext>
          </a:extLst>
        </cdr:cNvPr>
        <cdr:cNvCxnSpPr>
          <a:stCxn xmlns:a="http://schemas.openxmlformats.org/drawingml/2006/main" id="14" idx="2"/>
        </cdr:cNvCxnSpPr>
      </cdr:nvCxnSpPr>
      <cdr:spPr>
        <a:xfrm xmlns:a="http://schemas.openxmlformats.org/drawingml/2006/main">
          <a:off x="4115136" y="4324942"/>
          <a:ext cx="1104244" cy="55029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0.4614</cdr:x>
      <cdr:y>0.3968</cdr:y>
    </cdr:from>
    <cdr:to>
      <cdr:x>0.50897</cdr:x>
      <cdr:y>0.51439</cdr:y>
    </cdr:to>
    <cdr:cxnSp macro="">
      <cdr:nvCxnSpPr>
        <cdr:cNvPr id="13" name="Straight Arrow Connector 12">
          <a:extLst xmlns:a="http://schemas.openxmlformats.org/drawingml/2006/main">
            <a:ext uri="{FF2B5EF4-FFF2-40B4-BE49-F238E27FC236}">
              <a16:creationId xmlns:a16="http://schemas.microsoft.com/office/drawing/2014/main" id="{1D620CBA-5BEF-4CC1-A026-7741866B087A}"/>
            </a:ext>
          </a:extLst>
        </cdr:cNvPr>
        <cdr:cNvCxnSpPr/>
      </cdr:nvCxnSpPr>
      <cdr:spPr>
        <a:xfrm xmlns:a="http://schemas.openxmlformats.org/drawingml/2006/main">
          <a:off x="6515032" y="3070725"/>
          <a:ext cx="671698" cy="91000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0.56656</cdr:x>
      <cdr:y>0.4657</cdr:y>
    </cdr:from>
    <cdr:to>
      <cdr:x>0.61264</cdr:x>
      <cdr:y>0.55205</cdr:y>
    </cdr:to>
    <cdr:cxnSp macro="">
      <cdr:nvCxnSpPr>
        <cdr:cNvPr id="20" name="Straight Arrow Connector 19">
          <a:extLst xmlns:a="http://schemas.openxmlformats.org/drawingml/2006/main">
            <a:ext uri="{FF2B5EF4-FFF2-40B4-BE49-F238E27FC236}">
              <a16:creationId xmlns:a16="http://schemas.microsoft.com/office/drawing/2014/main" id="{3479F456-9CA4-4669-8D3B-6D43AAB04EFD}"/>
            </a:ext>
          </a:extLst>
        </cdr:cNvPr>
        <cdr:cNvCxnSpPr/>
      </cdr:nvCxnSpPr>
      <cdr:spPr>
        <a:xfrm xmlns:a="http://schemas.openxmlformats.org/drawingml/2006/main" flipH="1">
          <a:off x="7999911" y="3603927"/>
          <a:ext cx="650659" cy="66824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0.12479</cdr:x>
      <cdr:y>0.54848</cdr:y>
    </cdr:from>
    <cdr:to>
      <cdr:x>0.1807</cdr:x>
      <cdr:y>0.63943</cdr:y>
    </cdr:to>
    <cdr:cxnSp macro="">
      <cdr:nvCxnSpPr>
        <cdr:cNvPr id="16" name="Straight Arrow Connector 15">
          <a:extLst xmlns:a="http://schemas.openxmlformats.org/drawingml/2006/main">
            <a:ext uri="{FF2B5EF4-FFF2-40B4-BE49-F238E27FC236}">
              <a16:creationId xmlns:a16="http://schemas.microsoft.com/office/drawing/2014/main" id="{D3E11DE1-A132-358D-69DF-9867CB71EF4C}"/>
            </a:ext>
          </a:extLst>
        </cdr:cNvPr>
        <cdr:cNvCxnSpPr/>
      </cdr:nvCxnSpPr>
      <cdr:spPr>
        <a:xfrm xmlns:a="http://schemas.openxmlformats.org/drawingml/2006/main">
          <a:off x="1762715" y="4247184"/>
          <a:ext cx="789665" cy="70424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0.53409</cdr:x>
      <cdr:y>0.31102</cdr:y>
    </cdr:from>
    <cdr:to>
      <cdr:x>0.53534</cdr:x>
      <cdr:y>0.55771</cdr:y>
    </cdr:to>
    <cdr:cxnSp macro="">
      <cdr:nvCxnSpPr>
        <cdr:cNvPr id="42" name="Straight Arrow Connector 41">
          <a:extLst xmlns:a="http://schemas.openxmlformats.org/drawingml/2006/main">
            <a:ext uri="{FF2B5EF4-FFF2-40B4-BE49-F238E27FC236}">
              <a16:creationId xmlns:a16="http://schemas.microsoft.com/office/drawing/2014/main" id="{A461CC11-8CF3-D709-E109-5FD2C8BA7FD6}"/>
            </a:ext>
          </a:extLst>
        </cdr:cNvPr>
        <cdr:cNvCxnSpPr/>
      </cdr:nvCxnSpPr>
      <cdr:spPr>
        <a:xfrm xmlns:a="http://schemas.openxmlformats.org/drawingml/2006/main">
          <a:off x="7541429" y="2406892"/>
          <a:ext cx="17650" cy="190908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0.83967</cdr:x>
      <cdr:y>0.39171</cdr:y>
    </cdr:from>
    <cdr:to>
      <cdr:x>0.85246</cdr:x>
      <cdr:y>0.52392</cdr:y>
    </cdr:to>
    <cdr:cxnSp macro="">
      <cdr:nvCxnSpPr>
        <cdr:cNvPr id="9" name="Straight Arrow Connector 8">
          <a:extLst xmlns:a="http://schemas.openxmlformats.org/drawingml/2006/main">
            <a:ext uri="{FF2B5EF4-FFF2-40B4-BE49-F238E27FC236}">
              <a16:creationId xmlns:a16="http://schemas.microsoft.com/office/drawing/2014/main" id="{1505B938-6594-DC90-D8A5-8EBBEB7C1870}"/>
            </a:ext>
          </a:extLst>
        </cdr:cNvPr>
        <cdr:cNvCxnSpPr/>
      </cdr:nvCxnSpPr>
      <cdr:spPr>
        <a:xfrm xmlns:a="http://schemas.openxmlformats.org/drawingml/2006/main" flipH="1">
          <a:off x="11856361" y="3031367"/>
          <a:ext cx="180597" cy="102314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0.06156</cdr:x>
      <cdr:y>0.50994</cdr:y>
    </cdr:from>
    <cdr:to>
      <cdr:x>0.2231</cdr:x>
      <cdr:y>0.54356</cdr:y>
    </cdr:to>
    <cdr:sp macro="" textlink="">
      <cdr:nvSpPr>
        <cdr:cNvPr id="2" name="TextBox 16">
          <a:extLst xmlns:a="http://schemas.openxmlformats.org/drawingml/2006/main">
            <a:ext uri="{FF2B5EF4-FFF2-40B4-BE49-F238E27FC236}">
              <a16:creationId xmlns:a16="http://schemas.microsoft.com/office/drawing/2014/main" id="{A0174BAE-0825-764C-1EEE-B0B677BC95E8}"/>
            </a:ext>
          </a:extLst>
        </cdr:cNvPr>
        <cdr:cNvSpPr txBox="1"/>
      </cdr:nvSpPr>
      <cdr:spPr>
        <a:xfrm xmlns:a="http://schemas.openxmlformats.org/drawingml/2006/main">
          <a:off x="869492" y="3948746"/>
          <a:ext cx="2281745" cy="26033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F-35 aircraft </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€4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p>
      </cdr:txBody>
    </cdr:sp>
  </cdr:relSizeAnchor>
  <cdr:relSizeAnchor xmlns:cdr="http://schemas.openxmlformats.org/drawingml/2006/chartDrawing">
    <cdr:from>
      <cdr:x>0.2109</cdr:x>
      <cdr:y>0.47996</cdr:y>
    </cdr:from>
    <cdr:to>
      <cdr:x>0.37178</cdr:x>
      <cdr:y>0.55852</cdr:y>
    </cdr:to>
    <cdr:sp macro="" textlink="">
      <cdr:nvSpPr>
        <cdr:cNvPr id="14" name="TextBox 3">
          <a:extLst xmlns:a="http://schemas.openxmlformats.org/drawingml/2006/main">
            <a:ext uri="{FF2B5EF4-FFF2-40B4-BE49-F238E27FC236}">
              <a16:creationId xmlns:a16="http://schemas.microsoft.com/office/drawing/2014/main" id="{0C94A95D-0A8D-89B4-8150-0D091D4917F0}"/>
            </a:ext>
          </a:extLst>
        </cdr:cNvPr>
        <cdr:cNvSpPr txBox="1"/>
      </cdr:nvSpPr>
      <cdr:spPr>
        <a:xfrm xmlns:a="http://schemas.openxmlformats.org/drawingml/2006/main">
          <a:off x="2978925" y="3716609"/>
          <a:ext cx="2272422" cy="60833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M1A2 SEPv3 tanks-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€4 bn</a:t>
          </a: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Miecznik</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frigate- €1.7 bn</a:t>
          </a:r>
        </a:p>
      </cdr:txBody>
    </cdr:sp>
  </cdr:relSizeAnchor>
  <cdr:relSizeAnchor xmlns:cdr="http://schemas.openxmlformats.org/drawingml/2006/chartDrawing">
    <cdr:from>
      <cdr:x>0.33307</cdr:x>
      <cdr:y>0.33132</cdr:y>
    </cdr:from>
    <cdr:to>
      <cdr:x>0.54647</cdr:x>
      <cdr:y>0.41463</cdr:y>
    </cdr:to>
    <cdr:sp macro="" textlink="">
      <cdr:nvSpPr>
        <cdr:cNvPr id="18" name="TextBox 3">
          <a:extLst xmlns:a="http://schemas.openxmlformats.org/drawingml/2006/main">
            <a:ext uri="{FF2B5EF4-FFF2-40B4-BE49-F238E27FC236}">
              <a16:creationId xmlns:a16="http://schemas.microsoft.com/office/drawing/2014/main" id="{D77A9CEC-BB75-B8FE-96CA-7943CAEB3B43}"/>
            </a:ext>
          </a:extLst>
        </cdr:cNvPr>
        <cdr:cNvSpPr txBox="1"/>
      </cdr:nvSpPr>
      <cdr:spPr>
        <a:xfrm xmlns:a="http://schemas.openxmlformats.org/drawingml/2006/main">
          <a:off x="4702989" y="2563989"/>
          <a:ext cx="3013248" cy="64471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KRAB and K9</a:t>
          </a:r>
          <a:r>
            <a:rPr lang="en-US" sz="1400" baseline="0">
              <a:latin typeface="Calibri Light" panose="020F0302020204030204" pitchFamily="34" charset="0"/>
              <a:ea typeface="Calibri Light" panose="020F0302020204030204" pitchFamily="34" charset="0"/>
              <a:cs typeface="Calibri Light" panose="020F0302020204030204" pitchFamily="34" charset="0"/>
            </a:rPr>
            <a:t> SP howitzers </a:t>
          </a:r>
          <a:r>
            <a:rPr lang="en-US" sz="1400">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€3.1 bn</a:t>
          </a: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AW149 helicopters - €1.7 bn</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0.46971</cdr:x>
      <cdr:y>0.26776</cdr:y>
    </cdr:from>
    <cdr:to>
      <cdr:x>0.62963</cdr:x>
      <cdr:y>0.32933</cdr:y>
    </cdr:to>
    <cdr:sp macro="" textlink="">
      <cdr:nvSpPr>
        <cdr:cNvPr id="21" name="TextBox 14">
          <a:extLst xmlns:a="http://schemas.openxmlformats.org/drawingml/2006/main">
            <a:ext uri="{FF2B5EF4-FFF2-40B4-BE49-F238E27FC236}">
              <a16:creationId xmlns:a16="http://schemas.microsoft.com/office/drawing/2014/main" id="{1E1E5489-173D-EB9C-A920-43A580BF3471}"/>
            </a:ext>
          </a:extLst>
        </cdr:cNvPr>
        <cdr:cNvSpPr txBox="1"/>
      </cdr:nvSpPr>
      <cdr:spPr>
        <a:xfrm xmlns:a="http://schemas.openxmlformats.org/drawingml/2006/main">
          <a:off x="6632371" y="2072112"/>
          <a:ext cx="2258101" cy="47647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FA50 aircraft</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€2.8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0.56144</cdr:x>
      <cdr:y>0.36094</cdr:y>
    </cdr:from>
    <cdr:to>
      <cdr:x>0.68327</cdr:x>
      <cdr:y>0.46191</cdr:y>
    </cdr:to>
    <cdr:sp macro="" textlink="">
      <cdr:nvSpPr>
        <cdr:cNvPr id="23" name="TextBox 10">
          <a:extLst xmlns:a="http://schemas.openxmlformats.org/drawingml/2006/main">
            <a:ext uri="{FF2B5EF4-FFF2-40B4-BE49-F238E27FC236}">
              <a16:creationId xmlns:a16="http://schemas.microsoft.com/office/drawing/2014/main" id="{07294A87-9C96-062F-E05C-AC27F1CC449E}"/>
            </a:ext>
          </a:extLst>
        </cdr:cNvPr>
        <cdr:cNvSpPr txBox="1"/>
      </cdr:nvSpPr>
      <cdr:spPr>
        <a:xfrm xmlns:a="http://schemas.openxmlformats.org/drawingml/2006/main">
          <a:off x="7927616" y="2793212"/>
          <a:ext cx="1720262" cy="78138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K2 tanks - </a:t>
          </a:r>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€3.2 bn</a:t>
          </a:r>
        </a:p>
        <a:p xmlns:a="http://schemas.openxmlformats.org/drawingml/2006/main">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K239</a:t>
          </a:r>
          <a:r>
            <a:rPr lang="en-US" sz="1400" baseline="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 Chunmoo launchers</a:t>
          </a:r>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 - €3.3 bn</a:t>
          </a:r>
        </a:p>
        <a:p xmlns:a="http://schemas.openxmlformats.org/drawingml/2006/main">
          <a:endPar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0.67381</cdr:x>
      <cdr:y>0.06597</cdr:y>
    </cdr:from>
    <cdr:to>
      <cdr:x>0.80949</cdr:x>
      <cdr:y>0.13377</cdr:y>
    </cdr:to>
    <cdr:sp macro="" textlink="">
      <cdr:nvSpPr>
        <cdr:cNvPr id="27" name="TextBox 9">
          <a:extLst xmlns:a="http://schemas.openxmlformats.org/drawingml/2006/main">
            <a:ext uri="{FF2B5EF4-FFF2-40B4-BE49-F238E27FC236}">
              <a16:creationId xmlns:a16="http://schemas.microsoft.com/office/drawing/2014/main" id="{ADEBD089-839E-E126-BD05-E48E75CE6B53}"/>
            </a:ext>
          </a:extLst>
        </cdr:cNvPr>
        <cdr:cNvSpPr txBox="1"/>
      </cdr:nvSpPr>
      <cdr:spPr>
        <a:xfrm xmlns:a="http://schemas.openxmlformats.org/drawingml/2006/main">
          <a:off x="9517576" y="510848"/>
          <a:ext cx="1916473" cy="525013"/>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AH 64E Apache helicopters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a:t>
          </a:r>
          <a:r>
            <a:rPr lang="en-US" sz="1400">
              <a:latin typeface="Calibri Light" panose="020F0302020204030204" pitchFamily="34" charset="0"/>
              <a:ea typeface="Calibri Light" panose="020F0302020204030204" pitchFamily="34" charset="0"/>
              <a:cs typeface="Calibri Light" panose="020F0302020204030204" pitchFamily="34" charset="0"/>
            </a:rPr>
            <a:t>9.2 bn</a:t>
          </a:r>
        </a:p>
        <a:p xmlns:a="http://schemas.openxmlformats.org/drawingml/2006/main">
          <a:endParaRPr lang="en-US" sz="1100"/>
        </a:p>
      </cdr:txBody>
    </cdr:sp>
  </cdr:relSizeAnchor>
  <cdr:relSizeAnchor xmlns:cdr="http://schemas.openxmlformats.org/drawingml/2006/chartDrawing">
    <cdr:from>
      <cdr:x>0.73312</cdr:x>
      <cdr:y>0.13739</cdr:y>
    </cdr:from>
    <cdr:to>
      <cdr:x>0.77344</cdr:x>
      <cdr:y>0.20768</cdr:y>
    </cdr:to>
    <cdr:cxnSp macro="">
      <cdr:nvCxnSpPr>
        <cdr:cNvPr id="28" name="Straight Arrow Connector 27">
          <a:extLst xmlns:a="http://schemas.openxmlformats.org/drawingml/2006/main">
            <a:ext uri="{FF2B5EF4-FFF2-40B4-BE49-F238E27FC236}">
              <a16:creationId xmlns:a16="http://schemas.microsoft.com/office/drawing/2014/main" id="{A7861F3D-2FCC-E2E7-8465-EC238698DB7E}"/>
            </a:ext>
          </a:extLst>
        </cdr:cNvPr>
        <cdr:cNvCxnSpPr/>
      </cdr:nvCxnSpPr>
      <cdr:spPr>
        <a:xfrm xmlns:a="http://schemas.openxmlformats.org/drawingml/2006/main">
          <a:off x="10355225" y="1063896"/>
          <a:ext cx="569630" cy="54426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0.78705</cdr:x>
      <cdr:y>0.26022</cdr:y>
    </cdr:from>
    <cdr:to>
      <cdr:x>0.90513</cdr:x>
      <cdr:y>0.39391</cdr:y>
    </cdr:to>
    <cdr:sp macro="" textlink="">
      <cdr:nvSpPr>
        <cdr:cNvPr id="33" name="TextBox 9">
          <a:extLst xmlns:a="http://schemas.openxmlformats.org/drawingml/2006/main">
            <a:ext uri="{FF2B5EF4-FFF2-40B4-BE49-F238E27FC236}">
              <a16:creationId xmlns:a16="http://schemas.microsoft.com/office/drawing/2014/main" id="{222399EE-0D5D-5957-2CA6-AFD5B6DF7A48}"/>
            </a:ext>
          </a:extLst>
        </cdr:cNvPr>
        <cdr:cNvSpPr txBox="1"/>
      </cdr:nvSpPr>
      <cdr:spPr>
        <a:xfrm xmlns:a="http://schemas.openxmlformats.org/drawingml/2006/main">
          <a:off x="11113357" y="2013793"/>
          <a:ext cx="1667312" cy="103459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KRAB SP</a:t>
          </a:r>
          <a:r>
            <a:rPr lang="en-US" sz="1400" baseline="0">
              <a:latin typeface="Calibri Light" panose="020F0302020204030204" pitchFamily="34" charset="0"/>
              <a:ea typeface="Calibri Light" panose="020F0302020204030204" pitchFamily="34" charset="0"/>
              <a:cs typeface="Calibri Light" panose="020F0302020204030204" pitchFamily="34" charset="0"/>
            </a:rPr>
            <a:t> howitzer and K9 SP howitzer accompanying vehicles - </a:t>
          </a:r>
          <a:r>
            <a:rPr lang="en-US" sz="1400" b="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a:t>
          </a:r>
          <a:r>
            <a:rPr lang="en-US" sz="1400" baseline="0">
              <a:latin typeface="Calibri Light" panose="020F0302020204030204" pitchFamily="34" charset="0"/>
              <a:ea typeface="Calibri Light" panose="020F0302020204030204" pitchFamily="34" charset="0"/>
              <a:cs typeface="Calibri Light" panose="020F0302020204030204" pitchFamily="34" charset="0"/>
            </a:rPr>
            <a:t>3.9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p>
      </cdr:txBody>
    </cdr:sp>
  </cdr:relSizeAnchor>
</c:userShapes>
</file>

<file path=xl/drawings/drawing63.xml><?xml version="1.0" encoding="utf-8"?>
<xdr:wsDr xmlns:xdr="http://schemas.openxmlformats.org/drawingml/2006/spreadsheetDrawing" xmlns:a="http://schemas.openxmlformats.org/drawingml/2006/main">
  <xdr:twoCellAnchor>
    <xdr:from>
      <xdr:col>9</xdr:col>
      <xdr:colOff>28575</xdr:colOff>
      <xdr:row>5</xdr:row>
      <xdr:rowOff>0</xdr:rowOff>
    </xdr:from>
    <xdr:to>
      <xdr:col>21</xdr:col>
      <xdr:colOff>24765</xdr:colOff>
      <xdr:row>24</xdr:row>
      <xdr:rowOff>0</xdr:rowOff>
    </xdr:to>
    <xdr:graphicFrame macro="">
      <xdr:nvGraphicFramePr>
        <xdr:cNvPr id="2" name="Chart 1">
          <a:extLst>
            <a:ext uri="{FF2B5EF4-FFF2-40B4-BE49-F238E27FC236}">
              <a16:creationId xmlns:a16="http://schemas.microsoft.com/office/drawing/2014/main" id="{C0EA43DB-D615-4898-A050-6063DC6CCE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0.61554</cdr:x>
      <cdr:y>0.10313</cdr:y>
    </cdr:from>
    <cdr:to>
      <cdr:x>0.86024</cdr:x>
      <cdr:y>0.23544</cdr:y>
    </cdr:to>
    <cdr:sp macro="" textlink="">
      <cdr:nvSpPr>
        <cdr:cNvPr id="6" name="TextBox 1">
          <a:extLst xmlns:a="http://schemas.openxmlformats.org/drawingml/2006/main">
            <a:ext uri="{FF2B5EF4-FFF2-40B4-BE49-F238E27FC236}">
              <a16:creationId xmlns:a16="http://schemas.microsoft.com/office/drawing/2014/main" id="{9B234FC0-5A99-5431-1322-6D56F2984F1A}"/>
            </a:ext>
          </a:extLst>
        </cdr:cNvPr>
        <cdr:cNvSpPr txBox="1"/>
      </cdr:nvSpPr>
      <cdr:spPr>
        <a:xfrm xmlns:a="http://schemas.openxmlformats.org/drawingml/2006/main">
          <a:off x="4948382" y="395290"/>
          <a:ext cx="1967168" cy="5071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a:latin typeface="Calibri Light" panose="020F0302020204030204" pitchFamily="34" charset="0"/>
              <a:ea typeface="Calibri Light" panose="020F0302020204030204" pitchFamily="34" charset="0"/>
              <a:cs typeface="Calibri Light" panose="020F0302020204030204" pitchFamily="34" charset="0"/>
            </a:rPr>
            <a:t>Total military orders: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€89.5</a:t>
          </a:r>
          <a:r>
            <a:rPr lang="en-US" sz="1600" b="1">
              <a:latin typeface="Calibri Light" panose="020F0302020204030204" pitchFamily="34" charset="0"/>
              <a:ea typeface="Calibri Light" panose="020F0302020204030204" pitchFamily="34" charset="0"/>
              <a:cs typeface="Calibri Light" panose="020F0302020204030204" pitchFamily="34" charset="0"/>
            </a:rPr>
            <a:t> billion</a:t>
          </a:r>
        </a:p>
      </cdr:txBody>
    </cdr:sp>
  </cdr:relSizeAnchor>
</c:userShapes>
</file>

<file path=xl/drawings/drawing65.xml><?xml version="1.0" encoding="utf-8"?>
<xdr:wsDr xmlns:xdr="http://schemas.openxmlformats.org/drawingml/2006/spreadsheetDrawing" xmlns:a="http://schemas.openxmlformats.org/drawingml/2006/main">
  <xdr:twoCellAnchor>
    <xdr:from>
      <xdr:col>5</xdr:col>
      <xdr:colOff>7620</xdr:colOff>
      <xdr:row>5</xdr:row>
      <xdr:rowOff>0</xdr:rowOff>
    </xdr:from>
    <xdr:to>
      <xdr:col>22</xdr:col>
      <xdr:colOff>414077</xdr:colOff>
      <xdr:row>36</xdr:row>
      <xdr:rowOff>190500</xdr:rowOff>
    </xdr:to>
    <xdr:graphicFrame macro="">
      <xdr:nvGraphicFramePr>
        <xdr:cNvPr id="2" name="Chart 1">
          <a:extLst>
            <a:ext uri="{FF2B5EF4-FFF2-40B4-BE49-F238E27FC236}">
              <a16:creationId xmlns:a16="http://schemas.microsoft.com/office/drawing/2014/main" id="{7E42CF15-DBBF-48DF-8746-27BB843659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0.0625</cdr:x>
      <cdr:y>0</cdr:y>
    </cdr:from>
    <cdr:to>
      <cdr:x>0.19282</cdr:x>
      <cdr:y>0.08699</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734166" y="0"/>
          <a:ext cx="1530735" cy="561777"/>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€78 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0.4112</cdr:x>
      <cdr:y>0.39394</cdr:y>
    </cdr:from>
    <cdr:to>
      <cdr:x>0.59049</cdr:x>
      <cdr:y>0.44496</cdr:y>
    </cdr:to>
    <cdr:sp macro="" textlink="">
      <cdr:nvSpPr>
        <cdr:cNvPr id="19" name="TextBox 9">
          <a:extLst xmlns:a="http://schemas.openxmlformats.org/drawingml/2006/main">
            <a:ext uri="{FF2B5EF4-FFF2-40B4-BE49-F238E27FC236}">
              <a16:creationId xmlns:a16="http://schemas.microsoft.com/office/drawing/2014/main" id="{D9DAF369-FD2E-45C9-97AB-917F35607EAB}"/>
            </a:ext>
          </a:extLst>
        </cdr:cNvPr>
        <cdr:cNvSpPr txBox="1"/>
      </cdr:nvSpPr>
      <cdr:spPr>
        <a:xfrm xmlns:a="http://schemas.openxmlformats.org/drawingml/2006/main">
          <a:off x="4828042" y="2544029"/>
          <a:ext cx="2105081" cy="329485"/>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Chinook</a:t>
          </a:r>
          <a:r>
            <a:rPr lang="en-US" sz="1400" baseline="0">
              <a:latin typeface="Calibri Light" panose="020F0302020204030204" pitchFamily="34" charset="0"/>
              <a:ea typeface="Calibri Light" panose="020F0302020204030204" pitchFamily="34" charset="0"/>
              <a:cs typeface="Calibri Light" panose="020F0302020204030204" pitchFamily="34" charset="0"/>
            </a:rPr>
            <a:t> helicopter</a:t>
          </a:r>
          <a:r>
            <a:rPr lang="en-US" sz="1400">
              <a:latin typeface="Calibri Light" panose="020F0302020204030204" pitchFamily="34" charset="0"/>
              <a:ea typeface="Calibri Light" panose="020F0302020204030204" pitchFamily="34" charset="0"/>
              <a:cs typeface="Calibri Light" panose="020F0302020204030204" pitchFamily="34" charset="0"/>
            </a:rPr>
            <a: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€7</a:t>
          </a:r>
          <a:r>
            <a:rPr lang="en-US" sz="1400">
              <a:latin typeface="Calibri Light" panose="020F0302020204030204" pitchFamily="34" charset="0"/>
              <a:ea typeface="Calibri Light" panose="020F0302020204030204" pitchFamily="34" charset="0"/>
              <a:cs typeface="Calibri Light" panose="020F0302020204030204" pitchFamily="34" charset="0"/>
            </a:rPr>
            <a:t> bn</a:t>
          </a:r>
        </a:p>
        <a:p xmlns:a="http://schemas.openxmlformats.org/drawingml/2006/main">
          <a:endParaRPr lang="en-US" sz="1100"/>
        </a:p>
      </cdr:txBody>
    </cdr:sp>
  </cdr:relSizeAnchor>
  <cdr:relSizeAnchor xmlns:cdr="http://schemas.openxmlformats.org/drawingml/2006/chartDrawing">
    <cdr:from>
      <cdr:x>0.50085</cdr:x>
      <cdr:y>0.44496</cdr:y>
    </cdr:from>
    <cdr:to>
      <cdr:x>0.58321</cdr:x>
      <cdr:y>0.58555</cdr:y>
    </cdr:to>
    <cdr:cxnSp macro="">
      <cdr:nvCxnSpPr>
        <cdr:cNvPr id="20" name="Straight Arrow Connector 19">
          <a:extLst xmlns:a="http://schemas.openxmlformats.org/drawingml/2006/main">
            <a:ext uri="{FF2B5EF4-FFF2-40B4-BE49-F238E27FC236}">
              <a16:creationId xmlns:a16="http://schemas.microsoft.com/office/drawing/2014/main" id="{3479F456-9CA4-4669-8D3B-6D43AAB04EFD}"/>
            </a:ext>
          </a:extLst>
        </cdr:cNvPr>
        <cdr:cNvCxnSpPr>
          <a:stCxn xmlns:a="http://schemas.openxmlformats.org/drawingml/2006/main" id="19" idx="2"/>
        </cdr:cNvCxnSpPr>
      </cdr:nvCxnSpPr>
      <cdr:spPr>
        <a:xfrm xmlns:a="http://schemas.openxmlformats.org/drawingml/2006/main">
          <a:off x="5880642" y="2873514"/>
          <a:ext cx="967005" cy="90792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0.13639</cdr:x>
      <cdr:y>0.65841</cdr:y>
    </cdr:from>
    <cdr:to>
      <cdr:x>0.36031</cdr:x>
      <cdr:y>0.71387</cdr:y>
    </cdr:to>
    <cdr:sp macro="" textlink="">
      <cdr:nvSpPr>
        <cdr:cNvPr id="21" name="TextBox 3">
          <a:extLst xmlns:a="http://schemas.openxmlformats.org/drawingml/2006/main">
            <a:ext uri="{FF2B5EF4-FFF2-40B4-BE49-F238E27FC236}">
              <a16:creationId xmlns:a16="http://schemas.microsoft.com/office/drawing/2014/main" id="{C0F62E8D-E054-CECB-EBDB-C1786EB56E1E}"/>
            </a:ext>
          </a:extLst>
        </cdr:cNvPr>
        <cdr:cNvSpPr txBox="1"/>
      </cdr:nvSpPr>
      <cdr:spPr>
        <a:xfrm xmlns:a="http://schemas.openxmlformats.org/drawingml/2006/main">
          <a:off x="1601413" y="4251974"/>
          <a:ext cx="2629091" cy="358158"/>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Eurodrone</a:t>
          </a:r>
          <a:r>
            <a:rPr lang="en-US" sz="1400" baseline="0">
              <a:latin typeface="Calibri Light" panose="020F0302020204030204" pitchFamily="34" charset="0"/>
              <a:ea typeface="Calibri Light" panose="020F0302020204030204" pitchFamily="34" charset="0"/>
              <a:cs typeface="Calibri Light" panose="020F0302020204030204" pitchFamily="34" charset="0"/>
            </a:rPr>
            <a:t> development </a:t>
          </a:r>
          <a:r>
            <a:rPr lang="en-US" sz="1400">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€3.1 bn</a:t>
          </a:r>
        </a:p>
        <a:p xmlns:a="http://schemas.openxmlformats.org/drawingml/2006/main">
          <a:endParaRPr lang="en-US" sz="1100">
            <a:solidFill>
              <a:schemeClr val="dk1"/>
            </a:solidFill>
            <a:effectLst/>
            <a:latin typeface="Times New Roman" panose="02020603050405020304" pitchFamily="18" charset="0"/>
            <a:ea typeface="+mn-ea"/>
            <a:cs typeface="Times New Roman" panose="02020603050405020304" pitchFamily="18" charset="0"/>
          </a:endParaRPr>
        </a:p>
      </cdr:txBody>
    </cdr:sp>
  </cdr:relSizeAnchor>
  <cdr:relSizeAnchor xmlns:cdr="http://schemas.openxmlformats.org/drawingml/2006/chartDrawing">
    <cdr:from>
      <cdr:x>0.2443</cdr:x>
      <cdr:y>0.69912</cdr:y>
    </cdr:from>
    <cdr:to>
      <cdr:x>0.24668</cdr:x>
      <cdr:y>0.74926</cdr:y>
    </cdr:to>
    <cdr:cxnSp macro="">
      <cdr:nvCxnSpPr>
        <cdr:cNvPr id="27" name="Straight Arrow Connector 26">
          <a:extLst xmlns:a="http://schemas.openxmlformats.org/drawingml/2006/main">
            <a:ext uri="{FF2B5EF4-FFF2-40B4-BE49-F238E27FC236}">
              <a16:creationId xmlns:a16="http://schemas.microsoft.com/office/drawing/2014/main" id="{7A710D46-E7C4-9479-BD3C-FE2886225255}"/>
            </a:ext>
          </a:extLst>
        </cdr:cNvPr>
        <cdr:cNvCxnSpPr/>
      </cdr:nvCxnSpPr>
      <cdr:spPr>
        <a:xfrm xmlns:a="http://schemas.openxmlformats.org/drawingml/2006/main">
          <a:off x="2868333" y="4514882"/>
          <a:ext cx="27945" cy="323801"/>
        </a:xfrm>
        <a:prstGeom xmlns:a="http://schemas.openxmlformats.org/drawingml/2006/main" prst="straightConnector1">
          <a:avLst/>
        </a:prstGeom>
        <a:ln xmlns:a="http://schemas.openxmlformats.org/drawingml/2006/main">
          <a:tailEnd type="triangle"/>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0.60594</cdr:x>
      <cdr:y>0.50443</cdr:y>
    </cdr:from>
    <cdr:to>
      <cdr:x>0.75756</cdr:x>
      <cdr:y>0.54825</cdr:y>
    </cdr:to>
    <cdr:sp macro="" textlink="">
      <cdr:nvSpPr>
        <cdr:cNvPr id="14" name="TextBox 9">
          <a:extLst xmlns:a="http://schemas.openxmlformats.org/drawingml/2006/main">
            <a:ext uri="{FF2B5EF4-FFF2-40B4-BE49-F238E27FC236}">
              <a16:creationId xmlns:a16="http://schemas.microsoft.com/office/drawing/2014/main" id="{A595CD86-B1A0-C389-291C-5A24F431F756}"/>
            </a:ext>
          </a:extLst>
        </cdr:cNvPr>
        <cdr:cNvSpPr txBox="1"/>
      </cdr:nvSpPr>
      <cdr:spPr>
        <a:xfrm xmlns:a="http://schemas.openxmlformats.org/drawingml/2006/main">
          <a:off x="7114437" y="3257559"/>
          <a:ext cx="1780202" cy="282987"/>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Patriot missile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€3</a:t>
          </a:r>
          <a:r>
            <a:rPr lang="en-US" sz="1400">
              <a:latin typeface="Calibri Light" panose="020F0302020204030204" pitchFamily="34" charset="0"/>
              <a:ea typeface="Calibri Light" panose="020F0302020204030204" pitchFamily="34" charset="0"/>
              <a:cs typeface="Calibri Light" panose="020F0302020204030204" pitchFamily="34" charset="0"/>
            </a:rPr>
            <a:t> bn</a:t>
          </a:r>
        </a:p>
        <a:p xmlns:a="http://schemas.openxmlformats.org/drawingml/2006/main">
          <a:endParaRPr lang="en-US" sz="1100"/>
        </a:p>
      </cdr:txBody>
    </cdr:sp>
  </cdr:relSizeAnchor>
  <cdr:relSizeAnchor xmlns:cdr="http://schemas.openxmlformats.org/drawingml/2006/chartDrawing">
    <cdr:from>
      <cdr:x>0.06367</cdr:x>
      <cdr:y>0.16</cdr:y>
    </cdr:from>
    <cdr:to>
      <cdr:x>0.34839</cdr:x>
      <cdr:y>0.48585</cdr:y>
    </cdr:to>
    <cdr:sp macro="" textlink="">
      <cdr:nvSpPr>
        <cdr:cNvPr id="5" name="TextBox 1">
          <a:extLst xmlns:a="http://schemas.openxmlformats.org/drawingml/2006/main">
            <a:ext uri="{FF2B5EF4-FFF2-40B4-BE49-F238E27FC236}">
              <a16:creationId xmlns:a16="http://schemas.microsoft.com/office/drawing/2014/main" id="{96C35D08-B6AB-1A9F-7345-B47571D20915}"/>
            </a:ext>
          </a:extLst>
        </cdr:cNvPr>
        <cdr:cNvSpPr txBox="1"/>
      </cdr:nvSpPr>
      <cdr:spPr>
        <a:xfrm xmlns:a="http://schemas.openxmlformats.org/drawingml/2006/main">
          <a:off x="747909" y="1033298"/>
          <a:ext cx="3344313" cy="2104323"/>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u="sng">
              <a:latin typeface="Calibri Light" panose="020F0302020204030204" pitchFamily="34" charset="0"/>
              <a:ea typeface="Calibri Light" panose="020F0302020204030204" pitchFamily="34" charset="0"/>
              <a:cs typeface="Calibri Light" panose="020F0302020204030204" pitchFamily="34" charset="0"/>
            </a:rPr>
            <a:t>Land includes:</a:t>
          </a:r>
        </a:p>
        <a:p xmlns:a="http://schemas.openxmlformats.org/drawingml/2006/main">
          <a:r>
            <a:rPr lang="en-US" sz="1200">
              <a:latin typeface="Calibri Light" panose="020F0302020204030204" pitchFamily="34" charset="0"/>
              <a:ea typeface="Calibri Light" panose="020F0302020204030204" pitchFamily="34" charset="0"/>
              <a:cs typeface="Calibri Light" panose="020F0302020204030204" pitchFamily="34" charset="0"/>
            </a:rPr>
            <a:t>Air defence system, Ammunition, Armoured vehicle,</a:t>
          </a:r>
          <a:r>
            <a:rPr lang="en-US" sz="1200" baseline="0">
              <a:latin typeface="Calibri Light" panose="020F0302020204030204" pitchFamily="34" charset="0"/>
              <a:ea typeface="Calibri Light" panose="020F0302020204030204" pitchFamily="34" charset="0"/>
              <a:cs typeface="Calibri Light" panose="020F0302020204030204" pitchFamily="34" charset="0"/>
            </a:rPr>
            <a:t> Artillery, Drone, Helicopter, Infantry, Main battle tank, Mine, Missile (Land)</a:t>
          </a:r>
        </a:p>
        <a:p xmlns:a="http://schemas.openxmlformats.org/drawingml/2006/main">
          <a:endParaRPr lang="en-US" sz="1200" baseline="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200" baseline="0">
              <a:latin typeface="Calibri Light" panose="020F0302020204030204" pitchFamily="34" charset="0"/>
              <a:ea typeface="Calibri Light" panose="020F0302020204030204" pitchFamily="34" charset="0"/>
              <a:cs typeface="Calibri Light" panose="020F0302020204030204" pitchFamily="34" charset="0"/>
            </a:rPr>
            <a:t>Each category includes costs for development</a:t>
          </a:r>
        </a:p>
      </cdr:txBody>
    </cdr:sp>
  </cdr:relSizeAnchor>
  <cdr:relSizeAnchor xmlns:cdr="http://schemas.openxmlformats.org/drawingml/2006/chartDrawing">
    <cdr:from>
      <cdr:x>0.74904</cdr:x>
      <cdr:y>0.42921</cdr:y>
    </cdr:from>
    <cdr:to>
      <cdr:x>0.94853</cdr:x>
      <cdr:y>0.53966</cdr:y>
    </cdr:to>
    <cdr:sp macro="" textlink="">
      <cdr:nvSpPr>
        <cdr:cNvPr id="9" name="TextBox 9">
          <a:extLst xmlns:a="http://schemas.openxmlformats.org/drawingml/2006/main">
            <a:ext uri="{FF2B5EF4-FFF2-40B4-BE49-F238E27FC236}">
              <a16:creationId xmlns:a16="http://schemas.microsoft.com/office/drawing/2014/main" id="{2B13D0EB-581D-CDD9-852C-4BFE9E8F4D1A}"/>
            </a:ext>
          </a:extLst>
        </cdr:cNvPr>
        <cdr:cNvSpPr txBox="1"/>
      </cdr:nvSpPr>
      <cdr:spPr>
        <a:xfrm xmlns:a="http://schemas.openxmlformats.org/drawingml/2006/main">
          <a:off x="8794620" y="2771832"/>
          <a:ext cx="2342253" cy="713281"/>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Leopard 2 -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€2.9</a:t>
          </a:r>
          <a:r>
            <a:rPr lang="en-US" sz="1400">
              <a:latin typeface="Calibri Light" panose="020F0302020204030204" pitchFamily="34" charset="0"/>
              <a:ea typeface="Calibri Light" panose="020F0302020204030204" pitchFamily="34" charset="0"/>
              <a:cs typeface="Calibri Light" panose="020F0302020204030204" pitchFamily="34" charset="0"/>
            </a:rPr>
            <a:t> bn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Patriot system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€1.4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155mm ammunition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a:t>
          </a:r>
          <a:r>
            <a:rPr lang="en-US" sz="1400">
              <a:latin typeface="Calibri Light" panose="020F0302020204030204" pitchFamily="34" charset="0"/>
              <a:ea typeface="Calibri Light" panose="020F0302020204030204" pitchFamily="34" charset="0"/>
              <a:cs typeface="Calibri Light" panose="020F0302020204030204" pitchFamily="34" charset="0"/>
            </a:rPr>
            <a:t>1.3 bn</a:t>
          </a:r>
        </a:p>
      </cdr:txBody>
    </cdr:sp>
  </cdr:relSizeAnchor>
  <cdr:relSizeAnchor xmlns:cdr="http://schemas.openxmlformats.org/drawingml/2006/chartDrawing">
    <cdr:from>
      <cdr:x>0.74215</cdr:x>
      <cdr:y>0.53966</cdr:y>
    </cdr:from>
    <cdr:to>
      <cdr:x>0.84879</cdr:x>
      <cdr:y>0.62389</cdr:y>
    </cdr:to>
    <cdr:cxnSp macro="">
      <cdr:nvCxnSpPr>
        <cdr:cNvPr id="10" name="Straight Arrow Connector 9">
          <a:extLst xmlns:a="http://schemas.openxmlformats.org/drawingml/2006/main">
            <a:ext uri="{FF2B5EF4-FFF2-40B4-BE49-F238E27FC236}">
              <a16:creationId xmlns:a16="http://schemas.microsoft.com/office/drawing/2014/main" id="{2009E25B-FC4B-9E82-4FF5-F2E796D524B7}"/>
            </a:ext>
          </a:extLst>
        </cdr:cNvPr>
        <cdr:cNvCxnSpPr>
          <a:stCxn xmlns:a="http://schemas.openxmlformats.org/drawingml/2006/main" id="9" idx="2"/>
        </cdr:cNvCxnSpPr>
      </cdr:nvCxnSpPr>
      <cdr:spPr>
        <a:xfrm xmlns:a="http://schemas.openxmlformats.org/drawingml/2006/main" flipH="1">
          <a:off x="8713723" y="3485113"/>
          <a:ext cx="1252082" cy="54395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0.65295</cdr:x>
      <cdr:y>0.54825</cdr:y>
    </cdr:from>
    <cdr:to>
      <cdr:x>0.68175</cdr:x>
      <cdr:y>0.63422</cdr:y>
    </cdr:to>
    <cdr:cxnSp macro="">
      <cdr:nvCxnSpPr>
        <cdr:cNvPr id="12" name="Straight Arrow Connector 11">
          <a:extLst xmlns:a="http://schemas.openxmlformats.org/drawingml/2006/main">
            <a:ext uri="{FF2B5EF4-FFF2-40B4-BE49-F238E27FC236}">
              <a16:creationId xmlns:a16="http://schemas.microsoft.com/office/drawing/2014/main" id="{AE534B2C-20F6-3527-BA56-904205B6DD89}"/>
            </a:ext>
          </a:extLst>
        </cdr:cNvPr>
        <cdr:cNvCxnSpPr>
          <a:stCxn xmlns:a="http://schemas.openxmlformats.org/drawingml/2006/main" id="14" idx="2"/>
        </cdr:cNvCxnSpPr>
      </cdr:nvCxnSpPr>
      <cdr:spPr>
        <a:xfrm xmlns:a="http://schemas.openxmlformats.org/drawingml/2006/main" flipH="1">
          <a:off x="7666391" y="3540546"/>
          <a:ext cx="338147" cy="55519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67.xml><?xml version="1.0" encoding="utf-8"?>
<xdr:wsDr xmlns:xdr="http://schemas.openxmlformats.org/drawingml/2006/spreadsheetDrawing" xmlns:a="http://schemas.openxmlformats.org/drawingml/2006/main">
  <xdr:twoCellAnchor>
    <xdr:from>
      <xdr:col>5</xdr:col>
      <xdr:colOff>0</xdr:colOff>
      <xdr:row>5</xdr:row>
      <xdr:rowOff>0</xdr:rowOff>
    </xdr:from>
    <xdr:to>
      <xdr:col>22</xdr:col>
      <xdr:colOff>411219</xdr:colOff>
      <xdr:row>36</xdr:row>
      <xdr:rowOff>190500</xdr:rowOff>
    </xdr:to>
    <xdr:graphicFrame macro="">
      <xdr:nvGraphicFramePr>
        <xdr:cNvPr id="2" name="Chart 1">
          <a:extLst>
            <a:ext uri="{FF2B5EF4-FFF2-40B4-BE49-F238E27FC236}">
              <a16:creationId xmlns:a16="http://schemas.microsoft.com/office/drawing/2014/main" id="{36632E90-9DF6-47C4-A15A-FB517518D2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0.05456</cdr:x>
      <cdr:y>0</cdr:y>
    </cdr:from>
    <cdr:to>
      <cdr:x>0.18488</cdr:x>
      <cdr:y>0.08699</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640806" y="0"/>
          <a:ext cx="1530735" cy="561777"/>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GBP</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£9.8 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0.32676</cdr:x>
      <cdr:y>0.59007</cdr:y>
    </cdr:from>
    <cdr:to>
      <cdr:x>0.51259</cdr:x>
      <cdr:y>0.64109</cdr:y>
    </cdr:to>
    <cdr:sp macro="" textlink="">
      <cdr:nvSpPr>
        <cdr:cNvPr id="19" name="TextBox 9">
          <a:extLst xmlns:a="http://schemas.openxmlformats.org/drawingml/2006/main">
            <a:ext uri="{FF2B5EF4-FFF2-40B4-BE49-F238E27FC236}">
              <a16:creationId xmlns:a16="http://schemas.microsoft.com/office/drawing/2014/main" id="{D9DAF369-FD2E-45C9-97AB-917F35607EAB}"/>
            </a:ext>
          </a:extLst>
        </cdr:cNvPr>
        <cdr:cNvSpPr txBox="1"/>
      </cdr:nvSpPr>
      <cdr:spPr>
        <a:xfrm xmlns:a="http://schemas.openxmlformats.org/drawingml/2006/main">
          <a:off x="3838104" y="3810614"/>
          <a:ext cx="2182753" cy="329484"/>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Challenger</a:t>
          </a:r>
          <a:r>
            <a:rPr lang="en-US" sz="1400" baseline="0">
              <a:latin typeface="Calibri Light" panose="020F0302020204030204" pitchFamily="34" charset="0"/>
              <a:ea typeface="Calibri Light" panose="020F0302020204030204" pitchFamily="34" charset="0"/>
              <a:cs typeface="Calibri Light" panose="020F0302020204030204" pitchFamily="34" charset="0"/>
            </a:rPr>
            <a:t> 3 tank </a:t>
          </a:r>
          <a:r>
            <a:rPr lang="en-US" sz="1400">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0.8</a:t>
          </a:r>
          <a:r>
            <a:rPr lang="en-US" sz="1400">
              <a:latin typeface="Calibri Light" panose="020F0302020204030204" pitchFamily="34" charset="0"/>
              <a:ea typeface="Calibri Light" panose="020F0302020204030204" pitchFamily="34" charset="0"/>
              <a:cs typeface="Calibri Light" panose="020F0302020204030204" pitchFamily="34" charset="0"/>
            </a:rPr>
            <a:t> bn</a:t>
          </a:r>
        </a:p>
        <a:p xmlns:a="http://schemas.openxmlformats.org/drawingml/2006/main">
          <a:endParaRPr lang="en-US" sz="1100"/>
        </a:p>
      </cdr:txBody>
    </cdr:sp>
  </cdr:relSizeAnchor>
  <cdr:relSizeAnchor xmlns:cdr="http://schemas.openxmlformats.org/drawingml/2006/chartDrawing">
    <cdr:from>
      <cdr:x>0.28707</cdr:x>
      <cdr:y>0.61558</cdr:y>
    </cdr:from>
    <cdr:to>
      <cdr:x>0.32676</cdr:x>
      <cdr:y>0.64602</cdr:y>
    </cdr:to>
    <cdr:cxnSp macro="">
      <cdr:nvCxnSpPr>
        <cdr:cNvPr id="20" name="Straight Arrow Connector 19">
          <a:extLst xmlns:a="http://schemas.openxmlformats.org/drawingml/2006/main">
            <a:ext uri="{FF2B5EF4-FFF2-40B4-BE49-F238E27FC236}">
              <a16:creationId xmlns:a16="http://schemas.microsoft.com/office/drawing/2014/main" id="{3479F456-9CA4-4669-8D3B-6D43AAB04EFD}"/>
            </a:ext>
          </a:extLst>
        </cdr:cNvPr>
        <cdr:cNvCxnSpPr>
          <a:stCxn xmlns:a="http://schemas.openxmlformats.org/drawingml/2006/main" id="19" idx="1"/>
        </cdr:cNvCxnSpPr>
      </cdr:nvCxnSpPr>
      <cdr:spPr>
        <a:xfrm xmlns:a="http://schemas.openxmlformats.org/drawingml/2006/main" flipH="1">
          <a:off x="3371906" y="3975356"/>
          <a:ext cx="466198" cy="19658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0.26999</cdr:x>
      <cdr:y>0.33135</cdr:y>
    </cdr:from>
    <cdr:to>
      <cdr:x>0.42369</cdr:x>
      <cdr:y>0.42087</cdr:y>
    </cdr:to>
    <cdr:sp macro="" textlink="">
      <cdr:nvSpPr>
        <cdr:cNvPr id="21" name="TextBox 3">
          <a:extLst xmlns:a="http://schemas.openxmlformats.org/drawingml/2006/main">
            <a:ext uri="{FF2B5EF4-FFF2-40B4-BE49-F238E27FC236}">
              <a16:creationId xmlns:a16="http://schemas.microsoft.com/office/drawing/2014/main" id="{C0F62E8D-E054-CECB-EBDB-C1786EB56E1E}"/>
            </a:ext>
          </a:extLst>
        </cdr:cNvPr>
        <cdr:cNvSpPr txBox="1"/>
      </cdr:nvSpPr>
      <cdr:spPr>
        <a:xfrm xmlns:a="http://schemas.openxmlformats.org/drawingml/2006/main">
          <a:off x="3171317" y="2139871"/>
          <a:ext cx="1805355" cy="578115"/>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Mixed munitions contract</a:t>
          </a:r>
          <a:r>
            <a:rPr lang="en-US" sz="1400" baseline="0">
              <a:latin typeface="Calibri Light" panose="020F0302020204030204" pitchFamily="34" charset="0"/>
              <a:ea typeface="Calibri Light" panose="020F0302020204030204" pitchFamily="34" charset="0"/>
              <a:cs typeface="Calibri Light" panose="020F0302020204030204" pitchFamily="34" charset="0"/>
            </a:rPr>
            <a:t> </a:t>
          </a:r>
          <a:r>
            <a:rPr lang="en-US" sz="1400">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£2.4 bn</a:t>
          </a:r>
        </a:p>
        <a:p xmlns:a="http://schemas.openxmlformats.org/drawingml/2006/main">
          <a:endParaRPr lang="en-US" sz="1100">
            <a:solidFill>
              <a:schemeClr val="dk1"/>
            </a:solidFill>
            <a:effectLst/>
            <a:latin typeface="Times New Roman" panose="02020603050405020304" pitchFamily="18" charset="0"/>
            <a:ea typeface="+mn-ea"/>
            <a:cs typeface="Times New Roman" panose="02020603050405020304" pitchFamily="18" charset="0"/>
          </a:endParaRPr>
        </a:p>
      </cdr:txBody>
    </cdr:sp>
  </cdr:relSizeAnchor>
  <cdr:relSizeAnchor xmlns:cdr="http://schemas.openxmlformats.org/drawingml/2006/chartDrawing">
    <cdr:from>
      <cdr:x>0.20814</cdr:x>
      <cdr:y>0.27832</cdr:y>
    </cdr:from>
    <cdr:to>
      <cdr:x>0.26999</cdr:x>
      <cdr:y>0.37611</cdr:y>
    </cdr:to>
    <cdr:cxnSp macro="">
      <cdr:nvCxnSpPr>
        <cdr:cNvPr id="27" name="Straight Arrow Connector 26">
          <a:extLst xmlns:a="http://schemas.openxmlformats.org/drawingml/2006/main">
            <a:ext uri="{FF2B5EF4-FFF2-40B4-BE49-F238E27FC236}">
              <a16:creationId xmlns:a16="http://schemas.microsoft.com/office/drawing/2014/main" id="{7A710D46-E7C4-9479-BD3C-FE2886225255}"/>
            </a:ext>
          </a:extLst>
        </cdr:cNvPr>
        <cdr:cNvCxnSpPr>
          <a:stCxn xmlns:a="http://schemas.openxmlformats.org/drawingml/2006/main" id="21" idx="1"/>
        </cdr:cNvCxnSpPr>
      </cdr:nvCxnSpPr>
      <cdr:spPr>
        <a:xfrm xmlns:a="http://schemas.openxmlformats.org/drawingml/2006/main" flipH="1" flipV="1">
          <a:off x="2444828" y="1797406"/>
          <a:ext cx="726489" cy="631523"/>
        </a:xfrm>
        <a:prstGeom xmlns:a="http://schemas.openxmlformats.org/drawingml/2006/main" prst="straightConnector1">
          <a:avLst/>
        </a:prstGeom>
        <a:ln xmlns:a="http://schemas.openxmlformats.org/drawingml/2006/main">
          <a:tailEnd type="triangle"/>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0.50741</cdr:x>
      <cdr:y>0.2324</cdr:y>
    </cdr:from>
    <cdr:to>
      <cdr:x>0.68398</cdr:x>
      <cdr:y>0.28717</cdr:y>
    </cdr:to>
    <cdr:sp macro="" textlink="">
      <cdr:nvSpPr>
        <cdr:cNvPr id="14" name="TextBox 9">
          <a:extLst xmlns:a="http://schemas.openxmlformats.org/drawingml/2006/main">
            <a:ext uri="{FF2B5EF4-FFF2-40B4-BE49-F238E27FC236}">
              <a16:creationId xmlns:a16="http://schemas.microsoft.com/office/drawing/2014/main" id="{A595CD86-B1A0-C389-291C-5A24F431F756}"/>
            </a:ext>
          </a:extLst>
        </cdr:cNvPr>
        <cdr:cNvSpPr txBox="1"/>
      </cdr:nvSpPr>
      <cdr:spPr>
        <a:xfrm xmlns:a="http://schemas.openxmlformats.org/drawingml/2006/main">
          <a:off x="5960025" y="1500859"/>
          <a:ext cx="2073986" cy="353702"/>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Chinook helicopter-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a:t>
          </a:r>
          <a:r>
            <a:rPr lang="en-US" sz="1400">
              <a:latin typeface="Calibri Light" panose="020F0302020204030204" pitchFamily="34" charset="0"/>
              <a:ea typeface="Calibri Light" panose="020F0302020204030204" pitchFamily="34" charset="0"/>
              <a:cs typeface="Calibri Light" panose="020F0302020204030204" pitchFamily="34" charset="0"/>
            </a:rPr>
            <a:t> bn</a:t>
          </a:r>
        </a:p>
        <a:p xmlns:a="http://schemas.openxmlformats.org/drawingml/2006/main">
          <a:endParaRPr lang="en-US" sz="1100"/>
        </a:p>
      </cdr:txBody>
    </cdr:sp>
  </cdr:relSizeAnchor>
  <cdr:relSizeAnchor xmlns:cdr="http://schemas.openxmlformats.org/drawingml/2006/chartDrawing">
    <cdr:from>
      <cdr:x>0.39047</cdr:x>
      <cdr:y>0.00442</cdr:y>
    </cdr:from>
    <cdr:to>
      <cdr:x>0.67519</cdr:x>
      <cdr:y>0.17552</cdr:y>
    </cdr:to>
    <cdr:sp macro="" textlink="">
      <cdr:nvSpPr>
        <cdr:cNvPr id="5" name="TextBox 1">
          <a:extLst xmlns:a="http://schemas.openxmlformats.org/drawingml/2006/main">
            <a:ext uri="{FF2B5EF4-FFF2-40B4-BE49-F238E27FC236}">
              <a16:creationId xmlns:a16="http://schemas.microsoft.com/office/drawing/2014/main" id="{96C35D08-B6AB-1A9F-7345-B47571D20915}"/>
            </a:ext>
          </a:extLst>
        </cdr:cNvPr>
        <cdr:cNvSpPr txBox="1"/>
      </cdr:nvSpPr>
      <cdr:spPr>
        <a:xfrm xmlns:a="http://schemas.openxmlformats.org/drawingml/2006/main">
          <a:off x="4586484" y="28576"/>
          <a:ext cx="3344313" cy="1104900"/>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u="sng">
              <a:latin typeface="Calibri Light" panose="020F0302020204030204" pitchFamily="34" charset="0"/>
              <a:ea typeface="Calibri Light" panose="020F0302020204030204" pitchFamily="34" charset="0"/>
              <a:cs typeface="Calibri Light" panose="020F0302020204030204" pitchFamily="34" charset="0"/>
            </a:rPr>
            <a:t>Land includes:</a:t>
          </a:r>
        </a:p>
        <a:p xmlns:a="http://schemas.openxmlformats.org/drawingml/2006/main">
          <a:r>
            <a:rPr lang="en-US" sz="1200">
              <a:latin typeface="Calibri Light" panose="020F0302020204030204" pitchFamily="34" charset="0"/>
              <a:ea typeface="Calibri Light" panose="020F0302020204030204" pitchFamily="34" charset="0"/>
              <a:cs typeface="Calibri Light" panose="020F0302020204030204" pitchFamily="34" charset="0"/>
            </a:rPr>
            <a:t>Air defence system, Ammunition, Armoured vehicle,</a:t>
          </a:r>
          <a:r>
            <a:rPr lang="en-US" sz="1200" baseline="0">
              <a:latin typeface="Calibri Light" panose="020F0302020204030204" pitchFamily="34" charset="0"/>
              <a:ea typeface="Calibri Light" panose="020F0302020204030204" pitchFamily="34" charset="0"/>
              <a:cs typeface="Calibri Light" panose="020F0302020204030204" pitchFamily="34" charset="0"/>
            </a:rPr>
            <a:t> Artillery, Drone, Helicopter, Infantry, Main battle tank, Mine, Missile (Land)</a:t>
          </a:r>
        </a:p>
        <a:p xmlns:a="http://schemas.openxmlformats.org/drawingml/2006/main">
          <a:r>
            <a:rPr lang="en-US" sz="1200" baseline="0">
              <a:latin typeface="Calibri Light" panose="020F0302020204030204" pitchFamily="34" charset="0"/>
              <a:ea typeface="Calibri Light" panose="020F0302020204030204" pitchFamily="34" charset="0"/>
              <a:cs typeface="Calibri Light" panose="020F0302020204030204" pitchFamily="34" charset="0"/>
            </a:rPr>
            <a:t>Each category includes costs for development</a:t>
          </a:r>
        </a:p>
      </cdr:txBody>
    </cdr:sp>
  </cdr:relSizeAnchor>
  <cdr:relSizeAnchor xmlns:cdr="http://schemas.openxmlformats.org/drawingml/2006/chartDrawing">
    <cdr:from>
      <cdr:x>0.78423</cdr:x>
      <cdr:y>0.32309</cdr:y>
    </cdr:from>
    <cdr:to>
      <cdr:x>0.91786</cdr:x>
      <cdr:y>0.43354</cdr:y>
    </cdr:to>
    <cdr:sp macro="" textlink="">
      <cdr:nvSpPr>
        <cdr:cNvPr id="9" name="TextBox 9">
          <a:extLst xmlns:a="http://schemas.openxmlformats.org/drawingml/2006/main">
            <a:ext uri="{FF2B5EF4-FFF2-40B4-BE49-F238E27FC236}">
              <a16:creationId xmlns:a16="http://schemas.microsoft.com/office/drawing/2014/main" id="{2B13D0EB-581D-CDD9-852C-4BFE9E8F4D1A}"/>
            </a:ext>
          </a:extLst>
        </cdr:cNvPr>
        <cdr:cNvSpPr txBox="1"/>
      </cdr:nvSpPr>
      <cdr:spPr>
        <a:xfrm xmlns:a="http://schemas.openxmlformats.org/drawingml/2006/main">
          <a:off x="9211544" y="2086531"/>
          <a:ext cx="1569614" cy="713280"/>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Lightweight Multirole Missile - £1.6 bn</a:t>
          </a:r>
        </a:p>
      </cdr:txBody>
    </cdr:sp>
  </cdr:relSizeAnchor>
  <cdr:relSizeAnchor xmlns:cdr="http://schemas.openxmlformats.org/drawingml/2006/chartDrawing">
    <cdr:from>
      <cdr:x>0.85105</cdr:x>
      <cdr:y>0.43354</cdr:y>
    </cdr:from>
    <cdr:to>
      <cdr:x>0.85633</cdr:x>
      <cdr:y>0.51769</cdr:y>
    </cdr:to>
    <cdr:cxnSp macro="">
      <cdr:nvCxnSpPr>
        <cdr:cNvPr id="10" name="Straight Arrow Connector 9">
          <a:extLst xmlns:a="http://schemas.openxmlformats.org/drawingml/2006/main">
            <a:ext uri="{FF2B5EF4-FFF2-40B4-BE49-F238E27FC236}">
              <a16:creationId xmlns:a16="http://schemas.microsoft.com/office/drawing/2014/main" id="{2009E25B-FC4B-9E82-4FF5-F2E796D524B7}"/>
            </a:ext>
          </a:extLst>
        </cdr:cNvPr>
        <cdr:cNvCxnSpPr>
          <a:stCxn xmlns:a="http://schemas.openxmlformats.org/drawingml/2006/main" id="9" idx="2"/>
        </cdr:cNvCxnSpPr>
      </cdr:nvCxnSpPr>
      <cdr:spPr>
        <a:xfrm xmlns:a="http://schemas.openxmlformats.org/drawingml/2006/main">
          <a:off x="9996410" y="2799811"/>
          <a:ext cx="62019" cy="54343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0.5957</cdr:x>
      <cdr:y>0.28717</cdr:y>
    </cdr:from>
    <cdr:to>
      <cdr:x>0.69496</cdr:x>
      <cdr:y>0.36578</cdr:y>
    </cdr:to>
    <cdr:cxnSp macro="">
      <cdr:nvCxnSpPr>
        <cdr:cNvPr id="12" name="Straight Arrow Connector 11">
          <a:extLst xmlns:a="http://schemas.openxmlformats.org/drawingml/2006/main">
            <a:ext uri="{FF2B5EF4-FFF2-40B4-BE49-F238E27FC236}">
              <a16:creationId xmlns:a16="http://schemas.microsoft.com/office/drawing/2014/main" id="{AE534B2C-20F6-3527-BA56-904205B6DD89}"/>
            </a:ext>
          </a:extLst>
        </cdr:cNvPr>
        <cdr:cNvCxnSpPr>
          <a:stCxn xmlns:a="http://schemas.openxmlformats.org/drawingml/2006/main" id="14" idx="2"/>
        </cdr:cNvCxnSpPr>
      </cdr:nvCxnSpPr>
      <cdr:spPr>
        <a:xfrm xmlns:a="http://schemas.openxmlformats.org/drawingml/2006/main">
          <a:off x="6997077" y="1854561"/>
          <a:ext cx="1165904" cy="50766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69.xml><?xml version="1.0" encoding="utf-8"?>
<xdr:wsDr xmlns:xdr="http://schemas.openxmlformats.org/drawingml/2006/spreadsheetDrawing" xmlns:a="http://schemas.openxmlformats.org/drawingml/2006/main">
  <xdr:twoCellAnchor>
    <xdr:from>
      <xdr:col>5</xdr:col>
      <xdr:colOff>7619</xdr:colOff>
      <xdr:row>5</xdr:row>
      <xdr:rowOff>0</xdr:rowOff>
    </xdr:from>
    <xdr:to>
      <xdr:col>25</xdr:col>
      <xdr:colOff>657225</xdr:colOff>
      <xdr:row>45</xdr:row>
      <xdr:rowOff>44824</xdr:rowOff>
    </xdr:to>
    <xdr:graphicFrame macro="">
      <xdr:nvGraphicFramePr>
        <xdr:cNvPr id="2" name="Chart 1">
          <a:extLst>
            <a:ext uri="{FF2B5EF4-FFF2-40B4-BE49-F238E27FC236}">
              <a16:creationId xmlns:a16="http://schemas.microsoft.com/office/drawing/2014/main" id="{FDDB3AA8-10C8-450D-9128-EF33D3A18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14</xdr:col>
      <xdr:colOff>350520</xdr:colOff>
      <xdr:row>4</xdr:row>
      <xdr:rowOff>198119</xdr:rowOff>
    </xdr:from>
    <xdr:to>
      <xdr:col>29</xdr:col>
      <xdr:colOff>331095</xdr:colOff>
      <xdr:row>27</xdr:row>
      <xdr:rowOff>46431</xdr:rowOff>
    </xdr:to>
    <xdr:graphicFrame macro="">
      <xdr:nvGraphicFramePr>
        <xdr:cNvPr id="8" name="Chart 7">
          <a:extLst>
            <a:ext uri="{FF2B5EF4-FFF2-40B4-BE49-F238E27FC236}">
              <a16:creationId xmlns:a16="http://schemas.microsoft.com/office/drawing/2014/main" id="{6E5E720F-2991-44B5-ADA8-DC32813DC1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0.06137</cdr:x>
      <cdr:y>0</cdr:y>
    </cdr:from>
    <cdr:to>
      <cdr:x>0.19169</cdr:x>
      <cdr:y>0.08699</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858282" y="0"/>
          <a:ext cx="1822474" cy="706120"/>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€64.7 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0.30619</cdr:x>
      <cdr:y>0.42589</cdr:y>
    </cdr:from>
    <cdr:to>
      <cdr:x>0.52076</cdr:x>
      <cdr:y>0.48461</cdr:y>
    </cdr:to>
    <cdr:sp macro="" textlink="">
      <cdr:nvSpPr>
        <cdr:cNvPr id="19" name="TextBox 9">
          <a:extLst xmlns:a="http://schemas.openxmlformats.org/drawingml/2006/main">
            <a:ext uri="{FF2B5EF4-FFF2-40B4-BE49-F238E27FC236}">
              <a16:creationId xmlns:a16="http://schemas.microsoft.com/office/drawing/2014/main" id="{D9DAF369-FD2E-45C9-97AB-917F35607EAB}"/>
            </a:ext>
          </a:extLst>
        </cdr:cNvPr>
        <cdr:cNvSpPr txBox="1"/>
      </cdr:nvSpPr>
      <cdr:spPr>
        <a:xfrm xmlns:a="http://schemas.openxmlformats.org/drawingml/2006/main">
          <a:off x="4281939" y="3455018"/>
          <a:ext cx="3000677" cy="47636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KRAB and K9 SP howitzers - €3.1 bn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AW149 helicopters - €1.7 bn</a:t>
          </a:r>
        </a:p>
        <a:p xmlns:a="http://schemas.openxmlformats.org/drawingml/2006/main">
          <a:endParaRPr lang="en-US" sz="1100"/>
        </a:p>
      </cdr:txBody>
    </cdr:sp>
  </cdr:relSizeAnchor>
  <cdr:relSizeAnchor xmlns:cdr="http://schemas.openxmlformats.org/drawingml/2006/chartDrawing">
    <cdr:from>
      <cdr:x>0.44243</cdr:x>
      <cdr:y>0.49682</cdr:y>
    </cdr:from>
    <cdr:to>
      <cdr:x>0.48846</cdr:x>
      <cdr:y>0.56589</cdr:y>
    </cdr:to>
    <cdr:cxnSp macro="">
      <cdr:nvCxnSpPr>
        <cdr:cNvPr id="20" name="Straight Arrow Connector 19">
          <a:extLst xmlns:a="http://schemas.openxmlformats.org/drawingml/2006/main">
            <a:ext uri="{FF2B5EF4-FFF2-40B4-BE49-F238E27FC236}">
              <a16:creationId xmlns:a16="http://schemas.microsoft.com/office/drawing/2014/main" id="{3479F456-9CA4-4669-8D3B-6D43AAB04EFD}"/>
            </a:ext>
          </a:extLst>
        </cdr:cNvPr>
        <cdr:cNvCxnSpPr/>
      </cdr:nvCxnSpPr>
      <cdr:spPr>
        <a:xfrm xmlns:a="http://schemas.openxmlformats.org/drawingml/2006/main">
          <a:off x="6187202" y="4030437"/>
          <a:ext cx="643711" cy="56033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0.20505</cdr:x>
      <cdr:y>0.49509</cdr:y>
    </cdr:from>
    <cdr:to>
      <cdr:x>0.42897</cdr:x>
      <cdr:y>0.55055</cdr:y>
    </cdr:to>
    <cdr:sp macro="" textlink="">
      <cdr:nvSpPr>
        <cdr:cNvPr id="21" name="TextBox 3">
          <a:extLst xmlns:a="http://schemas.openxmlformats.org/drawingml/2006/main">
            <a:ext uri="{FF2B5EF4-FFF2-40B4-BE49-F238E27FC236}">
              <a16:creationId xmlns:a16="http://schemas.microsoft.com/office/drawing/2014/main" id="{C0F62E8D-E054-CECB-EBDB-C1786EB56E1E}"/>
            </a:ext>
          </a:extLst>
        </cdr:cNvPr>
        <cdr:cNvSpPr txBox="1"/>
      </cdr:nvSpPr>
      <cdr:spPr>
        <a:xfrm xmlns:a="http://schemas.openxmlformats.org/drawingml/2006/main">
          <a:off x="2867536" y="4016403"/>
          <a:ext cx="3131433" cy="44991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M1A2 SEPv3 tanks- €4 bn</a:t>
          </a:r>
        </a:p>
        <a:p xmlns:a="http://schemas.openxmlformats.org/drawingml/2006/main">
          <a:endParaRPr lang="en-US" sz="1100">
            <a:solidFill>
              <a:schemeClr val="dk1"/>
            </a:solidFill>
            <a:effectLst/>
            <a:latin typeface="Times New Roman" panose="02020603050405020304" pitchFamily="18" charset="0"/>
            <a:ea typeface="+mn-ea"/>
            <a:cs typeface="Times New Roman" panose="02020603050405020304" pitchFamily="18" charset="0"/>
          </a:endParaRPr>
        </a:p>
      </cdr:txBody>
    </cdr:sp>
  </cdr:relSizeAnchor>
  <cdr:relSizeAnchor xmlns:cdr="http://schemas.openxmlformats.org/drawingml/2006/chartDrawing">
    <cdr:from>
      <cdr:x>0.29914</cdr:x>
      <cdr:y>0.52895</cdr:y>
    </cdr:from>
    <cdr:to>
      <cdr:x>0.34329</cdr:x>
      <cdr:y>0.61046</cdr:y>
    </cdr:to>
    <cdr:cxnSp macro="">
      <cdr:nvCxnSpPr>
        <cdr:cNvPr id="27" name="Straight Arrow Connector 26">
          <a:extLst xmlns:a="http://schemas.openxmlformats.org/drawingml/2006/main">
            <a:ext uri="{FF2B5EF4-FFF2-40B4-BE49-F238E27FC236}">
              <a16:creationId xmlns:a16="http://schemas.microsoft.com/office/drawing/2014/main" id="{7A710D46-E7C4-9479-BD3C-FE2886225255}"/>
            </a:ext>
          </a:extLst>
        </cdr:cNvPr>
        <cdr:cNvCxnSpPr/>
      </cdr:nvCxnSpPr>
      <cdr:spPr>
        <a:xfrm xmlns:a="http://schemas.openxmlformats.org/drawingml/2006/main">
          <a:off x="4183348" y="4291092"/>
          <a:ext cx="617420" cy="661250"/>
        </a:xfrm>
        <a:prstGeom xmlns:a="http://schemas.openxmlformats.org/drawingml/2006/main" prst="straightConnector1">
          <a:avLst/>
        </a:prstGeom>
        <a:ln xmlns:a="http://schemas.openxmlformats.org/drawingml/2006/main">
          <a:tailEnd type="triangle"/>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0.06036</cdr:x>
      <cdr:y>0.17369</cdr:y>
    </cdr:from>
    <cdr:to>
      <cdr:x>0.34508</cdr:x>
      <cdr:y>0.43031</cdr:y>
    </cdr:to>
    <cdr:sp macro="" textlink="">
      <cdr:nvSpPr>
        <cdr:cNvPr id="5" name="TextBox 1">
          <a:extLst xmlns:a="http://schemas.openxmlformats.org/drawingml/2006/main">
            <a:ext uri="{FF2B5EF4-FFF2-40B4-BE49-F238E27FC236}">
              <a16:creationId xmlns:a16="http://schemas.microsoft.com/office/drawing/2014/main" id="{96C35D08-B6AB-1A9F-7345-B47571D20915}"/>
            </a:ext>
          </a:extLst>
        </cdr:cNvPr>
        <cdr:cNvSpPr txBox="1"/>
      </cdr:nvSpPr>
      <cdr:spPr>
        <a:xfrm xmlns:a="http://schemas.openxmlformats.org/drawingml/2006/main">
          <a:off x="844158" y="1409868"/>
          <a:ext cx="3981697" cy="208305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u="sng">
              <a:latin typeface="Calibri Light" panose="020F0302020204030204" pitchFamily="34" charset="0"/>
              <a:ea typeface="Calibri Light" panose="020F0302020204030204" pitchFamily="34" charset="0"/>
              <a:cs typeface="Calibri Light" panose="020F0302020204030204" pitchFamily="34" charset="0"/>
            </a:rPr>
            <a:t>Land includes:</a:t>
          </a:r>
        </a:p>
        <a:p xmlns:a="http://schemas.openxmlformats.org/drawingml/2006/main">
          <a:r>
            <a:rPr lang="en-US" sz="1200">
              <a:latin typeface="Calibri Light" panose="020F0302020204030204" pitchFamily="34" charset="0"/>
              <a:ea typeface="Calibri Light" panose="020F0302020204030204" pitchFamily="34" charset="0"/>
              <a:cs typeface="Calibri Light" panose="020F0302020204030204" pitchFamily="34" charset="0"/>
            </a:rPr>
            <a:t>Air defence system, Ammunition, Armoured vehicle,</a:t>
          </a:r>
          <a:r>
            <a:rPr lang="en-US" sz="1200" baseline="0">
              <a:latin typeface="Calibri Light" panose="020F0302020204030204" pitchFamily="34" charset="0"/>
              <a:ea typeface="Calibri Light" panose="020F0302020204030204" pitchFamily="34" charset="0"/>
              <a:cs typeface="Calibri Light" panose="020F0302020204030204" pitchFamily="34" charset="0"/>
            </a:rPr>
            <a:t> Artillery, Drone, Helicopter, Infantry, Main battle tank, Mine, Missile (Land)</a:t>
          </a:r>
        </a:p>
        <a:p xmlns:a="http://schemas.openxmlformats.org/drawingml/2006/main">
          <a:r>
            <a:rPr lang="en-US" sz="1200" baseline="0">
              <a:latin typeface="Calibri Light" panose="020F0302020204030204" pitchFamily="34" charset="0"/>
              <a:ea typeface="Calibri Light" panose="020F0302020204030204" pitchFamily="34" charset="0"/>
              <a:cs typeface="Calibri Light" panose="020F0302020204030204" pitchFamily="34" charset="0"/>
            </a:rPr>
            <a:t>Each category includes costs for development</a:t>
          </a:r>
        </a:p>
      </cdr:txBody>
    </cdr:sp>
  </cdr:relSizeAnchor>
  <cdr:relSizeAnchor xmlns:cdr="http://schemas.openxmlformats.org/drawingml/2006/chartDrawing">
    <cdr:from>
      <cdr:x>0.6065</cdr:x>
      <cdr:y>0.08218</cdr:y>
    </cdr:from>
    <cdr:to>
      <cdr:x>0.83481</cdr:x>
      <cdr:y>0.12271</cdr:y>
    </cdr:to>
    <cdr:sp macro="" textlink="">
      <cdr:nvSpPr>
        <cdr:cNvPr id="9" name="TextBox 9">
          <a:extLst xmlns:a="http://schemas.openxmlformats.org/drawingml/2006/main">
            <a:ext uri="{FF2B5EF4-FFF2-40B4-BE49-F238E27FC236}">
              <a16:creationId xmlns:a16="http://schemas.microsoft.com/office/drawing/2014/main" id="{2B13D0EB-581D-CDD9-852C-4BFE9E8F4D1A}"/>
            </a:ext>
          </a:extLst>
        </cdr:cNvPr>
        <cdr:cNvSpPr txBox="1"/>
      </cdr:nvSpPr>
      <cdr:spPr>
        <a:xfrm xmlns:a="http://schemas.openxmlformats.org/drawingml/2006/main">
          <a:off x="8481656" y="666671"/>
          <a:ext cx="3192826" cy="32879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AH-64E Apache helicopters - €9.2 bn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0.7458</cdr:x>
      <cdr:y>0.12812</cdr:y>
    </cdr:from>
    <cdr:to>
      <cdr:x>0.78987</cdr:x>
      <cdr:y>0.23105</cdr:y>
    </cdr:to>
    <cdr:cxnSp macro="">
      <cdr:nvCxnSpPr>
        <cdr:cNvPr id="10" name="Straight Arrow Connector 9">
          <a:extLst xmlns:a="http://schemas.openxmlformats.org/drawingml/2006/main">
            <a:ext uri="{FF2B5EF4-FFF2-40B4-BE49-F238E27FC236}">
              <a16:creationId xmlns:a16="http://schemas.microsoft.com/office/drawing/2014/main" id="{2009E25B-FC4B-9E82-4FF5-F2E796D524B7}"/>
            </a:ext>
          </a:extLst>
        </cdr:cNvPr>
        <cdr:cNvCxnSpPr/>
      </cdr:nvCxnSpPr>
      <cdr:spPr>
        <a:xfrm xmlns:a="http://schemas.openxmlformats.org/drawingml/2006/main">
          <a:off x="10429712" y="1039359"/>
          <a:ext cx="616302" cy="83502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0.39546</cdr:x>
      <cdr:y>0.30759</cdr:y>
    </cdr:from>
    <cdr:to>
      <cdr:x>0.59022</cdr:x>
      <cdr:y>0.37585</cdr:y>
    </cdr:to>
    <cdr:sp macro="" textlink="">
      <cdr:nvSpPr>
        <cdr:cNvPr id="6" name="TextBox 10">
          <a:extLst xmlns:a="http://schemas.openxmlformats.org/drawingml/2006/main">
            <a:ext uri="{FF2B5EF4-FFF2-40B4-BE49-F238E27FC236}">
              <a16:creationId xmlns:a16="http://schemas.microsoft.com/office/drawing/2014/main" id="{5AD4AEEC-4B42-76B2-EE9F-7A5A276587CC}"/>
            </a:ext>
          </a:extLst>
        </cdr:cNvPr>
        <cdr:cNvSpPr txBox="1"/>
      </cdr:nvSpPr>
      <cdr:spPr>
        <a:xfrm xmlns:a="http://schemas.openxmlformats.org/drawingml/2006/main">
          <a:off x="5530345" y="2495309"/>
          <a:ext cx="2723642" cy="5537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K2 tanks - </a:t>
          </a:r>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€3.2 bn</a:t>
          </a:r>
        </a:p>
        <a:p xmlns:a="http://schemas.openxmlformats.org/drawingml/2006/main">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K239</a:t>
          </a:r>
          <a:r>
            <a:rPr lang="en-US" sz="1400" baseline="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 Chunmoo launchers</a:t>
          </a:r>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 - €3.3 bn</a:t>
          </a:r>
        </a:p>
        <a:p xmlns:a="http://schemas.openxmlformats.org/drawingml/2006/main">
          <a:endPar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0.50177</cdr:x>
      <cdr:y>0.37268</cdr:y>
    </cdr:from>
    <cdr:to>
      <cdr:x>0.5478</cdr:x>
      <cdr:y>0.44174</cdr:y>
    </cdr:to>
    <cdr:cxnSp macro="">
      <cdr:nvCxnSpPr>
        <cdr:cNvPr id="7" name="Straight Arrow Connector 6">
          <a:extLst xmlns:a="http://schemas.openxmlformats.org/drawingml/2006/main">
            <a:ext uri="{FF2B5EF4-FFF2-40B4-BE49-F238E27FC236}">
              <a16:creationId xmlns:a16="http://schemas.microsoft.com/office/drawing/2014/main" id="{72370E48-C894-7385-3C68-3FC0E8D419DE}"/>
            </a:ext>
          </a:extLst>
        </cdr:cNvPr>
        <cdr:cNvCxnSpPr/>
      </cdr:nvCxnSpPr>
      <cdr:spPr>
        <a:xfrm xmlns:a="http://schemas.openxmlformats.org/drawingml/2006/main">
          <a:off x="7017109" y="3023404"/>
          <a:ext cx="643711" cy="56024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0.80389</cdr:x>
      <cdr:y>0.30577</cdr:y>
    </cdr:from>
    <cdr:to>
      <cdr:x>0.91744</cdr:x>
      <cdr:y>0.41563</cdr:y>
    </cdr:to>
    <cdr:sp macro="" textlink="">
      <cdr:nvSpPr>
        <cdr:cNvPr id="8" name="TextBox 9">
          <a:extLst xmlns:a="http://schemas.openxmlformats.org/drawingml/2006/main">
            <a:ext uri="{FF2B5EF4-FFF2-40B4-BE49-F238E27FC236}">
              <a16:creationId xmlns:a16="http://schemas.microsoft.com/office/drawing/2014/main" id="{2EC55D1C-C74A-7A1D-430E-6A3125619CE8}"/>
            </a:ext>
          </a:extLst>
        </cdr:cNvPr>
        <cdr:cNvSpPr txBox="1"/>
      </cdr:nvSpPr>
      <cdr:spPr>
        <a:xfrm xmlns:a="http://schemas.openxmlformats.org/drawingml/2006/main">
          <a:off x="11242078" y="2480544"/>
          <a:ext cx="1587952" cy="89124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KRAB SP</a:t>
          </a:r>
          <a:r>
            <a:rPr lang="en-US" sz="1400" baseline="0">
              <a:latin typeface="Calibri Light" panose="020F0302020204030204" pitchFamily="34" charset="0"/>
              <a:ea typeface="Calibri Light" panose="020F0302020204030204" pitchFamily="34" charset="0"/>
              <a:cs typeface="Calibri Light" panose="020F0302020204030204" pitchFamily="34" charset="0"/>
            </a:rPr>
            <a:t> howitzer and K9 SP howitzer accompanying vehicles - </a:t>
          </a:r>
          <a:r>
            <a:rPr lang="en-US" sz="1400">
              <a:solidFill>
                <a:schemeClr val="dk1"/>
              </a:solidFill>
              <a:effectLst/>
              <a:latin typeface="+mn-lt"/>
              <a:ea typeface="+mn-ea"/>
              <a:cs typeface="+mn-cs"/>
            </a:rPr>
            <a:t>€</a:t>
          </a:r>
          <a:r>
            <a:rPr lang="en-US" sz="1400" baseline="0">
              <a:latin typeface="Calibri Light" panose="020F0302020204030204" pitchFamily="34" charset="0"/>
              <a:ea typeface="Calibri Light" panose="020F0302020204030204" pitchFamily="34" charset="0"/>
              <a:cs typeface="Calibri Light" panose="020F0302020204030204" pitchFamily="34" charset="0"/>
            </a:rPr>
            <a:t>3.9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p>
      </cdr:txBody>
    </cdr:sp>
  </cdr:relSizeAnchor>
  <cdr:relSizeAnchor xmlns:cdr="http://schemas.openxmlformats.org/drawingml/2006/chartDrawing">
    <cdr:from>
      <cdr:x>0.85352</cdr:x>
      <cdr:y>0.42148</cdr:y>
    </cdr:from>
    <cdr:to>
      <cdr:x>0.86947</cdr:x>
      <cdr:y>0.47965</cdr:y>
    </cdr:to>
    <cdr:cxnSp macro="">
      <cdr:nvCxnSpPr>
        <cdr:cNvPr id="13" name="Straight Arrow Connector 12">
          <a:extLst xmlns:a="http://schemas.openxmlformats.org/drawingml/2006/main">
            <a:ext uri="{FF2B5EF4-FFF2-40B4-BE49-F238E27FC236}">
              <a16:creationId xmlns:a16="http://schemas.microsoft.com/office/drawing/2014/main" id="{604EA50F-5E85-6021-2DA0-D628B0CC8B6A}"/>
            </a:ext>
          </a:extLst>
        </cdr:cNvPr>
        <cdr:cNvCxnSpPr/>
      </cdr:nvCxnSpPr>
      <cdr:spPr>
        <a:xfrm xmlns:a="http://schemas.openxmlformats.org/drawingml/2006/main" flipH="1">
          <a:off x="11936134" y="3419242"/>
          <a:ext cx="223054" cy="47190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0.91691</cdr:x>
      <cdr:y>0.36202</cdr:y>
    </cdr:from>
    <cdr:to>
      <cdr:x>1</cdr:x>
      <cdr:y>0.47188</cdr:y>
    </cdr:to>
    <cdr:sp macro="" textlink="">
      <cdr:nvSpPr>
        <cdr:cNvPr id="2" name="TextBox 9">
          <a:extLst xmlns:a="http://schemas.openxmlformats.org/drawingml/2006/main">
            <a:ext uri="{FF2B5EF4-FFF2-40B4-BE49-F238E27FC236}">
              <a16:creationId xmlns:a16="http://schemas.microsoft.com/office/drawing/2014/main" id="{9731082D-9FF6-930B-B82F-EFBCE996859F}"/>
            </a:ext>
          </a:extLst>
        </cdr:cNvPr>
        <cdr:cNvSpPr txBox="1"/>
      </cdr:nvSpPr>
      <cdr:spPr>
        <a:xfrm xmlns:a="http://schemas.openxmlformats.org/drawingml/2006/main">
          <a:off x="12822556" y="2936875"/>
          <a:ext cx="1162050" cy="89124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K2 tanks - </a:t>
          </a:r>
          <a:r>
            <a:rPr lang="en-US" sz="1400">
              <a:solidFill>
                <a:schemeClr val="dk1"/>
              </a:solidFill>
              <a:effectLst/>
              <a:latin typeface="+mn-lt"/>
              <a:ea typeface="+mn-ea"/>
              <a:cs typeface="+mn-cs"/>
            </a:rPr>
            <a:t>€</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5.7</a:t>
          </a:r>
          <a:r>
            <a:rPr lang="en-US" sz="1400" baseline="0">
              <a:latin typeface="Calibri Light" panose="020F0302020204030204" pitchFamily="34" charset="0"/>
              <a:ea typeface="Calibri Light" panose="020F0302020204030204" pitchFamily="34" charset="0"/>
              <a:cs typeface="Calibri Light" panose="020F0302020204030204" pitchFamily="34" charset="0"/>
            </a:rPr>
            <a:t>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p>
      </cdr:txBody>
    </cdr:sp>
  </cdr:relSizeAnchor>
  <cdr:relSizeAnchor xmlns:cdr="http://schemas.openxmlformats.org/drawingml/2006/chartDrawing">
    <cdr:from>
      <cdr:x>0.9782</cdr:x>
      <cdr:y>0.42973</cdr:y>
    </cdr:from>
    <cdr:to>
      <cdr:x>0.98891</cdr:x>
      <cdr:y>0.5755</cdr:y>
    </cdr:to>
    <cdr:cxnSp macro="">
      <cdr:nvCxnSpPr>
        <cdr:cNvPr id="4" name="Straight Arrow Connector 3">
          <a:extLst xmlns:a="http://schemas.openxmlformats.org/drawingml/2006/main">
            <a:ext uri="{FF2B5EF4-FFF2-40B4-BE49-F238E27FC236}">
              <a16:creationId xmlns:a16="http://schemas.microsoft.com/office/drawing/2014/main" id="{E253032F-3CE8-5B41-8866-CED334FD137E}"/>
            </a:ext>
          </a:extLst>
        </cdr:cNvPr>
        <cdr:cNvCxnSpPr/>
      </cdr:nvCxnSpPr>
      <cdr:spPr>
        <a:xfrm xmlns:a="http://schemas.openxmlformats.org/drawingml/2006/main">
          <a:off x="13679806" y="3486150"/>
          <a:ext cx="149680" cy="118263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71.xml><?xml version="1.0" encoding="utf-8"?>
<xdr:wsDr xmlns:xdr="http://schemas.openxmlformats.org/drawingml/2006/spreadsheetDrawing" xmlns:a="http://schemas.openxmlformats.org/drawingml/2006/main">
  <xdr:twoCellAnchor>
    <xdr:from>
      <xdr:col>5</xdr:col>
      <xdr:colOff>0</xdr:colOff>
      <xdr:row>5</xdr:row>
      <xdr:rowOff>0</xdr:rowOff>
    </xdr:from>
    <xdr:to>
      <xdr:col>22</xdr:col>
      <xdr:colOff>273107</xdr:colOff>
      <xdr:row>36</xdr:row>
      <xdr:rowOff>190500</xdr:rowOff>
    </xdr:to>
    <xdr:graphicFrame macro="">
      <xdr:nvGraphicFramePr>
        <xdr:cNvPr id="2" name="Chart 1">
          <a:extLst>
            <a:ext uri="{FF2B5EF4-FFF2-40B4-BE49-F238E27FC236}">
              <a16:creationId xmlns:a16="http://schemas.microsoft.com/office/drawing/2014/main" id="{E10774FD-D857-4190-AABE-B25CF597BC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0.06461</cdr:x>
      <cdr:y>0.00442</cdr:y>
    </cdr:from>
    <cdr:to>
      <cdr:x>0.19493</cdr:x>
      <cdr:y>0.09141</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750281" y="28575"/>
          <a:ext cx="1513356" cy="561777"/>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GBP</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£26.7 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0.23014</cdr:x>
      <cdr:y>0.51439</cdr:y>
    </cdr:from>
    <cdr:to>
      <cdr:x>0.39914</cdr:x>
      <cdr:y>0.59685</cdr:y>
    </cdr:to>
    <cdr:sp macro="" textlink="">
      <cdr:nvSpPr>
        <cdr:cNvPr id="19" name="TextBox 9">
          <a:extLst xmlns:a="http://schemas.openxmlformats.org/drawingml/2006/main">
            <a:ext uri="{FF2B5EF4-FFF2-40B4-BE49-F238E27FC236}">
              <a16:creationId xmlns:a16="http://schemas.microsoft.com/office/drawing/2014/main" id="{D9DAF369-FD2E-45C9-97AB-917F35607EAB}"/>
            </a:ext>
          </a:extLst>
        </cdr:cNvPr>
        <cdr:cNvSpPr txBox="1"/>
      </cdr:nvSpPr>
      <cdr:spPr>
        <a:xfrm xmlns:a="http://schemas.openxmlformats.org/drawingml/2006/main">
          <a:off x="2672538" y="3321926"/>
          <a:ext cx="1962532" cy="532522"/>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Dreadnought submarine design - £2 bn</a:t>
          </a:r>
        </a:p>
        <a:p xmlns:a="http://schemas.openxmlformats.org/drawingml/2006/main">
          <a:endParaRPr lang="en-US" sz="1100"/>
        </a:p>
      </cdr:txBody>
    </cdr:sp>
  </cdr:relSizeAnchor>
  <cdr:relSizeAnchor xmlns:cdr="http://schemas.openxmlformats.org/drawingml/2006/chartDrawing">
    <cdr:from>
      <cdr:x>0.31464</cdr:x>
      <cdr:y>0.59685</cdr:y>
    </cdr:from>
    <cdr:to>
      <cdr:x>0.40273</cdr:x>
      <cdr:y>0.66077</cdr:y>
    </cdr:to>
    <cdr:cxnSp macro="">
      <cdr:nvCxnSpPr>
        <cdr:cNvPr id="20" name="Straight Arrow Connector 19">
          <a:extLst xmlns:a="http://schemas.openxmlformats.org/drawingml/2006/main">
            <a:ext uri="{FF2B5EF4-FFF2-40B4-BE49-F238E27FC236}">
              <a16:creationId xmlns:a16="http://schemas.microsoft.com/office/drawing/2014/main" id="{3479F456-9CA4-4669-8D3B-6D43AAB04EFD}"/>
            </a:ext>
          </a:extLst>
        </cdr:cNvPr>
        <cdr:cNvCxnSpPr>
          <a:stCxn xmlns:a="http://schemas.openxmlformats.org/drawingml/2006/main" id="19" idx="2"/>
        </cdr:cNvCxnSpPr>
      </cdr:nvCxnSpPr>
      <cdr:spPr>
        <a:xfrm xmlns:a="http://schemas.openxmlformats.org/drawingml/2006/main">
          <a:off x="3653804" y="3854448"/>
          <a:ext cx="1022971" cy="41275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0.06453</cdr:x>
      <cdr:y>0.17033</cdr:y>
    </cdr:from>
    <cdr:to>
      <cdr:x>0.34925</cdr:x>
      <cdr:y>0.41298</cdr:y>
    </cdr:to>
    <cdr:sp macro="" textlink="">
      <cdr:nvSpPr>
        <cdr:cNvPr id="5" name="TextBox 1">
          <a:extLst xmlns:a="http://schemas.openxmlformats.org/drawingml/2006/main">
            <a:ext uri="{FF2B5EF4-FFF2-40B4-BE49-F238E27FC236}">
              <a16:creationId xmlns:a16="http://schemas.microsoft.com/office/drawing/2014/main" id="{96C35D08-B6AB-1A9F-7345-B47571D20915}"/>
            </a:ext>
          </a:extLst>
        </cdr:cNvPr>
        <cdr:cNvSpPr txBox="1"/>
      </cdr:nvSpPr>
      <cdr:spPr>
        <a:xfrm xmlns:a="http://schemas.openxmlformats.org/drawingml/2006/main">
          <a:off x="749371" y="1099965"/>
          <a:ext cx="3306345" cy="1567021"/>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u="sng">
              <a:latin typeface="Calibri Light" panose="020F0302020204030204" pitchFamily="34" charset="0"/>
              <a:ea typeface="Calibri Light" panose="020F0302020204030204" pitchFamily="34" charset="0"/>
              <a:cs typeface="Calibri Light" panose="020F0302020204030204" pitchFamily="34" charset="0"/>
            </a:rPr>
            <a:t>Navy includes:</a:t>
          </a:r>
        </a:p>
        <a:p xmlns:a="http://schemas.openxmlformats.org/drawingml/2006/main">
          <a:r>
            <a:rPr lang="en-US" sz="1200">
              <a:latin typeface="Calibri Light" panose="020F0302020204030204" pitchFamily="34" charset="0"/>
              <a:ea typeface="Calibri Light" panose="020F0302020204030204" pitchFamily="34" charset="0"/>
              <a:cs typeface="Calibri Light" panose="020F0302020204030204" pitchFamily="34" charset="0"/>
            </a:rPr>
            <a:t>Navy</a:t>
          </a:r>
          <a:r>
            <a:rPr lang="en-US" sz="1200" baseline="0">
              <a:latin typeface="Calibri Light" panose="020F0302020204030204" pitchFamily="34" charset="0"/>
              <a:ea typeface="Calibri Light" panose="020F0302020204030204" pitchFamily="34" charset="0"/>
              <a:cs typeface="Calibri Light" panose="020F0302020204030204" pitchFamily="34" charset="0"/>
            </a:rPr>
            <a:t>, Missile (Naval)</a:t>
          </a:r>
        </a:p>
        <a:p xmlns:a="http://schemas.openxmlformats.org/drawingml/2006/main">
          <a:r>
            <a:rPr lang="en-US" sz="1200" baseline="0">
              <a:latin typeface="Calibri Light" panose="020F0302020204030204" pitchFamily="34" charset="0"/>
              <a:ea typeface="Calibri Light" panose="020F0302020204030204" pitchFamily="34" charset="0"/>
              <a:cs typeface="Calibri Light" panose="020F0302020204030204" pitchFamily="34" charset="0"/>
            </a:rPr>
            <a:t>Each category includes costs for development</a:t>
          </a:r>
        </a:p>
      </cdr:txBody>
    </cdr:sp>
  </cdr:relSizeAnchor>
  <cdr:relSizeAnchor xmlns:cdr="http://schemas.openxmlformats.org/drawingml/2006/chartDrawing">
    <cdr:from>
      <cdr:x>0.63893</cdr:x>
      <cdr:y>0.44029</cdr:y>
    </cdr:from>
    <cdr:to>
      <cdr:x>0.80998</cdr:x>
      <cdr:y>0.52574</cdr:y>
    </cdr:to>
    <cdr:sp macro="" textlink="">
      <cdr:nvSpPr>
        <cdr:cNvPr id="9" name="TextBox 9">
          <a:extLst xmlns:a="http://schemas.openxmlformats.org/drawingml/2006/main">
            <a:ext uri="{FF2B5EF4-FFF2-40B4-BE49-F238E27FC236}">
              <a16:creationId xmlns:a16="http://schemas.microsoft.com/office/drawing/2014/main" id="{2B13D0EB-581D-CDD9-852C-4BFE9E8F4D1A}"/>
            </a:ext>
          </a:extLst>
        </cdr:cNvPr>
        <cdr:cNvSpPr txBox="1"/>
      </cdr:nvSpPr>
      <cdr:spPr>
        <a:xfrm xmlns:a="http://schemas.openxmlformats.org/drawingml/2006/main">
          <a:off x="7419593" y="2843398"/>
          <a:ext cx="1986339" cy="551832"/>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AUKUS submarine long leads parts</a:t>
          </a:r>
          <a:r>
            <a:rPr lang="en-US" sz="1400" baseline="0">
              <a:latin typeface="Calibri Light" panose="020F0302020204030204" pitchFamily="34" charset="0"/>
              <a:ea typeface="Calibri Light" panose="020F0302020204030204" pitchFamily="34" charset="0"/>
              <a:cs typeface="Calibri Light" panose="020F0302020204030204" pitchFamily="34" charset="0"/>
            </a:rPr>
            <a:t> - £4 bn</a:t>
          </a:r>
        </a:p>
      </cdr:txBody>
    </cdr:sp>
  </cdr:relSizeAnchor>
  <cdr:relSizeAnchor xmlns:cdr="http://schemas.openxmlformats.org/drawingml/2006/chartDrawing">
    <cdr:from>
      <cdr:x>0.33985</cdr:x>
      <cdr:y>0.39283</cdr:y>
    </cdr:from>
    <cdr:to>
      <cdr:x>0.51659</cdr:x>
      <cdr:y>0.44248</cdr:y>
    </cdr:to>
    <cdr:sp macro="" textlink="">
      <cdr:nvSpPr>
        <cdr:cNvPr id="13" name="TextBox 3">
          <a:extLst xmlns:a="http://schemas.openxmlformats.org/drawingml/2006/main">
            <a:ext uri="{FF2B5EF4-FFF2-40B4-BE49-F238E27FC236}">
              <a16:creationId xmlns:a16="http://schemas.microsoft.com/office/drawing/2014/main" id="{FE8F54A3-FEFA-1E0D-92EA-3F8DD54ADF08}"/>
            </a:ext>
          </a:extLst>
        </cdr:cNvPr>
        <cdr:cNvSpPr txBox="1"/>
      </cdr:nvSpPr>
      <cdr:spPr>
        <a:xfrm xmlns:a="http://schemas.openxmlformats.org/drawingml/2006/main">
          <a:off x="3946567" y="2536862"/>
          <a:ext cx="2052414" cy="320637"/>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Type 26 Frigate - £4.2 bn</a:t>
          </a:r>
        </a:p>
      </cdr:txBody>
    </cdr:sp>
  </cdr:relSizeAnchor>
  <cdr:relSizeAnchor xmlns:cdr="http://schemas.openxmlformats.org/drawingml/2006/chartDrawing">
    <cdr:from>
      <cdr:x>0.42822</cdr:x>
      <cdr:y>0.44248</cdr:y>
    </cdr:from>
    <cdr:to>
      <cdr:x>0.48229</cdr:x>
      <cdr:y>0.5531</cdr:y>
    </cdr:to>
    <cdr:cxnSp macro="">
      <cdr:nvCxnSpPr>
        <cdr:cNvPr id="4" name="Straight Arrow Connector 3">
          <a:extLst xmlns:a="http://schemas.openxmlformats.org/drawingml/2006/main">
            <a:ext uri="{FF2B5EF4-FFF2-40B4-BE49-F238E27FC236}">
              <a16:creationId xmlns:a16="http://schemas.microsoft.com/office/drawing/2014/main" id="{53F905B6-77DB-4416-B696-9905275C0757}"/>
            </a:ext>
          </a:extLst>
        </cdr:cNvPr>
        <cdr:cNvCxnSpPr>
          <a:stCxn xmlns:a="http://schemas.openxmlformats.org/drawingml/2006/main" id="13" idx="2"/>
        </cdr:cNvCxnSpPr>
      </cdr:nvCxnSpPr>
      <cdr:spPr>
        <a:xfrm xmlns:a="http://schemas.openxmlformats.org/drawingml/2006/main">
          <a:off x="4972774" y="2857499"/>
          <a:ext cx="627926" cy="71437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0.52331</cdr:x>
      <cdr:y>0.4764</cdr:y>
    </cdr:from>
    <cdr:to>
      <cdr:x>0.5741</cdr:x>
      <cdr:y>0.68879</cdr:y>
    </cdr:to>
    <cdr:cxnSp macro="">
      <cdr:nvCxnSpPr>
        <cdr:cNvPr id="6" name="Straight Arrow Connector 5">
          <a:extLst xmlns:a="http://schemas.openxmlformats.org/drawingml/2006/main">
            <a:ext uri="{FF2B5EF4-FFF2-40B4-BE49-F238E27FC236}">
              <a16:creationId xmlns:a16="http://schemas.microsoft.com/office/drawing/2014/main" id="{AA5AE332-0CB8-02C3-EFDC-953999CEDD5E}"/>
            </a:ext>
          </a:extLst>
        </cdr:cNvPr>
        <cdr:cNvCxnSpPr>
          <a:stCxn xmlns:a="http://schemas.openxmlformats.org/drawingml/2006/main" id="7" idx="2"/>
        </cdr:cNvCxnSpPr>
      </cdr:nvCxnSpPr>
      <cdr:spPr>
        <a:xfrm xmlns:a="http://schemas.openxmlformats.org/drawingml/2006/main" flipH="1">
          <a:off x="6076950" y="3076575"/>
          <a:ext cx="589885" cy="137160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0.50885</cdr:x>
      <cdr:y>0.39778</cdr:y>
    </cdr:from>
    <cdr:to>
      <cdr:x>0.63936</cdr:x>
      <cdr:y>0.4764</cdr:y>
    </cdr:to>
    <cdr:sp macro="" textlink="">
      <cdr:nvSpPr>
        <cdr:cNvPr id="7" name="TextBox 9">
          <a:extLst xmlns:a="http://schemas.openxmlformats.org/drawingml/2006/main">
            <a:ext uri="{FF2B5EF4-FFF2-40B4-BE49-F238E27FC236}">
              <a16:creationId xmlns:a16="http://schemas.microsoft.com/office/drawing/2014/main" id="{DFE5985B-9922-A352-B578-DA2F2C232BD0}"/>
            </a:ext>
          </a:extLst>
        </cdr:cNvPr>
        <cdr:cNvSpPr txBox="1"/>
      </cdr:nvSpPr>
      <cdr:spPr>
        <a:xfrm xmlns:a="http://schemas.openxmlformats.org/drawingml/2006/main">
          <a:off x="5909053" y="2568867"/>
          <a:ext cx="1515563" cy="507708"/>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Fleet solid support ships -</a:t>
          </a:r>
          <a:r>
            <a:rPr lang="en-US" sz="1400" baseline="0">
              <a:latin typeface="Calibri Light" panose="020F0302020204030204" pitchFamily="34" charset="0"/>
              <a:ea typeface="Calibri Light" panose="020F0302020204030204" pitchFamily="34" charset="0"/>
              <a:cs typeface="Calibri Light" panose="020F0302020204030204" pitchFamily="34" charset="0"/>
            </a:rPr>
            <a:t> £1.6 bn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aseline="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0.65044</cdr:x>
      <cdr:y>0.52212</cdr:y>
    </cdr:from>
    <cdr:to>
      <cdr:x>0.68243</cdr:x>
      <cdr:y>0.56932</cdr:y>
    </cdr:to>
    <cdr:cxnSp macro="">
      <cdr:nvCxnSpPr>
        <cdr:cNvPr id="8" name="Straight Arrow Connector 7">
          <a:extLst xmlns:a="http://schemas.openxmlformats.org/drawingml/2006/main">
            <a:ext uri="{FF2B5EF4-FFF2-40B4-BE49-F238E27FC236}">
              <a16:creationId xmlns:a16="http://schemas.microsoft.com/office/drawing/2014/main" id="{677405D5-7DCB-6368-F1BD-1590757F2FD7}"/>
            </a:ext>
          </a:extLst>
        </cdr:cNvPr>
        <cdr:cNvCxnSpPr/>
      </cdr:nvCxnSpPr>
      <cdr:spPr>
        <a:xfrm xmlns:a="http://schemas.openxmlformats.org/drawingml/2006/main" flipH="1">
          <a:off x="7553325" y="3371850"/>
          <a:ext cx="371475" cy="30480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0.6831</cdr:x>
      <cdr:y>0.59341</cdr:y>
    </cdr:from>
    <cdr:to>
      <cdr:x>0.81198</cdr:x>
      <cdr:y>0.66922</cdr:y>
    </cdr:to>
    <cdr:sp macro="" textlink="">
      <cdr:nvSpPr>
        <cdr:cNvPr id="22" name="TextBox 9">
          <a:extLst xmlns:a="http://schemas.openxmlformats.org/drawingml/2006/main">
            <a:ext uri="{FF2B5EF4-FFF2-40B4-BE49-F238E27FC236}">
              <a16:creationId xmlns:a16="http://schemas.microsoft.com/office/drawing/2014/main" id="{B4DAA475-43AB-BB8D-9655-99C3701803E0}"/>
            </a:ext>
          </a:extLst>
        </cdr:cNvPr>
        <cdr:cNvSpPr txBox="1"/>
      </cdr:nvSpPr>
      <cdr:spPr>
        <a:xfrm xmlns:a="http://schemas.openxmlformats.org/drawingml/2006/main">
          <a:off x="7932621" y="3832240"/>
          <a:ext cx="1496634" cy="489577"/>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Sonar and sensor</a:t>
          </a:r>
          <a:r>
            <a:rPr lang="en-US" sz="1400" baseline="0">
              <a:latin typeface="Calibri Light" panose="020F0302020204030204" pitchFamily="34" charset="0"/>
              <a:ea typeface="Calibri Light" panose="020F0302020204030204" pitchFamily="34" charset="0"/>
              <a:cs typeface="Calibri Light" panose="020F0302020204030204" pitchFamily="34" charset="0"/>
            </a:rPr>
            <a:t> support - £1.9 bn</a:t>
          </a:r>
        </a:p>
      </cdr:txBody>
    </cdr:sp>
  </cdr:relSizeAnchor>
  <cdr:relSizeAnchor xmlns:cdr="http://schemas.openxmlformats.org/drawingml/2006/chartDrawing">
    <cdr:from>
      <cdr:x>0.69145</cdr:x>
      <cdr:y>0.67257</cdr:y>
    </cdr:from>
    <cdr:to>
      <cdr:x>0.74559</cdr:x>
      <cdr:y>0.72419</cdr:y>
    </cdr:to>
    <cdr:cxnSp macro="">
      <cdr:nvCxnSpPr>
        <cdr:cNvPr id="23" name="Straight Arrow Connector 22">
          <a:extLst xmlns:a="http://schemas.openxmlformats.org/drawingml/2006/main">
            <a:ext uri="{FF2B5EF4-FFF2-40B4-BE49-F238E27FC236}">
              <a16:creationId xmlns:a16="http://schemas.microsoft.com/office/drawing/2014/main" id="{B25BB2A2-4F50-EA7F-0F93-9FFEA455507B}"/>
            </a:ext>
          </a:extLst>
        </cdr:cNvPr>
        <cdr:cNvCxnSpPr/>
      </cdr:nvCxnSpPr>
      <cdr:spPr>
        <a:xfrm xmlns:a="http://schemas.openxmlformats.org/drawingml/2006/main" flipH="1">
          <a:off x="8029575" y="4343400"/>
          <a:ext cx="628650" cy="33337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0.65645</cdr:x>
      <cdr:y>0.12348</cdr:y>
    </cdr:from>
    <cdr:to>
      <cdr:x>0.79019</cdr:x>
      <cdr:y>0.21239</cdr:y>
    </cdr:to>
    <cdr:sp macro="" textlink="">
      <cdr:nvSpPr>
        <cdr:cNvPr id="24" name="TextBox 9">
          <a:extLst xmlns:a="http://schemas.openxmlformats.org/drawingml/2006/main">
            <a:ext uri="{FF2B5EF4-FFF2-40B4-BE49-F238E27FC236}">
              <a16:creationId xmlns:a16="http://schemas.microsoft.com/office/drawing/2014/main" id="{95F982D1-524F-0EC9-A54A-0F196A30CB45}"/>
            </a:ext>
          </a:extLst>
        </cdr:cNvPr>
        <cdr:cNvSpPr txBox="1"/>
      </cdr:nvSpPr>
      <cdr:spPr>
        <a:xfrm xmlns:a="http://schemas.openxmlformats.org/drawingml/2006/main">
          <a:off x="7623123" y="797416"/>
          <a:ext cx="1553071" cy="574184"/>
        </a:xfrm>
        <a:prstGeom xmlns:a="http://schemas.openxmlformats.org/drawingml/2006/main" prst="rect">
          <a:avLst/>
        </a:prstGeom>
        <a:solidFill xmlns:a="http://schemas.openxmlformats.org/drawingml/2006/main">
          <a:sysClr val="window" lastClr="FFFFFF">
            <a:alpha val="0"/>
          </a:sys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Submarine reactor support </a:t>
          </a:r>
          <a:r>
            <a:rPr lang="en-US" sz="1400" baseline="0">
              <a:latin typeface="Calibri Light" panose="020F0302020204030204" pitchFamily="34" charset="0"/>
              <a:ea typeface="Calibri Light" panose="020F0302020204030204" pitchFamily="34" charset="0"/>
              <a:cs typeface="Calibri Light" panose="020F0302020204030204" pitchFamily="34" charset="0"/>
            </a:rPr>
            <a:t>- £9 bn</a:t>
          </a:r>
        </a:p>
      </cdr:txBody>
    </cdr:sp>
  </cdr:relSizeAnchor>
  <cdr:relSizeAnchor xmlns:cdr="http://schemas.openxmlformats.org/drawingml/2006/chartDrawing">
    <cdr:from>
      <cdr:x>0.72332</cdr:x>
      <cdr:y>0.21239</cdr:y>
    </cdr:from>
    <cdr:to>
      <cdr:x>0.80382</cdr:x>
      <cdr:y>0.26401</cdr:y>
    </cdr:to>
    <cdr:cxnSp macro="">
      <cdr:nvCxnSpPr>
        <cdr:cNvPr id="25" name="Straight Arrow Connector 24">
          <a:extLst xmlns:a="http://schemas.openxmlformats.org/drawingml/2006/main">
            <a:ext uri="{FF2B5EF4-FFF2-40B4-BE49-F238E27FC236}">
              <a16:creationId xmlns:a16="http://schemas.microsoft.com/office/drawing/2014/main" id="{5893BC86-985E-62DF-75A8-15383A47D68B}"/>
            </a:ext>
          </a:extLst>
        </cdr:cNvPr>
        <cdr:cNvCxnSpPr>
          <a:stCxn xmlns:a="http://schemas.openxmlformats.org/drawingml/2006/main" id="24" idx="2"/>
        </cdr:cNvCxnSpPr>
      </cdr:nvCxnSpPr>
      <cdr:spPr>
        <a:xfrm xmlns:a="http://schemas.openxmlformats.org/drawingml/2006/main">
          <a:off x="8399659" y="1371600"/>
          <a:ext cx="934841" cy="33337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0.80062</cdr:x>
      <cdr:y>0.05193</cdr:y>
    </cdr:from>
    <cdr:to>
      <cdr:x>0.97888</cdr:x>
      <cdr:y>0.13065</cdr:y>
    </cdr:to>
    <cdr:sp macro="" textlink="">
      <cdr:nvSpPr>
        <cdr:cNvPr id="2" name="TextBox 1">
          <a:extLst xmlns:a="http://schemas.openxmlformats.org/drawingml/2006/main">
            <a:ext uri="{FF2B5EF4-FFF2-40B4-BE49-F238E27FC236}">
              <a16:creationId xmlns:a16="http://schemas.microsoft.com/office/drawing/2014/main" id="{5A4F1C4D-162F-E5D0-BAB5-A0D7075A63EB}"/>
            </a:ext>
          </a:extLst>
        </cdr:cNvPr>
        <cdr:cNvSpPr txBox="1"/>
      </cdr:nvSpPr>
      <cdr:spPr>
        <a:xfrm xmlns:a="http://schemas.openxmlformats.org/drawingml/2006/main">
          <a:off x="5920740" y="236220"/>
          <a:ext cx="1318260" cy="3581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0.02234</cdr:x>
      <cdr:y>0.02132</cdr:y>
    </cdr:from>
    <cdr:to>
      <cdr:x>0.19403</cdr:x>
      <cdr:y>0.09033</cdr:y>
    </cdr:to>
    <cdr:sp macro="" textlink="">
      <cdr:nvSpPr>
        <cdr:cNvPr id="4" name="TextBox 1">
          <a:extLst xmlns:a="http://schemas.openxmlformats.org/drawingml/2006/main">
            <a:ext uri="{FF2B5EF4-FFF2-40B4-BE49-F238E27FC236}">
              <a16:creationId xmlns:a16="http://schemas.microsoft.com/office/drawing/2014/main" id="{8FB0B40B-626A-E164-F638-6918DC36A09C}"/>
            </a:ext>
          </a:extLst>
        </cdr:cNvPr>
        <cdr:cNvSpPr txBox="1"/>
      </cdr:nvSpPr>
      <cdr:spPr>
        <a:xfrm xmlns:a="http://schemas.openxmlformats.org/drawingml/2006/main">
          <a:off x="227030" y="96257"/>
          <a:ext cx="1744851" cy="31161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solidFill>
                <a:schemeClr val="tx1"/>
              </a:solidFill>
              <a:latin typeface="Courier New" panose="02070309020205020404" pitchFamily="49" charset="0"/>
              <a:ea typeface="Calibri Light" panose="020F0302020204030204" pitchFamily="34" charset="0"/>
              <a:cs typeface="Courier New" panose="02070309020205020404" pitchFamily="49" charset="0"/>
            </a:rPr>
            <a:t>Years since order</a:t>
          </a:r>
        </a:p>
      </cdr:txBody>
    </cdr:sp>
  </cdr:relSizeAnchor>
</c:userShapes>
</file>

<file path=xl/drawings/drawing9.xml><?xml version="1.0" encoding="utf-8"?>
<xdr:wsDr xmlns:xdr="http://schemas.openxmlformats.org/drawingml/2006/spreadsheetDrawing" xmlns:a="http://schemas.openxmlformats.org/drawingml/2006/main">
  <xdr:twoCellAnchor>
    <xdr:from>
      <xdr:col>10</xdr:col>
      <xdr:colOff>9523</xdr:colOff>
      <xdr:row>5</xdr:row>
      <xdr:rowOff>58101</xdr:rowOff>
    </xdr:from>
    <xdr:to>
      <xdr:col>25</xdr:col>
      <xdr:colOff>242473</xdr:colOff>
      <xdr:row>27</xdr:row>
      <xdr:rowOff>105276</xdr:rowOff>
    </xdr:to>
    <xdr:graphicFrame macro="">
      <xdr:nvGraphicFramePr>
        <xdr:cNvPr id="2" name="Chart 1">
          <a:extLst>
            <a:ext uri="{FF2B5EF4-FFF2-40B4-BE49-F238E27FC236}">
              <a16:creationId xmlns:a16="http://schemas.microsoft.com/office/drawing/2014/main" id="{808F8EEE-F22C-4C5B-ABA8-037E9E868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gov.uk/government/news/armed-forces-to-benefit-from-89-million-battlefield-network" TargetMode="External"/><Relationship Id="rId671" Type="http://schemas.openxmlformats.org/officeDocument/2006/relationships/hyperlink" Target="https://www.bmvg.de/de/aktuelles/munition-fuer-schuetzenpanzer-puma-und-moderne-funkgeraete-5530546" TargetMode="External"/><Relationship Id="rId769" Type="http://schemas.openxmlformats.org/officeDocument/2006/relationships/hyperlink" Target="https://esut.de/2023/06/meldungen/land/42881/weitere-wechselladersysteme-fuer-die-logistik/" TargetMode="External"/><Relationship Id="rId976" Type="http://schemas.openxmlformats.org/officeDocument/2006/relationships/hyperlink" Target="https://www.kongsberg.com/newsandmedia/news-archive/2024/super-sonic-strike-missile-3sm-tyrfing/" TargetMode="External"/><Relationship Id="rId1399" Type="http://schemas.openxmlformats.org/officeDocument/2006/relationships/hyperlink" Target="https://www.gov.pl/web/obrona-narodowa/ponad-tysiac-pojazdow-legwan-trafi-do-zolnierzy-wojska-polskiego" TargetMode="External"/><Relationship Id="rId21" Type="http://schemas.openxmlformats.org/officeDocument/2006/relationships/hyperlink" Target="https://www.gov.uk/government/news/102-million-investment-in-detect-and-destroy-system-for-british-army" TargetMode="External"/><Relationship Id="rId324" Type="http://schemas.openxmlformats.org/officeDocument/2006/relationships/hyperlink" Target="https://www.bmvg.de/de/aktuelles/parlament-genehmigt-investitionen-in-milliardenhoehe-5847750" TargetMode="External"/><Relationship Id="rId531" Type="http://schemas.openxmlformats.org/officeDocument/2006/relationships/hyperlink" Target="https://www.bmvg.de/de/aktuelles/investitionen-in-die-luftwaffe-der-zukunft-5099108" TargetMode="External"/><Relationship Id="rId629" Type="http://schemas.openxmlformats.org/officeDocument/2006/relationships/hyperlink" Target="https://www.bundeswehr-journal.de/2022/zentrale-ersatzteil-logistik-vertrag-mit-esg-verlaengert/" TargetMode="External"/><Relationship Id="rId1161" Type="http://schemas.openxmlformats.org/officeDocument/2006/relationships/hyperlink" Target="https://www.gov.pl/web/obrona-narodowa/umowa-na-wozy-towarzyszace-dla-wr-40-langusta-podpisana" TargetMode="External"/><Relationship Id="rId1259" Type="http://schemas.openxmlformats.org/officeDocument/2006/relationships/hyperlink" Target="https://www.bmvg.de/de/aktuelles/haushaltsausschuss-billigt-beschaffung-transportfahrzeuge-5961464" TargetMode="External"/><Relationship Id="rId170" Type="http://schemas.openxmlformats.org/officeDocument/2006/relationships/hyperlink" Target="https://www.gov.uk/government/news/uk-leadership-on-ukraine-continues-as-defence-secretary-announced-225m-support-package-during-kyiv-visit" TargetMode="External"/><Relationship Id="rId836" Type="http://schemas.openxmlformats.org/officeDocument/2006/relationships/hyperlink" Target="https://www.bundeswehr-journal.de/2023/drei-zusaetzliche-seefernaufklaerer-aus-dem-sondervermoegen/" TargetMode="External"/><Relationship Id="rId1021" Type="http://schemas.openxmlformats.org/officeDocument/2006/relationships/hyperlink" Target="https://www.bmvg.de/de/aktuelles/bundeswehr-investiert-in-transportfahrzeuge-satellitentechnik-5855458" TargetMode="External"/><Relationship Id="rId1119" Type="http://schemas.openxmlformats.org/officeDocument/2006/relationships/hyperlink" Target="https://www.gov.pl/web/obrona-narodowa/abramsy-dla-polski-wojska-ladowe-zostana-wyposazone-w-250-nowoczesnych-czolgow" TargetMode="External"/><Relationship Id="rId268" Type="http://schemas.openxmlformats.org/officeDocument/2006/relationships/hyperlink" Target="https://www.naval-group.com/fr/en-accelerant-le-programme-des-fregates-de-defense-et-dintervention-fdi-le-ministere-des-armees" TargetMode="External"/><Relationship Id="rId475" Type="http://schemas.openxmlformats.org/officeDocument/2006/relationships/hyperlink" Target="https://esut.de/2020/11/meldungen/24443/bundeswehr-investiert-weiter-in-transportfahrzeuge/" TargetMode="External"/><Relationship Id="rId682" Type="http://schemas.openxmlformats.org/officeDocument/2006/relationships/hyperlink" Target="https://www.bmvg.de/de/aktuelles/bundeswehr-kann-g36-nachfolger-beschaffen-5540930" TargetMode="External"/><Relationship Id="rId903" Type="http://schemas.openxmlformats.org/officeDocument/2006/relationships/hyperlink" Target="https://esut.de/2024/04/meldungen/48933/70mm-uebungsraketen-fuer-kampfhubschrauber-tiger/" TargetMode="External"/><Relationship Id="rId1326" Type="http://schemas.openxmlformats.org/officeDocument/2006/relationships/hyperlink" Target="https://esut.de/2025/12/meldungen/65941/mehr-als-25-milliarden-euro-fuer-elf-beschaffungsvorhaben-gebilligt/" TargetMode="External"/><Relationship Id="rId32" Type="http://schemas.openxmlformats.org/officeDocument/2006/relationships/hyperlink" Target="https://www.gov.uk/government/news/500m-firepower-upgrade-for-type-45-destroyers" TargetMode="External"/><Relationship Id="rId128" Type="http://schemas.openxmlformats.org/officeDocument/2006/relationships/hyperlink" Target="https://www.gov.uk/government/news/digital-defence-transformation-boosted-by-150-million-uk-contract" TargetMode="External"/><Relationship Id="rId335" Type="http://schemas.openxmlformats.org/officeDocument/2006/relationships/hyperlink" Target="https://www.gov.pl/web/obrona-narodowa/wojsko-polskie-buduje-kompleksowy-system-obrony-przeciwlotniczej-i-przeciwrakietowej" TargetMode="External"/><Relationship Id="rId542" Type="http://schemas.openxmlformats.org/officeDocument/2006/relationships/hyperlink" Target="https://augengeradeaus.net/2021/06/luerssen-baut-neue-flottendienstboote-marine-soll-neue-aufklaerungsschiffe-ab-2027-bekommen/" TargetMode="External"/><Relationship Id="rId987" Type="http://schemas.openxmlformats.org/officeDocument/2006/relationships/hyperlink" Target="https://www.bmvg.de/de/aktuelles/militaer-lkw-munition-und-headsets-fuer-die-bundeswehr-5811014" TargetMode="External"/><Relationship Id="rId1172" Type="http://schemas.openxmlformats.org/officeDocument/2006/relationships/hyperlink" Target="https://www.gov.pl/web/obrona-narodowa/17-miliardow-zlotych-na-zakup-sprzetu-dla-wojska-polskiego-w-polskim-przemysle-zbrojeniowym" TargetMode="External"/><Relationship Id="rId181" Type="http://schemas.openxmlformats.org/officeDocument/2006/relationships/hyperlink" Target="https://www.gov.uk/government/news/30000-new-drones-for-ukraine-in-boost-to-european-security" TargetMode="External"/><Relationship Id="rId402" Type="http://schemas.openxmlformats.org/officeDocument/2006/relationships/hyperlink" Target="https://defence-network.com/haushaltsausschuss-38-bundeswehr-beschaffungen/" TargetMode="External"/><Relationship Id="rId847" Type="http://schemas.openxmlformats.org/officeDocument/2006/relationships/hyperlink" Target="https://www.bmvg.de/de/aktuelles/beschaffung-die-bundeswehr-hat-den-turbo-eingelegt-5718690" TargetMode="External"/><Relationship Id="rId1032" Type="http://schemas.openxmlformats.org/officeDocument/2006/relationships/hyperlink" Target="https://defence-network.com/haushaltsausschuss-38-bundeswehr-beschaffungen/" TargetMode="External"/><Relationship Id="rId279" Type="http://schemas.openxmlformats.org/officeDocument/2006/relationships/hyperlink" Target="https://prod-site-internet-minarm-admin.cloud.defense.gouv.fr/sites/default/files/dga/022_chiffres_cles_DGA_num_fr.pdf" TargetMode="External"/><Relationship Id="rId486" Type="http://schemas.openxmlformats.org/officeDocument/2006/relationships/hyperlink" Target="https://esut.de/2020/10/meldungen/23414/1-000-ungeschuetzte-logistik-lkw-fuer-die-bundeswehr/" TargetMode="External"/><Relationship Id="rId693" Type="http://schemas.openxmlformats.org/officeDocument/2006/relationships/hyperlink" Target="https://www.bundeswehr-journal.de/2023/satcombw-betrieb-jetzt-bis-ende-dezember-2028/" TargetMode="External"/><Relationship Id="rId707" Type="http://schemas.openxmlformats.org/officeDocument/2006/relationships/hyperlink" Target="https://esut.de/en/2023/03/meldungen/40636/bundeswehr-erhaelt-die-zweite-tranche-gtf-zlk-15t/" TargetMode="External"/><Relationship Id="rId914" Type="http://schemas.openxmlformats.org/officeDocument/2006/relationships/hyperlink" Target="https://www.leonardo.com/documents/15646808/26378088/ComLDO_Praetorian_P4E_14_07_2023_ENG.pdf?t=1689329892747" TargetMode="External"/><Relationship Id="rId1337" Type="http://schemas.openxmlformats.org/officeDocument/2006/relationships/hyperlink" Target="https://esut.de/2025/12/meldungen/66362/haushalt-bundeswehr-grossvorhaben/" TargetMode="External"/><Relationship Id="rId43" Type="http://schemas.openxmlformats.org/officeDocument/2006/relationships/hyperlink" Target="https://www.gov.uk/government/news/170m-investment-for-the-next-generation-of-royal-navy-submarines" TargetMode="External"/><Relationship Id="rId139" Type="http://schemas.openxmlformats.org/officeDocument/2006/relationships/hyperlink" Target="https://euro-sd.com/2024/03/major-news/37115/raf-to-get-14-new-chinooks/" TargetMode="External"/><Relationship Id="rId346" Type="http://schemas.openxmlformats.org/officeDocument/2006/relationships/hyperlink" Target="https://dicod.hosting.augure.com/Augure_Dicod/r/ContenuEnLigne/Download?id=C71425C4-8665-405F-B3DB-814962DF3B63&amp;filename=La%20DGA%20commande%20420%20v%C3%A9hicules%20blind%C3%A9s%20Serval%20destin%C3%A9s%20%C3%A0%20l%27arm%C3%A9e%20de%20Terre.pdf" TargetMode="External"/><Relationship Id="rId553" Type="http://schemas.openxmlformats.org/officeDocument/2006/relationships/hyperlink" Target="https://www.bmvg.de/de/aktuelles/umfangreiche-beschaffungen-fuer-die-deutsche-marine-5099106" TargetMode="External"/><Relationship Id="rId760" Type="http://schemas.openxmlformats.org/officeDocument/2006/relationships/hyperlink" Target="https://www.bundeswehr-journal.de/2023/sechs-waffensysteme-iris-t-slm-fuer-die-deutsche-luftwaffe/" TargetMode="External"/><Relationship Id="rId998" Type="http://schemas.openxmlformats.org/officeDocument/2006/relationships/hyperlink" Target="https://www.bmvg.de/de/aktuelles/beschaffung-wichtiger-ruestungs-it-programme-geht-weiter-5841340" TargetMode="External"/><Relationship Id="rId1183" Type="http://schemas.openxmlformats.org/officeDocument/2006/relationships/hyperlink" Target="https://des.mod.uk/uk-to-purchase-f-35as-and-join-nato-nuclear-mission/?portfolioCats=78%2C735%2C69%2C734" TargetMode="External"/><Relationship Id="rId1390" Type="http://schemas.openxmlformats.org/officeDocument/2006/relationships/hyperlink" Target="https://www.gov.pl/web/obrona-narodowa/umowa-podpisana-potezne-wzmocnienie-wojsk-pancernych---180-czolgow-k2-trafi-do-armii" TargetMode="External"/><Relationship Id="rId1404" Type="http://schemas.openxmlformats.org/officeDocument/2006/relationships/hyperlink" Target="https://www.gov.pl/web/obrona-narodowa/umowa-na-zagluszarki-nawigacji-satelitarnej-podpisana" TargetMode="External"/><Relationship Id="rId192" Type="http://schemas.openxmlformats.org/officeDocument/2006/relationships/hyperlink" Target="https://des.mod.uk/des-poised-to-deliver-on-uk-governments-150m-ukraine-firepower-package/" TargetMode="External"/><Relationship Id="rId206" Type="http://schemas.openxmlformats.org/officeDocument/2006/relationships/hyperlink" Target="https://www.gov.uk/government/news/450m-surge-of-military-support-to-boost-ukraines-armed-forces-as-uk-and-germany-chair-meeting-of-50-nations" TargetMode="External"/><Relationship Id="rId413" Type="http://schemas.openxmlformats.org/officeDocument/2006/relationships/hyperlink" Target="https://www.gov.pl/web/obrona-narodowa/impuls-rozwojowy-dla-polskiego-przemyslu-zbrojeniowego" TargetMode="External"/><Relationship Id="rId858" Type="http://schemas.openxmlformats.org/officeDocument/2006/relationships/hyperlink" Target="https://www.bmvg.de/de/aktuelles/beschaffung-kampfhubschrauber-kryptotelefone-und-weitere-5716992" TargetMode="External"/><Relationship Id="rId1043" Type="http://schemas.openxmlformats.org/officeDocument/2006/relationships/hyperlink" Target="https://www.bmvg.de/de/aktuelles/parlament-stimmt-milliardeninvestitionen-fuer-verteidigung-zu-5871974" TargetMode="External"/><Relationship Id="rId497" Type="http://schemas.openxmlformats.org/officeDocument/2006/relationships/hyperlink" Target="https://www.bmvg.de/de/aktuelles/grosse-schritte-beschaffung-bundeswehr-5051262" TargetMode="External"/><Relationship Id="rId620" Type="http://schemas.openxmlformats.org/officeDocument/2006/relationships/hyperlink" Target="https://www.bundeswehr.de/resource/blob/5386862/a2f3d1faf53ccc99a232dc1ba856fe4a/06-neue-fallschirmsysteme-fuer-die-bundeswehr-data.pdf" TargetMode="External"/><Relationship Id="rId718" Type="http://schemas.openxmlformats.org/officeDocument/2006/relationships/hyperlink" Target="https://www.naval-technology.com/projects/evolved-sea-sparrow-missile-essm/?cf-view" TargetMode="External"/><Relationship Id="rId925" Type="http://schemas.openxmlformats.org/officeDocument/2006/relationships/hyperlink" Target="https://www.bmvg.de/de/aktuelles/beschaffung-lenkflugkoerper-it-logistik-und-kommunikation-5782326" TargetMode="External"/><Relationship Id="rId1250" Type="http://schemas.openxmlformats.org/officeDocument/2006/relationships/hyperlink" Target="https://www.bmvg.de/de/aktuelles/haushaltsausschuss-genehmigt-investitionen-in-milliardenhoehe-5957266" TargetMode="External"/><Relationship Id="rId1348" Type="http://schemas.openxmlformats.org/officeDocument/2006/relationships/hyperlink" Target="https://esut.de/2025/12/meldungen/66558/startgeraete-und-lenkraketen-pac-3-mse-fuer-das-luftverteidigungssystem-patriot/" TargetMode="External"/><Relationship Id="rId357" Type="http://schemas.openxmlformats.org/officeDocument/2006/relationships/hyperlink" Target="https://www.bmvg.de/de/aktuelles/neue-schiffe-neues-radar-eurofighter-neue-it-bundeswehr-267934" TargetMode="External"/><Relationship Id="rId1110" Type="http://schemas.openxmlformats.org/officeDocument/2006/relationships/hyperlink" Target="https://www.gov.pl/web/obrona-narodowa/bsp-fly-eye" TargetMode="External"/><Relationship Id="rId1194" Type="http://schemas.openxmlformats.org/officeDocument/2006/relationships/hyperlink" Target="https://www.gov.uk/government/news/rapid-140-million-boost-for-drone-and-counter-drone-tech-from-newly-formed-uk-defence-innovation" TargetMode="External"/><Relationship Id="rId1208" Type="http://schemas.openxmlformats.org/officeDocument/2006/relationships/hyperlink" Target="https://ukdefencejournal.org.uk/uk-government-launches-massive-upgrade-of-clyde-naval-base/" TargetMode="External"/><Relationship Id="rId1415" Type="http://schemas.openxmlformats.org/officeDocument/2006/relationships/hyperlink" Target="https://esut.de/2025/06/meldungen/60926/sieben-beschaffungsvorhaben-fuer-mehr-als-drei-milliarden-euro-gebilligt/" TargetMode="External"/><Relationship Id="rId54" Type="http://schemas.openxmlformats.org/officeDocument/2006/relationships/hyperlink" Target="https://www.gov.uk/government/news/new-air-traffic-system-operational-with-300-uk-jobs-supported" TargetMode="External"/><Relationship Id="rId217" Type="http://schemas.openxmlformats.org/officeDocument/2006/relationships/hyperlink" Target="https://www.gov.pl/web/obrona-narodowa/offset-podpisany-powstanie-centrum-serwisowe-dla-smiglowcow-do-zwalczania-okretow-podwodnych" TargetMode="External"/><Relationship Id="rId564" Type="http://schemas.openxmlformats.org/officeDocument/2006/relationships/hyperlink" Target="https://esut.de/2021/06/meldungen/28283/rahmenvertrag-sina-verlaengert/" TargetMode="External"/><Relationship Id="rId771" Type="http://schemas.openxmlformats.org/officeDocument/2006/relationships/hyperlink" Target="https://www.bundeswehr-journal.de/2023/transportfahrzeuge-bundeswehr-beschafft-doppelte-anzahl/" TargetMode="External"/><Relationship Id="rId869" Type="http://schemas.openxmlformats.org/officeDocument/2006/relationships/hyperlink" Target="https://www.bmvg.de/de/aktuelles/parlament-genehmigt-lenkflugkoerper-beschaffung-5716966" TargetMode="External"/><Relationship Id="rId424" Type="http://schemas.openxmlformats.org/officeDocument/2006/relationships/hyperlink" Target="https://www.bmvg.de/de/aktuelles/bundeswehr-investiert-rund-2-1-milliarden-euro-2034972" TargetMode="External"/><Relationship Id="rId631" Type="http://schemas.openxmlformats.org/officeDocument/2006/relationships/hyperlink" Target="https://www.bundeswehr.de/de/aktuelles/meldungen/statment-ministerin-beschaffung-persoenliche-ausruestung-5390076" TargetMode="External"/><Relationship Id="rId729" Type="http://schemas.openxmlformats.org/officeDocument/2006/relationships/hyperlink" Target="https://www.bmvg.de/de/aktuelles/lenkflugkoerper-it-57-sattelzugmaschinen-sollen-beschafft-werden-5612682" TargetMode="External"/><Relationship Id="rId1054" Type="http://schemas.openxmlformats.org/officeDocument/2006/relationships/hyperlink" Target="https://www.bmvg.de/de/aktuelles/parlament-stimmt-milliardeninvestitionen-fuer-verteidigung-zu-5871974" TargetMode="External"/><Relationship Id="rId1261" Type="http://schemas.openxmlformats.org/officeDocument/2006/relationships/hyperlink" Target="https://www.bmvg.de/de/aktuelles/gruenes-licht-fuer-sieben-weitere-beschaffungsvertraege-5991106" TargetMode="External"/><Relationship Id="rId1359" Type="http://schemas.openxmlformats.org/officeDocument/2006/relationships/hyperlink" Target="https://esut.de/2025/12/meldungen/66362/haushalt-bundeswehr-grossvorhaben/" TargetMode="External"/><Relationship Id="rId270" Type="http://schemas.openxmlformats.org/officeDocument/2006/relationships/hyperlink" Target="https://www.defense.gouv.fr/sites/default/files/ministere-armees/Fiche%20LPM%20-%20H%C3%A9licopt%C3%A8re%20interarm%C3%A9es%20l%C3%A9ger%20%28HIL%29.pdf" TargetMode="External"/><Relationship Id="rId936" Type="http://schemas.openxmlformats.org/officeDocument/2006/relationships/hyperlink" Target="https://www.bmvg.de/de/aktuelles/beschaffung-lkw-torpedos-it-marinekommando-5789050" TargetMode="External"/><Relationship Id="rId1121" Type="http://schemas.openxmlformats.org/officeDocument/2006/relationships/hyperlink" Target="https://www.gov.pl/web/obrona-narodowa/kolejne-mozdzierze-rak-dla-wojska-polskiego" TargetMode="External"/><Relationship Id="rId1219" Type="http://schemas.openxmlformats.org/officeDocument/2006/relationships/hyperlink" Target="https://des.mod.uk/des-secures-118m-contract-to-deliver-six-new-land-ceptor-missile-systems-strengthening-uk-air-defence/?portfolioCats=78%2C735%2C69%2C734" TargetMode="External"/><Relationship Id="rId65" Type="http://schemas.openxmlformats.org/officeDocument/2006/relationships/hyperlink" Target="https://www.gov.uk/government/news/1-million-for-innovation-to-enhance-uk-space-capabilities" TargetMode="External"/><Relationship Id="rId130" Type="http://schemas.openxmlformats.org/officeDocument/2006/relationships/hyperlink" Target="https://www.gov.uk/government/news/bridging-the-gap-essential-military-bridging-contract-secures-300-uk-jobs" TargetMode="External"/><Relationship Id="rId368" Type="http://schemas.openxmlformats.org/officeDocument/2006/relationships/hyperlink" Target="https://defence-network.com/haushaltsausschuss-38-bundeswehr-beschaffungen/" TargetMode="External"/><Relationship Id="rId575" Type="http://schemas.openxmlformats.org/officeDocument/2006/relationships/hyperlink" Target="https://www.bundeswehr-journal.de/2021/lenkflugkoerper-rbs15-mk3-marine-prueft-ab-2025-selbst/" TargetMode="External"/><Relationship Id="rId782" Type="http://schemas.openxmlformats.org/officeDocument/2006/relationships/hyperlink" Target="https://www.rheinmetall.com/de/media/news-watch/news/2023/07/2023-07-10-rheinmetall-grossauftrag-fuer-luftlandeplattform-caracal" TargetMode="External"/><Relationship Id="rId228" Type="http://schemas.openxmlformats.org/officeDocument/2006/relationships/hyperlink" Target="https://www.gov.pl/web/obrona-narodowa/marynarka-wojenna-rp-otrzyma-kolejne-niszczycieli-min-typu-kormoran-ii" TargetMode="External"/><Relationship Id="rId435" Type="http://schemas.openxmlformats.org/officeDocument/2006/relationships/hyperlink" Target="https://esut.de/2020/09/meldungen/22796/21-milliarden-euro-fuer-informationstechnik-und-munition/" TargetMode="External"/><Relationship Id="rId642" Type="http://schemas.openxmlformats.org/officeDocument/2006/relationships/hyperlink" Target="https://www.bmvg.de/de/aktuelles/neue-schwerlastanhaenger-fuer-die-bundeswehr-5424250" TargetMode="External"/><Relationship Id="rId1065" Type="http://schemas.openxmlformats.org/officeDocument/2006/relationships/hyperlink" Target="https://www.bmvg.de/de/aktuelles/parlament-stimmt-milliardeninvestitionen-fuer-verteidigung-zu-5871974" TargetMode="External"/><Relationship Id="rId1272" Type="http://schemas.openxmlformats.org/officeDocument/2006/relationships/hyperlink" Target="https://www.bmvg.de/de/aktuelles/gruenes-licht-fuer-sieben-weitere-beschaffungsvertraege-5991106" TargetMode="External"/><Relationship Id="rId281" Type="http://schemas.openxmlformats.org/officeDocument/2006/relationships/hyperlink" Target="https://archives.defense.gouv.fr/actualites/economie-et-technologie/la-dga-receptionne-2-000-nouveaux-fusils-hk416-pour-les-trois-armees.html" TargetMode="External"/><Relationship Id="rId502" Type="http://schemas.openxmlformats.org/officeDocument/2006/relationships/hyperlink" Target="https://www.welt.de/wirtschaft/article230633247/Ausruestungsmangel-Bundeswehr-muss-Hubschrauber-vom-ADAC-mieten.html" TargetMode="External"/><Relationship Id="rId947" Type="http://schemas.openxmlformats.org/officeDocument/2006/relationships/hyperlink" Target="https://www.bmvg.de/de/aktuelles/bundeswehr-beschafft-mehr-artilleriegeschosse-5788634" TargetMode="External"/><Relationship Id="rId1132" Type="http://schemas.openxmlformats.org/officeDocument/2006/relationships/hyperlink" Target="https://www.gov.pl/web/obrona-narodowa/32-nowoczesnych-smiglowcow-aw149-dla-lotnictwa-wojsk-ladowych" TargetMode="External"/><Relationship Id="rId76" Type="http://schemas.openxmlformats.org/officeDocument/2006/relationships/hyperlink" Target="https://www.gov.uk/government/news/129-million-to-deliver-cutting-edge-mini-drones-for-uk-forces" TargetMode="External"/><Relationship Id="rId141" Type="http://schemas.openxmlformats.org/officeDocument/2006/relationships/hyperlink" Target="https://www.gov.uk/government/news/uk-and-australia-celebrate-closer-ties-with-aukus-progress-and-new-defence-treaty" TargetMode="External"/><Relationship Id="rId379" Type="http://schemas.openxmlformats.org/officeDocument/2006/relationships/hyperlink" Target="https://defence-network.com/haushaltsausschuss-38-bundeswehr-beschaffungen/" TargetMode="External"/><Relationship Id="rId586" Type="http://schemas.openxmlformats.org/officeDocument/2006/relationships/hyperlink" Target="https://www.motorolasolutions.com/newsroom/press-releases/german-navy-invests-in-new-mission-critical-communication-networks-from-mot/deutsche-marine-investiert-in-digitalfunklosung-von-motorola-solutions-zur-.html" TargetMode="External"/><Relationship Id="rId793" Type="http://schemas.openxmlformats.org/officeDocument/2006/relationships/hyperlink" Target="https://www.bmvg.de/de/aktuelles/bundestag-bewilligt-beschaffung-von-zehntausenden-schussmunition-5646262" TargetMode="External"/><Relationship Id="rId807" Type="http://schemas.openxmlformats.org/officeDocument/2006/relationships/hyperlink" Target="https://www.bmvg.de/de/aktuelles/bundestag-bewilligt-beschaffung-von-zehntausenden-schussmunition-5646262" TargetMode="External"/><Relationship Id="rId7" Type="http://schemas.openxmlformats.org/officeDocument/2006/relationships/hyperlink" Target="https://www.gov.uk/government/news/dstl-awards-300-million-weapons-research-contract" TargetMode="External"/><Relationship Id="rId239" Type="http://schemas.openxmlformats.org/officeDocument/2006/relationships/hyperlink" Target="https://www.gov.pl/web/obrona-narodowa/wojsko-polskie-buduje-kompleksowy-system-obrony-przeciwlotniczej-i-przeciwrakietowej" TargetMode="External"/><Relationship Id="rId446" Type="http://schemas.openxmlformats.org/officeDocument/2006/relationships/hyperlink" Target="https://www.bundeswehr.de/de/organisation/luftwaffe/aktuelles/quadriga-ersatz-fuer-die-erste-generation-eurofighter-4189752" TargetMode="External"/><Relationship Id="rId653" Type="http://schemas.openxmlformats.org/officeDocument/2006/relationships/hyperlink" Target="https://www.bundeswehr-journal.de/2022/weitere-haushaltsmittel-fuer-marineflugzeug-p-8a-poseidon/" TargetMode="External"/><Relationship Id="rId1076" Type="http://schemas.openxmlformats.org/officeDocument/2006/relationships/hyperlink" Target="https://www.bmvg.de/de/aktuelles/beschaffung-moersersystem-idz-ausstattungen-tawan-richtfunknetz-5882320" TargetMode="External"/><Relationship Id="rId1283" Type="http://schemas.openxmlformats.org/officeDocument/2006/relationships/hyperlink" Target="https://www.rheinmetall.com/de/produkte/waffen-und-munition/waffen-und-munition/mittelkalibermunition" TargetMode="External"/><Relationship Id="rId292" Type="http://schemas.openxmlformats.org/officeDocument/2006/relationships/hyperlink" Target="https://www.arquus-defense.com/fr/newsroom/actualites/notification-dune-nouvelle-commande-de-griffon-et-jaguar" TargetMode="External"/><Relationship Id="rId306" Type="http://schemas.openxmlformats.org/officeDocument/2006/relationships/hyperlink" Target="https://prod-site-internet-minarm-admin.cloud.defense.gouv.fr/sites/default/files/dga/023_chiffres_cles_DGA.pdf" TargetMode="External"/><Relationship Id="rId860" Type="http://schemas.openxmlformats.org/officeDocument/2006/relationships/hyperlink" Target="https://www.bmvg.de/de/aktuelles/parlament-genehmigt-lenkflugkoerper-beschaffung-5716966" TargetMode="External"/><Relationship Id="rId958" Type="http://schemas.openxmlformats.org/officeDocument/2006/relationships/hyperlink" Target="https://www.bmvg.de/de/aktuelles/beschaffung-munition-tornado-head-up-displays-5801330" TargetMode="External"/><Relationship Id="rId1143" Type="http://schemas.openxmlformats.org/officeDocument/2006/relationships/hyperlink" Target="https://www.gov.pl/web/obrona-narodowa/saab-340-aew" TargetMode="External"/><Relationship Id="rId87" Type="http://schemas.openxmlformats.org/officeDocument/2006/relationships/hyperlink" Target="https://des.mod.uk/mine-hunting-systems-contract/?portfolioCats=78%2C735%2C69%2C734" TargetMode="External"/><Relationship Id="rId513" Type="http://schemas.openxmlformats.org/officeDocument/2006/relationships/hyperlink" Target="https://esut.de/2021/05/meldungen/27664/obsoleszenzbeseitigung-hubschraub/" TargetMode="External"/><Relationship Id="rId597" Type="http://schemas.openxmlformats.org/officeDocument/2006/relationships/hyperlink" Target="https://www.bmvg.de/de/aktuelles/modernisierung-der-streitkraefte-rund-19-milliarden-freigegeben-5099070" TargetMode="External"/><Relationship Id="rId720" Type="http://schemas.openxmlformats.org/officeDocument/2006/relationships/hyperlink" Target="https://www.bundeswehr.de/de/organisation/ausruestung-baainbw/aktuelles/gehaertete-it-komponenten-5622772" TargetMode="External"/><Relationship Id="rId818" Type="http://schemas.openxmlformats.org/officeDocument/2006/relationships/hyperlink" Target="https://esut.de/2023/09/meldungen/44711/arrow-3-mbda-deutschland-wird-hauptauftragnehmer-von-iai/" TargetMode="External"/><Relationship Id="rId1350" Type="http://schemas.openxmlformats.org/officeDocument/2006/relationships/hyperlink" Target="https://esut.de/2025/12/meldungen/66519/auftrag-fuer-49-agf-2-und-ufk-fuer-die-spezialkraefte-erteilt/" TargetMode="External"/><Relationship Id="rId152" Type="http://schemas.openxmlformats.org/officeDocument/2006/relationships/hyperlink" Target="https://des.mod.uk/des-awards-additional-20m-contract-to-bae-systems-for-small-arms-ammunition/?portfolioCats=78%2C735%2C69%2C734" TargetMode="External"/><Relationship Id="rId457" Type="http://schemas.openxmlformats.org/officeDocument/2006/relationships/hyperlink" Target="https://www.bmvg.de/de/aktuelles/weiterentwicklung-nh-90-flotte-eurofighter-genehmigt-5773350" TargetMode="External"/><Relationship Id="rId1003" Type="http://schemas.openxmlformats.org/officeDocument/2006/relationships/hyperlink" Target="https://esut.de/2024/09/meldungen/53331/knapp-eine-milliarde-euro-fuer-geraete-umruestungen-und-lenkwaffen/" TargetMode="External"/><Relationship Id="rId1087" Type="http://schemas.openxmlformats.org/officeDocument/2006/relationships/hyperlink" Target="https://www.bmvg.de/de/aktuelles/beschaffung-moersersystem-idz-ausstattungen-tawan-richtfunknetz-5882320" TargetMode="External"/><Relationship Id="rId1210" Type="http://schemas.openxmlformats.org/officeDocument/2006/relationships/hyperlink" Target="https://www.gov.uk/government/news/new-multi-million-pound-army-support-deal-for-north-east-firm-to-boost-national-security-and-growth" TargetMode="External"/><Relationship Id="rId1294" Type="http://schemas.openxmlformats.org/officeDocument/2006/relationships/hyperlink" Target="https://www.bmvg.de/de/aktuelles/beschaffung-bundestag-ruestungsprojekte-6027308" TargetMode="External"/><Relationship Id="rId1308" Type="http://schemas.openxmlformats.org/officeDocument/2006/relationships/hyperlink" Target="https://esut.de/2025/11/meldungen/65078/mehr-als-19-milliarden-euro-beschaffungsmittel-fuer-die-bundeswehr-gebilligt/" TargetMode="External"/><Relationship Id="rId664" Type="http://schemas.openxmlformats.org/officeDocument/2006/relationships/hyperlink" Target="https://www.bmvg.de/de/aktuelles/gruenes-licht-fuer-moderne-sprechsaetze-und-praezise-munition-5504982" TargetMode="External"/><Relationship Id="rId871" Type="http://schemas.openxmlformats.org/officeDocument/2006/relationships/hyperlink" Target="https://esut.de/2019/12/meldungen/ruestung2/17323/bundestag-billigt-haushaltsmittel-fuer-zusaetzliche-luft-luft-lenkflugkoerper-meteor/" TargetMode="External"/><Relationship Id="rId969" Type="http://schemas.openxmlformats.org/officeDocument/2006/relationships/hyperlink" Target="https://www.bmvg.de/de/aktuelles/beschaffungen-586-millionen-euro-bewilligt-5807952" TargetMode="External"/><Relationship Id="rId14" Type="http://schemas.openxmlformats.org/officeDocument/2006/relationships/hyperlink" Target="https://www.gov.uk/government/news/world-class-autonomous-minehunters-to-protect-royal-navy" TargetMode="External"/><Relationship Id="rId317" Type="http://schemas.openxmlformats.org/officeDocument/2006/relationships/hyperlink" Target="https://www.bmvg.de/de/presse/zeitenwende-zahlen-beschaffung-ausruestung-5719998" TargetMode="External"/><Relationship Id="rId524" Type="http://schemas.openxmlformats.org/officeDocument/2006/relationships/hyperlink" Target="https://esut.de/2021/06/meldungen/27940/leistungserweiterung-bwi-it-servic/" TargetMode="External"/><Relationship Id="rId731" Type="http://schemas.openxmlformats.org/officeDocument/2006/relationships/hyperlink" Target="https://www.bmvg.de/de/aktuelles/lenkflugkoerper-it-57-sattelzugmaschinen-sollen-beschafft-werden-5612683" TargetMode="External"/><Relationship Id="rId1154" Type="http://schemas.openxmlformats.org/officeDocument/2006/relationships/hyperlink" Target="https://www.gov.pl/web/obrona-narodowa/umowa-na-logistyczne-wzmocnienie-pilicy-podpisana" TargetMode="External"/><Relationship Id="rId1361" Type="http://schemas.openxmlformats.org/officeDocument/2006/relationships/hyperlink" Target="https://new.diehl.com/defence/de/presse-medien/news/vertraege-ueber-iris-t-lenkflugkoerper-mit-baainbw-unterzeichnet" TargetMode="External"/><Relationship Id="rId98" Type="http://schemas.openxmlformats.org/officeDocument/2006/relationships/hyperlink" Target="https://www.gov.uk/government/news/des-secures-uk-based-training-for-shadow-crews" TargetMode="External"/><Relationship Id="rId163" Type="http://schemas.openxmlformats.org/officeDocument/2006/relationships/hyperlink" Target="https://www.gov.uk/government/news/uk-and-canada-announce-satellite-collaboration" TargetMode="External"/><Relationship Id="rId370" Type="http://schemas.openxmlformats.org/officeDocument/2006/relationships/hyperlink" Target="https://thedefensepost.com/2025/01/09/germany-puls-rocket-artillery/" TargetMode="External"/><Relationship Id="rId829" Type="http://schemas.openxmlformats.org/officeDocument/2006/relationships/hyperlink" Target="https://www.bundeswehr.de/de/organisation/luftwaffe/aktuelles/die-drohne-german-heron-tp-erhaelt-die-deutsche-musterzulassung-5538042" TargetMode="External"/><Relationship Id="rId1014" Type="http://schemas.openxmlformats.org/officeDocument/2006/relationships/hyperlink" Target="https://esut.de/2024/10/meldungen/53933/72-milliarden-euro-fuer-sieben-projekte-freigegeben/" TargetMode="External"/><Relationship Id="rId1221" Type="http://schemas.openxmlformats.org/officeDocument/2006/relationships/hyperlink" Target="https://des.mod.uk/des-secures-118m-contract-to-deliver-six-new-land-ceptor-missile-systems-strengthening-uk-air-defence/?portfolioCats=78%2C735%2C69%2C734" TargetMode="External"/><Relationship Id="rId230" Type="http://schemas.openxmlformats.org/officeDocument/2006/relationships/hyperlink" Target="https://www.pap.pl/en/news/poland-buys-anti-tank-grenade-launchers-sweden" TargetMode="External"/><Relationship Id="rId468" Type="http://schemas.openxmlformats.org/officeDocument/2006/relationships/hyperlink" Target="https://esut.de/2021/01/meldungen/25023/rahmenvertrag-utf-logistikfahrzeuge-stark-erweitert/" TargetMode="External"/><Relationship Id="rId675" Type="http://schemas.openxmlformats.org/officeDocument/2006/relationships/hyperlink" Target="https://euro-sd.com/2023/02/articles/29148/germany-finally-settles-assault-rifle-requirement/" TargetMode="External"/><Relationship Id="rId882" Type="http://schemas.openxmlformats.org/officeDocument/2006/relationships/hyperlink" Target="https://www.bmvg.de/de/aktuelles/weitere-nachtsichtgeraete-truppe-5757530" TargetMode="External"/><Relationship Id="rId1098" Type="http://schemas.openxmlformats.org/officeDocument/2006/relationships/hyperlink" Target="https://www.defensenews.com/global/europe/2022/09/08/estonia-joins-poland-in-buying-piorun-anti-aircraft-missiles/" TargetMode="External"/><Relationship Id="rId1319" Type="http://schemas.openxmlformats.org/officeDocument/2006/relationships/hyperlink" Target="https://esut.de/2025/11/meldungen/65337/20-leichte-kampfhubschrauber-h145m-gebilligt/" TargetMode="External"/><Relationship Id="rId25" Type="http://schemas.openxmlformats.org/officeDocument/2006/relationships/hyperlink" Target="https://www.gov.uk/government/news/belfast-firm-secures-98-million-air-defence-missile-contract" TargetMode="External"/><Relationship Id="rId328" Type="http://schemas.openxmlformats.org/officeDocument/2006/relationships/hyperlink" Target="https://www.bmvg.de/de/aktuelles/parlament-stimmt-milliardeninvestitionen-fuer-verteidigung-zu-5871974" TargetMode="External"/><Relationship Id="rId535" Type="http://schemas.openxmlformats.org/officeDocument/2006/relationships/hyperlink" Target="https://www.bundeswehr-journal.de/2021/bundeswehr-modernisiert-ihre-luftraumueberwachung/" TargetMode="External"/><Relationship Id="rId742" Type="http://schemas.openxmlformats.org/officeDocument/2006/relationships/hyperlink" Target="https://www.bundeswehr.de/de/organisation/ausruestung-baainbw/aktuelles/gehaertete-it-komponenten-5622771" TargetMode="External"/><Relationship Id="rId1165" Type="http://schemas.openxmlformats.org/officeDocument/2006/relationships/hyperlink" Target="https://www.gov.pl/web/obrona-narodowa/skyguardian-wzmocni-potencjal-rozpoznawczy-wojska-polskiego" TargetMode="External"/><Relationship Id="rId1372" Type="http://schemas.openxmlformats.org/officeDocument/2006/relationships/hyperlink" Target="https://www.reuters.com/business/energy/polish-link-with-nato-pipeline-system-cost-20-billion-zlotys-2025-10-03/" TargetMode="External"/><Relationship Id="rId174" Type="http://schemas.openxmlformats.org/officeDocument/2006/relationships/hyperlink" Target="https://www.gov.uk/government/news/uk-leadership-on-ukraine-continues-as-defence-secretary-announced-225m-support-package-during-kyiv-visit" TargetMode="External"/><Relationship Id="rId381" Type="http://schemas.openxmlformats.org/officeDocument/2006/relationships/hyperlink" Target="https://defence-network.com/haushaltsausschuss-38-bundeswehr-beschaffungen/" TargetMode="External"/><Relationship Id="rId602" Type="http://schemas.openxmlformats.org/officeDocument/2006/relationships/hyperlink" Target="https://www.hartpunkt.de/salis-vertrag-erneut-verlaengert/" TargetMode="External"/><Relationship Id="rId1025" Type="http://schemas.openxmlformats.org/officeDocument/2006/relationships/hyperlink" Target="https://www.bmvg.de/de/aktuelles/lenkflugkoerper-helm-system-ausbildung-beschaffungen-5858878" TargetMode="External"/><Relationship Id="rId1232" Type="http://schemas.openxmlformats.org/officeDocument/2006/relationships/hyperlink" Target="https://www.gov.uk/government/news/uk-and-germany-sign-52m-contract-for-cutting-edge-artillery" TargetMode="External"/><Relationship Id="rId241" Type="http://schemas.openxmlformats.org/officeDocument/2006/relationships/hyperlink" Target="https://www.gov.pl/web/obrona-narodowa/umowa-na-152-kraby-dla-wojska-polskiego-zatwierdzona" TargetMode="External"/><Relationship Id="rId479" Type="http://schemas.openxmlformats.org/officeDocument/2006/relationships/hyperlink" Target="https://esut.de/2021/01/meldungen/25023/rahmenvertrag-utf-logistikfahrzeuge-stark-erweitert/" TargetMode="External"/><Relationship Id="rId686" Type="http://schemas.openxmlformats.org/officeDocument/2006/relationships/hyperlink" Target="https://www.bmvg.de/de/aktuelles/sondervermoegen-bundeswehr-markiert-historischen-aufbruch-5542400" TargetMode="External"/><Relationship Id="rId893" Type="http://schemas.openxmlformats.org/officeDocument/2006/relationships/hyperlink" Target="https://www.bmvg.de/de/aktuelles/bundestag-genehmigt-kauf-von-patriot-systemen-und-sprechsaetzen-5761098" TargetMode="External"/><Relationship Id="rId907" Type="http://schemas.openxmlformats.org/officeDocument/2006/relationships/hyperlink" Target="https://www.bmvg.de/de/aktuelles/weiterentwicklung-nh-90-flotte-eurofighter-genehmigt-5773350" TargetMode="External"/><Relationship Id="rId36" Type="http://schemas.openxmlformats.org/officeDocument/2006/relationships/hyperlink" Target="https://www.gov.uk/government/news/dstl-awards-a-new-contract-for-anglo-french-technology-partnership" TargetMode="External"/><Relationship Id="rId339" Type="http://schemas.openxmlformats.org/officeDocument/2006/relationships/hyperlink" Target="https://armement.defense.gouv.fr/les-commandes-aupres-de-lindustrie-de-defense-passees-par-la-dga-atteignent-un-niveau-historique-en" TargetMode="External"/><Relationship Id="rId546" Type="http://schemas.openxmlformats.org/officeDocument/2006/relationships/hyperlink" Target="https://www.bundeswehr.de/de/aktuelles/meldungen/neue-tankschiffe-marine-5663908" TargetMode="External"/><Relationship Id="rId753" Type="http://schemas.openxmlformats.org/officeDocument/2006/relationships/hyperlink" Target="https://esut.de/2023/05/meldungen/42151/beschaffung-von-18-leopard-2-a8-und-12-panzerhaubitzen-2000-genehmigt/" TargetMode="External"/><Relationship Id="rId1176" Type="http://schemas.openxmlformats.org/officeDocument/2006/relationships/hyperlink" Target="https://www.gov.pl/web/obrona-narodowa/nowe-bojowe-wozy-piechoty-borsuk-zakontraktowane-jeszcze-w-tym-roku-dostawa-pierwszych-egzemplarzy-ze-111-zamowionych" TargetMode="External"/><Relationship Id="rId1383" Type="http://schemas.openxmlformats.org/officeDocument/2006/relationships/hyperlink" Target="https://www.polskieradio.pl/395/7784/artykul/3574244,poland-signs-pln-58-bn-radar-deal-for-air-defense" TargetMode="External"/><Relationship Id="rId101" Type="http://schemas.openxmlformats.org/officeDocument/2006/relationships/hyperlink" Target="https://www.gov.uk/government/news/161-million-contract-for-f-35-jet-maintenance-supports-140-uk-jobs" TargetMode="External"/><Relationship Id="rId185" Type="http://schemas.openxmlformats.org/officeDocument/2006/relationships/hyperlink" Target="https://www.gov.uk/government/news/new-satellite-deal-to-boost-military-operations-jobs-and-growth" TargetMode="External"/><Relationship Id="rId406" Type="http://schemas.openxmlformats.org/officeDocument/2006/relationships/hyperlink" Target="https://esut.de/2025/01/meldungen/56952/beschaffungen-fuer-25-milliarden-euro-auf-den-letzten-druecker/" TargetMode="External"/><Relationship Id="rId960" Type="http://schemas.openxmlformats.org/officeDocument/2006/relationships/hyperlink" Target="https://www.airforce-technology.com/news/germany-procuring-heads-up-displays-for-tornado-aircraft/?cf-view" TargetMode="External"/><Relationship Id="rId1036" Type="http://schemas.openxmlformats.org/officeDocument/2006/relationships/hyperlink" Target="https://www.bmvg.de/de/aktuelles/parlament-stimmt-milliardeninvestitionen-fuer-verteidigung-zu-5871974" TargetMode="External"/><Relationship Id="rId1243" Type="http://schemas.openxmlformats.org/officeDocument/2006/relationships/hyperlink" Target="https://www.bmvg.de/de/aktuelles/beschaffung-marschflugkoerper-selbstschutzsysteme-5951954" TargetMode="External"/><Relationship Id="rId392" Type="http://schemas.openxmlformats.org/officeDocument/2006/relationships/hyperlink" Target="https://defence-network.com/haushaltsausschuss-38-bundeswehr-beschaffungen/" TargetMode="External"/><Relationship Id="rId613" Type="http://schemas.openxmlformats.org/officeDocument/2006/relationships/hyperlink" Target="https://esut.de/2021/08/meldungen/ruestung2/28867/fallschirmsysteme-bundeswehr/" TargetMode="External"/><Relationship Id="rId697" Type="http://schemas.openxmlformats.org/officeDocument/2006/relationships/hyperlink" Target="https://www.bmvg.de/de/aktuelles/digitalfunk-bundestag-genehmigt-bestellung-aus-sondervermoegen-5586808" TargetMode="External"/><Relationship Id="rId820" Type="http://schemas.openxmlformats.org/officeDocument/2006/relationships/hyperlink" Target="https://www.bmvg.de/de/aktuelles/arrow-haushaltsausschuss-stimmt-beschaffung-zu-5690122" TargetMode="External"/><Relationship Id="rId918" Type="http://schemas.openxmlformats.org/officeDocument/2006/relationships/hyperlink" Target="https://www.bmvg.de/de/aktuelles/weiterentwicklung-nh-90-flotte-eurofighter-genehmigt-5773350" TargetMode="External"/><Relationship Id="rId252" Type="http://schemas.openxmlformats.org/officeDocument/2006/relationships/hyperlink" Target="https://prod-site-internet-minarm-admin.cloud.defense.gouv.fr/sites/default/files/dga/021_chiffres_cles_DGA_2020_numerique.pdf" TargetMode="External"/><Relationship Id="rId1103" Type="http://schemas.openxmlformats.org/officeDocument/2006/relationships/hyperlink" Target="https://www.gov.pl/web/obrona-narodowa/homar-k" TargetMode="External"/><Relationship Id="rId1187" Type="http://schemas.openxmlformats.org/officeDocument/2006/relationships/hyperlink" Target="https://www.gov.uk/government/news/uk-jobs-and-air-defences-boost-with-purchase-of-new-missile-launchers" TargetMode="External"/><Relationship Id="rId1310" Type="http://schemas.openxmlformats.org/officeDocument/2006/relationships/hyperlink" Target="https://www.bmvg.de/de/aktuelles/bundestag-billigt-14-weitere-beschaffungsvertraege-fuer-truppe-6037382" TargetMode="External"/><Relationship Id="rId1408" Type="http://schemas.openxmlformats.org/officeDocument/2006/relationships/hyperlink" Target="https://www.gov.uk/government/news/tenfold-increase-in-uk-drone-deliveries-for-ukraine-at-50-nation-ukraine-summit" TargetMode="External"/><Relationship Id="rId47" Type="http://schemas.openxmlformats.org/officeDocument/2006/relationships/hyperlink" Target="https://www.gov.uk/government/news/110m-upgrade-for-raf-shadow-fleet" TargetMode="External"/><Relationship Id="rId112" Type="http://schemas.openxmlformats.org/officeDocument/2006/relationships/hyperlink" Target="https://des.mod.uk/des-awards-contract-to-support-military-vehicles-sent-to-ukraine/?portfolioCats=78%2C735%2C69%2C734" TargetMode="External"/><Relationship Id="rId557" Type="http://schemas.openxmlformats.org/officeDocument/2006/relationships/hyperlink" Target="https://www.bundeswehr-journal.de/2021/beschaffungsagentur-occar-gibt-boxer-jfstsw-in-auftrag/" TargetMode="External"/><Relationship Id="rId764" Type="http://schemas.openxmlformats.org/officeDocument/2006/relationships/hyperlink" Target="https://www.bmvg.de/de/aktuelles/iris-t-arrow-wechselladersysteme-fuer-bundeswehr-5636272" TargetMode="External"/><Relationship Id="rId971" Type="http://schemas.openxmlformats.org/officeDocument/2006/relationships/hyperlink" Target="https://www.bmvg.de/de/aktuelles/beschaffungen-586-millionen-euro-bewilligt-5807952" TargetMode="External"/><Relationship Id="rId1394" Type="http://schemas.openxmlformats.org/officeDocument/2006/relationships/hyperlink" Target="https://www.gov.pl/web/obrona-narodowa/umowy-na-dostawe-pociskow-rakietowych-i-wozow-ewakuacji-medycznej-podpisane" TargetMode="External"/><Relationship Id="rId196" Type="http://schemas.openxmlformats.org/officeDocument/2006/relationships/hyperlink" Target="https://des.mod.uk/des-poised-to-deliver-on-uk-governments-150m-ukraine-firepower-package/" TargetMode="External"/><Relationship Id="rId417" Type="http://schemas.openxmlformats.org/officeDocument/2006/relationships/hyperlink" Target="https://www.gov.pl/web/obrona-narodowa/kolejne-mozdzierze-rak-trafia-do-wojska-polskiego" TargetMode="External"/><Relationship Id="rId624" Type="http://schemas.openxmlformats.org/officeDocument/2006/relationships/hyperlink" Target="https://www.bmvg.de/de/aktuelles/neue-schwerlastanhaenger-fuer-die-bundeswehr-5424250" TargetMode="External"/><Relationship Id="rId831" Type="http://schemas.openxmlformats.org/officeDocument/2006/relationships/hyperlink" Target="https://www.bmvg.de/de/aktuelles/beschaffung-dingos-und-seefernaufklaerer-gebilligt-5703856" TargetMode="External"/><Relationship Id="rId1047" Type="http://schemas.openxmlformats.org/officeDocument/2006/relationships/hyperlink" Target="https://www.bmvg.de/de/aktuelles/parlament-stimmt-milliardeninvestitionen-fuer-verteidigung-zu-5871974" TargetMode="External"/><Relationship Id="rId1254" Type="http://schemas.openxmlformats.org/officeDocument/2006/relationships/hyperlink" Target="https://www.bmvg.de/de/aktuelles/haushaltsausschuss-genehmigt-investitionen-in-milliardenhoehe-5957266" TargetMode="External"/><Relationship Id="rId263" Type="http://schemas.openxmlformats.org/officeDocument/2006/relationships/hyperlink" Target="https://prod-site-internet-minarm-admin.cloud.defense.gouv.fr/sites/default/files/dga/021_chiffres_cles_DGA_2020_numerique.pdf" TargetMode="External"/><Relationship Id="rId470" Type="http://schemas.openxmlformats.org/officeDocument/2006/relationships/hyperlink" Target="https://www.bmvg.de/de/aktuelles/moderne-transportfahrzeuge-bundeswehr-4575696" TargetMode="External"/><Relationship Id="rId929" Type="http://schemas.openxmlformats.org/officeDocument/2006/relationships/hyperlink" Target="https://www.bundeswehr.de/resource/blob/5807006/43a25b93f0ce4b30bdd8dd1352412f07/13-weitere-1-515-militaer-transportfahrzeuge-fuer-die-bundeswehr-dl-data.pdf" TargetMode="External"/><Relationship Id="rId1114" Type="http://schemas.openxmlformats.org/officeDocument/2006/relationships/hyperlink" Target="https://www.gov.pl/web/obrona-narodowa/wojsko-otrzyma-nowe-rosomaki-i-tysiace-sztuk-amunicji" TargetMode="External"/><Relationship Id="rId1321" Type="http://schemas.openxmlformats.org/officeDocument/2006/relationships/hyperlink" Target="https://www.hartpunkt.de/stationaere-multispektrale-tarnausstattung-sioen-mit-der-lieferung-neuer-tarnausstattung-fuer-die-bundeswehr-beauftragt/" TargetMode="External"/><Relationship Id="rId58" Type="http://schemas.openxmlformats.org/officeDocument/2006/relationships/hyperlink" Target="https://www.gov.uk/government/news/first-22-million-minerva-satellite-supports-100-uk-jobs" TargetMode="External"/><Relationship Id="rId123" Type="http://schemas.openxmlformats.org/officeDocument/2006/relationships/hyperlink" Target="https://www.gov.uk/government/news/major-new-package-of-support-for-ukraines-counter-offensive-announced-by-grant-shapps" TargetMode="External"/><Relationship Id="rId330" Type="http://schemas.openxmlformats.org/officeDocument/2006/relationships/hyperlink" Target="https://www.bmvg.de/de/aktuelles/parlament-stimmt-milliardeninvestitionen-fuer-verteidigung-zu-5871974" TargetMode="External"/><Relationship Id="rId568" Type="http://schemas.openxmlformats.org/officeDocument/2006/relationships/hyperlink" Target="https://www.bmvg.de/de/aktuelles/modernisierung-der-streitkraefte-rund-19-milliarden-freigegeben-5099070" TargetMode="External"/><Relationship Id="rId775" Type="http://schemas.openxmlformats.org/officeDocument/2006/relationships/hyperlink" Target="https://www.bmvg.de/de/aktuelles/chinooks-flottendienstboote-und-luftlandefahrzeuge-5646766" TargetMode="External"/><Relationship Id="rId982" Type="http://schemas.openxmlformats.org/officeDocument/2006/relationships/hyperlink" Target="https://www.bmvg.de/de/aktuelles/militaer-lkw-munition-und-headsets-fuer-die-bundeswehr-5811014" TargetMode="External"/><Relationship Id="rId1198" Type="http://schemas.openxmlformats.org/officeDocument/2006/relationships/hyperlink" Target="https://www.gov.uk/government/news/britains-fighter-jet-fleet-strengthened-in-205-million-boost-for-british-jobs" TargetMode="External"/><Relationship Id="rId1419" Type="http://schemas.openxmlformats.org/officeDocument/2006/relationships/hyperlink" Target="https://esut.de/2025/09/meldungen/63258/geschuetzte-hochmobile-sanitaetseinrichtungen-role-2b-fuer-die-bundeswehr/" TargetMode="External"/><Relationship Id="rId428" Type="http://schemas.openxmlformats.org/officeDocument/2006/relationships/hyperlink" Target="https://euro-sd.com/2020/09/news/19152/gbu-54-contract-for-bundeswehr/" TargetMode="External"/><Relationship Id="rId635" Type="http://schemas.openxmlformats.org/officeDocument/2006/relationships/hyperlink" Target="https://www.bmvg.de/de/presse/vollausstattung-persoenliche-ausruestung-bis-2025-5390698" TargetMode="External"/><Relationship Id="rId842" Type="http://schemas.openxmlformats.org/officeDocument/2006/relationships/hyperlink" Target="https://www.bmvg.de/de/aktuelles/bundestag-genehmigt-beschaffung-von-flares-und-fahrschulpanzern-5711904" TargetMode="External"/><Relationship Id="rId1058" Type="http://schemas.openxmlformats.org/officeDocument/2006/relationships/hyperlink" Target="https://www.bmvg.de/de/aktuelles/parlament-stimmt-milliardeninvestitionen-fuer-verteidigung-zu-5871974" TargetMode="External"/><Relationship Id="rId1265" Type="http://schemas.openxmlformats.org/officeDocument/2006/relationships/hyperlink" Target="https://www.bmvg.de/de/aktuelles/gruenes-licht-fuer-sieben-weitere-beschaffungsvertraege-5991106" TargetMode="External"/><Relationship Id="rId274" Type="http://schemas.openxmlformats.org/officeDocument/2006/relationships/hyperlink" Target="https://prod-site-internet-minarm-admin.cloud.defense.gouv.fr/sites/default/files/dga/022_chiffres_cles_DGA_num_fr.pdf" TargetMode="External"/><Relationship Id="rId481" Type="http://schemas.openxmlformats.org/officeDocument/2006/relationships/hyperlink" Target="https://esut.de/2020/11/meldungen/24443/bundeswehr-investiert-weiter-in-transportfahrzeuge/" TargetMode="External"/><Relationship Id="rId702" Type="http://schemas.openxmlformats.org/officeDocument/2006/relationships/hyperlink" Target="https://www.behoerden-spiegel.de/2023/03/07/genehmigung-der-e-lynx-soldatenfunkgeraete/" TargetMode="External"/><Relationship Id="rId1125" Type="http://schemas.openxmlformats.org/officeDocument/2006/relationships/hyperlink" Target="https://www.gov.pl/web/obrona-narodowa/pulki-artylerii-otrzymaja-drony-gladius" TargetMode="External"/><Relationship Id="rId1332" Type="http://schemas.openxmlformats.org/officeDocument/2006/relationships/hyperlink" Target="https://esut.de/2025/12/meldungen/66528/rahmenvertrag-ueber-500-radhaubitzen-rch-155-abgeschlossen/" TargetMode="External"/><Relationship Id="rId69" Type="http://schemas.openxmlformats.org/officeDocument/2006/relationships/hyperlink" Target="https://www.gov.uk/government/news/34-million-boost-to-frigate-weapon-systems-sustains-150-uk-jobs" TargetMode="External"/><Relationship Id="rId134" Type="http://schemas.openxmlformats.org/officeDocument/2006/relationships/hyperlink" Target="https://www.gov.uk/government/news/uk-to-boost-ukraines-artillery-reserves-with-245-million-munitions-package" TargetMode="External"/><Relationship Id="rId579" Type="http://schemas.openxmlformats.org/officeDocument/2006/relationships/hyperlink" Target="https://www.bmvg.de/de/aktuelles/modernisierung-der-streitkraefte-rund-19-milliarden-freigegeben-5099070" TargetMode="External"/><Relationship Id="rId786" Type="http://schemas.openxmlformats.org/officeDocument/2006/relationships/hyperlink" Target="https://defbrief.com/2023/07/12/germany-orders-155mm-artillery-ammunition/" TargetMode="External"/><Relationship Id="rId993" Type="http://schemas.openxmlformats.org/officeDocument/2006/relationships/hyperlink" Target="https://www.rtx.com/news/news-center/2024/07/11/rtxs-raytheon-awarded-1-2-billion-contract-to-provide-additional-patriot-air-an" TargetMode="External"/><Relationship Id="rId341" Type="http://schemas.openxmlformats.org/officeDocument/2006/relationships/hyperlink" Target="https://www.opex360.com/2024/01/23/les-commandes-notifiees-par-la-direction-generale-de-larmement-ont-atteint-un-niveau-historique-en-2023/" TargetMode="External"/><Relationship Id="rId439" Type="http://schemas.openxmlformats.org/officeDocument/2006/relationships/hyperlink" Target="https://www.bmvg.de/de/aktuelles/bundeswehr-investiert-rund-2-1-milliarden-euro-2034972" TargetMode="External"/><Relationship Id="rId646" Type="http://schemas.openxmlformats.org/officeDocument/2006/relationships/hyperlink" Target="https://esut.de/2022/05/meldungen/34154/betrieb-von-satcombw-wird-verlaengert/" TargetMode="External"/><Relationship Id="rId1069" Type="http://schemas.openxmlformats.org/officeDocument/2006/relationships/hyperlink" Target="https://www.bmvg.de/de/aktuelles/parlament-stimmt-milliardeninvestitionen-fuer-verteidigung-zu-5871974" TargetMode="External"/><Relationship Id="rId1276" Type="http://schemas.openxmlformats.org/officeDocument/2006/relationships/hyperlink" Target="https://www.rheinmetall.com/de/media/news-watch/news/2024/12/2024-12-19-rheinmetall-gewinnt-d-lbo-auftrag-zur-it-integration" TargetMode="External"/><Relationship Id="rId201" Type="http://schemas.openxmlformats.org/officeDocument/2006/relationships/hyperlink" Target="https://www.gov.uk/government/news/new-uk-made-space-system-to-help-protect-military-satellites" TargetMode="External"/><Relationship Id="rId285" Type="http://schemas.openxmlformats.org/officeDocument/2006/relationships/hyperlink" Target="https://prod-site-internet-minarm-admin.cloud.defense.gouv.fr/sites/default/files/dga/023_chiffres_cles_DGA.pdf" TargetMode="External"/><Relationship Id="rId506" Type="http://schemas.openxmlformats.org/officeDocument/2006/relationships/hyperlink" Target="https://www.bmvg.de/de/aktuelles/entwicklung-eurodrohne-schreitet-voran-5051260" TargetMode="External"/><Relationship Id="rId853" Type="http://schemas.openxmlformats.org/officeDocument/2006/relationships/hyperlink" Target="https://esut.de/2022/12/meldungen/38718/bundeswehr-erhaelt-catv-ueberschneefahrzeug/" TargetMode="External"/><Relationship Id="rId1136" Type="http://schemas.openxmlformats.org/officeDocument/2006/relationships/hyperlink" Target="https://www.gov.pl/web/obrona-narodowa/satelity-obserwacyjne-wzmocnia-zdolnosci-rozpoznawcze-wojska-polskiego" TargetMode="External"/><Relationship Id="rId492" Type="http://schemas.openxmlformats.org/officeDocument/2006/relationships/hyperlink" Target="https://www.bmvg.de/de/aktuelles/bundeswehr-lenkflugkoerper-mells-beschaffung-5027884" TargetMode="External"/><Relationship Id="rId713" Type="http://schemas.openxmlformats.org/officeDocument/2006/relationships/hyperlink" Target="https://esut.de/2023/03/meldungen/41118/integriertes-marine-einsatzrettungszentrum-fuer-den-egv-berlin/" TargetMode="External"/><Relationship Id="rId797" Type="http://schemas.openxmlformats.org/officeDocument/2006/relationships/hyperlink" Target="https://www.rheinmetall.com/en/media/news-watch/news/2023/7/2023-07-18-rheinmetall-receives-major-order-for-artillery-shells-by-bundeswehr" TargetMode="External"/><Relationship Id="rId920" Type="http://schemas.openxmlformats.org/officeDocument/2006/relationships/hyperlink" Target="https://defence-industry.eu/germany-parliament-approves-military-upgrades-including-nh90-helicopters-and-eurofighter-jets/" TargetMode="External"/><Relationship Id="rId1343" Type="http://schemas.openxmlformats.org/officeDocument/2006/relationships/hyperlink" Target="https://esut.de/2025/12/meldungen/66362/haushalt-bundeswehr-grossvorhaben/" TargetMode="External"/><Relationship Id="rId145" Type="http://schemas.openxmlformats.org/officeDocument/2006/relationships/hyperlink" Target="https://www.gov.uk/government/news/new-order-of-missiles-secures-future-supply-for-uk-armed-forces" TargetMode="External"/><Relationship Id="rId352" Type="http://schemas.openxmlformats.org/officeDocument/2006/relationships/hyperlink" Target="https://www.bmvg.de/de/aktuelles/heron-1-fliegt-weiter-ueber-mali-257186" TargetMode="External"/><Relationship Id="rId1203" Type="http://schemas.openxmlformats.org/officeDocument/2006/relationships/hyperlink" Target="https://des.mod.uk/new-munitions-factories-and-long-range-weapons-to-back-nearly-2000-jobs-under-strategic-defence-review/?portfolioCats=78%2C735%2C69%2C734" TargetMode="External"/><Relationship Id="rId1287" Type="http://schemas.openxmlformats.org/officeDocument/2006/relationships/hyperlink" Target="https://www.bmvg.de/de/aktuelles/beschaffung-eurofighter-der-tranche-5-fuer-luftwaffe-5998542" TargetMode="External"/><Relationship Id="rId1410" Type="http://schemas.openxmlformats.org/officeDocument/2006/relationships/hyperlink" Target="https://www.reuters.com/business/aerospace-defense/poland-chooses-sweden-supply-it-with-three-submarines-2025-11-26/" TargetMode="External"/><Relationship Id="rId212" Type="http://schemas.openxmlformats.org/officeDocument/2006/relationships/hyperlink" Target="https://breakingdefense.com/2023/07/poland-announced-plans-to-buy-more-black-hawks-but-how-many-more-will-be-coming/" TargetMode="External"/><Relationship Id="rId657" Type="http://schemas.openxmlformats.org/officeDocument/2006/relationships/hyperlink" Target="https://www.bundeswehr-journal.de/2020/genug-munition-fuer-kampfpanzer-leopard-2-bis-ende-2028/" TargetMode="External"/><Relationship Id="rId864" Type="http://schemas.openxmlformats.org/officeDocument/2006/relationships/hyperlink" Target="https://defence-network.com/bundeswehr-erhaelt-weitere-pac-2-gem-t-fuer-ihre-patriot/" TargetMode="External"/><Relationship Id="rId296" Type="http://schemas.openxmlformats.org/officeDocument/2006/relationships/hyperlink" Target="https://prod-site-internet-minarm-admin.cloud.defense.gouv.fr/sites/default/files/dga/023_chiffres_cles_DGA.pdf" TargetMode="External"/><Relationship Id="rId517" Type="http://schemas.openxmlformats.org/officeDocument/2006/relationships/hyperlink" Target="https://www.bmvg.de/de/aktuelles/neue-tankcontainer-bodenradare-und-zusaetzliche-bekleidung-5084470" TargetMode="External"/><Relationship Id="rId724" Type="http://schemas.openxmlformats.org/officeDocument/2006/relationships/hyperlink" Target="https://www.bundeswehr.de/de/organisation/ausruestung-baainbw/aktuelles/gehaertete-it-komponenten-5622762" TargetMode="External"/><Relationship Id="rId931" Type="http://schemas.openxmlformats.org/officeDocument/2006/relationships/hyperlink" Target="https://www.rheinmetall.com/de/media/news-watch/news/2024/06/2024-06-12-bundeswehr-bestellt-weitere-1515-militaer-lkw" TargetMode="External"/><Relationship Id="rId1147" Type="http://schemas.openxmlformats.org/officeDocument/2006/relationships/hyperlink" Target="https://www.gov.pl/web/obrona-narodowa/kolejne-bsp-flyeeye-wzmocnia-zdolnosci-rozpoznawcze-wojska-polskiego" TargetMode="External"/><Relationship Id="rId1354" Type="http://schemas.openxmlformats.org/officeDocument/2006/relationships/hyperlink" Target="https://esut.de/2025/12/meldungen/66362/haushalt-bundeswehr-grossvorhaben/" TargetMode="External"/><Relationship Id="rId60" Type="http://schemas.openxmlformats.org/officeDocument/2006/relationships/hyperlink" Target="https://www.gov.uk/government/news/type-45-ballistic-missile-defence-upgrade-to-support-more-than-100-uk-jobs" TargetMode="External"/><Relationship Id="rId156" Type="http://schemas.openxmlformats.org/officeDocument/2006/relationships/hyperlink" Target="https://des.mod.uk/vital-aircraft-refuellers-upgraded-to-serve-uk-armed-forces-home-and-abroad/?portfolioCats=78%2C735%2C69%2C734" TargetMode="External"/><Relationship Id="rId363" Type="http://schemas.openxmlformats.org/officeDocument/2006/relationships/hyperlink" Target="https://esut.de/2024/06/meldungen/51068/hunderte-neue-stinger-fuer-die-bundeswehr/" TargetMode="External"/><Relationship Id="rId570" Type="http://schemas.openxmlformats.org/officeDocument/2006/relationships/hyperlink" Target="https://esut.de/2021/07/meldungen/28602/fahrzeuge-fuer-sanitaetstruppe/" TargetMode="External"/><Relationship Id="rId1007" Type="http://schemas.openxmlformats.org/officeDocument/2006/relationships/hyperlink" Target="https://esut.de/2024/10/meldungen/53933/72-milliarden-euro-fuer-sieben-projekte-freigegeben/" TargetMode="External"/><Relationship Id="rId1214" Type="http://schemas.openxmlformats.org/officeDocument/2006/relationships/hyperlink" Target="https://www.gov.uk/government/news/uk-jobs-and-air-defences-boost-with-purchase-of-new-missile-launchers" TargetMode="External"/><Relationship Id="rId1421" Type="http://schemas.openxmlformats.org/officeDocument/2006/relationships/hyperlink" Target="https://esut.de/2025/10/meldungen/64795/vertrag-fuer-m3-evo-schwimmschnellbruecke-2-kommt-ab-2029/" TargetMode="External"/><Relationship Id="rId223" Type="http://schemas.openxmlformats.org/officeDocument/2006/relationships/hyperlink" Target="https://www.gov.pl/web/obrona-narodowa/wzmocnienie-wspolpracy-mon-z-polskim-przemyslem-zbrojeniowym2" TargetMode="External"/><Relationship Id="rId430" Type="http://schemas.openxmlformats.org/officeDocument/2006/relationships/hyperlink" Target="https://esut.de/2020/09/meldungen/22796/21-milliarden-euro-fuer-informationstechnik-und-munition/" TargetMode="External"/><Relationship Id="rId668" Type="http://schemas.openxmlformats.org/officeDocument/2006/relationships/hyperlink" Target="https://www.bmvg.de/de/aktuelles/munition-fuer-schuetzenpanzer-puma-und-moderne-funkgeraete-5530546" TargetMode="External"/><Relationship Id="rId875" Type="http://schemas.openxmlformats.org/officeDocument/2006/relationships/hyperlink" Target="https://www.bmvg.de/de/aktuelles/bundestag-bewilligt-ruestungsinvestitionen-in-milliardenhoehe-5745072" TargetMode="External"/><Relationship Id="rId1060" Type="http://schemas.openxmlformats.org/officeDocument/2006/relationships/hyperlink" Target="https://www.bmvg.de/de/aktuelles/parlament-stimmt-milliardeninvestitionen-fuer-verteidigung-zu-5871974" TargetMode="External"/><Relationship Id="rId1298" Type="http://schemas.openxmlformats.org/officeDocument/2006/relationships/hyperlink" Target="https://www.bmvg.de/de/aktuelles/bundestag-billigt-14-weitere-beschaffungsvertraege-fuer-truppe-6037382" TargetMode="External"/><Relationship Id="rId18" Type="http://schemas.openxmlformats.org/officeDocument/2006/relationships/hyperlink" Target="https://www.gov.uk/government/news/76m-contract-boosts-f-35-lightning-fleet-support" TargetMode="External"/><Relationship Id="rId528" Type="http://schemas.openxmlformats.org/officeDocument/2006/relationships/hyperlink" Target="https://www.bmvg.de/de/presse/bundesrepublik-deutschland-kauft-fuenf-p-8a-poseidon-5102338" TargetMode="External"/><Relationship Id="rId735" Type="http://schemas.openxmlformats.org/officeDocument/2006/relationships/hyperlink" Target="https://www.bmvg.de/de/aktuelles/lenkflugkoerper-it-57-sattelzugmaschinen-sollen-beschafft-werden-5612685" TargetMode="External"/><Relationship Id="rId942" Type="http://schemas.openxmlformats.org/officeDocument/2006/relationships/hyperlink" Target="https://www.bmvg.de/de/aktuelles/beschaffung-lkw-torpedos-it-marinekommando-5789050" TargetMode="External"/><Relationship Id="rId1158" Type="http://schemas.openxmlformats.org/officeDocument/2006/relationships/hyperlink" Target="https://www.gov.pl/web/obrona-narodowa/umowa-na-96-smiglowcow-uderzeniowych-ah-64e-apache-podpisana" TargetMode="External"/><Relationship Id="rId1365" Type="http://schemas.openxmlformats.org/officeDocument/2006/relationships/hyperlink" Target="https://www.bmvg.de/de/aktuelles/bundestag-billigt-14-weitere-beschaffungsvertraege-fuer-truppe-6037382" TargetMode="External"/><Relationship Id="rId167" Type="http://schemas.openxmlformats.org/officeDocument/2006/relationships/hyperlink" Target="https://www.gov.uk/government/news/uk-leadership-on-ukraine-continues-as-defence-secretary-announced-225m-support-package-during-kyiv-visit" TargetMode="External"/><Relationship Id="rId374" Type="http://schemas.openxmlformats.org/officeDocument/2006/relationships/hyperlink" Target="https://defence-network.com/haushaltsausschuss-38-bundeswehr-beschaffungen/" TargetMode="External"/><Relationship Id="rId581" Type="http://schemas.openxmlformats.org/officeDocument/2006/relationships/hyperlink" Target="https://www.bundeswehr-journal.de/2021/zwei-neue-messboote-fuer-die-wtd-71-in-eckernfoerde/" TargetMode="External"/><Relationship Id="rId1018" Type="http://schemas.openxmlformats.org/officeDocument/2006/relationships/hyperlink" Target="https://esut.de/2024/11/meldungen/54673/letzter-beschluss-der-legislaturperiode-15-milliarden-euro-fuer-wechselladersysteme-und-die-modernisierung-satcombw-gebilligt/" TargetMode="External"/><Relationship Id="rId1225" Type="http://schemas.openxmlformats.org/officeDocument/2006/relationships/hyperlink" Target="https://des.mod.uk/des-awards-fn-uk-20m-contract-to-upgrade-uk-armed-forces-heavy-machine-gun/?portfolioCats=78%2C735%2C69%2C734" TargetMode="External"/><Relationship Id="rId71" Type="http://schemas.openxmlformats.org/officeDocument/2006/relationships/hyperlink" Target="https://www.gov.uk/government/news/british-shipyard-awarded-42-billion-to-build-royal-navy-ships" TargetMode="External"/><Relationship Id="rId234" Type="http://schemas.openxmlformats.org/officeDocument/2006/relationships/hyperlink" Target="https://www.gov.pl/web/obrona-narodowa/wojsko-polskie-buduje-kompleksowy-system-obrony-przeciwlotniczej-i-przeciwrakietowej" TargetMode="External"/><Relationship Id="rId679" Type="http://schemas.openxmlformats.org/officeDocument/2006/relationships/hyperlink" Target="https://www.bmvg.de/de/aktuelles/bundeswehr-kann-g36-nachfolger-beschaffen-5540930" TargetMode="External"/><Relationship Id="rId802" Type="http://schemas.openxmlformats.org/officeDocument/2006/relationships/hyperlink" Target="https://www.rheinmetall.com/de/media/news-watch/news/2023/07/2023-07-13-rheinmetall-erhaelt-grossauftrag-der-bundeswehr-ueber-panzermunition" TargetMode="External"/><Relationship Id="rId886" Type="http://schemas.openxmlformats.org/officeDocument/2006/relationships/hyperlink" Target="https://soldat-und-technik.de/2024/01/ausruestung-bekleidung/36703/zusaetzliche-nachtsichtgeraete-fuer-deutschland-und-belgien/" TargetMode="External"/><Relationship Id="rId2" Type="http://schemas.openxmlformats.org/officeDocument/2006/relationships/hyperlink" Target="https://www.gov.uk/government/news/330-million-sonar-contract-for-dreadnought-submarines" TargetMode="External"/><Relationship Id="rId29" Type="http://schemas.openxmlformats.org/officeDocument/2006/relationships/hyperlink" Target="https://www.gov.uk/government/news/35-million-investment-for-smarter-missile-systems" TargetMode="External"/><Relationship Id="rId441" Type="http://schemas.openxmlformats.org/officeDocument/2006/relationships/hyperlink" Target="https://esut.de/2020/09/meldungen/22796/21-milliarden-euro-fuer-informationstechnik-und-munition/" TargetMode="External"/><Relationship Id="rId539" Type="http://schemas.openxmlformats.org/officeDocument/2006/relationships/hyperlink" Target="https://esut.de/2021/07/meldungen/28608/luftverladbare-flugsicherung/" TargetMode="External"/><Relationship Id="rId746" Type="http://schemas.openxmlformats.org/officeDocument/2006/relationships/hyperlink" Target="https://www.rheinmetall.com/de/media/news-watch/news/2023/mai/2023-05-26-rheinmetall-auftrag-sattelzugmaschine-bundeswehr" TargetMode="External"/><Relationship Id="rId1071" Type="http://schemas.openxmlformats.org/officeDocument/2006/relationships/hyperlink" Target="https://www.bmvg.de/de/aktuelles/parlament-stimmt-milliardeninvestitionen-fuer-verteidigung-zu-5871974" TargetMode="External"/><Relationship Id="rId1169" Type="http://schemas.openxmlformats.org/officeDocument/2006/relationships/hyperlink" Target="https://www.gov.pl/web/obrona-narodowa/satelity-obserwacyjne-wzmocnia-zdolnosci-rozpoznania-obrazowego-wojska-polskiego" TargetMode="External"/><Relationship Id="rId1376" Type="http://schemas.openxmlformats.org/officeDocument/2006/relationships/hyperlink" Target="https://notesfrompoland.com/2025/08/01/poland-to-have-more-tanks-than-uk-germany-france-and-italy-combined-after-signing-new-k2-deal/" TargetMode="External"/><Relationship Id="rId178" Type="http://schemas.openxmlformats.org/officeDocument/2006/relationships/hyperlink" Target="https://www.gov.uk/government/news/uk-leadership-on-ukraine-continues-as-defence-secretary-announced-225m-support-package-during-kyiv-visit" TargetMode="External"/><Relationship Id="rId301" Type="http://schemas.openxmlformats.org/officeDocument/2006/relationships/hyperlink" Target="https://prod-site-internet-minarm-admin.cloud.defense.gouv.fr/sites/default/files/dga/023_chiffres_cles_DGA.pdf" TargetMode="External"/><Relationship Id="rId953" Type="http://schemas.openxmlformats.org/officeDocument/2006/relationships/hyperlink" Target="https://www.bmvg.de/de/aktuelles/bundeswehr-beschafft-zwei-weitere-fregatten-klasse-126-5791938" TargetMode="External"/><Relationship Id="rId1029" Type="http://schemas.openxmlformats.org/officeDocument/2006/relationships/hyperlink" Target="https://defence-network.com/haushaltsausschuss-38-bundeswehr-beschaffungen/" TargetMode="External"/><Relationship Id="rId1236" Type="http://schemas.openxmlformats.org/officeDocument/2006/relationships/hyperlink" Target="https://des.mod.uk/state-of-the-art-radar-production-contract-secures-1300-uk-defence-jobs/?portfolioCats=78%2C735%2C69%2C734" TargetMode="External"/><Relationship Id="rId82" Type="http://schemas.openxmlformats.org/officeDocument/2006/relationships/hyperlink" Target="https://boeing.mediaroom.com/news-releases-statements?item=130988" TargetMode="External"/><Relationship Id="rId385" Type="http://schemas.openxmlformats.org/officeDocument/2006/relationships/hyperlink" Target="https://defence-network.com/haushaltsausschuss-38-bundeswehr-beschaffungen/" TargetMode="External"/><Relationship Id="rId592" Type="http://schemas.openxmlformats.org/officeDocument/2006/relationships/hyperlink" Target="https://esut.de/2021/10/meldungen/30282/leonardo-liefert-elcan-specter-dr-1-4x-als-neues-bundeswehr-hauptkampfvisier/" TargetMode="External"/><Relationship Id="rId606" Type="http://schemas.openxmlformats.org/officeDocument/2006/relationships/hyperlink" Target="https://www.bmvg.de/de/aktuelles/modernisierung-der-streitkraefte-rund-19-milliarden-freigegeben-5099070" TargetMode="External"/><Relationship Id="rId813" Type="http://schemas.openxmlformats.org/officeDocument/2006/relationships/hyperlink" Target="https://esut.de/2023/09/meldungen/44635/bundeswehr-beschafft-13-aufklaerungssysteme-husar/" TargetMode="External"/><Relationship Id="rId245" Type="http://schemas.openxmlformats.org/officeDocument/2006/relationships/hyperlink" Target="https://www.gov.pl/web/obrona-narodowa/do-konca-roku-wojsko-otrzyma-najnowsze-wersje-bezzalogowcow-flyeye" TargetMode="External"/><Relationship Id="rId452" Type="http://schemas.openxmlformats.org/officeDocument/2006/relationships/hyperlink" Target="https://www.rheinmetall.com/de/media/news-watch/news/2020/2020-12-17_bundeswehr-erteilt-rheinmetall-einen-rahmenvertrag-zur-lieferung-von-panzermunition" TargetMode="External"/><Relationship Id="rId897" Type="http://schemas.openxmlformats.org/officeDocument/2006/relationships/hyperlink" Target="https://www.rheinmetall.com/de/media/news-watch/news/2024/03/2024-03-21-rheinmetall-auftrag-schwerer-waffentraeger-infanterie" TargetMode="External"/><Relationship Id="rId1082" Type="http://schemas.openxmlformats.org/officeDocument/2006/relationships/hyperlink" Target="https://esut.de/2025/01/meldungen/56952/beschaffungen-fuer-25-milliarden-euro-auf-den-letzten-druecker/" TargetMode="External"/><Relationship Id="rId1303" Type="http://schemas.openxmlformats.org/officeDocument/2006/relationships/hyperlink" Target="https://www.bmvg.de/de/aktuelles/bundestag-billigt-14-weitere-beschaffungsvertraege-fuer-truppe-6037382" TargetMode="External"/><Relationship Id="rId105" Type="http://schemas.openxmlformats.org/officeDocument/2006/relationships/hyperlink" Target="https://www.gov.uk/government/news/125-million-air-crew-contract-supports-uk-jobs-in-the-southwest" TargetMode="External"/><Relationship Id="rId312" Type="http://schemas.openxmlformats.org/officeDocument/2006/relationships/hyperlink" Target="https://www.bwi.de/magazin/artikel/it-betrieb-fuer-bundeswehr-durch-bwi-bis-2027-sichergestellt" TargetMode="External"/><Relationship Id="rId757" Type="http://schemas.openxmlformats.org/officeDocument/2006/relationships/hyperlink" Target="https://esut.de/2023/05/meldungen/42413/p-8a-poseidon-deutsche-marine-erhaelt-simulator-fuer-zukuenftiges-seefernaufklaerungs-und-u-boot-jagdflugzeug/" TargetMode="External"/><Relationship Id="rId964" Type="http://schemas.openxmlformats.org/officeDocument/2006/relationships/hyperlink" Target="https://www.bmvg.de/de/aktuelles/beschaffungen-586-millionen-euro-bewilligt-5807952" TargetMode="External"/><Relationship Id="rId1387" Type="http://schemas.openxmlformats.org/officeDocument/2006/relationships/hyperlink" Target="https://www.gov.pl/web/obrona-narodowa/umowy---na-radary-i-karabinki-grot-dla-wojska-podpisane" TargetMode="External"/><Relationship Id="rId93" Type="http://schemas.openxmlformats.org/officeDocument/2006/relationships/hyperlink" Target="https://www.gov.uk/government/news/ukraine-to-receive-multi-million-pound-capability-boost-from-international-fund" TargetMode="External"/><Relationship Id="rId189" Type="http://schemas.openxmlformats.org/officeDocument/2006/relationships/hyperlink" Target="https://www.gov.uk/government/news/uk-leads-major-ukraine-summit-and-announces-150-million-firepower-package" TargetMode="External"/><Relationship Id="rId396" Type="http://schemas.openxmlformats.org/officeDocument/2006/relationships/hyperlink" Target="https://defence-network.com/haushaltsausschuss-38-bundeswehr-beschaffungen/" TargetMode="External"/><Relationship Id="rId617" Type="http://schemas.openxmlformats.org/officeDocument/2006/relationships/hyperlink" Target="https://www.bundeswehr.de/resource/blob/5386862/a2f3d1faf53ccc99a232dc1ba856fe4a/06-neue-fallschirmsysteme-fuer-die-bundeswehr-data.pdf" TargetMode="External"/><Relationship Id="rId824" Type="http://schemas.openxmlformats.org/officeDocument/2006/relationships/hyperlink" Target="https://www.bundeswehr-journal.de/2024/moderne-kommunikations-und-funktechnik-fuer-die-truppe/" TargetMode="External"/><Relationship Id="rId1247" Type="http://schemas.openxmlformats.org/officeDocument/2006/relationships/hyperlink" Target="https://www.bmvg.de/de/aktuelles/beschaffung-marschflugkoerper-selbstschutzsysteme-5951954" TargetMode="External"/><Relationship Id="rId256" Type="http://schemas.openxmlformats.org/officeDocument/2006/relationships/hyperlink" Target="https://prod-site-internet-minarm-admin.cloud.defense.gouv.fr/sites/default/files/dga/021_chiffres_cles_DGA_2020_numerique.pdf" TargetMode="External"/><Relationship Id="rId463" Type="http://schemas.openxmlformats.org/officeDocument/2006/relationships/hyperlink" Target="https://esut.de/2020/11/meldungen/24443/bundeswehr-investiert-weiter-in-transportfahrzeuge/" TargetMode="External"/><Relationship Id="rId670" Type="http://schemas.openxmlformats.org/officeDocument/2006/relationships/hyperlink" Target="https://www.behoerden-spiegel.de/2023/03/07/genehmigung-der-e-lynx-soldatenfunkgeraete/" TargetMode="External"/><Relationship Id="rId1093" Type="http://schemas.openxmlformats.org/officeDocument/2006/relationships/hyperlink" Target="https://esut.de/2025/01/meldungen/56952/beschaffungen-fuer-25-milliarden-euro-auf-den-letzten-druecker/" TargetMode="External"/><Relationship Id="rId1107" Type="http://schemas.openxmlformats.org/officeDocument/2006/relationships/hyperlink" Target="https://defence-industry.eu/hanwha-strengthens-cooperation-with-polish-industry-in-k9-howitzer-programme/" TargetMode="External"/><Relationship Id="rId1314" Type="http://schemas.openxmlformats.org/officeDocument/2006/relationships/hyperlink" Target="https://esut.de/2025/11/meldungen/65078/mehr-als-19-milliarden-euro-beschaffungsmittel-fuer-die-bundeswehr-gebilligt/" TargetMode="External"/><Relationship Id="rId116" Type="http://schemas.openxmlformats.org/officeDocument/2006/relationships/hyperlink" Target="https://www.gov.uk/government/news/aviation-climate-commitment-and-115-million-combat-air-technology-boosts-at-riat" TargetMode="External"/><Relationship Id="rId323" Type="http://schemas.openxmlformats.org/officeDocument/2006/relationships/hyperlink" Target="https://esut.de/2024/09/meldungen/53331/knapp-eine-milliarde-euro-fuer-geraete-umruestungen-und-lenkwaffen/" TargetMode="External"/><Relationship Id="rId530" Type="http://schemas.openxmlformats.org/officeDocument/2006/relationships/hyperlink" Target="https://www.defensenews.com/global/europe/2019/11/26/spains-indra-claims-lead-in-eu-electronic-warfare-push-for-future-aircraft/" TargetMode="External"/><Relationship Id="rId768" Type="http://schemas.openxmlformats.org/officeDocument/2006/relationships/hyperlink" Target="https://www.bundeswehr-journal.de/2023/transportfahrzeuge-bundeswehr-beschafft-doppelte-anzahl/" TargetMode="External"/><Relationship Id="rId975" Type="http://schemas.openxmlformats.org/officeDocument/2006/relationships/hyperlink" Target="https://esut.de/2024/06/meldungen/50887/acht-25-mio-euro-vorlagen-fuer-den-haushaltsausschuss/" TargetMode="External"/><Relationship Id="rId1160" Type="http://schemas.openxmlformats.org/officeDocument/2006/relationships/hyperlink" Target="https://www.gov.pl/web/obrona-narodowa/wielki-tydzien-dla-wojska-polskiego-po-umowach-na-wyrzutnie-patriot-i-smiglowce-apache-nadszedl-kleszcz---transportery-rozpoznawcze" TargetMode="External"/><Relationship Id="rId1398" Type="http://schemas.openxmlformats.org/officeDocument/2006/relationships/hyperlink" Target="https://www.gov.pl/web/obrona-narodowa/rozbudowa-infrastruktury-paliwowej-w-polsce--kluczowy-krok-integracji-z-systemem-nato" TargetMode="External"/><Relationship Id="rId20" Type="http://schemas.openxmlformats.org/officeDocument/2006/relationships/hyperlink" Target="https://www.royalnavy.mod.uk/news/2021/january/29/210129-autonomous-minesweeper" TargetMode="External"/><Relationship Id="rId628" Type="http://schemas.openxmlformats.org/officeDocument/2006/relationships/hyperlink" Target="https://www.bundeswehr.de/resource/blob/5443826/1d5a513dc54fdc6da62d107c4645c76b/12-verlaengerung-der-zentralen-bundeswehr-ersatzteil-logistik-data.pdf" TargetMode="External"/><Relationship Id="rId835" Type="http://schemas.openxmlformats.org/officeDocument/2006/relationships/hyperlink" Target="https://www.bmvg.de/de/aktuelles/beschaffung-die-bundeswehr-hat-den-turbo-eingelegt-5718690" TargetMode="External"/><Relationship Id="rId1258" Type="http://schemas.openxmlformats.org/officeDocument/2006/relationships/hyperlink" Target="https://www.bmvg.de/de/aktuelles/haushaltsausschuss-genehmigt-investitionen-in-milliardenhoehe-5957266" TargetMode="External"/><Relationship Id="rId267" Type="http://schemas.openxmlformats.org/officeDocument/2006/relationships/hyperlink" Target="https://www.archives.defense.gouv.fr/portail/actualites2/le-ministere-des-armees-commande-deux-fregates-et-avance-sur-le-porte-avions-de-nouvelle-generation.html" TargetMode="External"/><Relationship Id="rId474" Type="http://schemas.openxmlformats.org/officeDocument/2006/relationships/hyperlink" Target="https://esut.de/2021/01/meldungen/25023/rahmenvertrag-utf-logistikfahrzeuge-stark-erweitert/" TargetMode="External"/><Relationship Id="rId1020" Type="http://schemas.openxmlformats.org/officeDocument/2006/relationships/hyperlink" Target="https://www.bmvg.de/de/aktuelles/bundeswehr-investiert-in-transportfahrzeuge-satellitentechnik-5855458" TargetMode="External"/><Relationship Id="rId1118" Type="http://schemas.openxmlformats.org/officeDocument/2006/relationships/hyperlink" Target="https://www.gov.pl/web/obrona-narodowa/bezzalogowce-bayraktar-tb2-trafia-do-sil-zbrojnych-rp" TargetMode="External"/><Relationship Id="rId1325" Type="http://schemas.openxmlformats.org/officeDocument/2006/relationships/hyperlink" Target="https://esut.de/2025/12/meldungen/65941/mehr-als-25-milliarden-euro-fuer-elf-beschaffungsvorhaben-gebilligt/" TargetMode="External"/><Relationship Id="rId127" Type="http://schemas.openxmlformats.org/officeDocument/2006/relationships/hyperlink" Target="https://www.gov.uk/government/news/17million-contract-awarded-for-force-protection-technology" TargetMode="External"/><Relationship Id="rId681" Type="http://schemas.openxmlformats.org/officeDocument/2006/relationships/hyperlink" Target="https://esut.de/en/2022/12/meldungen/38718/bundeswehr-erhaelt-catv-ueberschneefahrzeug/" TargetMode="External"/><Relationship Id="rId779" Type="http://schemas.openxmlformats.org/officeDocument/2006/relationships/hyperlink" Target="https://www.bundeswehr-journal.de/2023/startschuss-zum-bau-von-drei-neuen-flottendienstbooten/" TargetMode="External"/><Relationship Id="rId902" Type="http://schemas.openxmlformats.org/officeDocument/2006/relationships/hyperlink" Target="https://www.thalesgroup.com/en/group/journalist/press-release/rheinmetall-and-thales-are-teaming-germany-within-field-unguided-and" TargetMode="External"/><Relationship Id="rId986" Type="http://schemas.openxmlformats.org/officeDocument/2006/relationships/hyperlink" Target="https://www.bmvg.de/de/aktuelles/militaer-lkw-munition-und-headsets-fuer-die-bundeswehr-5811014" TargetMode="External"/><Relationship Id="rId31" Type="http://schemas.openxmlformats.org/officeDocument/2006/relationships/hyperlink" Target="https://www.gov.uk/government/news/500m-firepower-upgrade-for-type-45-destroyers" TargetMode="External"/><Relationship Id="rId334" Type="http://schemas.openxmlformats.org/officeDocument/2006/relationships/hyperlink" Target="https://www.gov.pl/web/obrona-narodowa/tarcza-wschod---operacja-umacniania-wschodniej-granicy-polski-i-wschodniej-flanki-nato" TargetMode="External"/><Relationship Id="rId541" Type="http://schemas.openxmlformats.org/officeDocument/2006/relationships/hyperlink" Target="https://euro-sd.com/2023/07/news/32819/type-424-fleet-service-ships-germany-tests-a-new-procurement-model/" TargetMode="External"/><Relationship Id="rId639" Type="http://schemas.openxmlformats.org/officeDocument/2006/relationships/hyperlink" Target="https://www.bmvg.de/de/aktuelles/neue-schwerlastanhaenger-fuer-die-bundeswehr-5424250" TargetMode="External"/><Relationship Id="rId1171" Type="http://schemas.openxmlformats.org/officeDocument/2006/relationships/hyperlink" Target="https://www.gov.pl/web/obrona-narodowa/powietrzna-tarcza-dla-wyrzutni-rakietowych" TargetMode="External"/><Relationship Id="rId1269" Type="http://schemas.openxmlformats.org/officeDocument/2006/relationships/hyperlink" Target="https://www.bmvg.de/de/aktuelles/gruenes-licht-fuer-sieben-weitere-beschaffungsvertraege-5991106" TargetMode="External"/><Relationship Id="rId180" Type="http://schemas.openxmlformats.org/officeDocument/2006/relationships/hyperlink" Target="https://ukdefencejournal.org.uk/uk-awards-476m-sealift-contract-to-foreland-shipping/" TargetMode="External"/><Relationship Id="rId278" Type="http://schemas.openxmlformats.org/officeDocument/2006/relationships/hyperlink" Target="https://prod-site-internet-minarm-admin.cloud.defense.gouv.fr/sites/default/files/dga/022_chiffres_cles_DGA_num_fr.pdf" TargetMode="External"/><Relationship Id="rId401" Type="http://schemas.openxmlformats.org/officeDocument/2006/relationships/hyperlink" Target="https://defence-network.com/haushaltsausschuss-38-bundeswehr-beschaffungen/" TargetMode="External"/><Relationship Id="rId846" Type="http://schemas.openxmlformats.org/officeDocument/2006/relationships/hyperlink" Target="https://www.bmvg.de/de/aktuelles/ukraine-unterstuetzung-deutschland-beschafft-artilleriemunition-5717012" TargetMode="External"/><Relationship Id="rId1031" Type="http://schemas.openxmlformats.org/officeDocument/2006/relationships/hyperlink" Target="https://www.bmvg.de/de/aktuelles/parlament-stimmt-milliardeninvestitionen-fuer-verteidigung-zu-5871974" TargetMode="External"/><Relationship Id="rId1129" Type="http://schemas.openxmlformats.org/officeDocument/2006/relationships/hyperlink" Target="https://www.defensenews.com/global/europe/2022/09/08/estonia-joins-poland-in-buying-piorun-anti-aircraft-missiles/" TargetMode="External"/><Relationship Id="rId485" Type="http://schemas.openxmlformats.org/officeDocument/2006/relationships/hyperlink" Target="https://esut.de/2020/10/meldungen/23414/1-000-ungeschuetzte-logistik-lkw-fuer-die-bundeswehr/" TargetMode="External"/><Relationship Id="rId692" Type="http://schemas.openxmlformats.org/officeDocument/2006/relationships/hyperlink" Target="https://www.bmvg.de/de/aktuelles/fernmeldesatelliten-der-bundeswehr-fliegen-bis-ende-2028-weiter-5579704" TargetMode="External"/><Relationship Id="rId706" Type="http://schemas.openxmlformats.org/officeDocument/2006/relationships/hyperlink" Target="https://www.bmvg.de/de/aktuelles/parlament-bewilligt-bestellung-von-230-transportfahrzeugen-5591546" TargetMode="External"/><Relationship Id="rId913" Type="http://schemas.openxmlformats.org/officeDocument/2006/relationships/hyperlink" Target="https://www.bmvg.de/de/aktuelles/weiterentwicklung-nh-90-flotte-eurofighter-genehmigt-5773350" TargetMode="External"/><Relationship Id="rId1336" Type="http://schemas.openxmlformats.org/officeDocument/2006/relationships/hyperlink" Target="https://www.mbda-systems.com/de/mbda-joint-venture-erhaelt-taurus-neo-auftrag-zur-staerkung-der-deep-strike-faehigkeit" TargetMode="External"/><Relationship Id="rId42" Type="http://schemas.openxmlformats.org/officeDocument/2006/relationships/hyperlink" Target="https://www.gov.uk/government/news/725m-investment-for-laser-and-radio-frequency-weapons" TargetMode="External"/><Relationship Id="rId138" Type="http://schemas.openxmlformats.org/officeDocument/2006/relationships/hyperlink" Target="https://www.gov.uk/government/news/capability-boost-for-uks-global-military-operations-as-contract-confirmed-for-new-chinooks" TargetMode="External"/><Relationship Id="rId345" Type="http://schemas.openxmlformats.org/officeDocument/2006/relationships/hyperlink" Target="https://www.defense.gouv.fr/dga/actualites/dga-commande-42-rafale-larmee-lair-lespace" TargetMode="External"/><Relationship Id="rId552" Type="http://schemas.openxmlformats.org/officeDocument/2006/relationships/hyperlink" Target="https://esut.de/en/2021/07/meldungen/28450/nsm-seeziel-lenkflugkoerper/" TargetMode="External"/><Relationship Id="rId997" Type="http://schemas.openxmlformats.org/officeDocument/2006/relationships/hyperlink" Target="https://esut.de/2024/09/meldungen/53331/knapp-eine-milliarde-euro-fuer-geraete-umruestungen-und-lenkwaffen/" TargetMode="External"/><Relationship Id="rId1182" Type="http://schemas.openxmlformats.org/officeDocument/2006/relationships/hyperlink" Target="https://www.gov.uk/government/news/uk-to-deliver-pioneering-battlefield-system-and-bolster-cyber-warfare-capabilities-under-strategic-defence-review" TargetMode="External"/><Relationship Id="rId1403" Type="http://schemas.openxmlformats.org/officeDocument/2006/relationships/hyperlink" Target="https://www.gov.pl/web/obrona-narodowa/czolgi-saperskie-m1150-abv-dla-wojska-polskiego" TargetMode="External"/><Relationship Id="rId191" Type="http://schemas.openxmlformats.org/officeDocument/2006/relationships/hyperlink" Target="https://www.gov.uk/government/news/uk-leads-major-ukraine-summit-and-announces-150-million-firepower-package" TargetMode="External"/><Relationship Id="rId205" Type="http://schemas.openxmlformats.org/officeDocument/2006/relationships/hyperlink" Target="https://www.gov.uk/government/news/450m-surge-of-military-support-to-boost-ukraines-armed-forces-as-uk-and-germany-chair-meeting-of-50-nations" TargetMode="External"/><Relationship Id="rId412" Type="http://schemas.openxmlformats.org/officeDocument/2006/relationships/hyperlink" Target="https://www.gov.pl/web/obrona-narodowa/nowe-spycharko-ladowarki-trafia-do-wojska-polskiego" TargetMode="External"/><Relationship Id="rId857" Type="http://schemas.openxmlformats.org/officeDocument/2006/relationships/hyperlink" Target="https://www.hartpunkt.de/vertrag-fuer-unterwasserortungssysteme-geschlossen/" TargetMode="External"/><Relationship Id="rId1042" Type="http://schemas.openxmlformats.org/officeDocument/2006/relationships/hyperlink" Target="https://www.bmvg.de/de/aktuelles/parlament-stimmt-milliardeninvestitionen-fuer-verteidigung-zu-5871974" TargetMode="External"/><Relationship Id="rId289" Type="http://schemas.openxmlformats.org/officeDocument/2006/relationships/hyperlink" Target="https://www.arquus-defense.com/fr/newsroom/actualites/notification-dune-nouvelle-commande-de-griffon-et-jaguar" TargetMode="External"/><Relationship Id="rId496" Type="http://schemas.openxmlformats.org/officeDocument/2006/relationships/hyperlink" Target="https://www.bmvg.de/de/aktuelles/bundeswehr-lenkflugkoerper-mells-beschaffung-5027884" TargetMode="External"/><Relationship Id="rId717" Type="http://schemas.openxmlformats.org/officeDocument/2006/relationships/hyperlink" Target="https://www.bmvg.de/de/aktuelles/lenkflugkoerper-it-57-sattelzugmaschinen-sollen-beschafft-werden-5612678" TargetMode="External"/><Relationship Id="rId924" Type="http://schemas.openxmlformats.org/officeDocument/2006/relationships/hyperlink" Target="https://esut.de/2024/05/meldungen/49772/19-milliarden-euro-fuer-vier-vorhaben-zu-lande-zu-wasser-und-in-der-luft/" TargetMode="External"/><Relationship Id="rId1347" Type="http://schemas.openxmlformats.org/officeDocument/2006/relationships/hyperlink" Target="https://esut.de/2025/12/meldungen/66362/haushalt-bundeswehr-grossvorhaben/" TargetMode="External"/><Relationship Id="rId53" Type="http://schemas.openxmlformats.org/officeDocument/2006/relationships/hyperlink" Target="https://www.gov.uk/government/news/460-million-logistics-contract-to-sustain-more-than-600-uk-jobs" TargetMode="External"/><Relationship Id="rId149" Type="http://schemas.openxmlformats.org/officeDocument/2006/relationships/hyperlink" Target="https://www.gov.uk/government/news/uk-to-provide-162-million-package-of-air-defence-missiles-for-ukraine-as-defence-secretary-meets-international-partners" TargetMode="External"/><Relationship Id="rId356" Type="http://schemas.openxmlformats.org/officeDocument/2006/relationships/hyperlink" Target="https://esut.de/2020/06/meldungen/21194/mehrzweckkampfschiff-mks-180-vertragsunterzeichnung/" TargetMode="External"/><Relationship Id="rId563" Type="http://schemas.openxmlformats.org/officeDocument/2006/relationships/hyperlink" Target="https://www.bundeswehr.de/resource/blob/5100260/4f7f9a79657a1fa6c42c7f4cd7cce246/15-sicheres-arbeiten-im-buero-und-von-zuhause-bundeswehr-investiert-weiter-in-it-sicherheit-data.pdf" TargetMode="External"/><Relationship Id="rId770" Type="http://schemas.openxmlformats.org/officeDocument/2006/relationships/hyperlink" Target="https://www.bmvg.de/de/aktuelles/iris-t-arrow-wechselladersysteme-fuer-bundeswehr-5636272" TargetMode="External"/><Relationship Id="rId1193" Type="http://schemas.openxmlformats.org/officeDocument/2006/relationships/hyperlink" Target="https://des.mod.uk/boost-for-armed-forces-as-new-laser-weapon-takes-down-high-speed-drones/?portfolioCats=78%2C735%2C69%2C734" TargetMode="External"/><Relationship Id="rId1207" Type="http://schemas.openxmlformats.org/officeDocument/2006/relationships/hyperlink" Target="https://www.reuters.com/business/aerospace-defense/uk-buy-fighter-jets-capable-carrying-tactical-nuclear-weapons-2025-06-25/" TargetMode="External"/><Relationship Id="rId1414" Type="http://schemas.openxmlformats.org/officeDocument/2006/relationships/hyperlink" Target="https://www.occar.int/news/occar-announces-infrared-clipon-devices-contract-award" TargetMode="External"/><Relationship Id="rId216" Type="http://schemas.openxmlformats.org/officeDocument/2006/relationships/hyperlink" Target="https://www.gov.pl/web/obrona-narodowa/system-patriot" TargetMode="External"/><Relationship Id="rId423" Type="http://schemas.openxmlformats.org/officeDocument/2006/relationships/hyperlink" Target="https://www.gov.pl/web/obrona-narodowa/wojsko-otrzyma-nowe-rosomaki-i-tysiace-sztuk-amunicji" TargetMode="External"/><Relationship Id="rId868" Type="http://schemas.openxmlformats.org/officeDocument/2006/relationships/hyperlink" Target="https://www.hartpunkt.de/milliardensumme-fuer-neue-flugkoerper/" TargetMode="External"/><Relationship Id="rId1053" Type="http://schemas.openxmlformats.org/officeDocument/2006/relationships/hyperlink" Target="https://defence-network.com/haushaltsausschuss-38-bundeswehr-beschaffungen/" TargetMode="External"/><Relationship Id="rId1260" Type="http://schemas.openxmlformats.org/officeDocument/2006/relationships/hyperlink" Target="https://www.bmvg.de/de/aktuelles/haushaltsausschuss-billigt-beschaffung-transportfahrzeuge-5961464" TargetMode="External"/><Relationship Id="rId630" Type="http://schemas.openxmlformats.org/officeDocument/2006/relationships/hyperlink" Target="https://www.bmvg.de/de/aktuelles/neue-schwerlastanhaenger-fuer-die-bundeswehr-5424250" TargetMode="External"/><Relationship Id="rId728" Type="http://schemas.openxmlformats.org/officeDocument/2006/relationships/hyperlink" Target="https://www.bundeswehr.de/de/organisation/ausruestung-baainbw/aktuelles/gehaertete-it-komponenten-5622764" TargetMode="External"/><Relationship Id="rId935" Type="http://schemas.openxmlformats.org/officeDocument/2006/relationships/hyperlink" Target="https://www.bundeswehr.de/resource/blob/5807006/43a25b93f0ce4b30bdd8dd1352412f07/13-weitere-1-515-militaer-transportfahrzeuge-fuer-die-bundeswehr-dl-data.pdf" TargetMode="External"/><Relationship Id="rId1358" Type="http://schemas.openxmlformats.org/officeDocument/2006/relationships/hyperlink" Target="https://esut.de/2025/12/meldungen/66362/haushalt-bundeswehr-grossvorhaben/" TargetMode="External"/><Relationship Id="rId64" Type="http://schemas.openxmlformats.org/officeDocument/2006/relationships/hyperlink" Target="https://www.gov.uk/government/news/235-billion-typhoon-upgrade-sustains-1300-uk-jobs" TargetMode="External"/><Relationship Id="rId367" Type="http://schemas.openxmlformats.org/officeDocument/2006/relationships/hyperlink" Target="https://esut.de/2024/11/meldungen/54762/drei-beschaffungsvorhaben-fuer-luft-und-land-gebilligt/" TargetMode="External"/><Relationship Id="rId574" Type="http://schemas.openxmlformats.org/officeDocument/2006/relationships/hyperlink" Target="https://www.bmvg.de/de/aktuelles/modernisierung-der-streitkraefte-rund-19-milliarden-freigegeben-5099070" TargetMode="External"/><Relationship Id="rId1120" Type="http://schemas.openxmlformats.org/officeDocument/2006/relationships/hyperlink" Target="https://www.gov.pl/web/obrona-narodowa/kolejne-mozdzierze-rak-dla-wojska-polskiego" TargetMode="External"/><Relationship Id="rId1218" Type="http://schemas.openxmlformats.org/officeDocument/2006/relationships/hyperlink" Target="https://www.gov.uk/government/news/uk-jobs-and-air-defences-boost-with-purchase-of-new-missile-launchers" TargetMode="External"/><Relationship Id="rId227" Type="http://schemas.openxmlformats.org/officeDocument/2006/relationships/hyperlink" Target="https://www.navalnews.com/naval-news/2023/12/miecznik-for-eur-3-6-billion-all-frigates-fully-armed/" TargetMode="External"/><Relationship Id="rId781" Type="http://schemas.openxmlformats.org/officeDocument/2006/relationships/hyperlink" Target="https://www.bmvg.de/de/aktuelles/chinooks-flottendienstboote-und-luftlandefahrzeuge-5646766" TargetMode="External"/><Relationship Id="rId879" Type="http://schemas.openxmlformats.org/officeDocument/2006/relationships/hyperlink" Target="https://www.bmvg.de/de/aktuelles/weitere-nachtsichtgeraete-truppe-5757530" TargetMode="External"/><Relationship Id="rId434" Type="http://schemas.openxmlformats.org/officeDocument/2006/relationships/hyperlink" Target="https://euro-sd.com/2020/09/news/19152/gbu-54-contract-for-bundeswehr/" TargetMode="External"/><Relationship Id="rId641" Type="http://schemas.openxmlformats.org/officeDocument/2006/relationships/hyperlink" Target="https://www.bmvg.de/de/presse/vollausstattung-persoenliche-ausruestung-bis-2025-5390698" TargetMode="External"/><Relationship Id="rId739" Type="http://schemas.openxmlformats.org/officeDocument/2006/relationships/hyperlink" Target="https://www.bmvg.de/de/aktuelles/lenkflugkoerper-it-57-sattelzugmaschinen-sollen-beschafft-werden-5612687" TargetMode="External"/><Relationship Id="rId1064" Type="http://schemas.openxmlformats.org/officeDocument/2006/relationships/hyperlink" Target="https://www.bmvg.de/de/aktuelles/parlament-stimmt-milliardeninvestitionen-fuer-verteidigung-zu-5871974" TargetMode="External"/><Relationship Id="rId1271" Type="http://schemas.openxmlformats.org/officeDocument/2006/relationships/hyperlink" Target="https://www.bmvg.de/de/aktuelles/gruenes-licht-fuer-sieben-weitere-beschaffungsvertraege-5991106" TargetMode="External"/><Relationship Id="rId1369" Type="http://schemas.openxmlformats.org/officeDocument/2006/relationships/hyperlink" Target="https://www.gov.uk/government/news/uk-armed-forces-to-benefit-from-ground-breaking-underwater-glue-developed-with-industry" TargetMode="External"/><Relationship Id="rId280" Type="http://schemas.openxmlformats.org/officeDocument/2006/relationships/hyperlink" Target="https://prod-site-internet-minarm-admin.cloud.defense.gouv.fr/sites/default/files/dga/022_chiffres_cles_DGA_num_fr.pdf" TargetMode="External"/><Relationship Id="rId501" Type="http://schemas.openxmlformats.org/officeDocument/2006/relationships/hyperlink" Target="https://www.bmvg.de/de/aktuelles/grosse-schritte-beschaffung-bundeswehr-5051262" TargetMode="External"/><Relationship Id="rId946" Type="http://schemas.openxmlformats.org/officeDocument/2006/relationships/hyperlink" Target="https://esut.de/2024/06/meldungen/50466/vier-projekte-mit-2-milliarden-euro-gebilligt/" TargetMode="External"/><Relationship Id="rId1131" Type="http://schemas.openxmlformats.org/officeDocument/2006/relationships/hyperlink" Target="https://www.navalnews.com/naval-news/2022/06/poland-orders-three-more-kormoran-ii-mcm-vessels/" TargetMode="External"/><Relationship Id="rId1229" Type="http://schemas.openxmlformats.org/officeDocument/2006/relationships/hyperlink" Target="https://www.gov.uk/government/news/worlds-first-mobile-quantum-brain-scanner-being-developed-to-measure-blast-effects-on-troops" TargetMode="External"/><Relationship Id="rId75" Type="http://schemas.openxmlformats.org/officeDocument/2006/relationships/hyperlink" Target="https://www.gov.uk/government/news/uk-orders-thousands-more-anti-tank-weapons-to-bolster-stockpiles" TargetMode="External"/><Relationship Id="rId140" Type="http://schemas.openxmlformats.org/officeDocument/2006/relationships/hyperlink" Target="https://www.gov.uk/government/news/uk-and-australia-celebrate-closer-ties-with-aukus-progress-and-new-defence-treaty" TargetMode="External"/><Relationship Id="rId378" Type="http://schemas.openxmlformats.org/officeDocument/2006/relationships/hyperlink" Target="https://defence-network.com/haushaltsausschuss-38-bundeswehr-beschaffungen/" TargetMode="External"/><Relationship Id="rId585" Type="http://schemas.openxmlformats.org/officeDocument/2006/relationships/hyperlink" Target="https://www.bmvg.de/de/aktuelles/modernisierung-der-streitkraefte-rund-19-milliarden-freigegeben-5099070" TargetMode="External"/><Relationship Id="rId792" Type="http://schemas.openxmlformats.org/officeDocument/2006/relationships/hyperlink" Target="https://www.bundeswehr-journal.de/2023/artilleriegeschosse-im-wert-von-rund-13-milliarden-euro/" TargetMode="External"/><Relationship Id="rId806" Type="http://schemas.openxmlformats.org/officeDocument/2006/relationships/hyperlink" Target="https://esut.de/2023/08/fachbeitraege/43533/gefechts-und-ausbildungsmunition-fuer-kampffahrzeuge-und-gewehre/" TargetMode="External"/><Relationship Id="rId6" Type="http://schemas.openxmlformats.org/officeDocument/2006/relationships/hyperlink" Target="https://www.gov.uk/government/news/gibraltar-squadron-to-receive-two-cutting-edge-fast-patrol-craft" TargetMode="External"/><Relationship Id="rId238" Type="http://schemas.openxmlformats.org/officeDocument/2006/relationships/hyperlink" Target="https://www.gov.pl/web/obrona-narodowa/wzmacniamy-system-obrony-powietrznej-umowy-offsetowe-do-ii-fazy-programu-wisla-podpisane" TargetMode="External"/><Relationship Id="rId445" Type="http://schemas.openxmlformats.org/officeDocument/2006/relationships/hyperlink" Target="https://www.bmvg.de/de/aktuelles/bundeswehr-bekommt-neue-eurofighter-4151308" TargetMode="External"/><Relationship Id="rId652" Type="http://schemas.openxmlformats.org/officeDocument/2006/relationships/hyperlink" Target="https://www.bmvg.de/de/aktuelles/bundestag-gibt-mittel-fuer-marineflugzeug-p-8a-poseidon-frei-5454548" TargetMode="External"/><Relationship Id="rId1075" Type="http://schemas.openxmlformats.org/officeDocument/2006/relationships/hyperlink" Target="https://esut.de/2025/01/meldungen/56952/beschaffungen-fuer-25-milliarden-euro-auf-den-letzten-druecker/" TargetMode="External"/><Relationship Id="rId1282" Type="http://schemas.openxmlformats.org/officeDocument/2006/relationships/hyperlink" Target="https://www.bmvg.de/de/aktuelles/beschaffung-eurofighter-der-tranche-5-fuer-luftwaffe-5998542" TargetMode="External"/><Relationship Id="rId291" Type="http://schemas.openxmlformats.org/officeDocument/2006/relationships/hyperlink" Target="https://www.defense.gouv.fr/sites/default/files/dga/022_dossier_Griffon_Jaguar.pdf" TargetMode="External"/><Relationship Id="rId305" Type="http://schemas.openxmlformats.org/officeDocument/2006/relationships/hyperlink" Target="https://prod-site-internet-minarm-admin.cloud.defense.gouv.fr/sites/default/files/dga/023_chiffres_cles_DGA.pdf" TargetMode="External"/><Relationship Id="rId512" Type="http://schemas.openxmlformats.org/officeDocument/2006/relationships/hyperlink" Target="https://www.bmvg.de/de/aktuelles/vjtf-erhaelt-5-000-bildverstaerkerbrillen-5059582" TargetMode="External"/><Relationship Id="rId957" Type="http://schemas.openxmlformats.org/officeDocument/2006/relationships/hyperlink" Target="https://www.bmvg.de/de/aktuelles/beschaffung-munition-tornado-head-up-displays-5801330" TargetMode="External"/><Relationship Id="rId1142" Type="http://schemas.openxmlformats.org/officeDocument/2006/relationships/hyperlink" Target="https://www.gov.pl/web/obrona-narodowa/baobab-k-trafi-na-wyposazenie-wojska-polskiego" TargetMode="External"/><Relationship Id="rId86" Type="http://schemas.openxmlformats.org/officeDocument/2006/relationships/hyperlink" Target="https://des.mod.uk/wildcat-helicopter-support-leonardo-navy-army-jobs/?portfolioCats=78%2C735%2C69%2C734" TargetMode="External"/><Relationship Id="rId151" Type="http://schemas.openxmlformats.org/officeDocument/2006/relationships/hyperlink" Target="https://des.mod.uk/des-awards-additional-20m-contract-to-bae-systems-for-small-arms-ammunition/?portfolioCats=78%2C735%2C69%2C734" TargetMode="External"/><Relationship Id="rId389" Type="http://schemas.openxmlformats.org/officeDocument/2006/relationships/hyperlink" Target="https://defence-network.com/haushaltsausschuss-38-bundeswehr-beschaffungen/" TargetMode="External"/><Relationship Id="rId596" Type="http://schemas.openxmlformats.org/officeDocument/2006/relationships/hyperlink" Target="https://www.bundeswehr-journal.de/2021/laser-licht-module-fuer-die-deutschen-streitkraefte/" TargetMode="External"/><Relationship Id="rId817" Type="http://schemas.openxmlformats.org/officeDocument/2006/relationships/hyperlink" Target="https://www.bundeswehr-journal.de/2023/der-weg-ist-frei-fuer-das-neue-waffensystem-arrow-3/" TargetMode="External"/><Relationship Id="rId1002" Type="http://schemas.openxmlformats.org/officeDocument/2006/relationships/hyperlink" Target="https://www.bmvg.de/de/aktuelles/beschaffung-wichtiger-ruestungs-it-programme-geht-weiter-5841340" TargetMode="External"/><Relationship Id="rId249" Type="http://schemas.openxmlformats.org/officeDocument/2006/relationships/hyperlink" Target="https://archives.defense.gouv.fr/dga/actualite/la-direction-generale-de-l-armement-dga-commande-les-364-premiers-vehicules-blindes-serval-destines-a-l-armee-de-terre.html" TargetMode="External"/><Relationship Id="rId456" Type="http://schemas.openxmlformats.org/officeDocument/2006/relationships/hyperlink" Target="https://www.bmvg.de/de/aktuelles/deutsche-marine-neue-bordhubschrauber-4473464" TargetMode="External"/><Relationship Id="rId663" Type="http://schemas.openxmlformats.org/officeDocument/2006/relationships/hyperlink" Target="https://www.bmvg.de/de/aktuelles/gruenes-licht-fuer-moderne-sprechsaetze-und-praezise-munition-5504982" TargetMode="External"/><Relationship Id="rId870" Type="http://schemas.openxmlformats.org/officeDocument/2006/relationships/hyperlink" Target="https://www.bundeswehr.de/de/organisation/luftwaffe/aktuelles/meteor-ein-erfolgsprojekt-aus-sechs-nationen-5086646" TargetMode="External"/><Relationship Id="rId1086" Type="http://schemas.openxmlformats.org/officeDocument/2006/relationships/hyperlink" Target="https://esut.de/2025/01/meldungen/56952/beschaffungen-fuer-25-milliarden-euro-auf-den-letzten-druecker/" TargetMode="External"/><Relationship Id="rId1293" Type="http://schemas.openxmlformats.org/officeDocument/2006/relationships/hyperlink" Target="https://en.wikipedia.org/wiki/Oerlikon_KBA" TargetMode="External"/><Relationship Id="rId1307" Type="http://schemas.openxmlformats.org/officeDocument/2006/relationships/hyperlink" Target="https://esut.de/2025/11/meldungen/65078/mehr-als-19-milliarden-euro-beschaffungsmittel-fuer-die-bundeswehr-gebilligt/" TargetMode="External"/><Relationship Id="rId13" Type="http://schemas.openxmlformats.org/officeDocument/2006/relationships/hyperlink" Target="https://www.gov.uk/government/news/mod-extends-contract-for-nato-submarine-rescue-missions" TargetMode="External"/><Relationship Id="rId109" Type="http://schemas.openxmlformats.org/officeDocument/2006/relationships/hyperlink" Target="https://www.gov.uk/government/news/major-air-defence-package-for-ukraine-announced-at-meeting-of-joint-expeditionary-force-ministers" TargetMode="External"/><Relationship Id="rId316" Type="http://schemas.openxmlformats.org/officeDocument/2006/relationships/hyperlink" Target="https://esut.de/2023/05/meldungen/42151/beschaffung-von-18-leopard-2-a8-und-12-panzerhaubitzen-2000-genehmigt/" TargetMode="External"/><Relationship Id="rId523" Type="http://schemas.openxmlformats.org/officeDocument/2006/relationships/hyperlink" Target="https://hardthoehenkurier.de/bundeswehr-investiert-weiter-in-bekleidung-und-persoenliche-ausruestung/" TargetMode="External"/><Relationship Id="rId968" Type="http://schemas.openxmlformats.org/officeDocument/2006/relationships/hyperlink" Target="https://esut.de/2024/06/meldungen/50887/acht-25-mio-euro-vorlagen-fuer-den-haushaltsausschuss/" TargetMode="External"/><Relationship Id="rId1153" Type="http://schemas.openxmlformats.org/officeDocument/2006/relationships/hyperlink" Target="https://www.gov.pl/web/obrona-narodowa/nowoczesne-pociski-dalekiego-zasiegu-jassm-er-dla-wojska-polskiego" TargetMode="External"/><Relationship Id="rId97" Type="http://schemas.openxmlformats.org/officeDocument/2006/relationships/hyperlink" Target="https://www.army-technology.com/projects/jackal-3-high-mobility-truck-hmt-400-series-uk/" TargetMode="External"/><Relationship Id="rId730" Type="http://schemas.openxmlformats.org/officeDocument/2006/relationships/hyperlink" Target="https://www.bundeswehr.de/de/organisation/ausruestung-baainbw/aktuelles/gehaertete-it-komponenten-5622765" TargetMode="External"/><Relationship Id="rId828" Type="http://schemas.openxmlformats.org/officeDocument/2006/relationships/hyperlink" Target="https://www.bmvg.de/de/aktuelles/drohne-heron-tp-mittel-fuer-flugbetrieb-in-deutschland-5700956" TargetMode="External"/><Relationship Id="rId1013" Type="http://schemas.openxmlformats.org/officeDocument/2006/relationships/hyperlink" Target="https://esut.de/2024/10/meldungen/53933/72-milliarden-euro-fuer-sieben-projekte-freigegeben/" TargetMode="External"/><Relationship Id="rId1360" Type="http://schemas.openxmlformats.org/officeDocument/2006/relationships/hyperlink" Target="https://esut.de/2026/01/meldungen/66964/acht-mq-9b-seaguardian-fuer-seefernaufklaerung-und-u-boot-jagd/" TargetMode="External"/><Relationship Id="rId162" Type="http://schemas.openxmlformats.org/officeDocument/2006/relationships/hyperlink" Target="https://des.mod.uk/battle-winning-complex-weapons-for-uk-armed-forces-secured-for-another-decade/?portfolioCats=78%2C735%2C69%2C734" TargetMode="External"/><Relationship Id="rId467" Type="http://schemas.openxmlformats.org/officeDocument/2006/relationships/hyperlink" Target="https://esut.de/2021/01/meldungen/25023/rahmenvertrag-utf-logistikfahrzeuge-stark-erweitert/" TargetMode="External"/><Relationship Id="rId1097" Type="http://schemas.openxmlformats.org/officeDocument/2006/relationships/hyperlink" Target="https://www.gov.pl/web/obrona-narodowa/abramsy-dla-polski--wzmacniamy-potencjal-wojska-polskiego" TargetMode="External"/><Relationship Id="rId1220" Type="http://schemas.openxmlformats.org/officeDocument/2006/relationships/hyperlink" Target="https://www.gov.uk/government/news/uk-jobs-and-air-defences-boost-with-purchase-of-new-missile-launchers" TargetMode="External"/><Relationship Id="rId1318" Type="http://schemas.openxmlformats.org/officeDocument/2006/relationships/hyperlink" Target="https://esut.de/2025/11/meldungen/65337/20-leichte-kampfhubschrauber-h145m-gebilligt/" TargetMode="External"/><Relationship Id="rId674" Type="http://schemas.openxmlformats.org/officeDocument/2006/relationships/hyperlink" Target="https://www.bmvg.de/de/aktuelles/sondervermoegen-bundeswehr-markiert-historischen-aufbruch-5542400" TargetMode="External"/><Relationship Id="rId881" Type="http://schemas.openxmlformats.org/officeDocument/2006/relationships/hyperlink" Target="https://defence-network.com/nachtsichtbrillen-fuer-die-bundeswehr/" TargetMode="External"/><Relationship Id="rId979" Type="http://schemas.openxmlformats.org/officeDocument/2006/relationships/hyperlink" Target="https://esut.de/2024/06/meldungen/51064/lenkflugkoerper-brimstone-fuer-die-luftwaffe/" TargetMode="External"/><Relationship Id="rId24" Type="http://schemas.openxmlformats.org/officeDocument/2006/relationships/hyperlink" Target="https://www.gov.uk/government/news/180m-army-vehicle-contract-protects-700-glasgow-jobs" TargetMode="External"/><Relationship Id="rId327" Type="http://schemas.openxmlformats.org/officeDocument/2006/relationships/hyperlink" Target="https://www.bmvg.de/de/aktuelles/lenkflugkoerper-helm-system-ausbildung-beschaffungen-5858878" TargetMode="External"/><Relationship Id="rId534" Type="http://schemas.openxmlformats.org/officeDocument/2006/relationships/hyperlink" Target="https://www.sueddeutsche.de/bayern/taufkirchen-hensoldt-fuer-bundeswehr-aufklaerungssystem-pegasus-beauftragt-dpa.urn-newsml-dpa-com-20090101-210630-99-201517" TargetMode="External"/><Relationship Id="rId741" Type="http://schemas.openxmlformats.org/officeDocument/2006/relationships/hyperlink" Target="https://www.bmvg.de/de/aktuelles/lenkflugkoerper-it-57-sattelzugmaschinen-sollen-beschafft-werden-5612688" TargetMode="External"/><Relationship Id="rId839" Type="http://schemas.openxmlformats.org/officeDocument/2006/relationships/hyperlink" Target="https://esut.de/2023/12/meldungen/45973/beschaffungen-von-taeuschkoerpern-und-fahrschulpanzern-leopard-2-gebilligt/" TargetMode="External"/><Relationship Id="rId1164" Type="http://schemas.openxmlformats.org/officeDocument/2006/relationships/hyperlink" Target="https://www.gov.pl/web/obrona-narodowa/wojskowe-cysterny-dla-czolgow-haubic-i-wyrzutni-rakietowych" TargetMode="External"/><Relationship Id="rId1371" Type="http://schemas.openxmlformats.org/officeDocument/2006/relationships/hyperlink" Target="https://wyborcza.pl/7,75398,32565732,tarcza-antydronowa-za-15-mld-zl-mon-rozpoczyna-program-san.html" TargetMode="External"/><Relationship Id="rId173" Type="http://schemas.openxmlformats.org/officeDocument/2006/relationships/hyperlink" Target="https://www.gov.uk/government/news/uk-leadership-on-ukraine-continues-as-defence-secretary-announced-225m-support-package-during-kyiv-visit" TargetMode="External"/><Relationship Id="rId380" Type="http://schemas.openxmlformats.org/officeDocument/2006/relationships/hyperlink" Target="https://defence-network.com/haushaltsausschuss-38-bundeswehr-beschaffungen/" TargetMode="External"/><Relationship Id="rId601" Type="http://schemas.openxmlformats.org/officeDocument/2006/relationships/hyperlink" Target="https://esut.de/2021/11/meldungen/30853/salis-vertrag-um-fuenf-jahre-verlaengert/" TargetMode="External"/><Relationship Id="rId1024" Type="http://schemas.openxmlformats.org/officeDocument/2006/relationships/hyperlink" Target="https://www.bmvg.de/de/aktuelles/bundeswehr-investiert-in-transportfahrzeuge-satellitentechnik-5855458" TargetMode="External"/><Relationship Id="rId1231" Type="http://schemas.openxmlformats.org/officeDocument/2006/relationships/hyperlink" Target="https://des.mod.uk/two-year-h145-support-and-services-contract-awarded-to-airbus/?portfolioCats=78%2C735%2C69%2C734" TargetMode="External"/><Relationship Id="rId240" Type="http://schemas.openxmlformats.org/officeDocument/2006/relationships/hyperlink" Target="https://www.gov.pl/web/obrona-narodowa/nowe-zdolnosci-wojska-polskiego-umowa-na-dostawe-satelitarnego-systemu-obserwacji-ziemi-w-programie-mikrosar-podpisana" TargetMode="External"/><Relationship Id="rId478" Type="http://schemas.openxmlformats.org/officeDocument/2006/relationships/hyperlink" Target="https://esut.de/2020/11/meldungen/24443/bundeswehr-investiert-weiter-in-transportfahrzeuge/" TargetMode="External"/><Relationship Id="rId685" Type="http://schemas.openxmlformats.org/officeDocument/2006/relationships/hyperlink" Target="https://www.bmvg.de/de/aktuelles/bundeswehr-kann-g36-nachfolger-beschaffen-5540930" TargetMode="External"/><Relationship Id="rId892" Type="http://schemas.openxmlformats.org/officeDocument/2006/relationships/hyperlink" Target="https://www.rtx.com/news/news-center/2024/03/21/rtxs-raytheon-awarded-1-2-billion-contract-to-provide-patriot-air-and-missile-d" TargetMode="External"/><Relationship Id="rId906" Type="http://schemas.openxmlformats.org/officeDocument/2006/relationships/hyperlink" Target="https://defence-industry.eu/germany-parliament-approves-military-upgrades-including-nh90-helicopters-and-eurofighter-jets/" TargetMode="External"/><Relationship Id="rId1329" Type="http://schemas.openxmlformats.org/officeDocument/2006/relationships/hyperlink" Target="https://esut.de/2025/12/meldungen/65929/twister-wird-aladin/" TargetMode="External"/><Relationship Id="rId35" Type="http://schemas.openxmlformats.org/officeDocument/2006/relationships/hyperlink" Target="https://www.gov.uk/government/news/2-million-in-contracts-awarded-to-enhance-army-engineers-with-autonomous-wet-gap-survey-systems" TargetMode="External"/><Relationship Id="rId100" Type="http://schemas.openxmlformats.org/officeDocument/2006/relationships/hyperlink" Target="https://www.gov.uk/government/news/des-order-carl-gustaf-m4-weapons-systems-for-british-army" TargetMode="External"/><Relationship Id="rId338" Type="http://schemas.openxmlformats.org/officeDocument/2006/relationships/hyperlink" Target="https://www.budget.gouv.fr/documentation/file-download/18462" TargetMode="External"/><Relationship Id="rId545" Type="http://schemas.openxmlformats.org/officeDocument/2006/relationships/hyperlink" Target="https://esut.de/2021/07/meldungen/28416/neue-betriebsstoffversorger-unter-vertrag/" TargetMode="External"/><Relationship Id="rId752" Type="http://schemas.openxmlformats.org/officeDocument/2006/relationships/hyperlink" Target="https://www.bmvg.de/de/aktuelles/modernste-leopard-2-und-panzerhaubitzen-2000-fuer-die-bundeswehr-5625774" TargetMode="External"/><Relationship Id="rId1175" Type="http://schemas.openxmlformats.org/officeDocument/2006/relationships/hyperlink" Target="https://www.gov.pl/web/obrona-narodowa/wzmacniamy-zdolnosci-do-przyjecia-smiglowcow-apache" TargetMode="External"/><Relationship Id="rId1382" Type="http://schemas.openxmlformats.org/officeDocument/2006/relationships/hyperlink" Target="https://www.gov.pl/web/obrona-narodowa/umowy---na-radary-i-karabinki-grot-dla-wojska-podpisane" TargetMode="External"/><Relationship Id="rId184" Type="http://schemas.openxmlformats.org/officeDocument/2006/relationships/hyperlink" Target="https://www.gov.uk/government/news/threat-detection-systems-on-royal-navy-warships-upgraded" TargetMode="External"/><Relationship Id="rId391" Type="http://schemas.openxmlformats.org/officeDocument/2006/relationships/hyperlink" Target="https://defence-network.com/haushaltsausschuss-38-bundeswehr-beschaffungen/" TargetMode="External"/><Relationship Id="rId405" Type="http://schemas.openxmlformats.org/officeDocument/2006/relationships/hyperlink" Target="https://www.bmvg.de/de/aktuelles/beschaffung-moersersystem-idz-ausstattungen-tawan-richtfunknetz-5882320" TargetMode="External"/><Relationship Id="rId612" Type="http://schemas.openxmlformats.org/officeDocument/2006/relationships/hyperlink" Target="https://www.bmvg.de/de/aktuelles/modernisierung-der-streitkraefte-rund-19-milliarden-freigegeben-5099070" TargetMode="External"/><Relationship Id="rId1035" Type="http://schemas.openxmlformats.org/officeDocument/2006/relationships/hyperlink" Target="https://www.bmvg.de/de/aktuelles/parlament-stimmt-milliardeninvestitionen-fuer-verteidigung-zu-5871974" TargetMode="External"/><Relationship Id="rId1242" Type="http://schemas.openxmlformats.org/officeDocument/2006/relationships/hyperlink" Target="https://defence-network.com/vier-neue-beschaffungsvorhaben-beschlossen/" TargetMode="External"/><Relationship Id="rId251" Type="http://schemas.openxmlformats.org/officeDocument/2006/relationships/hyperlink" Target="https://archives.defense.gouv.fr/dga/actualite/le-ministere-des-armees-commande-313-vehicules-blindes-a-l-industrie-francaise.html" TargetMode="External"/><Relationship Id="rId489" Type="http://schemas.openxmlformats.org/officeDocument/2006/relationships/hyperlink" Target="https://www.bmvg.de/de/presse/bundesrepublik-deutschland-beteiligung-hensoldt-ag-4918388" TargetMode="External"/><Relationship Id="rId696" Type="http://schemas.openxmlformats.org/officeDocument/2006/relationships/hyperlink" Target="https://www.bmvg.de/de/presse/neu-produzierte-gepard-munition-ist-in-ukraine-angekommen-5674218" TargetMode="External"/><Relationship Id="rId917" Type="http://schemas.openxmlformats.org/officeDocument/2006/relationships/hyperlink" Target="https://defence-industry.eu/germany-parliament-approves-military-upgrades-including-nh90-helicopters-and-eurofighter-jets/" TargetMode="External"/><Relationship Id="rId1102" Type="http://schemas.openxmlformats.org/officeDocument/2006/relationships/hyperlink" Target="https://defence-industry.eu/kai-completes-deliveries-of-fa-50-block-10-light-combat-aircraft-to-poland/" TargetMode="External"/><Relationship Id="rId46" Type="http://schemas.openxmlformats.org/officeDocument/2006/relationships/hyperlink" Target="https://des.mod.uk/47-million-data-system-raf-navy-thales/?portfolioCats=78%2C735%2C69%2C734" TargetMode="External"/><Relationship Id="rId349" Type="http://schemas.openxmlformats.org/officeDocument/2006/relationships/hyperlink" Target="https://www.defense.gouv.fr/actualites/construire-defense-aerienne-antimissile-leurope" TargetMode="External"/><Relationship Id="rId556" Type="http://schemas.openxmlformats.org/officeDocument/2006/relationships/hyperlink" Target="https://www.bmvg.de/de/aktuelles/modernisierung-der-streitkraefte-rund-19-milliarden-freigegeben-5099070" TargetMode="External"/><Relationship Id="rId763" Type="http://schemas.openxmlformats.org/officeDocument/2006/relationships/hyperlink" Target="https://esut.de/2023/06/meldungen/land/42881/weitere-wechselladersysteme-fuer-die-logistik/" TargetMode="External"/><Relationship Id="rId1186" Type="http://schemas.openxmlformats.org/officeDocument/2006/relationships/hyperlink" Target="https://www.gov.uk/government/news/30-by-30-new-funding-to-boost-cadet-force-by-over-40000-by-2030" TargetMode="External"/><Relationship Id="rId1393" Type="http://schemas.openxmlformats.org/officeDocument/2006/relationships/hyperlink" Target="https://www.gov.pl/web/obrona-narodowa/umowa-podpisana-potezne-wzmocnienie-wojsk-pancernych---180-czolgow-k2-trafi-do-armii" TargetMode="External"/><Relationship Id="rId1407" Type="http://schemas.openxmlformats.org/officeDocument/2006/relationships/hyperlink" Target="https://www.gov.uk/government/news/operation-interflex-reaches-three-year-milestone" TargetMode="External"/><Relationship Id="rId111" Type="http://schemas.openxmlformats.org/officeDocument/2006/relationships/hyperlink" Target="https://www.gov.uk/government/news/46-million-contract-awarded-to-support-armed-forces-information-access-globally" TargetMode="External"/><Relationship Id="rId195" Type="http://schemas.openxmlformats.org/officeDocument/2006/relationships/hyperlink" Target="https://www.gov.uk/government/news/uk-leads-major-ukraine-summit-and-announces-150-million-firepower-package" TargetMode="External"/><Relationship Id="rId209" Type="http://schemas.openxmlformats.org/officeDocument/2006/relationships/hyperlink" Target="https://www.gov.uk/government/news/450m-surge-of-military-support-to-boost-ukraines-armed-forces-as-uk-and-germany-chair-meeting-of-50-nations" TargetMode="External"/><Relationship Id="rId416" Type="http://schemas.openxmlformats.org/officeDocument/2006/relationships/hyperlink" Target="https://www.gov.pl/web/obrona-narodowa/wiecej-karabinkow-grot-i-pistoletow-vis-dla-wojska-polskiego" TargetMode="External"/><Relationship Id="rId970" Type="http://schemas.openxmlformats.org/officeDocument/2006/relationships/hyperlink" Target="https://esut.de/2024/06/meldungen/50887/acht-25-mio-euro-vorlagen-fuer-den-haushaltsausschuss/" TargetMode="External"/><Relationship Id="rId1046" Type="http://schemas.openxmlformats.org/officeDocument/2006/relationships/hyperlink" Target="https://defence-network.com/haushaltsausschuss-38-bundeswehr-beschaffungen/" TargetMode="External"/><Relationship Id="rId1253" Type="http://schemas.openxmlformats.org/officeDocument/2006/relationships/hyperlink" Target="https://esut.de/2025/06/meldungen/60926/sieben-beschaffungsvorhaben-fuer-mehr-als-drei-milliarden-euro-gebilligt/" TargetMode="External"/><Relationship Id="rId623" Type="http://schemas.openxmlformats.org/officeDocument/2006/relationships/hyperlink" Target="https://esut.de/2022/04/meldungen/33496/bewaffnung-von-heron-tp-drohnen-gebilligt/" TargetMode="External"/><Relationship Id="rId830" Type="http://schemas.openxmlformats.org/officeDocument/2006/relationships/hyperlink" Target="https://www.bmvg.de/de/aktuelles/drohne-heron-tp-mittel-fuer-flugbetrieb-in-deutschland-5700956" TargetMode="External"/><Relationship Id="rId928" Type="http://schemas.openxmlformats.org/officeDocument/2006/relationships/hyperlink" Target="https://www.rheinmetall.com/de/media/news-watch/news/2024/06/2024-06-12-bundeswehr-bestellt-weitere-1515-militaer-lkw" TargetMode="External"/><Relationship Id="rId57" Type="http://schemas.openxmlformats.org/officeDocument/2006/relationships/hyperlink" Target="https://assets.publishing.service.gov.uk/media/6294e7e2d3bf7f037097bdc5/February_2022_Desider_-_Accessibility_-_DDC_3.pdf" TargetMode="External"/><Relationship Id="rId262" Type="http://schemas.openxmlformats.org/officeDocument/2006/relationships/hyperlink" Target="https://www.opex360.com/2020/12/22/la-direction-generale-de-larmement-lance-la-modernisation-des-systemes-martha-giraffe-et-satam/" TargetMode="External"/><Relationship Id="rId567" Type="http://schemas.openxmlformats.org/officeDocument/2006/relationships/hyperlink" Target="https://esut.de/2021/07/meldungen/28373/container-verwundetentransport/" TargetMode="External"/><Relationship Id="rId1113" Type="http://schemas.openxmlformats.org/officeDocument/2006/relationships/hyperlink" Target="https://notesfrompoland.com/2024/08/12/poland-signs-1-2bn-deal-to-produce-launchers-for-patriot-missile-systems/" TargetMode="External"/><Relationship Id="rId1197" Type="http://schemas.openxmlformats.org/officeDocument/2006/relationships/hyperlink" Target="https://www.gov.uk/government/news/uk-to-develop-new-deep-strike-ballistic-missile-for-ukraine" TargetMode="External"/><Relationship Id="rId1320" Type="http://schemas.openxmlformats.org/officeDocument/2006/relationships/hyperlink" Target="https://esut.de/2025/11/meldungen/65337/20-leichte-kampfhubschrauber-h145m-gebilligt/" TargetMode="External"/><Relationship Id="rId1418" Type="http://schemas.openxmlformats.org/officeDocument/2006/relationships/hyperlink" Target="https://www.airbus.com/en/newsroom/press-releases/2024-05-the-heron-tp-rpas-produced-by-uav-peo-at-the-directorate-of-defense" TargetMode="External"/><Relationship Id="rId122" Type="http://schemas.openxmlformats.org/officeDocument/2006/relationships/hyperlink" Target="https://www.gov.uk/government/news/major-new-package-of-support-for-ukraines-counter-offensive-announced-by-grant-shapps" TargetMode="External"/><Relationship Id="rId774" Type="http://schemas.openxmlformats.org/officeDocument/2006/relationships/hyperlink" Target="https://www.bmvg.de/de/aktuelles/sondervermoegen-bundeswehr-markiert-historischen-aufbruch-5542400" TargetMode="External"/><Relationship Id="rId981" Type="http://schemas.openxmlformats.org/officeDocument/2006/relationships/hyperlink" Target="https://esut.de/2024/07/meldungen/51416/beschaffung-weiterer-105-leopard-2-a8-genehmigt/" TargetMode="External"/><Relationship Id="rId1057" Type="http://schemas.openxmlformats.org/officeDocument/2006/relationships/hyperlink" Target="https://www.bmvg.de/de/aktuelles/parlament-stimmt-milliardeninvestitionen-fuer-verteidigung-zu-5871974" TargetMode="External"/><Relationship Id="rId427" Type="http://schemas.openxmlformats.org/officeDocument/2006/relationships/hyperlink" Target="https://www.bmvg.de/de/aktuelles/bundeswehr-investiert-rund-2-1-milliarden-euro-2034972" TargetMode="External"/><Relationship Id="rId634" Type="http://schemas.openxmlformats.org/officeDocument/2006/relationships/hyperlink" Target="https://www.bundeswehr.de/de/aktuelles/meldungen/statment-ministerin-beschaffung-persoenliche-ausruestung-5390076" TargetMode="External"/><Relationship Id="rId841" Type="http://schemas.openxmlformats.org/officeDocument/2006/relationships/hyperlink" Target="https://esut.de/2023/12/meldungen/45973/beschaffungen-von-taeuschkoerpern-und-fahrschulpanzern-leopard-2-gebilligt/" TargetMode="External"/><Relationship Id="rId1264" Type="http://schemas.openxmlformats.org/officeDocument/2006/relationships/hyperlink" Target="https://www.edrmagazine.eu/nspa-supports-germany-with-contract-for-additional-patriot-missiles" TargetMode="External"/><Relationship Id="rId273" Type="http://schemas.openxmlformats.org/officeDocument/2006/relationships/hyperlink" Target="https://www.archives.defense.gouv.fr/dga/actualite/le-ministere-des-armees-commande-douze-eurodrone-4-systemes.html" TargetMode="External"/><Relationship Id="rId480" Type="http://schemas.openxmlformats.org/officeDocument/2006/relationships/hyperlink" Target="https://esut.de/2020/10/meldungen/23414/1-000-ungeschuetzte-logistik-lkw-fuer-die-bundeswehr/" TargetMode="External"/><Relationship Id="rId701" Type="http://schemas.openxmlformats.org/officeDocument/2006/relationships/hyperlink" Target="https://www.bmvg.de/de/aktuelles/munition-fuer-schuetzenpanzer-puma-und-moderne-funkgeraete-5530546" TargetMode="External"/><Relationship Id="rId939" Type="http://schemas.openxmlformats.org/officeDocument/2006/relationships/hyperlink" Target="https://www.bmvg.de/de/aktuelles/beschaffung-lkw-torpedos-it-marinekommando-5789050" TargetMode="External"/><Relationship Id="rId1124" Type="http://schemas.openxmlformats.org/officeDocument/2006/relationships/hyperlink" Target="https://www.gov.pl/web/obrona-narodowa/kolejne-drony-dla-zolnierzy-wojska-polskiego" TargetMode="External"/><Relationship Id="rId1331" Type="http://schemas.openxmlformats.org/officeDocument/2006/relationships/hyperlink" Target="https://www.politico.eu/article/german-parliament-to-approve-2-point-6-billion-euro-fresh-military-kit/" TargetMode="External"/><Relationship Id="rId68" Type="http://schemas.openxmlformats.org/officeDocument/2006/relationships/hyperlink" Target="https://www.gov.uk/government/news/funding-boost-for-protection-systems-for-the-british-army" TargetMode="External"/><Relationship Id="rId133" Type="http://schemas.openxmlformats.org/officeDocument/2006/relationships/hyperlink" Target="https://www.gov.uk/government/news/contracts-awarded-for-novel-software-that-will-control-future-uk-mod-satellites" TargetMode="External"/><Relationship Id="rId340" Type="http://schemas.openxmlformats.org/officeDocument/2006/relationships/hyperlink" Target="https://www.forcesoperations.com/le-ministere-des-armes-maintient-le-cap-budgetaire-pour-2023-et-au-dela/" TargetMode="External"/><Relationship Id="rId578" Type="http://schemas.openxmlformats.org/officeDocument/2006/relationships/hyperlink" Target="https://www.bundeswehr.de/resource/blob/5212298/5dc442dc203d1d3d077345edbb8f9bc4/30-modernisierung-der-radaranlagen-der-fregatten-f124-data.pdf" TargetMode="External"/><Relationship Id="rId785" Type="http://schemas.openxmlformats.org/officeDocument/2006/relationships/hyperlink" Target="https://esut.de/2023/07/meldungen/43322/vertrag-fuer-dina155mm-artilleriemunition-unterschrieben/" TargetMode="External"/><Relationship Id="rId992" Type="http://schemas.openxmlformats.org/officeDocument/2006/relationships/hyperlink" Target="https://www.bmvg.de/de/aktuelles/beschaffung-patriot-systemen-lenkflugkoerpern-5811004" TargetMode="External"/><Relationship Id="rId200" Type="http://schemas.openxmlformats.org/officeDocument/2006/relationships/hyperlink" Target="https://www.gov.uk/government/news/advanced-attack-drones-for-ukraine-in-new-deal-struck-by-uk-government-and-anduril-uk" TargetMode="External"/><Relationship Id="rId438" Type="http://schemas.openxmlformats.org/officeDocument/2006/relationships/hyperlink" Target="https://www.bmvg.de/de/aktuelles/bundeswehr-investiert-rund-2-1-milliarden-euro-2034972" TargetMode="External"/><Relationship Id="rId645" Type="http://schemas.openxmlformats.org/officeDocument/2006/relationships/hyperlink" Target="https://www.bmvg.de/de/aktuelles/satellitenkommunikation-der-bundeswehr-weiter-gesichert-5430634" TargetMode="External"/><Relationship Id="rId852" Type="http://schemas.openxmlformats.org/officeDocument/2006/relationships/hyperlink" Target="https://www.bmvg.de/de/aktuelles/beschaffung-kampfhubschrauber-kryptotelefone-und-weitere-5716992" TargetMode="External"/><Relationship Id="rId1068" Type="http://schemas.openxmlformats.org/officeDocument/2006/relationships/hyperlink" Target="https://www.bmvg.de/de/aktuelles/parlament-stimmt-milliardeninvestitionen-fuer-verteidigung-zu-5871974" TargetMode="External"/><Relationship Id="rId1275" Type="http://schemas.openxmlformats.org/officeDocument/2006/relationships/hyperlink" Target="https://de.wikipedia.org/wiki/Heer_(Bundeswehr)" TargetMode="External"/><Relationship Id="rId284" Type="http://schemas.openxmlformats.org/officeDocument/2006/relationships/hyperlink" Target="https://prod-site-internet-minarm-admin.cloud.defense.gouv.fr/sites/default/files/dga/023_chiffres_cles_DGA.pdf" TargetMode="External"/><Relationship Id="rId491" Type="http://schemas.openxmlformats.org/officeDocument/2006/relationships/hyperlink" Target="https://www.rheinmetall.com/de/media/news-watch/news/2021/2021-03-29_millionenauftrag-fuer-rheinmetall" TargetMode="External"/><Relationship Id="rId505" Type="http://schemas.openxmlformats.org/officeDocument/2006/relationships/hyperlink" Target="https://www.bmvg.de/de/aktuelles/grosse-schritte-beschaffung-bundeswehr-5051262" TargetMode="External"/><Relationship Id="rId712" Type="http://schemas.openxmlformats.org/officeDocument/2006/relationships/hyperlink" Target="https://www.bundeswehr-journal.de/2023/neues-i-merz-fuer-einsatzgruppenversorger-berlin/" TargetMode="External"/><Relationship Id="rId1135" Type="http://schemas.openxmlformats.org/officeDocument/2006/relationships/hyperlink" Target="https://www.gov.pl/web/obrona-narodowa/samoloty-fa-50-wzmocnia-zdolnosci-sil-powietrznych" TargetMode="External"/><Relationship Id="rId1342" Type="http://schemas.openxmlformats.org/officeDocument/2006/relationships/hyperlink" Target="https://www.rheinmetall.com/de/media/news-watch/news/2025/12/2025-12-19-rheinmetall-und-knds-liefern-200-schuetzenpanzer" TargetMode="External"/><Relationship Id="rId79" Type="http://schemas.openxmlformats.org/officeDocument/2006/relationships/hyperlink" Target="https://www.gov.uk/government/news/british-military-to-receive-60-all-terrain-vehicles-under-international-agreement" TargetMode="External"/><Relationship Id="rId144" Type="http://schemas.openxmlformats.org/officeDocument/2006/relationships/hyperlink" Target="https://www.gov.uk/government/news/uk-to-stand-with-ukraine-for-as-long-as-it-takes-pm-to-tell-nato" TargetMode="External"/><Relationship Id="rId589" Type="http://schemas.openxmlformats.org/officeDocument/2006/relationships/hyperlink" Target="https://esut.de/2021/07/meldungen/see/28286/milliarden-euro-deutsche-marine/" TargetMode="External"/><Relationship Id="rId796" Type="http://schemas.openxmlformats.org/officeDocument/2006/relationships/hyperlink" Target="https://www.bmvg.de/de/aktuelles/bundestag-bewilligt-beschaffung-von-zehntausenden-schussmunition-5646262" TargetMode="External"/><Relationship Id="rId1202" Type="http://schemas.openxmlformats.org/officeDocument/2006/relationships/hyperlink" Target="https://www.gov.uk/government/news/new-munitions-factories-and-long-range-weapons-to-back-nearly-2000-jobs-under-strategic-defence-review" TargetMode="External"/><Relationship Id="rId351" Type="http://schemas.openxmlformats.org/officeDocument/2006/relationships/hyperlink" Target="https://www.opex360.com/2024/10/20/les-reservistes-operationnels-vont-troquer-leurs-fusils-famas-contre-des-hk416f/" TargetMode="External"/><Relationship Id="rId449" Type="http://schemas.openxmlformats.org/officeDocument/2006/relationships/hyperlink" Target="https://www.shephardmedia.com/news/defence-notes/germany-approves-175-million-investment-package/" TargetMode="External"/><Relationship Id="rId656" Type="http://schemas.openxmlformats.org/officeDocument/2006/relationships/hyperlink" Target="https://www.bmvg.de/de/aktuelles/bundestag-gibt-mittel-fuer-marineflugzeug-p-8a-poseidon-frei-5454548" TargetMode="External"/><Relationship Id="rId863" Type="http://schemas.openxmlformats.org/officeDocument/2006/relationships/hyperlink" Target="https://www.bmvg.de/de/aktuelles/parlament-genehmigt-lenkflugkoerper-beschaffung-5716966" TargetMode="External"/><Relationship Id="rId1079" Type="http://schemas.openxmlformats.org/officeDocument/2006/relationships/hyperlink" Target="https://esut.de/2025/01/meldungen/56952/beschaffungen-fuer-25-milliarden-euro-auf-den-letzten-druecker/" TargetMode="External"/><Relationship Id="rId1286" Type="http://schemas.openxmlformats.org/officeDocument/2006/relationships/hyperlink" Target="https://www.bmvg.de/de/aktuelles/beschaffung-eurofighter-der-tranche-5-fuer-luftwaffe-5998542" TargetMode="External"/><Relationship Id="rId211" Type="http://schemas.openxmlformats.org/officeDocument/2006/relationships/hyperlink" Target="https://www.gov.pl/web/obrona-narodowa/black-hawk" TargetMode="External"/><Relationship Id="rId295" Type="http://schemas.openxmlformats.org/officeDocument/2006/relationships/hyperlink" Target="https://defense-zone.com/blogs/industries-et-innovations/dga-stat-nexter-leclerc-char-xlr-renove-scorpion-armee-de-terre-france" TargetMode="External"/><Relationship Id="rId309" Type="http://schemas.openxmlformats.org/officeDocument/2006/relationships/hyperlink" Target="https://dicod.hosting.augure.com/Augure_Dicod/r/ContenuEnLigne/Download?id=90F4C2B0-BC1E-433E-9BDD-FE7F0F53B281&amp;filename=Communiqu%C3%A9_%20La%20Direction%20g%C3%A9n%C3%A9rale%20de%20l%E2%80%99armement%20a%20command%C3%A9%20109%20Canons%20Caesar%20de%20nouvelle%20g%C3%A9n%C3%A9ration%20%28Mk%20II%29.pdf" TargetMode="External"/><Relationship Id="rId516" Type="http://schemas.openxmlformats.org/officeDocument/2006/relationships/hyperlink" Target="https://www.bmvg.de/de/presse/investitionen-in-die-zukunft-des-hil-werkes-in-st-wendel-5074046" TargetMode="External"/><Relationship Id="rId1146" Type="http://schemas.openxmlformats.org/officeDocument/2006/relationships/hyperlink" Target="https://www.gov.pl/web/obrona-narodowa/tysiace-granatnikow-trafi-na-wyposazenie-zolnierzy-wojska-polskiego" TargetMode="External"/><Relationship Id="rId723" Type="http://schemas.openxmlformats.org/officeDocument/2006/relationships/hyperlink" Target="https://www.bmvg.de/de/aktuelles/lenkflugkoerper-it-57-sattelzugmaschinen-sollen-beschafft-werden-5612679" TargetMode="External"/><Relationship Id="rId930" Type="http://schemas.openxmlformats.org/officeDocument/2006/relationships/hyperlink" Target="https://www.bmvg.de/de/aktuelles/beschaffung-lkw-torpedos-it-marinekommando-5789050" TargetMode="External"/><Relationship Id="rId1006" Type="http://schemas.openxmlformats.org/officeDocument/2006/relationships/hyperlink" Target="https://www.bmvg.de/de/aktuelles/parlament-genehmigt-investitionen-in-milliardenhoehe-5847750" TargetMode="External"/><Relationship Id="rId1353" Type="http://schemas.openxmlformats.org/officeDocument/2006/relationships/hyperlink" Target="https://esut.de/2025/12/meldungen/66362/haushalt-bundeswehr-grossvorhaben/" TargetMode="External"/><Relationship Id="rId155" Type="http://schemas.openxmlformats.org/officeDocument/2006/relationships/hyperlink" Target="https://des.mod.uk/vital-aircraft-refuellers-upgraded-to-serve-uk-armed-forces-home-and-abroad/?portfolioCats=78%2C735%2C69%2C734" TargetMode="External"/><Relationship Id="rId362" Type="http://schemas.openxmlformats.org/officeDocument/2006/relationships/hyperlink" Target="https://www.bmvg.de/de/aktuelles/beschaffung-lenkflugkoerper-brimstone-stinger-5807964" TargetMode="External"/><Relationship Id="rId1213" Type="http://schemas.openxmlformats.org/officeDocument/2006/relationships/hyperlink" Target="https://des.mod.uk/des-secures-118m-contract-to-deliver-six-new-land-ceptor-missile-systems-strengthening-uk-air-defence/?portfolioCats=78%2C735%2C69%2C734" TargetMode="External"/><Relationship Id="rId1297" Type="http://schemas.openxmlformats.org/officeDocument/2006/relationships/hyperlink" Target="https://equipnor.no/en/portfolio-items/radar1957/" TargetMode="External"/><Relationship Id="rId1420" Type="http://schemas.openxmlformats.org/officeDocument/2006/relationships/hyperlink" Target="https://www.bmvg.de/de/aktuelles/bundestag-bewilligt-neue-technik-fuer-das-heer-5998536" TargetMode="External"/><Relationship Id="rId222" Type="http://schemas.openxmlformats.org/officeDocument/2006/relationships/hyperlink" Target="https://www.gov.pl/web/obrona-narodowa/modernizacja-smiglowcow-w-3-wraz-z-doposazeniem-sar" TargetMode="External"/><Relationship Id="rId667" Type="http://schemas.openxmlformats.org/officeDocument/2006/relationships/hyperlink" Target="https://www.rheinmetall.com/en/media/news-watch/news/2022/2022-12-08_major-order-from-the-bundeswehr-for-30mm-ammunition-for-puma-ifv" TargetMode="External"/><Relationship Id="rId874" Type="http://schemas.openxmlformats.org/officeDocument/2006/relationships/hyperlink" Target="https://soldat-und-technik.de/2024/01/bewaffnung/36601/entwicklungsauftrag-luftverteidigungssystem-nah-und-naechstbereichsschutz-erteilt/" TargetMode="External"/><Relationship Id="rId17" Type="http://schemas.openxmlformats.org/officeDocument/2006/relationships/hyperlink" Target="https://www.gov.uk/government/news/550m-f-35-missile-contract-signed" TargetMode="External"/><Relationship Id="rId527" Type="http://schemas.openxmlformats.org/officeDocument/2006/relationships/hyperlink" Target="https://www.bmvg.de/de/aktuelles/modernisierung-der-streitkraefte-rund-19-milliarden-freigegeben-5099070" TargetMode="External"/><Relationship Id="rId734" Type="http://schemas.openxmlformats.org/officeDocument/2006/relationships/hyperlink" Target="https://www.bundeswehr.de/de/organisation/ausruestung-baainbw/aktuelles/gehaertete-it-komponenten-5622767" TargetMode="External"/><Relationship Id="rId941" Type="http://schemas.openxmlformats.org/officeDocument/2006/relationships/hyperlink" Target="https://www.bundeswehr.de/resource/blob/5807006/43a25b93f0ce4b30bdd8dd1352412f07/13-weitere-1-515-militaer-transportfahrzeuge-fuer-die-bundeswehr-dl-data.pdf" TargetMode="External"/><Relationship Id="rId1157" Type="http://schemas.openxmlformats.org/officeDocument/2006/relationships/hyperlink" Target="https://www.gov.pl/web/obrona-narodowa/umowy-offsetowe-zapewnia-transfer-technologii-do-krajowego-przemyslu-zbrojeniowego" TargetMode="External"/><Relationship Id="rId1364" Type="http://schemas.openxmlformats.org/officeDocument/2006/relationships/hyperlink" Target="https://esut.de/2026/02/meldungen/67547/meko-a-200-deu-vorvertrag-unterzeichnet-projektstart-mit-technischem-fokus-auf-u-boot-jagd/" TargetMode="External"/><Relationship Id="rId70" Type="http://schemas.openxmlformats.org/officeDocument/2006/relationships/hyperlink" Target="https://www.gov.uk/government/news/armed-forces-to-benefit-from-45-million-contract-for-life-saving-explosive-devices-protection-system" TargetMode="External"/><Relationship Id="rId166" Type="http://schemas.openxmlformats.org/officeDocument/2006/relationships/hyperlink" Target="https://www.gov.uk/government/news/uk-leadership-on-ukraine-continues-as-defence-secretary-announced-225m-support-package-during-kyiv-visit" TargetMode="External"/><Relationship Id="rId373" Type="http://schemas.openxmlformats.org/officeDocument/2006/relationships/hyperlink" Target="https://defence-network.com/haushaltsausschuss-38-bundeswehr-beschaffungen/" TargetMode="External"/><Relationship Id="rId580" Type="http://schemas.openxmlformats.org/officeDocument/2006/relationships/hyperlink" Target="https://www.bundeswehr.de/de/organisation/ausruestung-baainbw/aktuelles/kiellegung-fuer-zwei-neue-svk-boote-der-wtd-71-5460550" TargetMode="External"/><Relationship Id="rId801" Type="http://schemas.openxmlformats.org/officeDocument/2006/relationships/hyperlink" Target="https://www.bmvg.de/de/aktuelles/bundestag-bewilligt-beschaffung-von-zehntausenden-schussmunition-5646262" TargetMode="External"/><Relationship Id="rId1017" Type="http://schemas.openxmlformats.org/officeDocument/2006/relationships/hyperlink" Target="https://esut.de/2024/10/meldungen/53933/72-milliarden-euro-fuer-sieben-projekte-freigegeben/" TargetMode="External"/><Relationship Id="rId1224" Type="http://schemas.openxmlformats.org/officeDocument/2006/relationships/hyperlink" Target="https://www.edrmagazine.eu/dsei-2025-the-uk-to-manufacture-ukraine-drones-under-project-octopus" TargetMode="External"/><Relationship Id="rId1" Type="http://schemas.openxmlformats.org/officeDocument/2006/relationships/hyperlink" Target="https://www.gov.uk/government/news/183-million-boost-for-military-helicopter-training" TargetMode="External"/><Relationship Id="rId233" Type="http://schemas.openxmlformats.org/officeDocument/2006/relationships/hyperlink" Target="https://www.gov.pl/web/obrona-narodowa/zwiekszamy-zdolnosci-do-produkcji-kierowanych-pociskow-rakietowych-w-polsce" TargetMode="External"/><Relationship Id="rId440" Type="http://schemas.openxmlformats.org/officeDocument/2006/relationships/hyperlink" Target="https://www.bundeswehr-journal.de/2020/ergaenzungsbeschaffung-seezielflugkoerper-rbs15-mk3/" TargetMode="External"/><Relationship Id="rId678" Type="http://schemas.openxmlformats.org/officeDocument/2006/relationships/hyperlink" Target="https://www.rheinmetall.com/de/media/news-watch/news/2023/april/2023-04-19-nachruestung-puma" TargetMode="External"/><Relationship Id="rId885" Type="http://schemas.openxmlformats.org/officeDocument/2006/relationships/hyperlink" Target="https://www.bmvg.de/de/aktuelles/weitere-nachtsichtgeraete-truppe-5757530" TargetMode="External"/><Relationship Id="rId1070" Type="http://schemas.openxmlformats.org/officeDocument/2006/relationships/hyperlink" Target="https://www.bmvg.de/de/aktuelles/parlament-stimmt-milliardeninvestitionen-fuer-verteidigung-zu-5871974" TargetMode="External"/><Relationship Id="rId28" Type="http://schemas.openxmlformats.org/officeDocument/2006/relationships/hyperlink" Target="https://www.gov.uk/government/news/36-million-contract-for-new-mod-police-patrol-crafts" TargetMode="External"/><Relationship Id="rId300" Type="http://schemas.openxmlformats.org/officeDocument/2006/relationships/hyperlink" Target="https://prod-site-internet-minarm-admin.cloud.defense.gouv.fr/sites/default/files/dga/023_chiffres_cles_DGA.pdf" TargetMode="External"/><Relationship Id="rId538" Type="http://schemas.openxmlformats.org/officeDocument/2006/relationships/hyperlink" Target="https://www.bmvg.de/de/aktuelles/investitionen-in-die-luftwaffe-der-zukunft-5099108" TargetMode="External"/><Relationship Id="rId745" Type="http://schemas.openxmlformats.org/officeDocument/2006/relationships/hyperlink" Target="https://www.bmvg.de/de/aktuelles/lenkflugkoerper-it-57-sattelzugmaschinen-sollen-beschafft-werden-5612678" TargetMode="External"/><Relationship Id="rId952" Type="http://schemas.openxmlformats.org/officeDocument/2006/relationships/hyperlink" Target="https://augengeradeaus.net/2024/06/pistorius-bekraeftigt-notwendigkeit-von-zwei-weiteren-f126-finanzen-und-personal-eine-zukunftshoffnung/" TargetMode="External"/><Relationship Id="rId1168" Type="http://schemas.openxmlformats.org/officeDocument/2006/relationships/hyperlink" Target="https://www.gov.pl/web/obrona-narodowa/nowe-groty-visy-i-podwieszane-granatniki-dla-zolnierzy-wojska-polskiego" TargetMode="External"/><Relationship Id="rId1375" Type="http://schemas.openxmlformats.org/officeDocument/2006/relationships/hyperlink" Target="https://notesfrompoland.com/2025/08/01/poland-to-have-more-tanks-than-uk-germany-france-and-italy-combined-after-signing-new-k2-deal/" TargetMode="External"/><Relationship Id="rId81" Type="http://schemas.openxmlformats.org/officeDocument/2006/relationships/hyperlink" Target="https://des.mod.uk/des-training-and-support-army-apache-ah-64e/?portfolioCats=78%2C735%2C69%2C734" TargetMode="External"/><Relationship Id="rId135" Type="http://schemas.openxmlformats.org/officeDocument/2006/relationships/hyperlink" Target="https://www.gov.uk/government/news/uk-to-boost-ukraines-artillery-reserves-with-245-million-munitions-package" TargetMode="External"/><Relationship Id="rId177" Type="http://schemas.openxmlformats.org/officeDocument/2006/relationships/hyperlink" Target="https://www.gov.uk/government/news/uk-leadership-on-ukraine-continues-as-defence-secretary-announced-225m-support-package-during-kyiv-visit" TargetMode="External"/><Relationship Id="rId342" Type="http://schemas.openxmlformats.org/officeDocument/2006/relationships/hyperlink" Target="https://www.bfmtv.com/economie/entreprises/defense/avions-navires-blindes-munitions-les-commandes-militaires-de-la-france-en-2023_AN-202209270345.html" TargetMode="External"/><Relationship Id="rId384" Type="http://schemas.openxmlformats.org/officeDocument/2006/relationships/hyperlink" Target="https://defence-network.com/haushaltsausschuss-38-bundeswehr-beschaffungen/" TargetMode="External"/><Relationship Id="rId591" Type="http://schemas.openxmlformats.org/officeDocument/2006/relationships/hyperlink" Target="https://www.bmvg.de/de/aktuelles/modernisierung-der-streitkraefte-rund-19-milliarden-freigegeben-5099070" TargetMode="External"/><Relationship Id="rId605" Type="http://schemas.openxmlformats.org/officeDocument/2006/relationships/hyperlink" Target="https://esut.de/2021/07/meldungen/ruestung2/28767/electronic-warfare-system-und-satcom-fuer-nh90/" TargetMode="External"/><Relationship Id="rId787" Type="http://schemas.openxmlformats.org/officeDocument/2006/relationships/hyperlink" Target="https://www.bmvg.de/de/aktuelles/bundestag-bewilligt-beschaffung-von-zehntausenden-schussmunition-5646262" TargetMode="External"/><Relationship Id="rId812" Type="http://schemas.openxmlformats.org/officeDocument/2006/relationships/hyperlink" Target="https://www.behoerden-spiegel.de/2023/09/26/13-neue-husar-systeme-fuer-die-bundeswehr/" TargetMode="External"/><Relationship Id="rId994" Type="http://schemas.openxmlformats.org/officeDocument/2006/relationships/hyperlink" Target="https://defence-network.com/patriot-pac-2-luftverteidigung-bundeswehr/" TargetMode="External"/><Relationship Id="rId1028" Type="http://schemas.openxmlformats.org/officeDocument/2006/relationships/hyperlink" Target="https://www.bmvg.de/de/aktuelles/lenkflugkoerper-helm-system-ausbildung-beschaffungen-5858878" TargetMode="External"/><Relationship Id="rId1235" Type="http://schemas.openxmlformats.org/officeDocument/2006/relationships/hyperlink" Target="https://www.gov.uk/government/news/half-a-a-billion-investment-to-upgrade-raf-typhoons-and-secure-1500-british-jobs" TargetMode="External"/><Relationship Id="rId1400" Type="http://schemas.openxmlformats.org/officeDocument/2006/relationships/hyperlink" Target="https://www.gov.pl/web/obrona-narodowa/ponad-2-mld-zl-na-lacznosc-dla-programu-wisla--podpisano-kontrakt-z-wzl-nr-1-sa" TargetMode="External"/><Relationship Id="rId202" Type="http://schemas.openxmlformats.org/officeDocument/2006/relationships/hyperlink" Target="https://www.gov.uk/government/news/major-16-billion-equipment-contract-to-support-british-defence-jobs-and-boost-army-readiness" TargetMode="External"/><Relationship Id="rId244" Type="http://schemas.openxmlformats.org/officeDocument/2006/relationships/hyperlink" Target="https://www.gov.pl/web/obrona-narodowa/do-konca-roku-wojsko-otrzyma-najnowsze-wersje-bezzalogowcow-flyeye" TargetMode="External"/><Relationship Id="rId647" Type="http://schemas.openxmlformats.org/officeDocument/2006/relationships/hyperlink" Target="https://www.bmvg.de/de/aktuelles/bundestag-gibt-mittel-fuer-weitere-beschaffungsvorhaben-frei-5450292" TargetMode="External"/><Relationship Id="rId689" Type="http://schemas.openxmlformats.org/officeDocument/2006/relationships/hyperlink" Target="https://www.bmvg.de/de/aktuelles/bundeswehr-kann-35-f-35a-fuer-rund-8-3-milliarden-euro-kaufen-5540934" TargetMode="External"/><Relationship Id="rId854" Type="http://schemas.openxmlformats.org/officeDocument/2006/relationships/hyperlink" Target="https://www.behoerden-spiegel.de/2024/01/10/mehrkosten-bei-catv/" TargetMode="External"/><Relationship Id="rId896" Type="http://schemas.openxmlformats.org/officeDocument/2006/relationships/hyperlink" Target="https://www.bmvg.de/de/aktuelles/bundeswehr-bekommt-123-neue-radpanzer-fuer-infanteriekraefte-5761102" TargetMode="External"/><Relationship Id="rId1081" Type="http://schemas.openxmlformats.org/officeDocument/2006/relationships/hyperlink" Target="https://esut.de/en/2025/02/meldungen/56995/bestand-an-fernbedienbaren-waffenstationen-flw-wird-aufgefuellt/" TargetMode="External"/><Relationship Id="rId1277" Type="http://schemas.openxmlformats.org/officeDocument/2006/relationships/hyperlink" Target="https://esut.de/2025/10/meldungen/64086/haushaltsausschuss-beraet-ueber-14-ruestungsprojekte-im-wert-von-sieben-milliarden-euro/" TargetMode="External"/><Relationship Id="rId1302" Type="http://schemas.openxmlformats.org/officeDocument/2006/relationships/hyperlink" Target="https://esut.de/2025/10/meldungen/64086/haushaltsausschuss-beraet-ueber-14-ruestungsprojekte-im-wert-von-sieben-milliarden-euro/" TargetMode="External"/><Relationship Id="rId39" Type="http://schemas.openxmlformats.org/officeDocument/2006/relationships/hyperlink" Target="https://www.gov.uk/government/news/250-million-contract-for-next-phase-for-future-combat-air-system" TargetMode="External"/><Relationship Id="rId286" Type="http://schemas.openxmlformats.org/officeDocument/2006/relationships/hyperlink" Target="https://prod-site-internet-minarm-admin.cloud.defense.gouv.fr/sites/default/files/dga/023_chiffres_cles_DGA.pdf" TargetMode="External"/><Relationship Id="rId451" Type="http://schemas.openxmlformats.org/officeDocument/2006/relationships/hyperlink" Target="https://www.bmvg.de/de/aktuelles/bundeswehr-zukunftsinvestitionen-175-millionen-euro-4473484" TargetMode="External"/><Relationship Id="rId493" Type="http://schemas.openxmlformats.org/officeDocument/2006/relationships/hyperlink" Target="https://www.bmvg.de/de/aktuelles/bundeswehr-lenkflugkoerper-mells-beschaffung-5027884" TargetMode="External"/><Relationship Id="rId507" Type="http://schemas.openxmlformats.org/officeDocument/2006/relationships/hyperlink" Target="https://euro-sd.com/2021/04/articles/exclusive/22356/important-step-towards-eurodrone/" TargetMode="External"/><Relationship Id="rId549" Type="http://schemas.openxmlformats.org/officeDocument/2006/relationships/hyperlink" Target="https://www.bmvg.de/de/aktuelles/umfangreiche-beschaffungen-fuer-die-deutsche-marine-5099106" TargetMode="External"/><Relationship Id="rId714" Type="http://schemas.openxmlformats.org/officeDocument/2006/relationships/hyperlink" Target="https://www.bmvg.de/de/aktuelles/bundestag-genehmigt-zehn-neue-panzerhaubitzen-2000-5599760" TargetMode="External"/><Relationship Id="rId756" Type="http://schemas.openxmlformats.org/officeDocument/2006/relationships/hyperlink" Target="https://www.bundeswehr.de/resource/blob/5628374/ccbd64099522906167d355c46dfedac4/15-baainbw-beschafft-flugzeug-simulator-fuer-p-8a-poseidon-dl-data.pdf" TargetMode="External"/><Relationship Id="rId921" Type="http://schemas.openxmlformats.org/officeDocument/2006/relationships/hyperlink" Target="https://www.bmvg.de/de/aktuelles/beschaffung-lenkflugkoerper-it-logistik-und-kommunikation-5782326" TargetMode="External"/><Relationship Id="rId1137" Type="http://schemas.openxmlformats.org/officeDocument/2006/relationships/hyperlink" Target="https://www.gov.pl/web/obrona-narodowa/kolejne-karabinki-grot-dla-zolnierzy-wojska-polskiego" TargetMode="External"/><Relationship Id="rId1179" Type="http://schemas.openxmlformats.org/officeDocument/2006/relationships/hyperlink" Target="https://des.mod.uk/contract-worth-563m-awarded-to-rolls-royce-for-typhoon-engines-sustains-120-uk-jobs/?portfolioCats=78%2C735%2C69%2C734" TargetMode="External"/><Relationship Id="rId1344" Type="http://schemas.openxmlformats.org/officeDocument/2006/relationships/hyperlink" Target="https://www.gdels.com/de/media/news/gdels-erhaelt-grossauftrag-zur-beschaffung-weiterer-eagle-fahrzeuge-fuer-die-bundeswehr-cmsc6bux0pn59903n9sa2ab0" TargetMode="External"/><Relationship Id="rId1386" Type="http://schemas.openxmlformats.org/officeDocument/2006/relationships/hyperlink" Target="https://www.gov.pl/web/obrona-narodowa/kolejny-pakiet-umow-na-rzecz-modernizacji-polskiej-armii" TargetMode="External"/><Relationship Id="rId50" Type="http://schemas.openxmlformats.org/officeDocument/2006/relationships/hyperlink" Target="https://des.mod.uk/major-investment-for-uk-military-pilot-training-programme/?portfolioCats=78%2C735%2C69%2C734" TargetMode="External"/><Relationship Id="rId104" Type="http://schemas.openxmlformats.org/officeDocument/2006/relationships/hyperlink" Target="https://www.gov.uk/government/news/320-million-for-opvs-supports-more-than-100-jobs" TargetMode="External"/><Relationship Id="rId146" Type="http://schemas.openxmlformats.org/officeDocument/2006/relationships/hyperlink" Target="https://www.gov.uk/government/news/military-silent-hangar-to-help-protect-against-foreign-gps-jamming" TargetMode="External"/><Relationship Id="rId188" Type="http://schemas.openxmlformats.org/officeDocument/2006/relationships/hyperlink" Target="https://des.mod.uk/des-poised-to-deliver-on-uk-governments-150m-ukraine-firepower-package/" TargetMode="External"/><Relationship Id="rId311" Type="http://schemas.openxmlformats.org/officeDocument/2006/relationships/hyperlink" Target="https://www.bmvg.de/de/aktuelles/neue-schiffe-neues-radar-eurofighter-neue-it-bundeswehr-267934" TargetMode="External"/><Relationship Id="rId353" Type="http://schemas.openxmlformats.org/officeDocument/2006/relationships/hyperlink" Target="https://www.airbus.com/en/newsroom/press-releases/2020-07-german-bundeswehr-renews-service-contracts-for-heron-1-systems-in" TargetMode="External"/><Relationship Id="rId395" Type="http://schemas.openxmlformats.org/officeDocument/2006/relationships/hyperlink" Target="https://defence-network.com/haushaltsausschuss-38-bundeswehr-beschaffungen/" TargetMode="External"/><Relationship Id="rId409" Type="http://schemas.openxmlformats.org/officeDocument/2006/relationships/hyperlink" Target="https://www.gov.pl/web/obrona-narodowa/system-himars" TargetMode="External"/><Relationship Id="rId560" Type="http://schemas.openxmlformats.org/officeDocument/2006/relationships/hyperlink" Target="https://www.bundeswehr.de/resource/blob/5207002/b14b409ecf7dba49dcde8bda0bc752a7/29-erneuerung-der-fahrzeugflotte-fuer-spezialkraefte-data.pdf" TargetMode="External"/><Relationship Id="rId798" Type="http://schemas.openxmlformats.org/officeDocument/2006/relationships/hyperlink" Target="https://www.bmvg.de/de/aktuelles/bundestag-bewilligt-beschaffung-von-zehntausenden-schussmunition-5646262" TargetMode="External"/><Relationship Id="rId963" Type="http://schemas.openxmlformats.org/officeDocument/2006/relationships/hyperlink" Target="https://www.airbus.com/en/products-services/defence/milsatcom/satcombw" TargetMode="External"/><Relationship Id="rId1039" Type="http://schemas.openxmlformats.org/officeDocument/2006/relationships/hyperlink" Target="https://www.bmvg.de/de/aktuelles/parlament-stimmt-milliardeninvestitionen-fuer-verteidigung-zu-5871974" TargetMode="External"/><Relationship Id="rId1190" Type="http://schemas.openxmlformats.org/officeDocument/2006/relationships/hyperlink" Target="https://des.mod.uk/boost-to-jobs-and-military-capability-with-new-defence-equipment-system/?portfolioCats=78%2C735%2C69%2C734" TargetMode="External"/><Relationship Id="rId1204" Type="http://schemas.openxmlformats.org/officeDocument/2006/relationships/hyperlink" Target="https://des.mod.uk/funding-for-innovative-new-radar-for-typhoon-fighter-jets-is-given-the-green-light/?portfolioCats=78%2C735%2C69%2C734" TargetMode="External"/><Relationship Id="rId1246" Type="http://schemas.openxmlformats.org/officeDocument/2006/relationships/hyperlink" Target="https://www.bmvg.de/de/aktuelles/beschaffung-marschflugkoerper-selbstschutzsysteme-5951954" TargetMode="External"/><Relationship Id="rId1411" Type="http://schemas.openxmlformats.org/officeDocument/2006/relationships/hyperlink" Target="https://www.hanwha.com/newsroom/news/press-releases/hanwha-aerospace-signs-contract-to-produce-chunmoo-missile-in-poland.do" TargetMode="External"/><Relationship Id="rId92" Type="http://schemas.openxmlformats.org/officeDocument/2006/relationships/hyperlink" Target="https://www.gov.uk/government/news/ukraine-to-receive-multi-million-pound-capability-boost-from-international-fund" TargetMode="External"/><Relationship Id="rId213" Type="http://schemas.openxmlformats.org/officeDocument/2006/relationships/hyperlink" Target="https://www.defensenews.com/land/2023/09/11/poland-to-buy-486-himars-launchers-from-lockheed-martin/" TargetMode="External"/><Relationship Id="rId420" Type="http://schemas.openxmlformats.org/officeDocument/2006/relationships/hyperlink" Target="https://www.gov.pl/web/obrona-narodowa/f-35-dla-polski" TargetMode="External"/><Relationship Id="rId616" Type="http://schemas.openxmlformats.org/officeDocument/2006/relationships/hyperlink" Target="https://esut.de/2021/08/meldungen/ruestung2/28867/fallschirmsysteme-bundeswehr/" TargetMode="External"/><Relationship Id="rId658" Type="http://schemas.openxmlformats.org/officeDocument/2006/relationships/hyperlink" Target="https://www.rheinmetall.com/de/media/news-watch/news/2022/2022-10-19_millionenauftrag-durch-die-bundeswehr-rheinmetall-liefert-weitere-uebungsmunition-fuer-den-leopard-2" TargetMode="External"/><Relationship Id="rId823" Type="http://schemas.openxmlformats.org/officeDocument/2006/relationships/hyperlink" Target="https://www.bmvg.de/de/aktuelles/arrow-haushaltsausschuss-stimmt-beschaffung-zu-5690122" TargetMode="External"/><Relationship Id="rId865" Type="http://schemas.openxmlformats.org/officeDocument/2006/relationships/hyperlink" Target="https://www.hartpunkt.de/milliardensumme-fuer-neue-flugkoerper/" TargetMode="External"/><Relationship Id="rId1050" Type="http://schemas.openxmlformats.org/officeDocument/2006/relationships/hyperlink" Target="https://defence-network.com/haushaltsausschuss-38-bundeswehr-beschaffungen/" TargetMode="External"/><Relationship Id="rId1288" Type="http://schemas.openxmlformats.org/officeDocument/2006/relationships/hyperlink" Target="https://www.bmvg.de/de/aktuelles/beschaffung-bundestag-ruestungsprojekte-6027308" TargetMode="External"/><Relationship Id="rId255" Type="http://schemas.openxmlformats.org/officeDocument/2006/relationships/hyperlink" Target="https://www.navair.navy.mil/news/France-becomes-second-FMS-E-2D-Advanced-Hawkeye/Tue-01052021-1105" TargetMode="External"/><Relationship Id="rId297" Type="http://schemas.openxmlformats.org/officeDocument/2006/relationships/hyperlink" Target="https://armement.defense.gouv.fr/reception-de-1000-et-commande-de-8-660-fusils-hk416-par-la-dga" TargetMode="External"/><Relationship Id="rId462" Type="http://schemas.openxmlformats.org/officeDocument/2006/relationships/hyperlink" Target="https://esut.de/2020/11/meldungen/24443/bundeswehr-investiert-weiter-in-transportfahrzeuge/" TargetMode="External"/><Relationship Id="rId518" Type="http://schemas.openxmlformats.org/officeDocument/2006/relationships/hyperlink" Target="https://esut.de/2022/05/meldungen/33956/bundeswehr-erhaelt-120-mobile-tankeinrichtungen/" TargetMode="External"/><Relationship Id="rId725" Type="http://schemas.openxmlformats.org/officeDocument/2006/relationships/hyperlink" Target="https://www.bmvg.de/de/aktuelles/lenkflugkoerper-it-57-sattelzugmaschinen-sollen-beschafft-werden-5612680" TargetMode="External"/><Relationship Id="rId932" Type="http://schemas.openxmlformats.org/officeDocument/2006/relationships/hyperlink" Target="https://www.bundeswehr.de/resource/blob/5807006/43a25b93f0ce4b30bdd8dd1352412f07/13-weitere-1-515-militaer-transportfahrzeuge-fuer-die-bundeswehr-dl-data.pdf" TargetMode="External"/><Relationship Id="rId1092" Type="http://schemas.openxmlformats.org/officeDocument/2006/relationships/hyperlink" Target="https://www.bmvg.de/de/aktuelles/beschaffung-moersersystem-idz-ausstattungen-tawan-richtfunknetz-5882320" TargetMode="External"/><Relationship Id="rId1106" Type="http://schemas.openxmlformats.org/officeDocument/2006/relationships/hyperlink" Target="https://www.gov.pl/web/obrona-narodowa/morska-jednostka-rakietowa" TargetMode="External"/><Relationship Id="rId1148" Type="http://schemas.openxmlformats.org/officeDocument/2006/relationships/hyperlink" Target="https://www.gov.pl/web/obrona-narodowa/kolejne-bsp-flyeeye-wzmocnia-zdolnosci-rozpoznawcze-wojska-polskiego" TargetMode="External"/><Relationship Id="rId1313" Type="http://schemas.openxmlformats.org/officeDocument/2006/relationships/hyperlink" Target="https://www.bmvg.de/de/aktuelles/bundestag-billigt-14-weitere-beschaffungsvertraege-fuer-truppe-6037382" TargetMode="External"/><Relationship Id="rId1355" Type="http://schemas.openxmlformats.org/officeDocument/2006/relationships/hyperlink" Target="https://www.armyrecognition.com/news/army-news/2025/germany-orders-876-patria-6x6-cavs-vehicles-with-nemo-mortar-and-kongsberg-rs4-remote-weapon-station" TargetMode="External"/><Relationship Id="rId1397" Type="http://schemas.openxmlformats.org/officeDocument/2006/relationships/hyperlink" Target="https://www.gov.pl/web/obrona-narodowa/umowa-na-rakiety-dla-f-35-podpisana" TargetMode="External"/><Relationship Id="rId115" Type="http://schemas.openxmlformats.org/officeDocument/2006/relationships/hyperlink" Target="https://www.royalnavy.mod.uk/news/2023/july/13/20230713-scope-for-success-as-historic-glasgow-firm-wins-169m-contract-for-dreadnought-periscopes" TargetMode="External"/><Relationship Id="rId157" Type="http://schemas.openxmlformats.org/officeDocument/2006/relationships/hyperlink" Target="https://des.mod.uk/500-man-trucks-british-army/?portfolioCats=78%2C735%2C69%2C734" TargetMode="External"/><Relationship Id="rId322" Type="http://schemas.openxmlformats.org/officeDocument/2006/relationships/hyperlink" Target="https://www.bmvg.de/de/aktuelles/beschaffung-wichtiger-ruestungs-it-programme-geht-weiter-5841340" TargetMode="External"/><Relationship Id="rId364" Type="http://schemas.openxmlformats.org/officeDocument/2006/relationships/hyperlink" Target="https://www.hartpunkt.de/sofortbeschaffung-von-100-patriot-flugkoerpern-gem-t-geplant/" TargetMode="External"/><Relationship Id="rId767" Type="http://schemas.openxmlformats.org/officeDocument/2006/relationships/hyperlink" Target="https://www.bmvg.de/de/aktuelles/iris-t-arrow-wechselladersysteme-fuer-bundeswehr-5636272" TargetMode="External"/><Relationship Id="rId974" Type="http://schemas.openxmlformats.org/officeDocument/2006/relationships/hyperlink" Target="https://www.bmvg.de/de/aktuelles/deutsch-norwegischer-seeziellenkflugkoerper-geplant-5807888" TargetMode="External"/><Relationship Id="rId1008" Type="http://schemas.openxmlformats.org/officeDocument/2006/relationships/hyperlink" Target="https://www.bmvg.de/de/aktuelles/parlament-genehmigt-investitionen-in-milliardenhoehe-5847750" TargetMode="External"/><Relationship Id="rId1215" Type="http://schemas.openxmlformats.org/officeDocument/2006/relationships/hyperlink" Target="https://des.mod.uk/des-secures-118m-contract-to-deliver-six-new-land-ceptor-missile-systems-strengthening-uk-air-defence/?portfolioCats=78%2C735%2C69%2C734" TargetMode="External"/><Relationship Id="rId1422" Type="http://schemas.openxmlformats.org/officeDocument/2006/relationships/hyperlink" Target="https://esut.de/en/2025/09/meldungen/63482/dircm-geschuetzte-a400m-an-die-truppe-ausgeliefert/" TargetMode="External"/><Relationship Id="rId61" Type="http://schemas.openxmlformats.org/officeDocument/2006/relationships/hyperlink" Target="https://www.gov.uk/government/news/265-million-missile-upgrade-for-uk-submarines" TargetMode="External"/><Relationship Id="rId199" Type="http://schemas.openxmlformats.org/officeDocument/2006/relationships/hyperlink" Target="https://www.gov.uk/government/news/historic-16bn-deal-provides-thousands-of-air-defence-missiles-for-ukraine-and-boosts-uk-jobs-and-growth" TargetMode="External"/><Relationship Id="rId571" Type="http://schemas.openxmlformats.org/officeDocument/2006/relationships/hyperlink" Target="https://www.bmvg.de/de/aktuelles/modernisierung-der-streitkraefte-rund-19-milliarden-freigegeben-5099070" TargetMode="External"/><Relationship Id="rId627" Type="http://schemas.openxmlformats.org/officeDocument/2006/relationships/hyperlink" Target="https://www.bmvg.de/de/aktuelles/neue-schwerlastanhaenger-fuer-die-bundeswehr-5424250" TargetMode="External"/><Relationship Id="rId669" Type="http://schemas.openxmlformats.org/officeDocument/2006/relationships/hyperlink" Target="https://esut.de/2022/11/meldungen/38211/e-lynx-hand-und-fahrzeugfunkgeraete-fuer-den-digitalen-truppenfunk/" TargetMode="External"/><Relationship Id="rId834" Type="http://schemas.openxmlformats.org/officeDocument/2006/relationships/hyperlink" Target="https://www.bmvg.de/de/aktuelles/beschaffung-dingos-und-seefernaufklaerer-gebilligt-5703856" TargetMode="External"/><Relationship Id="rId876" Type="http://schemas.openxmlformats.org/officeDocument/2006/relationships/hyperlink" Target="https://www.bmvg.de/de/aktuelles/bundestag-stimmt-beschaffung-von-flugabwehrkanonenpanzern-zu-5747668" TargetMode="External"/><Relationship Id="rId1257" Type="http://schemas.openxmlformats.org/officeDocument/2006/relationships/hyperlink" Target="https://www.bmvg.de/de/aktuelles/haushaltsausschuss-genehmigt-investitionen-in-milliardenhoehe-5957266" TargetMode="External"/><Relationship Id="rId1299" Type="http://schemas.openxmlformats.org/officeDocument/2006/relationships/hyperlink" Target="https://esut.de/2025/11/meldungen/65078/mehr-als-19-milliarden-euro-beschaffungsmittel-fuer-die-bundeswehr-gebilligt/" TargetMode="External"/><Relationship Id="rId19" Type="http://schemas.openxmlformats.org/officeDocument/2006/relationships/hyperlink" Target="https://www.gov.uk/government/news/new-autonomous-minesweepers-to-protect-sailors-at-sea" TargetMode="External"/><Relationship Id="rId224" Type="http://schemas.openxmlformats.org/officeDocument/2006/relationships/hyperlink" Target="https://www.gov.pl/web/obrona-narodowa/wzmocnienie-wspolpracy-mon-z-polskim-przemyslem-zbrojeniowym2" TargetMode="External"/><Relationship Id="rId266" Type="http://schemas.openxmlformats.org/officeDocument/2006/relationships/hyperlink" Target="https://prod-site-internet-minarm-admin.cloud.defense.gouv.fr/sites/default/files/dga/022_chiffres_cles_DGA_num_fr.pdf" TargetMode="External"/><Relationship Id="rId431" Type="http://schemas.openxmlformats.org/officeDocument/2006/relationships/hyperlink" Target="https://euro-sd.com/2020/09/news/19152/gbu-54-contract-for-bundeswehr/" TargetMode="External"/><Relationship Id="rId473" Type="http://schemas.openxmlformats.org/officeDocument/2006/relationships/hyperlink" Target="https://esut.de/2021/01/meldungen/25023/rahmenvertrag-utf-logistikfahrzeuge-stark-erweitert/" TargetMode="External"/><Relationship Id="rId529" Type="http://schemas.openxmlformats.org/officeDocument/2006/relationships/hyperlink" Target="https://www.bundeswehr.de/de/organisation/marine/aktuelles/deutschland-bestellt-seefernaufklaerer-p8a-poseidon-5102350" TargetMode="External"/><Relationship Id="rId680" Type="http://schemas.openxmlformats.org/officeDocument/2006/relationships/hyperlink" Target="https://www.bmvg.de/de/aktuelles/sondervermoegen-bundeswehr-markiert-historischen-aufbruch-5542400" TargetMode="External"/><Relationship Id="rId736" Type="http://schemas.openxmlformats.org/officeDocument/2006/relationships/hyperlink" Target="https://www.bundeswehr.de/de/organisation/ausruestung-baainbw/aktuelles/gehaertete-it-komponenten-5622768" TargetMode="External"/><Relationship Id="rId901" Type="http://schemas.openxmlformats.org/officeDocument/2006/relationships/hyperlink" Target="https://www.bmvg.de/de/aktuelles/duellsimulator-fuer-puma-uebungsraketen-fuer-tiger-5768986" TargetMode="External"/><Relationship Id="rId1061" Type="http://schemas.openxmlformats.org/officeDocument/2006/relationships/hyperlink" Target="https://www.bmvg.de/de/aktuelles/parlament-stimmt-milliardeninvestitionen-fuer-verteidigung-zu-5871974" TargetMode="External"/><Relationship Id="rId1117" Type="http://schemas.openxmlformats.org/officeDocument/2006/relationships/hyperlink" Target="https://www.gov.pl/web/obrona-narodowa/nowe-wozy-amunicyjne-i-wozy-remontu-uzbrojenia" TargetMode="External"/><Relationship Id="rId1159" Type="http://schemas.openxmlformats.org/officeDocument/2006/relationships/hyperlink" Target="https://euro-sd.com/2024/08/major-news/39860/poland-signs-loa-for-96-ah-64e/" TargetMode="External"/><Relationship Id="rId1324" Type="http://schemas.openxmlformats.org/officeDocument/2006/relationships/hyperlink" Target="https://esut.de/2025/12/meldungen/65941/mehr-als-25-milliarden-euro-fuer-elf-beschaffungsvorhaben-gebilligt/" TargetMode="External"/><Relationship Id="rId1366" Type="http://schemas.openxmlformats.org/officeDocument/2006/relationships/hyperlink" Target="https://esut.de/2025/11/meldungen/65078/mehr-als-19-milliarden-euro-beschaffungsmittel-fuer-die-bundeswehr-gebilligt/" TargetMode="External"/><Relationship Id="rId30" Type="http://schemas.openxmlformats.org/officeDocument/2006/relationships/hyperlink" Target="https://www.gov.uk/government/news/500m-firepower-upgrade-for-type-45-destroyers" TargetMode="External"/><Relationship Id="rId126" Type="http://schemas.openxmlformats.org/officeDocument/2006/relationships/hyperlink" Target="https://www.gov.uk/government/news/major-new-package-of-support-for-ukraines-counter-offensive-announced-by-grant-shapps" TargetMode="External"/><Relationship Id="rId168" Type="http://schemas.openxmlformats.org/officeDocument/2006/relationships/hyperlink" Target="https://www.gov.uk/government/news/uk-leadership-on-ukraine-continues-as-defence-secretary-announced-225m-support-package-during-kyiv-visit" TargetMode="External"/><Relationship Id="rId333" Type="http://schemas.openxmlformats.org/officeDocument/2006/relationships/hyperlink" Target="https://www.gov.pl/web/obrona-narodowa/rosomak-l-wzmocni-potencjal-wojsk-ladowych" TargetMode="External"/><Relationship Id="rId540" Type="http://schemas.openxmlformats.org/officeDocument/2006/relationships/hyperlink" Target="https://www.bundeswehr-journal.de/2021/luftverladbare-flugsicherungsanlage-fuer-die-bundeswehr/" TargetMode="External"/><Relationship Id="rId778" Type="http://schemas.openxmlformats.org/officeDocument/2006/relationships/hyperlink" Target="https://www.bmvg.de/de/aktuelles/chinooks-flottendienstboote-und-luftlandefahrzeuge-5646766" TargetMode="External"/><Relationship Id="rId943" Type="http://schemas.openxmlformats.org/officeDocument/2006/relationships/hyperlink" Target="https://esut.de/2024/06/meldungen/50466/vier-projekte-mit-2-milliarden-euro-gebilligt/" TargetMode="External"/><Relationship Id="rId985" Type="http://schemas.openxmlformats.org/officeDocument/2006/relationships/hyperlink" Target="https://www.bmvg.de/de/aktuelles/militaer-lkw-munition-und-headsets-fuer-die-bundeswehr-5811014" TargetMode="External"/><Relationship Id="rId1019" Type="http://schemas.openxmlformats.org/officeDocument/2006/relationships/hyperlink" Target="https://esut.de/2024/11/meldungen/54673/letzter-beschluss-der-legislaturperiode-15-milliarden-euro-fuer-wechselladersysteme-und-die-modernisierung-satcombw-gebilligt/" TargetMode="External"/><Relationship Id="rId1170" Type="http://schemas.openxmlformats.org/officeDocument/2006/relationships/hyperlink" Target="https://www.gov.pl/web/obrona-narodowa/17-miliardow-zlotych-na-zakup-sprzetu-dla-wojska-polskiego-w-polskim-przemysle-zbrojeniowym" TargetMode="External"/><Relationship Id="rId72" Type="http://schemas.openxmlformats.org/officeDocument/2006/relationships/hyperlink" Target="https://www.gov.uk/government/news/31-million-contract-supports-specialist-jobs-on-future-fighter-jet-programme" TargetMode="External"/><Relationship Id="rId375" Type="http://schemas.openxmlformats.org/officeDocument/2006/relationships/hyperlink" Target="https://defence-network.com/haushaltsausschuss-38-bundeswehr-beschaffungen/" TargetMode="External"/><Relationship Id="rId582" Type="http://schemas.openxmlformats.org/officeDocument/2006/relationships/hyperlink" Target="https://www.bmvg.de/de/aktuelles/modernisierung-der-streitkraefte-rund-19-milliarden-freigegeben-5099070" TargetMode="External"/><Relationship Id="rId638" Type="http://schemas.openxmlformats.org/officeDocument/2006/relationships/hyperlink" Target="https://www.bmvg.de/de/presse/vollausstattung-persoenliche-ausruestung-bis-2025-5390698" TargetMode="External"/><Relationship Id="rId803" Type="http://schemas.openxmlformats.org/officeDocument/2006/relationships/hyperlink" Target="https://esut.de/2023/08/fachbeitraege/43533/gefechts-und-ausbildungsmunition-fuer-kampffahrzeuge-und-gewehre/" TargetMode="External"/><Relationship Id="rId845" Type="http://schemas.openxmlformats.org/officeDocument/2006/relationships/hyperlink" Target="https://esut.de/2023/12/meldungen/45973/beschaffungen-von-taeuschkoerpern-und-fahrschulpanzern-leopard-2-gebilligt/" TargetMode="External"/><Relationship Id="rId1030" Type="http://schemas.openxmlformats.org/officeDocument/2006/relationships/hyperlink" Target="https://www.bmvg.de/de/aktuelles/parlament-stimmt-milliardeninvestitionen-fuer-verteidigung-zu-5871974" TargetMode="External"/><Relationship Id="rId1226" Type="http://schemas.openxmlformats.org/officeDocument/2006/relationships/hyperlink" Target="https://www.gov.uk/government/news/boost-to-jobs-and-military-capability-with-new-defence-equipment-system" TargetMode="External"/><Relationship Id="rId1268" Type="http://schemas.openxmlformats.org/officeDocument/2006/relationships/hyperlink" Target="https://news.lockheedmartin.com/2023-05-11-lockheed-martins-pac-3-mse-interceptor-launched-from-german-patriot-launcher" TargetMode="External"/><Relationship Id="rId3" Type="http://schemas.openxmlformats.org/officeDocument/2006/relationships/hyperlink" Target="https://www.gov.uk/government/news/267-million-engine-support-contract-for-oxfordshire-company" TargetMode="External"/><Relationship Id="rId235" Type="http://schemas.openxmlformats.org/officeDocument/2006/relationships/hyperlink" Target="https://www.gov.pl/web/obrona-narodowa/czolgi-k2-beda-stacjonowac-w-braniewie-to-efekt-duzych-nakladow-na-modernizacje" TargetMode="External"/><Relationship Id="rId277" Type="http://schemas.openxmlformats.org/officeDocument/2006/relationships/hyperlink" Target="https://archives.defense.gouv.fr/dga/actualite/le-char-leclerc-bientot-connecte-et-rajeuni.html" TargetMode="External"/><Relationship Id="rId400" Type="http://schemas.openxmlformats.org/officeDocument/2006/relationships/hyperlink" Target="https://defence-network.com/haushaltsausschuss-38-bundeswehr-beschaffungen/" TargetMode="External"/><Relationship Id="rId442" Type="http://schemas.openxmlformats.org/officeDocument/2006/relationships/hyperlink" Target="https://www.bmvg.de/de/aktuelles/vertrag-mit-bw-bekleidungsmanagement-gmbh-verlaengert-2341588" TargetMode="External"/><Relationship Id="rId484" Type="http://schemas.openxmlformats.org/officeDocument/2006/relationships/hyperlink" Target="https://esut.de/2020/11/meldungen/24443/bundeswehr-investiert-weiter-in-transportfahrzeuge/" TargetMode="External"/><Relationship Id="rId705" Type="http://schemas.openxmlformats.org/officeDocument/2006/relationships/hyperlink" Target="https://www.behoerden-spiegel.de/2023/03/07/genehmigung-der-e-lynx-soldatenfunkgeraete/" TargetMode="External"/><Relationship Id="rId887" Type="http://schemas.openxmlformats.org/officeDocument/2006/relationships/hyperlink" Target="https://defence-network.com/nachtsichtbrillen-fuer-die-bundeswehr/" TargetMode="External"/><Relationship Id="rId1072" Type="http://schemas.openxmlformats.org/officeDocument/2006/relationships/hyperlink" Target="https://www.bmvg.de/de/aktuelles/parlament-stimmt-milliardeninvestitionen-fuer-verteidigung-zu-5871974" TargetMode="External"/><Relationship Id="rId1128" Type="http://schemas.openxmlformats.org/officeDocument/2006/relationships/hyperlink" Target="https://www.gov.pl/web/obrona-narodowa/wojsko-polskie-otrzyma-kolejne-zestawy-piorun" TargetMode="External"/><Relationship Id="rId1335" Type="http://schemas.openxmlformats.org/officeDocument/2006/relationships/hyperlink" Target="https://esut.de/2025/12/meldungen/66362/haushalt-bundeswehr-grossvorhaben/" TargetMode="External"/><Relationship Id="rId137" Type="http://schemas.openxmlformats.org/officeDocument/2006/relationships/hyperlink" Target="https://www.gov.uk/government/news/british-forces-cyprus-invests-in-electric-vehicle-charging-solutions" TargetMode="External"/><Relationship Id="rId302" Type="http://schemas.openxmlformats.org/officeDocument/2006/relationships/hyperlink" Target="https://prod-site-internet-minarm-admin.cloud.defense.gouv.fr/sites/default/files/dga/023_chiffres_cles_DGA.pdf" TargetMode="External"/><Relationship Id="rId344" Type="http://schemas.openxmlformats.org/officeDocument/2006/relationships/hyperlink" Target="https://www.defense.gouv.fr/sites/default/files/ministere-armees/12.01.24%20Commande%20de%2042%20Rafale%20pour%20l%E2%80%99arm%C3%A9e%20de%20l%E2%80%99Air%20et%20de%20l%E2%80%99Espace.pdf" TargetMode="External"/><Relationship Id="rId691" Type="http://schemas.openxmlformats.org/officeDocument/2006/relationships/hyperlink" Target="https://www.bmvg.de/de/aktuelles/f-35a-wird-in-rekordzeit-fuer-die-bundeswehr-beschafft-5540968" TargetMode="External"/><Relationship Id="rId747" Type="http://schemas.openxmlformats.org/officeDocument/2006/relationships/hyperlink" Target="https://www.bmvg.de/de/aktuelles/lenkflugkoerper-it-57-sattelzugmaschinen-sollen-beschafft-werden-5612678" TargetMode="External"/><Relationship Id="rId789" Type="http://schemas.openxmlformats.org/officeDocument/2006/relationships/hyperlink" Target="https://www.bundeswehr-journal.de/2023/artilleriegeschosse-im-wert-von-rund-13-milliarden-euro/" TargetMode="External"/><Relationship Id="rId912" Type="http://schemas.openxmlformats.org/officeDocument/2006/relationships/hyperlink" Target="https://defence-industry.eu/germany-parliament-approves-military-upgrades-including-nh90-helicopters-and-eurofighter-jets/" TargetMode="External"/><Relationship Id="rId954" Type="http://schemas.openxmlformats.org/officeDocument/2006/relationships/hyperlink" Target="https://www.bmvg.de/de/aktuelles/vertrag-bau-mks-180-unterzeichnet-268154" TargetMode="External"/><Relationship Id="rId996" Type="http://schemas.openxmlformats.org/officeDocument/2006/relationships/hyperlink" Target="https://www.bmvg.de/de/aktuelles/beschaffung-von-lenkflugkoerpern-fuer-marine-und-luftwaffe-5841354" TargetMode="External"/><Relationship Id="rId1377" Type="http://schemas.openxmlformats.org/officeDocument/2006/relationships/hyperlink" Target="https://notesfrompoland.com/2025/08/01/poland-to-have-more-tanks-than-uk-germany-france-and-italy-combined-after-signing-new-k2-deal/" TargetMode="External"/><Relationship Id="rId41" Type="http://schemas.openxmlformats.org/officeDocument/2006/relationships/hyperlink" Target="https://www.gov.uk/government/news/400m-investment-for-the-royal-air-force" TargetMode="External"/><Relationship Id="rId83" Type="http://schemas.openxmlformats.org/officeDocument/2006/relationships/hyperlink" Target="https://des.mod.uk/aircraft-international-presence/?portfolioCats=78%2C735%2C69%2C734" TargetMode="External"/><Relationship Id="rId179" Type="http://schemas.openxmlformats.org/officeDocument/2006/relationships/hyperlink" Target="https://www.gov.uk/government/news/global-strategic-sealift-contract-secures-military-operations" TargetMode="External"/><Relationship Id="rId386" Type="http://schemas.openxmlformats.org/officeDocument/2006/relationships/hyperlink" Target="https://defence-network.com/haushaltsausschuss-38-bundeswehr-beschaffungen/" TargetMode="External"/><Relationship Id="rId551" Type="http://schemas.openxmlformats.org/officeDocument/2006/relationships/hyperlink" Target="https://www.bmvg.de/de/presse/einigung-projekt-u212-common-design-u212cd-5044700" TargetMode="External"/><Relationship Id="rId593" Type="http://schemas.openxmlformats.org/officeDocument/2006/relationships/hyperlink" Target="https://www.hartpunkt.de/leonardo-liefert-neues-hauptkampfvisier/" TargetMode="External"/><Relationship Id="rId607" Type="http://schemas.openxmlformats.org/officeDocument/2006/relationships/hyperlink" Target="https://www.bundeswehr.de/resource/blob/5205260/bbec29cd36507eace59ed4a956008c63/27-nh90-erhaelt-upgrade-fuer-den-einsatz-data.pdf" TargetMode="External"/><Relationship Id="rId649" Type="http://schemas.openxmlformats.org/officeDocument/2006/relationships/hyperlink" Target="https://www.bmvg.de/de/aktuelles/bundestag-gibt-mittel-fuer-weitere-beschaffungsvorhaben-frei-5450292" TargetMode="External"/><Relationship Id="rId814" Type="http://schemas.openxmlformats.org/officeDocument/2006/relationships/hyperlink" Target="https://www.bmvg.de/de/aktuelles/aenderungsvertrag-projektfortfuehrung-neuer-auftragnehmer-5680352" TargetMode="External"/><Relationship Id="rId856" Type="http://schemas.openxmlformats.org/officeDocument/2006/relationships/hyperlink" Target="https://www.bundeswehr-journal.de/2024/ergaenzungsbeschaffung-unterwasser-lagedarstellung/" TargetMode="External"/><Relationship Id="rId1181" Type="http://schemas.openxmlformats.org/officeDocument/2006/relationships/hyperlink" Target="https://des.mod.uk/1-5-billion-contract-with-qinetiq-for-test-and-evaluation-services-secures-1200-uk-jobs/?portfolioCats=78%2C735%2C69%2C734" TargetMode="External"/><Relationship Id="rId1237" Type="http://schemas.openxmlformats.org/officeDocument/2006/relationships/hyperlink" Target="https://www.gov.uk/government/news/new-digital-medical-records-to-speed-up-armed-forces-recruitment" TargetMode="External"/><Relationship Id="rId1279" Type="http://schemas.openxmlformats.org/officeDocument/2006/relationships/hyperlink" Target="https://www.bmvg.de/de/aktuelles/beschaffung-eurofighter-der-tranche-5-fuer-luftwaffe-5998542" TargetMode="External"/><Relationship Id="rId1402" Type="http://schemas.openxmlformats.org/officeDocument/2006/relationships/hyperlink" Target="https://www.gov.pl/web/obrona-narodowa/umowa-podpisana-potezne-wzmocnienie-wojsk-pancernych---180-czolgow-k2-trafi-do-armii" TargetMode="External"/><Relationship Id="rId190" Type="http://schemas.openxmlformats.org/officeDocument/2006/relationships/hyperlink" Target="https://des.mod.uk/des-poised-to-deliver-on-uk-governments-150m-ukraine-firepower-package/" TargetMode="External"/><Relationship Id="rId204" Type="http://schemas.openxmlformats.org/officeDocument/2006/relationships/hyperlink" Target="https://www.gov.uk/government/news/new-partnership-between-defence-and-private-sector-set-to-boost-uk-defence-sector" TargetMode="External"/><Relationship Id="rId246" Type="http://schemas.openxmlformats.org/officeDocument/2006/relationships/hyperlink" Target="https://prod-site-internet-minarm-admin.cloud.defense.gouv.fr/sites/default/files/dga/021_chiffres_cles_DGA_2020_numerique.pdf" TargetMode="External"/><Relationship Id="rId288" Type="http://schemas.openxmlformats.org/officeDocument/2006/relationships/hyperlink" Target="https://www.defense.gouv.fr/sites/default/files/dga/022_dossier_Griffon_Jaguar.pdf" TargetMode="External"/><Relationship Id="rId411" Type="http://schemas.openxmlformats.org/officeDocument/2006/relationships/hyperlink" Target="https://www.gov.pl/web/obrona-narodowa/nowe-smiglowce-dla-marynarki-wojennej2" TargetMode="External"/><Relationship Id="rId453" Type="http://schemas.openxmlformats.org/officeDocument/2006/relationships/hyperlink" Target="https://www.bundeswehr-journal.de/2020/genug-munition-fuer-kampfpanzer-leopard-2-bis-ende-2028/" TargetMode="External"/><Relationship Id="rId509" Type="http://schemas.openxmlformats.org/officeDocument/2006/relationships/hyperlink" Target="https://esut.de/2021/06/meldungen/28107/occar-beschafft-nachtsichtbrillen/" TargetMode="External"/><Relationship Id="rId660" Type="http://schemas.openxmlformats.org/officeDocument/2006/relationships/hyperlink" Target="https://www.bundeswehr-journal.de/2022/600-neue-lenkflugkoerper-ram-block-2-fuer-die-marine/" TargetMode="External"/><Relationship Id="rId898" Type="http://schemas.openxmlformats.org/officeDocument/2006/relationships/hyperlink" Target="https://www.bmvg.de/de/aktuelles/bundeswehr-bekommt-123-neue-radpanzer-fuer-infanteriekraefte-5761102" TargetMode="External"/><Relationship Id="rId1041" Type="http://schemas.openxmlformats.org/officeDocument/2006/relationships/hyperlink" Target="https://www.bmvg.de/de/aktuelles/parlament-stimmt-milliardeninvestitionen-fuer-verteidigung-zu-5871974" TargetMode="External"/><Relationship Id="rId1083" Type="http://schemas.openxmlformats.org/officeDocument/2006/relationships/hyperlink" Target="https://www.bmvg.de/de/aktuelles/beschaffung-moersersystem-idz-ausstattungen-tawan-richtfunknetz-5882320" TargetMode="External"/><Relationship Id="rId1139" Type="http://schemas.openxmlformats.org/officeDocument/2006/relationships/hyperlink" Target="https://www.gov.pl/web/obrona-narodowa/kolejne-dziesiatki-tysiecy-karabinkow-trafi-do-wojska-polskiego" TargetMode="External"/><Relationship Id="rId1290" Type="http://schemas.openxmlformats.org/officeDocument/2006/relationships/hyperlink" Target="https://www.bmvg.de/de/aktuelles/beschaffung-bundestag-ruestungsprojekte-6027308" TargetMode="External"/><Relationship Id="rId1304" Type="http://schemas.openxmlformats.org/officeDocument/2006/relationships/hyperlink" Target="https://www.bmvg.de/de/aktuelles/bundestag-billigt-14-weitere-beschaffungsvertraege-fuer-truppe-6037382" TargetMode="External"/><Relationship Id="rId1346" Type="http://schemas.openxmlformats.org/officeDocument/2006/relationships/hyperlink" Target="https://esut.de/2025/12/meldungen/66362/haushalt-bundeswehr-grossvorhaben/" TargetMode="External"/><Relationship Id="rId106" Type="http://schemas.openxmlformats.org/officeDocument/2006/relationships/hyperlink" Target="https://www.gov.uk/government/news/uks-specialist-radar-workforce-receives-270-million-boost" TargetMode="External"/><Relationship Id="rId313" Type="http://schemas.openxmlformats.org/officeDocument/2006/relationships/hyperlink" Target="https://www.bmvg.de/de/aktuelles/bundeswehr-investiert-rund-2-1-milliarden-euro-2034972" TargetMode="External"/><Relationship Id="rId495" Type="http://schemas.openxmlformats.org/officeDocument/2006/relationships/hyperlink" Target="https://www.rheinmetall.com/de/media/news-watch/news/2021/2021-03-29_millionenauftrag-fuer-rheinmetall" TargetMode="External"/><Relationship Id="rId716" Type="http://schemas.openxmlformats.org/officeDocument/2006/relationships/hyperlink" Target="https://esut.de/en/2022/12/meldungen/38718/bundeswehr-erhaelt-catv-ueberschneefahrzeug/" TargetMode="External"/><Relationship Id="rId758" Type="http://schemas.openxmlformats.org/officeDocument/2006/relationships/hyperlink" Target="https://www.bmvg.de/de/aktuelles/iris-t-arrow-wechselladersysteme-fuer-bundeswehr-5636272" TargetMode="External"/><Relationship Id="rId923" Type="http://schemas.openxmlformats.org/officeDocument/2006/relationships/hyperlink" Target="https://www.bmvg.de/de/aktuelles/beschaffung-lenkflugkoerper-it-logistik-und-kommunikation-5782326" TargetMode="External"/><Relationship Id="rId965" Type="http://schemas.openxmlformats.org/officeDocument/2006/relationships/hyperlink" Target="https://esut.de/2024/06/meldungen/50887/acht-25-mio-euro-vorlagen-fuer-den-haushaltsausschuss/" TargetMode="External"/><Relationship Id="rId1150" Type="http://schemas.openxmlformats.org/officeDocument/2006/relationships/hyperlink" Target="https://www.gov.pl/web/obrona-narodowa/bsp-fly-eye" TargetMode="External"/><Relationship Id="rId1388" Type="http://schemas.openxmlformats.org/officeDocument/2006/relationships/hyperlink" Target="https://www.gov.pl/web/obrona-narodowa/umowa-podpisana-potezne-wzmocnienie-wojsk-pancernych---180-czolgow-k2-trafi-do-armii" TargetMode="External"/><Relationship Id="rId10" Type="http://schemas.openxmlformats.org/officeDocument/2006/relationships/hyperlink" Target="https://www.ameybriggs.co.uk/about-us/" TargetMode="External"/><Relationship Id="rId52" Type="http://schemas.openxmlformats.org/officeDocument/2006/relationships/hyperlink" Target="https://des.mod.uk/electronic-warfare-royal-navy-des-mewsic-babcock-elbit/?portfolioCats=78%2C735%2C69%2C734" TargetMode="External"/><Relationship Id="rId94" Type="http://schemas.openxmlformats.org/officeDocument/2006/relationships/hyperlink" Target="https://www.gov.uk/government/news/ukraine-to-receive-multi-million-pound-capability-boost-from-international-fund" TargetMode="External"/><Relationship Id="rId148" Type="http://schemas.openxmlformats.org/officeDocument/2006/relationships/hyperlink" Target="https://www.matrixprosims.com/news/strategic-command-acquires-command-enterprise-license-for-uk-mod" TargetMode="External"/><Relationship Id="rId355" Type="http://schemas.openxmlformats.org/officeDocument/2006/relationships/hyperlink" Target="https://www.bmvg.de/de/aktuelles/vertrag-bau-mks-180-unterzeichnet-268154" TargetMode="External"/><Relationship Id="rId397" Type="http://schemas.openxmlformats.org/officeDocument/2006/relationships/hyperlink" Target="https://defence-network.com/haushaltsausschuss-38-bundeswehr-beschaffungen/" TargetMode="External"/><Relationship Id="rId520" Type="http://schemas.openxmlformats.org/officeDocument/2006/relationships/hyperlink" Target="https://www.bmvg.de/de/aktuelles/neue-tankcontainer-bodenradare-und-zusaetzliche-bekleidung-5084470" TargetMode="External"/><Relationship Id="rId562" Type="http://schemas.openxmlformats.org/officeDocument/2006/relationships/hyperlink" Target="https://www.bmvg.de/de/aktuelles/modernisierung-der-streitkraefte-rund-19-milliarden-freigegeben-5099070" TargetMode="External"/><Relationship Id="rId618" Type="http://schemas.openxmlformats.org/officeDocument/2006/relationships/hyperlink" Target="https://www.bmvg.de/de/aktuelles/modernisierung-der-streitkraefte-rund-19-milliarden-freigegeben-5099070" TargetMode="External"/><Relationship Id="rId825" Type="http://schemas.openxmlformats.org/officeDocument/2006/relationships/hyperlink" Target="https://www.bmvg.de/de/aktuelles/arrow-haushaltsausschuss-stimmt-beschaffung-zu-5690122" TargetMode="External"/><Relationship Id="rId1192" Type="http://schemas.openxmlformats.org/officeDocument/2006/relationships/hyperlink" Target="https://des.mod.uk/boost-for-british-armed-forces-as-uk-and-germany-sign-major-contract-for-next-gen-bridging-equipment/?portfolioCats=78%2C735%2C69%2C734" TargetMode="External"/><Relationship Id="rId1206" Type="http://schemas.openxmlformats.org/officeDocument/2006/relationships/hyperlink" Target="https://www.gov.uk/government/news/uk-to-purchase-f-35as-and-join-nato-nuclear-mission-as-government-steps-up-national-security-and-delivers-defence-dividend" TargetMode="External"/><Relationship Id="rId1248" Type="http://schemas.openxmlformats.org/officeDocument/2006/relationships/hyperlink" Target="https://defence-network.com/vier-neue-beschaffungsvorhaben-beschlossen/" TargetMode="External"/><Relationship Id="rId1413" Type="http://schemas.openxmlformats.org/officeDocument/2006/relationships/hyperlink" Target="https://esut.de/2025/06/meldungen/60926/sieben-beschaffungsvorhaben-fuer-mehr-als-drei-milliarden-euro-gebilligt/" TargetMode="External"/><Relationship Id="rId215" Type="http://schemas.openxmlformats.org/officeDocument/2006/relationships/hyperlink" Target="https://www.gov.pl/web/obrona-narodowa/plan-modernizacji-technicznej-mapa-drogowa-rozwoju-wojska-polskiego" TargetMode="External"/><Relationship Id="rId257" Type="http://schemas.openxmlformats.org/officeDocument/2006/relationships/hyperlink" Target="https://www.opex360.com/2020/11/19/les-futurs-avions-de-surveillance-maritime-falcon-albatros-de-la-marine-seront-en-partie-produits-en-inde/" TargetMode="External"/><Relationship Id="rId422" Type="http://schemas.openxmlformats.org/officeDocument/2006/relationships/hyperlink" Target="https://www.gov.pl/web/obrona-narodowa/kolejne-18-tysiecy-karabinkow-msbs-grot-dla-wojska-polskiego" TargetMode="External"/><Relationship Id="rId464" Type="http://schemas.openxmlformats.org/officeDocument/2006/relationships/hyperlink" Target="https://www.bmvg.de/de/aktuelles/moderne-transportfahrzeuge-bundeswehr-4575696" TargetMode="External"/><Relationship Id="rId867" Type="http://schemas.openxmlformats.org/officeDocument/2006/relationships/hyperlink" Target="https://defence-network.com/bundeswehr-erhaelt-weitere-pac-2-gem-t-fuer-ihre-patriot/" TargetMode="External"/><Relationship Id="rId1010" Type="http://schemas.openxmlformats.org/officeDocument/2006/relationships/hyperlink" Target="https://esut.de/2024/10/meldungen/53933/72-milliarden-euro-fuer-sieben-projekte-freigegeben/" TargetMode="External"/><Relationship Id="rId1052" Type="http://schemas.openxmlformats.org/officeDocument/2006/relationships/hyperlink" Target="https://www.bmvg.de/de/aktuelles/parlament-stimmt-milliardeninvestitionen-fuer-verteidigung-zu-5871974" TargetMode="External"/><Relationship Id="rId1094" Type="http://schemas.openxmlformats.org/officeDocument/2006/relationships/hyperlink" Target="https://esut.de/2025/02/meldungen/57190/idz-es-nachbeschaffung-und-regeneration/" TargetMode="External"/><Relationship Id="rId1108" Type="http://schemas.openxmlformats.org/officeDocument/2006/relationships/hyperlink" Target="https://www.reuters.com/world/europe/poland-buys-more-k9-howitzers-south-korea-26-billion-deal-2023-12-01/" TargetMode="External"/><Relationship Id="rId1315" Type="http://schemas.openxmlformats.org/officeDocument/2006/relationships/hyperlink" Target="https://www.bmvg.de/de/aktuelles/bundestag-billigt-14-weitere-beschaffungsvertraege-fuer-truppe-6037382" TargetMode="External"/><Relationship Id="rId299" Type="http://schemas.openxmlformats.org/officeDocument/2006/relationships/hyperlink" Target="https://prod-site-internet-minarm-admin.cloud.defense.gouv.fr/sites/default/files/dga/023_chiffres_cles_DGA.pdf" TargetMode="External"/><Relationship Id="rId727" Type="http://schemas.openxmlformats.org/officeDocument/2006/relationships/hyperlink" Target="https://www.bmvg.de/de/aktuelles/lenkflugkoerper-it-57-sattelzugmaschinen-sollen-beschafft-werden-5612681" TargetMode="External"/><Relationship Id="rId934" Type="http://schemas.openxmlformats.org/officeDocument/2006/relationships/hyperlink" Target="https://www.rheinmetall.com/de/media/news-watch/news/2024/06/2024-06-12-bundeswehr-bestellt-weitere-1515-militaer-lkw" TargetMode="External"/><Relationship Id="rId1357" Type="http://schemas.openxmlformats.org/officeDocument/2006/relationships/hyperlink" Target="https://esut.de/2025/12/meldungen/66362/haushalt-bundeswehr-grossvorhaben/" TargetMode="External"/><Relationship Id="rId63" Type="http://schemas.openxmlformats.org/officeDocument/2006/relationships/hyperlink" Target="https://www.gov.uk/government/news/uk-military-enhancing-training-through-virtual-reality" TargetMode="External"/><Relationship Id="rId159" Type="http://schemas.openxmlformats.org/officeDocument/2006/relationships/hyperlink" Target="https://des.mod.uk/10m-investment-in-snowmobiles-for-royal-marines/?portfolioCats=78%2C735%2C69%2C734" TargetMode="External"/><Relationship Id="rId366" Type="http://schemas.openxmlformats.org/officeDocument/2006/relationships/hyperlink" Target="https://esut.de/2024/10/meldungen/53933/72-milliarden-euro-fuer-sieben-projekte-freigegeben/" TargetMode="External"/><Relationship Id="rId573" Type="http://schemas.openxmlformats.org/officeDocument/2006/relationships/hyperlink" Target="https://www.bundeswehr-journal.de/2021/saab-mit-der-modernisierung-der-fregatten-f123-beauftragt/" TargetMode="External"/><Relationship Id="rId780" Type="http://schemas.openxmlformats.org/officeDocument/2006/relationships/hyperlink" Target="https://euro-sd.com/2023/07/news/32819/type-424-fleet-service-ships-germany-tests-a-new-procurement-model/" TargetMode="External"/><Relationship Id="rId1217" Type="http://schemas.openxmlformats.org/officeDocument/2006/relationships/hyperlink" Target="https://des.mod.uk/des-secures-118m-contract-to-deliver-six-new-land-ceptor-missile-systems-strengthening-uk-air-defence/?portfolioCats=78%2C735%2C69%2C734" TargetMode="External"/><Relationship Id="rId226" Type="http://schemas.openxmlformats.org/officeDocument/2006/relationships/hyperlink" Target="https://www.gov.pl/web/obrona-narodowa/miecznik-dla-marynarki-wojennej-rp" TargetMode="External"/><Relationship Id="rId433" Type="http://schemas.openxmlformats.org/officeDocument/2006/relationships/hyperlink" Target="https://www.bmvg.de/de/aktuelles/bundeswehr-investiert-rund-2-1-milliarden-euro-2034972" TargetMode="External"/><Relationship Id="rId878" Type="http://schemas.openxmlformats.org/officeDocument/2006/relationships/hyperlink" Target="https://www.zdf.de/nachrichten/politik/deutschland/skyranger-bundeswehr-flugabwehr-100.html" TargetMode="External"/><Relationship Id="rId1063" Type="http://schemas.openxmlformats.org/officeDocument/2006/relationships/hyperlink" Target="https://www.bmvg.de/de/aktuelles/parlament-stimmt-milliardeninvestitionen-fuer-verteidigung-zu-5871974" TargetMode="External"/><Relationship Id="rId1270" Type="http://schemas.openxmlformats.org/officeDocument/2006/relationships/hyperlink" Target="https://www.bmvg.de/de/aktuelles/gruenes-licht-fuer-sieben-weitere-beschaffungsvertraege-5991106" TargetMode="External"/><Relationship Id="rId640" Type="http://schemas.openxmlformats.org/officeDocument/2006/relationships/hyperlink" Target="https://www.bundeswehr.de/de/aktuelles/meldungen/statment-ministerin-beschaffung-persoenliche-ausruestung-5390076" TargetMode="External"/><Relationship Id="rId738" Type="http://schemas.openxmlformats.org/officeDocument/2006/relationships/hyperlink" Target="https://www.bundeswehr.de/de/organisation/ausruestung-baainbw/aktuelles/gehaertete-it-komponenten-5622769" TargetMode="External"/><Relationship Id="rId945" Type="http://schemas.openxmlformats.org/officeDocument/2006/relationships/hyperlink" Target="https://www.bmvg.de/de/aktuelles/beschaffung-lkw-torpedos-it-marinekommando-5789050" TargetMode="External"/><Relationship Id="rId1368" Type="http://schemas.openxmlformats.org/officeDocument/2006/relationships/hyperlink" Target="https://esut.de/2025/11/meldungen/65078/mehr-als-19-milliarden-euro-beschaffungsmittel-fuer-die-bundeswehr-gebilligt/" TargetMode="External"/><Relationship Id="rId74" Type="http://schemas.openxmlformats.org/officeDocument/2006/relationships/hyperlink" Target="https://www.gov.uk/government/news/154-million-contract-for-first-cutting-edge-navy-crewless-submarine" TargetMode="External"/><Relationship Id="rId377" Type="http://schemas.openxmlformats.org/officeDocument/2006/relationships/hyperlink" Target="https://defence-network.com/haushaltsausschuss-38-bundeswehr-beschaffungen/" TargetMode="External"/><Relationship Id="rId500" Type="http://schemas.openxmlformats.org/officeDocument/2006/relationships/hyperlink" Target="https://www.bmvg.de/de/aktuelles/grosse-schritte-beschaffung-bundeswehr-5051262" TargetMode="External"/><Relationship Id="rId584" Type="http://schemas.openxmlformats.org/officeDocument/2006/relationships/hyperlink" Target="https://esut.de/2021/07/meldungen/see/28286/milliarden-euro-deutsche-marine/" TargetMode="External"/><Relationship Id="rId805" Type="http://schemas.openxmlformats.org/officeDocument/2006/relationships/hyperlink" Target="https://www.rheinmetall.com/de/media/news-watch/news/2023/07/2023-07-13-rheinmetall-erhaelt-grossauftrag-der-bundeswehr-ueber-panzermunition" TargetMode="External"/><Relationship Id="rId1130" Type="http://schemas.openxmlformats.org/officeDocument/2006/relationships/hyperlink" Target="https://www.gov.pl/web/obrona-narodowa/wojsko-polskie-otrzyma-kolejne-zestawy-piorun" TargetMode="External"/><Relationship Id="rId1228" Type="http://schemas.openxmlformats.org/officeDocument/2006/relationships/hyperlink" Target="https://www.gov.uk/government/news/boost-for-armed-forces-as-new-laser-weapon-takes-down-high-speed-drones" TargetMode="External"/><Relationship Id="rId5" Type="http://schemas.openxmlformats.org/officeDocument/2006/relationships/hyperlink" Target="https://www.raf.mod.uk/news/articles/mod-signs-65m-contract-for-protector-aircraft/" TargetMode="External"/><Relationship Id="rId237" Type="http://schemas.openxmlformats.org/officeDocument/2006/relationships/hyperlink" Target="https://koreajoongangdaily.joins.com/news/2025-03-06/national/diplomacy/Korean-Polish-foreign-ministers-discuss-defense-get-K2-tank-deal-back-on-track--/2256318" TargetMode="External"/><Relationship Id="rId791" Type="http://schemas.openxmlformats.org/officeDocument/2006/relationships/hyperlink" Target="https://www.rheinmetall.com/en/media/news-watch/news/2023/7/2023-07-18-rheinmetall-receives-major-order-for-artillery-shells-by-bundeswehr" TargetMode="External"/><Relationship Id="rId889" Type="http://schemas.openxmlformats.org/officeDocument/2006/relationships/hyperlink" Target="https://www.bmvg.de/de/aktuelles/bundestag-genehmigt-kauf-von-patriot-systemen-und-sprechsaetzen-5761098" TargetMode="External"/><Relationship Id="rId1074" Type="http://schemas.openxmlformats.org/officeDocument/2006/relationships/hyperlink" Target="https://www.bmvg.de/de/aktuelles/parlament-stimmt-milliardeninvestitionen-fuer-verteidigung-zu-5871974" TargetMode="External"/><Relationship Id="rId444" Type="http://schemas.openxmlformats.org/officeDocument/2006/relationships/hyperlink" Target="https://www.bundeswehr.de/de/aktuelles/meldungen/freie-bahnfahrt-soldatinnen-soldaten-regional-3045024" TargetMode="External"/><Relationship Id="rId651" Type="http://schemas.openxmlformats.org/officeDocument/2006/relationships/hyperlink" Target="https://esut.de/2022/06/meldungen/35287/luftwaffe-erhaelt-containersysteme-zur-luftbildauswertung/" TargetMode="External"/><Relationship Id="rId749" Type="http://schemas.openxmlformats.org/officeDocument/2006/relationships/hyperlink" Target="https://www.rheinmetall.com/de/media/news-watch/news/2023/mai/2023-05-15-bundeswehr-bestellt-50-weitere-schuetzenpanzer-puma" TargetMode="External"/><Relationship Id="rId1281" Type="http://schemas.openxmlformats.org/officeDocument/2006/relationships/hyperlink" Target="https://www.bmvg.de/de/aktuelles/beschaffung-eurofighter-der-tranche-5-fuer-luftwaffe-5998542" TargetMode="External"/><Relationship Id="rId1379" Type="http://schemas.openxmlformats.org/officeDocument/2006/relationships/hyperlink" Target="https://notesfrompoland.com/2025/08/01/poland-to-have-more-tanks-than-uk-germany-france-and-italy-combined-after-signing-new-k2-deal/" TargetMode="External"/><Relationship Id="rId290" Type="http://schemas.openxmlformats.org/officeDocument/2006/relationships/hyperlink" Target="https://prod-site-internet-minarm-admin.cloud.defense.gouv.fr/sites/default/files/dga/023_chiffres_cles_DGA.pdf" TargetMode="External"/><Relationship Id="rId304" Type="http://schemas.openxmlformats.org/officeDocument/2006/relationships/hyperlink" Target="https://prod-site-internet-minarm-admin.cloud.defense.gouv.fr/sites/default/files/dga/023_chiffres_cles_DGA.pdf" TargetMode="External"/><Relationship Id="rId388" Type="http://schemas.openxmlformats.org/officeDocument/2006/relationships/hyperlink" Target="https://defence-network.com/haushaltsausschuss-38-bundeswehr-beschaffungen/" TargetMode="External"/><Relationship Id="rId511" Type="http://schemas.openxmlformats.org/officeDocument/2006/relationships/hyperlink" Target="https://www.bmvg.de/de/aktuelles/vjtf-erhaelt-5-000-bildverstaerkerbrillen-5059582" TargetMode="External"/><Relationship Id="rId609" Type="http://schemas.openxmlformats.org/officeDocument/2006/relationships/hyperlink" Target="https://www.bmvg.de/de/aktuelles/modernisierung-der-streitkraefte-rund-19-milliarden-freigegeben-5099070" TargetMode="External"/><Relationship Id="rId956" Type="http://schemas.openxmlformats.org/officeDocument/2006/relationships/hyperlink" Target="https://www.bmvg.de/de/aktuelles/beschaffung-munition-tornado-head-up-displays-5801330" TargetMode="External"/><Relationship Id="rId1141" Type="http://schemas.openxmlformats.org/officeDocument/2006/relationships/hyperlink" Target="https://www.gov.pl/web/obrona-narodowa/wzmacniamy-zdolnosci-obrony-powietrznej-wojska-polskiego" TargetMode="External"/><Relationship Id="rId1239" Type="http://schemas.openxmlformats.org/officeDocument/2006/relationships/hyperlink" Target="https://defence-network.com/vier-neue-beschaffungsvorhaben-beschlossen/" TargetMode="External"/><Relationship Id="rId85" Type="http://schemas.openxmlformats.org/officeDocument/2006/relationships/hyperlink" Target="https://des.mod.uk/hawk-jets-red-arrows-million-investment/?portfolioCats=78%2C735%2C69%2C734" TargetMode="External"/><Relationship Id="rId150" Type="http://schemas.openxmlformats.org/officeDocument/2006/relationships/hyperlink" Target="https://www.gov.uk/government/news/state-of-the-art-armoured-vehicle-fleet-supported-under-new-contract" TargetMode="External"/><Relationship Id="rId595" Type="http://schemas.openxmlformats.org/officeDocument/2006/relationships/hyperlink" Target="https://www.rheinmetall.com/de/media/news-watch/news/2021/2021-07-21_rheinmetall-mit-lieferung-von-laser-licht-modulen-fuer-die-bundeswehr-beauftragt" TargetMode="External"/><Relationship Id="rId816" Type="http://schemas.openxmlformats.org/officeDocument/2006/relationships/hyperlink" Target="https://www.bmvg.de/de/aktuelles/arrow-haushaltsausschuss-stimmt-beschaffung-zu-5690122" TargetMode="External"/><Relationship Id="rId1001" Type="http://schemas.openxmlformats.org/officeDocument/2006/relationships/hyperlink" Target="https://esut.de/2024/09/meldungen/53331/knapp-eine-milliarde-euro-fuer-geraete-umruestungen-und-lenkwaffen/" TargetMode="External"/><Relationship Id="rId248" Type="http://schemas.openxmlformats.org/officeDocument/2006/relationships/hyperlink" Target="https://prod-site-internet-minarm-admin.cloud.defense.gouv.fr/sites/default/files/dga/021_chiffres_cles_DGA_2020_numerique.pdf" TargetMode="External"/><Relationship Id="rId455" Type="http://schemas.openxmlformats.org/officeDocument/2006/relationships/hyperlink" Target="https://www.bmvg.de/de/aktuelles/bundeswehr-zukunftsinvestitionen-175-millionen-euro-4473484" TargetMode="External"/><Relationship Id="rId662" Type="http://schemas.openxmlformats.org/officeDocument/2006/relationships/hyperlink" Target="https://www.bundeswehr-journal.de/2022/600-neue-lenkflugkoerper-ram-block-2-fuer-die-marine/" TargetMode="External"/><Relationship Id="rId1085" Type="http://schemas.openxmlformats.org/officeDocument/2006/relationships/hyperlink" Target="https://esut.de/2025/01/meldungen/56952/beschaffungen-fuer-25-milliarden-euro-auf-den-letzten-druecker/" TargetMode="External"/><Relationship Id="rId1292" Type="http://schemas.openxmlformats.org/officeDocument/2006/relationships/hyperlink" Target="https://www.rheinmetall.com/de/media/news-watch/news/2025/09/2025-09-09-rheinmetall-dsei-oerlikon-kba-25-mm-maschinenkanone" TargetMode="External"/><Relationship Id="rId1306" Type="http://schemas.openxmlformats.org/officeDocument/2006/relationships/hyperlink" Target="https://esut.de/2025/11/meldungen/65078/mehr-als-19-milliarden-euro-beschaffungsmittel-fuer-die-bundeswehr-gebilligt/" TargetMode="External"/><Relationship Id="rId12" Type="http://schemas.openxmlformats.org/officeDocument/2006/relationships/hyperlink" Target="https://www.gov.uk/government/news/counter-drone-tech-and-state-of-the-art-radar-for-the-raf" TargetMode="External"/><Relationship Id="rId108" Type="http://schemas.openxmlformats.org/officeDocument/2006/relationships/hyperlink" Target="https://www.gov.uk/government/news/major-air-defence-package-for-ukraine-announced-at-meeting-of-joint-expeditionary-force-ministers" TargetMode="External"/><Relationship Id="rId315" Type="http://schemas.openxmlformats.org/officeDocument/2006/relationships/hyperlink" Target="https://www.bmvg.de/de/aktuelles/modernste-leopard-2-und-panzerhaubitzen-2000-fuer-die-bundeswehr-5625774" TargetMode="External"/><Relationship Id="rId522" Type="http://schemas.openxmlformats.org/officeDocument/2006/relationships/hyperlink" Target="https://www.presseportal.de/pm/147341/4951784" TargetMode="External"/><Relationship Id="rId967" Type="http://schemas.openxmlformats.org/officeDocument/2006/relationships/hyperlink" Target="https://www.bmvg.de/de/aktuelles/beschaffungen-586-millionen-euro-bewilligt-5807952" TargetMode="External"/><Relationship Id="rId1152" Type="http://schemas.openxmlformats.org/officeDocument/2006/relationships/hyperlink" Target="https://www.gov.pl/web/obrona-narodowa/aerostaty-barbara-zwieksza-zdolnosci-do-rozpoznania-zagrozen-w-przestrzeni-powietrznej" TargetMode="External"/><Relationship Id="rId96" Type="http://schemas.openxmlformats.org/officeDocument/2006/relationships/hyperlink" Target="https://www.gov.uk/government/news/des-awards-90m-contract-for-jackal-high-mobility-transporters" TargetMode="External"/><Relationship Id="rId161" Type="http://schemas.openxmlformats.org/officeDocument/2006/relationships/hyperlink" Target="https://des.mod.uk/des-secures-vital-transport-vehicles-for-british-army/?portfolioCats=78%2C735%2C69%2C734" TargetMode="External"/><Relationship Id="rId399" Type="http://schemas.openxmlformats.org/officeDocument/2006/relationships/hyperlink" Target="https://defence-network.com/haushaltsausschuss-38-bundeswehr-beschaffungen/" TargetMode="External"/><Relationship Id="rId827" Type="http://schemas.openxmlformats.org/officeDocument/2006/relationships/hyperlink" Target="https://www.bmvg.de/de/aktuelles/arrow-haushaltsausschuss-stimmt-beschaffung-zu-5690122" TargetMode="External"/><Relationship Id="rId1012" Type="http://schemas.openxmlformats.org/officeDocument/2006/relationships/hyperlink" Target="https://www.bmvg.de/de/aktuelles/parlament-genehmigt-investitionen-in-milliardenhoehe-5847750" TargetMode="External"/><Relationship Id="rId259" Type="http://schemas.openxmlformats.org/officeDocument/2006/relationships/hyperlink" Target="https://prod-site-internet-minarm-admin.cloud.defense.gouv.fr/sites/default/files/dga/021_chiffres_cles_DGA_2020_numerique.pdf" TargetMode="External"/><Relationship Id="rId466" Type="http://schemas.openxmlformats.org/officeDocument/2006/relationships/hyperlink" Target="https://esut.de/2020/11/meldungen/24443/bundeswehr-investiert-weiter-in-transportfahrzeuge/" TargetMode="External"/><Relationship Id="rId673" Type="http://schemas.openxmlformats.org/officeDocument/2006/relationships/hyperlink" Target="https://www.bmvg.de/de/aktuelles/bundeswehr-kann-g36-nachfolger-beschaffen-5540930" TargetMode="External"/><Relationship Id="rId880" Type="http://schemas.openxmlformats.org/officeDocument/2006/relationships/hyperlink" Target="https://soldat-und-technik.de/2024/01/ausruestung-bekleidung/36703/zusaetzliche-nachtsichtgeraete-fuer-deutschland-und-belgien/" TargetMode="External"/><Relationship Id="rId1096" Type="http://schemas.openxmlformats.org/officeDocument/2006/relationships/hyperlink" Target="https://www.bmvg.de/de/aktuelles/beschaffung-moersersystem-idz-ausstattungen-tawan-richtfunknetz-5882320" TargetMode="External"/><Relationship Id="rId1317" Type="http://schemas.openxmlformats.org/officeDocument/2006/relationships/hyperlink" Target="https://esut.de/2025/11/meldungen/65337/20-leichte-kampfhubschrauber-h145m-gebilligt/" TargetMode="External"/><Relationship Id="rId23" Type="http://schemas.openxmlformats.org/officeDocument/2006/relationships/hyperlink" Target="https://www.gov.uk/government/news/230-million-contract-to-bolster-royal-navy-torpedoes" TargetMode="External"/><Relationship Id="rId119" Type="http://schemas.openxmlformats.org/officeDocument/2006/relationships/hyperlink" Target="https://des.mod.uk/des-invest-in-futuristic-fighter-jet-helmet/?portfolioCats=78%2C735%2C69%2C734" TargetMode="External"/><Relationship Id="rId326" Type="http://schemas.openxmlformats.org/officeDocument/2006/relationships/hyperlink" Target="https://www.bmvg.de/de/aktuelles/bundeswehr-investiert-in-transportfahrzeuge-satellitentechnik-5855458" TargetMode="External"/><Relationship Id="rId533" Type="http://schemas.openxmlformats.org/officeDocument/2006/relationships/hyperlink" Target="https://www.flugrevue.de/militaer/milliardenauftrag-an-hensoldt-sigint-flugzeug-pegasus-fuer-die-bundeswehr/" TargetMode="External"/><Relationship Id="rId978" Type="http://schemas.openxmlformats.org/officeDocument/2006/relationships/hyperlink" Target="https://www.hartpunkt.de/luftwaffe-soll-brimstone-3-fuer-den-eurofighter-erhalten/" TargetMode="External"/><Relationship Id="rId1163" Type="http://schemas.openxmlformats.org/officeDocument/2006/relationships/hyperlink" Target="https://thedefensepost.com/2024/12/03/poland-sidewinder-block-ii/" TargetMode="External"/><Relationship Id="rId1370" Type="http://schemas.openxmlformats.org/officeDocument/2006/relationships/hyperlink" Target="https://des.mod.uk/new-300-million-contract-to-train-140-raf-and-navy-aircrew-per-year-and-boost-uk-jobs/?portfolioCats=78%2C735%2C69%2C734" TargetMode="External"/><Relationship Id="rId740" Type="http://schemas.openxmlformats.org/officeDocument/2006/relationships/hyperlink" Target="https://www.bundeswehr.de/de/organisation/ausruestung-baainbw/aktuelles/gehaertete-it-komponenten-5622770" TargetMode="External"/><Relationship Id="rId838" Type="http://schemas.openxmlformats.org/officeDocument/2006/relationships/hyperlink" Target="https://www.rheinmetall.com/en/media/news-watch/news/2024/01/2024-01-15-birdie-ir-decoys-for-bundeswehr-aircraft" TargetMode="External"/><Relationship Id="rId1023" Type="http://schemas.openxmlformats.org/officeDocument/2006/relationships/hyperlink" Target="https://esut.de/2024/11/meldungen/54673/letzter-beschluss-der-legislaturperiode-15-milliarden-euro-fuer-wechselladersysteme-und-die-modernisierung-satcombw-gebilligt/" TargetMode="External"/><Relationship Id="rId172" Type="http://schemas.openxmlformats.org/officeDocument/2006/relationships/hyperlink" Target="https://www.gov.uk/government/news/uk-leadership-on-ukraine-continues-as-defence-secretary-announced-225m-support-package-during-kyiv-visit" TargetMode="External"/><Relationship Id="rId477" Type="http://schemas.openxmlformats.org/officeDocument/2006/relationships/hyperlink" Target="https://www.bmvg.de/de/aktuelles/moderne-transportfahrzeuge-bundeswehr-4575696" TargetMode="External"/><Relationship Id="rId600" Type="http://schemas.openxmlformats.org/officeDocument/2006/relationships/hyperlink" Target="https://www.bmvg.de/de/aktuelles/modernisierung-der-streitkraefte-rund-19-milliarden-freigegeben-5099070" TargetMode="External"/><Relationship Id="rId684" Type="http://schemas.openxmlformats.org/officeDocument/2006/relationships/hyperlink" Target="https://www.rheinmetall.com/de/media/news-watch/news/2023/jan-mar/2023-01-26_grossauftrag-der-bundeswehr-soldatensystem-idz-es" TargetMode="External"/><Relationship Id="rId1230" Type="http://schemas.openxmlformats.org/officeDocument/2006/relationships/hyperlink" Target="https://www.gov.uk/government/news/rapid-140-million-boost-for-drone-and-counter-drone-tech-from-newly-formed-uk-defence-innovation" TargetMode="External"/><Relationship Id="rId1328" Type="http://schemas.openxmlformats.org/officeDocument/2006/relationships/hyperlink" Target="https://esut.de/2025/11/meldungen/65799/grossflaechige-aufklaerung-mit-uranos-ki/" TargetMode="External"/><Relationship Id="rId337" Type="http://schemas.openxmlformats.org/officeDocument/2006/relationships/hyperlink" Target="https://www.budget.gouv.fr/documentation/file-download/18462" TargetMode="External"/><Relationship Id="rId891" Type="http://schemas.openxmlformats.org/officeDocument/2006/relationships/hyperlink" Target="https://www.bmvg.de/de/aktuelles/bundestag-genehmigt-kauf-von-patriot-systemen-und-sprechsaetzen-5761098" TargetMode="External"/><Relationship Id="rId905" Type="http://schemas.openxmlformats.org/officeDocument/2006/relationships/hyperlink" Target="https://www.army-technology.com/news/germany-approves-software-update-of-nh90-helicopters/?cf-view" TargetMode="External"/><Relationship Id="rId989" Type="http://schemas.openxmlformats.org/officeDocument/2006/relationships/hyperlink" Target="https://esut.de/2024/03/meldungen/48319/bundeswehr-beschafft-30-000-sprechsaetze-mit-gehoerschutz/" TargetMode="External"/><Relationship Id="rId34" Type="http://schemas.openxmlformats.org/officeDocument/2006/relationships/hyperlink" Target="https://des.mod.uk/poseidon-support-training-contract-bduk-raf-lossiemouth/" TargetMode="External"/><Relationship Id="rId544" Type="http://schemas.openxmlformats.org/officeDocument/2006/relationships/hyperlink" Target="https://www.bmvg.de/de/aktuelles/umfangreiche-beschaffungen-fuer-die-deutsche-marine-5099106" TargetMode="External"/><Relationship Id="rId751" Type="http://schemas.openxmlformats.org/officeDocument/2006/relationships/hyperlink" Target="https://www.bmvg.de/de/aktuelles/beschaffung-weiterer-schuetzenpanzer-und-neuer-loeschfahrzeuge-5620458" TargetMode="External"/><Relationship Id="rId849" Type="http://schemas.openxmlformats.org/officeDocument/2006/relationships/hyperlink" Target="https://www.bmvg.de/de/aktuelles/beschaffung-kampfhubschrauber-kryptotelefone-und-weitere-5716992" TargetMode="External"/><Relationship Id="rId1174" Type="http://schemas.openxmlformats.org/officeDocument/2006/relationships/hyperlink" Target="https://www.gov.pl/web/obrona-narodowa/zwiekszamy-zdolnosci-sil-powietrznych-do-zwalczania-systemow-radiolokacyjnych" TargetMode="External"/><Relationship Id="rId1381" Type="http://schemas.openxmlformats.org/officeDocument/2006/relationships/hyperlink" Target="https://www.gov.pl/web/obrona-narodowa/umowy---na-radary-i-karabinki-grot-dla-wojska-podpisane" TargetMode="External"/><Relationship Id="rId183" Type="http://schemas.openxmlformats.org/officeDocument/2006/relationships/hyperlink" Target="https://www.gov.uk/government/news/landmark-9-billion-contract-for-british-business-to-boost-jobs-growth-and-nuclear-deterrent" TargetMode="External"/><Relationship Id="rId390" Type="http://schemas.openxmlformats.org/officeDocument/2006/relationships/hyperlink" Target="https://defence-network.com/haushaltsausschuss-38-bundeswehr-beschaffungen/" TargetMode="External"/><Relationship Id="rId404" Type="http://schemas.openxmlformats.org/officeDocument/2006/relationships/hyperlink" Target="https://defence-network.com/haushaltsausschuss-38-bundeswehr-beschaffungen/" TargetMode="External"/><Relationship Id="rId611" Type="http://schemas.openxmlformats.org/officeDocument/2006/relationships/hyperlink" Target="https://esut.de/2021/07/meldungen/ruestung2/28767/electronic-warfare-system-und-satcom-fuer-nh90/" TargetMode="External"/><Relationship Id="rId1034" Type="http://schemas.openxmlformats.org/officeDocument/2006/relationships/hyperlink" Target="https://www.bmvg.de/de/aktuelles/parlament-stimmt-milliardeninvestitionen-fuer-verteidigung-zu-5871974" TargetMode="External"/><Relationship Id="rId1241" Type="http://schemas.openxmlformats.org/officeDocument/2006/relationships/hyperlink" Target="https://www.bmvg.de/de/aktuelles/beschaffung-marschflugkoerper-selbstschutzsysteme-5951954" TargetMode="External"/><Relationship Id="rId1339" Type="http://schemas.openxmlformats.org/officeDocument/2006/relationships/hyperlink" Target="https://www.tkmsgroup.com/news/article/largest-torpedo-order-in-the-companys-history-tkms-and-baainbw-agree-on-delivery-of-heavyweight-torpedoes" TargetMode="External"/><Relationship Id="rId250" Type="http://schemas.openxmlformats.org/officeDocument/2006/relationships/hyperlink" Target="https://prod-site-internet-minarm-admin.cloud.defense.gouv.fr/sites/default/files/dga/021_chiffres_cles_DGA_2020_numerique.pdf" TargetMode="External"/><Relationship Id="rId488" Type="http://schemas.openxmlformats.org/officeDocument/2006/relationships/hyperlink" Target="https://www.bmvg.de/de/aktuelles/moderne-transportfahrzeuge-bundeswehr-4575696" TargetMode="External"/><Relationship Id="rId695" Type="http://schemas.openxmlformats.org/officeDocument/2006/relationships/hyperlink" Target="https://www.rheinmetall.com/de/media/news-watch/news/2023/jan-mar/2023-02-15_rheinmetall-erhaelt-grossauftrag-ueber-mittelkalibermunition" TargetMode="External"/><Relationship Id="rId709" Type="http://schemas.openxmlformats.org/officeDocument/2006/relationships/hyperlink" Target="https://www.bundeswehr.de/resource/blob/5605956/a9f611b7887433e83fe3443582929e5c/08-bundeswehr-erhaelt-neue-panzerhaubitzen-2000-dl-data.pdf" TargetMode="External"/><Relationship Id="rId916" Type="http://schemas.openxmlformats.org/officeDocument/2006/relationships/hyperlink" Target="https://www.bmvg.de/de/aktuelles/weiterentwicklung-nh-90-flotte-eurofighter-genehmigt-5773350" TargetMode="External"/><Relationship Id="rId1101" Type="http://schemas.openxmlformats.org/officeDocument/2006/relationships/hyperlink" Target="https://defence-industry.eu/hanwha-strengthens-cooperation-with-polish-industry-in-k9-howitzer-programme/" TargetMode="External"/><Relationship Id="rId45" Type="http://schemas.openxmlformats.org/officeDocument/2006/relationships/hyperlink" Target="https://des.mod.uk/des-places-46-million-rapidly-deployable-bridges-contract-for-british-army-2/?portfolioCats=78%2C735%2C69%2C734" TargetMode="External"/><Relationship Id="rId110" Type="http://schemas.openxmlformats.org/officeDocument/2006/relationships/hyperlink" Target="https://www.gov.uk/government/news/major-air-defence-package-for-ukraine-announced-at-meeting-of-joint-expeditionary-force-ministers" TargetMode="External"/><Relationship Id="rId348" Type="http://schemas.openxmlformats.org/officeDocument/2006/relationships/hyperlink" Target="https://www.budget.gouv.fr/documentation/file-download/18462" TargetMode="External"/><Relationship Id="rId555" Type="http://schemas.openxmlformats.org/officeDocument/2006/relationships/hyperlink" Target="https://www.rheinmetall.com/de/media/news-watch/news/2021/2021-06-29_milliardenauftrag-fuer-rheinmetall" TargetMode="External"/><Relationship Id="rId762" Type="http://schemas.openxmlformats.org/officeDocument/2006/relationships/hyperlink" Target="https://www.bundeswehr-journal.de/2023/transportfahrzeuge-bundeswehr-beschafft-doppelte-anzahl/" TargetMode="External"/><Relationship Id="rId1185" Type="http://schemas.openxmlformats.org/officeDocument/2006/relationships/hyperlink" Target="https://www.gov.uk/government/news/scottish-defence-dividend-250m-investment-launched" TargetMode="External"/><Relationship Id="rId1392" Type="http://schemas.openxmlformats.org/officeDocument/2006/relationships/hyperlink" Target="https://www.gov.pl/web/obrona-narodowa/umowa-podpisana-potezne-wzmocnienie-wojsk-pancernych---180-czolgow-k2-trafi-do-armii" TargetMode="External"/><Relationship Id="rId1406" Type="http://schemas.openxmlformats.org/officeDocument/2006/relationships/hyperlink" Target="https://www.gov.pl/web/obrona-narodowa/amunicja-krazaca-warmate-dla-wojska-polskiego2" TargetMode="External"/><Relationship Id="rId194" Type="http://schemas.openxmlformats.org/officeDocument/2006/relationships/hyperlink" Target="https://des.mod.uk/des-poised-to-deliver-on-uk-governments-150m-ukraine-firepower-package/" TargetMode="External"/><Relationship Id="rId208" Type="http://schemas.openxmlformats.org/officeDocument/2006/relationships/hyperlink" Target="https://www.gov.uk/government/news/450m-surge-of-military-support-to-boost-ukraines-armed-forces-as-uk-and-germany-chair-meeting-of-50-nations" TargetMode="External"/><Relationship Id="rId415" Type="http://schemas.openxmlformats.org/officeDocument/2006/relationships/hyperlink" Target="https://www.gov.pl/web/obrona-narodowa/nowe-pociski-rakietowe-dla-wojska-polskiego" TargetMode="External"/><Relationship Id="rId622" Type="http://schemas.openxmlformats.org/officeDocument/2006/relationships/hyperlink" Target="https://www.bmvg.de/de/presse/deutscher-bundestag-ebnet-weg-bewaffnung-drohnen-5389634" TargetMode="External"/><Relationship Id="rId1045" Type="http://schemas.openxmlformats.org/officeDocument/2006/relationships/hyperlink" Target="https://defence-network.com/haushaltsausschuss-38-bundeswehr-beschaffungen/" TargetMode="External"/><Relationship Id="rId1252" Type="http://schemas.openxmlformats.org/officeDocument/2006/relationships/hyperlink" Target="https://www.bmvg.de/de/aktuelles/haushaltsausschuss-genehmigt-investitionen-in-milliardenhoehe-5957266" TargetMode="External"/><Relationship Id="rId261" Type="http://schemas.openxmlformats.org/officeDocument/2006/relationships/hyperlink" Target="https://archives.defense.gouv.fr/actualites/economie-et-technologie/la-dga-poursuit-la-modernisation-du-systeme-sccoa.html" TargetMode="External"/><Relationship Id="rId499" Type="http://schemas.openxmlformats.org/officeDocument/2006/relationships/hyperlink" Target="https://esut.de/2021/04/meldungen/26721/aufklaerungsdrohnen-fuer-die-korvette-k130/" TargetMode="External"/><Relationship Id="rId927" Type="http://schemas.openxmlformats.org/officeDocument/2006/relationships/hyperlink" Target="https://www.bmvg.de/de/aktuelles/beschaffung-lkw-torpedos-it-marinekommando-5789050" TargetMode="External"/><Relationship Id="rId1112" Type="http://schemas.openxmlformats.org/officeDocument/2006/relationships/hyperlink" Target="https://thedefensepost.com/2024/04/26/poland-chunmoo-mrl-1-6/" TargetMode="External"/><Relationship Id="rId56" Type="http://schemas.openxmlformats.org/officeDocument/2006/relationships/hyperlink" Target="https://divernet.com/scuba-news/northern-diver-secures-24m-armed-forces-contract/" TargetMode="External"/><Relationship Id="rId359" Type="http://schemas.openxmlformats.org/officeDocument/2006/relationships/hyperlink" Target="https://www.bmvg.de/de/presse/startschuss-cyberagentur-1242298" TargetMode="External"/><Relationship Id="rId566" Type="http://schemas.openxmlformats.org/officeDocument/2006/relationships/hyperlink" Target="https://www.bundeswehr-journal.de/2021/geschuetzte-container-fuer-den-verwundetentransport/" TargetMode="External"/><Relationship Id="rId773" Type="http://schemas.openxmlformats.org/officeDocument/2006/relationships/hyperlink" Target="https://www.bmvg.de/de/aktuelles/rund-586-millionen-euro-fuer-weitere-digitalisierung-bundeswehr-5639674" TargetMode="External"/><Relationship Id="rId1196" Type="http://schemas.openxmlformats.org/officeDocument/2006/relationships/hyperlink" Target="https://des.mod.uk/uk-and-germany-sign-52m-contract-for-cutting-edge-artillery/?portfolioCats=78%2C735%2C69%2C734" TargetMode="External"/><Relationship Id="rId1417" Type="http://schemas.openxmlformats.org/officeDocument/2006/relationships/hyperlink" Target="https://www.rheinmetall.com/de/media/news-watch/news/2025/08/2025-08-04-bundeswehr-ruft-bei-rheinmetall-ueber-1-000-logistikfahrzeuge-ab" TargetMode="External"/><Relationship Id="rId121" Type="http://schemas.openxmlformats.org/officeDocument/2006/relationships/hyperlink" Target="https://www.gov.uk/government/news/new-88-million-sensing-equipment-to-protect-uk-armed-forces" TargetMode="External"/><Relationship Id="rId219" Type="http://schemas.openxmlformats.org/officeDocument/2006/relationships/hyperlink" Target="https://www.defensenews.com/global/europe/2019/04/29/poland-acquires-aw101-helos-for-navy-under-430m-deal/" TargetMode="External"/><Relationship Id="rId426" Type="http://schemas.openxmlformats.org/officeDocument/2006/relationships/hyperlink" Target="https://esut.de/2020/09/meldungen/22796/21-milliarden-euro-fuer-informationstechnik-und-munition/" TargetMode="External"/><Relationship Id="rId633" Type="http://schemas.openxmlformats.org/officeDocument/2006/relationships/hyperlink" Target="https://www.bmvg.de/de/aktuelles/neue-schwerlastanhaenger-fuer-die-bundeswehr-5424250" TargetMode="External"/><Relationship Id="rId980" Type="http://schemas.openxmlformats.org/officeDocument/2006/relationships/hyperlink" Target="https://www.bmvg.de/de/aktuelles/leopard-2-a8-neue-kampfpanzer-fuer-die-brigade-litauen-5810986" TargetMode="External"/><Relationship Id="rId1056" Type="http://schemas.openxmlformats.org/officeDocument/2006/relationships/hyperlink" Target="https://www.bmvg.de/de/aktuelles/parlament-stimmt-milliardeninvestitionen-fuer-verteidigung-zu-5871974" TargetMode="External"/><Relationship Id="rId1263" Type="http://schemas.openxmlformats.org/officeDocument/2006/relationships/hyperlink" Target="https://esut.de/2025/09/meldungen/63489/vorhaben-fuer-luftverteidigung-und-aufklaerung-gebilligt/" TargetMode="External"/><Relationship Id="rId840" Type="http://schemas.openxmlformats.org/officeDocument/2006/relationships/hyperlink" Target="https://www.bmvg.de/de/aktuelles/bundestag-genehmigt-beschaffung-von-flares-und-fahrschulpanzern-5711904" TargetMode="External"/><Relationship Id="rId938" Type="http://schemas.openxmlformats.org/officeDocument/2006/relationships/hyperlink" Target="https://www.bundeswehr.de/resource/blob/5807006/43a25b93f0ce4b30bdd8dd1352412f07/13-weitere-1-515-militaer-transportfahrzeuge-fuer-die-bundeswehr-dl-data.pdf" TargetMode="External"/><Relationship Id="rId67" Type="http://schemas.openxmlformats.org/officeDocument/2006/relationships/hyperlink" Target="https://www.gov.uk/government/news/41-million-contract-for-bomb-disposal-protection-supports-100-uk-jobs" TargetMode="External"/><Relationship Id="rId272" Type="http://schemas.openxmlformats.org/officeDocument/2006/relationships/hyperlink" Target="https://prod-site-internet-minarm-admin.cloud.defense.gouv.fr/sites/default/files/dga/022_chiffres_cles_DGA_num_fr.pdf" TargetMode="External"/><Relationship Id="rId577" Type="http://schemas.openxmlformats.org/officeDocument/2006/relationships/hyperlink" Target="https://www.bmvg.de/de/aktuelles/modernisierung-der-streitkraefte-rund-19-milliarden-freigegeben-5099070" TargetMode="External"/><Relationship Id="rId700" Type="http://schemas.openxmlformats.org/officeDocument/2006/relationships/hyperlink" Target="https://www.bmvg.de/de/aktuelles/digitalfunk-bundestag-genehmigt-bestellung-aus-sondervermoegen-5586808" TargetMode="External"/><Relationship Id="rId1123" Type="http://schemas.openxmlformats.org/officeDocument/2006/relationships/hyperlink" Target="https://www.gov.pl/web/obrona-narodowa/kolejne-smiglowce-black-hawk-trafia-do-sil-zbrojnych-rp" TargetMode="External"/><Relationship Id="rId1330" Type="http://schemas.openxmlformats.org/officeDocument/2006/relationships/hyperlink" Target="https://esut.de/2025/12/meldungen/66390/sattelanhaenger-70t-baainbw/" TargetMode="External"/><Relationship Id="rId132" Type="http://schemas.openxmlformats.org/officeDocument/2006/relationships/hyperlink" Target="https://des.mod.uk/smarter-maintenance-for-navy-fleet-under-1-85bn-contract-placed-by-des/?portfolioCats=78%2C735%2C69%2C734" TargetMode="External"/><Relationship Id="rId784" Type="http://schemas.openxmlformats.org/officeDocument/2006/relationships/hyperlink" Target="https://www.bmvg.de/de/aktuelles/bundestag-bewilligt-beschaffung-von-zehntausenden-schussmunition-5646262" TargetMode="External"/><Relationship Id="rId991" Type="http://schemas.openxmlformats.org/officeDocument/2006/relationships/hyperlink" Target="https://www.rtx.com/news/news-center/2024/07/11/rtxs-raytheon-awarded-1-2-billion-contract-to-provide-additional-patriot-air-an" TargetMode="External"/><Relationship Id="rId1067" Type="http://schemas.openxmlformats.org/officeDocument/2006/relationships/hyperlink" Target="https://www.bmvg.de/de/aktuelles/parlament-stimmt-milliardeninvestitionen-fuer-verteidigung-zu-5871974" TargetMode="External"/><Relationship Id="rId437" Type="http://schemas.openxmlformats.org/officeDocument/2006/relationships/hyperlink" Target="https://www.bundeswehr-journal.de/2020/ergaenzungsbeschaffung-seezielflugkoerper-rbs15-mk3/" TargetMode="External"/><Relationship Id="rId644" Type="http://schemas.openxmlformats.org/officeDocument/2006/relationships/hyperlink" Target="https://www.bmvg.de/de/presse/vollausstattung-persoenliche-ausruestung-bis-2025-5390698" TargetMode="External"/><Relationship Id="rId851" Type="http://schemas.openxmlformats.org/officeDocument/2006/relationships/hyperlink" Target="https://esut.de/2023/12/meldungen/46436/ab-2024-erhaelt-die-bundeswehr-bis-zu-82-leichte-kampfhubschrauber-h145m/" TargetMode="External"/><Relationship Id="rId1274" Type="http://schemas.openxmlformats.org/officeDocument/2006/relationships/hyperlink" Target="https://www.bmvg.de/de/aktuelles/bundestag-bewilligt-neue-technik-fuer-das-heer-5998536" TargetMode="External"/><Relationship Id="rId283" Type="http://schemas.openxmlformats.org/officeDocument/2006/relationships/hyperlink" Target="https://www.defense.gouv.fr/dga/actualites/dga-notifie-a-mbda-commande-200-missiles-anti-char-moyenne-portee" TargetMode="External"/><Relationship Id="rId490" Type="http://schemas.openxmlformats.org/officeDocument/2006/relationships/hyperlink" Target="https://www.reuters.com/article/idUSKBN28R1RG/" TargetMode="External"/><Relationship Id="rId504" Type="http://schemas.openxmlformats.org/officeDocument/2006/relationships/hyperlink" Target="https://www.bmvg.de/de/aktuelles/grosse-schritte-beschaffung-bundeswehr-5051262" TargetMode="External"/><Relationship Id="rId711" Type="http://schemas.openxmlformats.org/officeDocument/2006/relationships/hyperlink" Target="https://www.bmvg.de/de/aktuelles/bundestag-genehmigt-zehn-neue-panzerhaubitzen-2000-5599760" TargetMode="External"/><Relationship Id="rId949" Type="http://schemas.openxmlformats.org/officeDocument/2006/relationships/hyperlink" Target="https://esut.de/2024/06/meldungen/50441/155mm-artilleriemunition-fuer-die-bundeswehr-und-die-ukraine/" TargetMode="External"/><Relationship Id="rId1134" Type="http://schemas.openxmlformats.org/officeDocument/2006/relationships/hyperlink" Target="https://www.gov.pl/web/obrona-narodowa/wzmacniamy-wojsko-polskie-i-rozwijamy-krajowy-przemysl-zbrojeniowy-priorytetem-rzadu-jest-bezpieczenstwo" TargetMode="External"/><Relationship Id="rId1341" Type="http://schemas.openxmlformats.org/officeDocument/2006/relationships/hyperlink" Target="https://esut.de/2025/12/meldungen/66362/haushalt-bundeswehr-grossvorhaben/" TargetMode="External"/><Relationship Id="rId78" Type="http://schemas.openxmlformats.org/officeDocument/2006/relationships/hyperlink" Target="https://www.gov.uk/government/news/129-million-to-deliver-cutting-edge-mini-drones-for-uk-forces" TargetMode="External"/><Relationship Id="rId143" Type="http://schemas.openxmlformats.org/officeDocument/2006/relationships/hyperlink" Target="https://www.gov.uk/government/news/new-bomb-disposal-robots-for-the-british-army" TargetMode="External"/><Relationship Id="rId350" Type="http://schemas.openxmlformats.org/officeDocument/2006/relationships/hyperlink" Target="https://gnn-media.com/les-samp-t-ng-francais-sur-trajectoire-pour-une-livraison-en-2026/" TargetMode="External"/><Relationship Id="rId588" Type="http://schemas.openxmlformats.org/officeDocument/2006/relationships/hyperlink" Target="https://www.bmvg.de/de/aktuelles/modernisierung-der-streitkraefte-rund-19-milliarden-freigegeben-5099070" TargetMode="External"/><Relationship Id="rId795" Type="http://schemas.openxmlformats.org/officeDocument/2006/relationships/hyperlink" Target="https://www.bundeswehr-journal.de/2023/artilleriegeschosse-im-wert-von-rund-13-milliarden-euro/" TargetMode="External"/><Relationship Id="rId809" Type="http://schemas.openxmlformats.org/officeDocument/2006/relationships/hyperlink" Target="https://www.bmvg.de/de/aktuelles/bundestag-bewilligt-beschaffung-von-zehntausenden-schussmunition-5646262" TargetMode="External"/><Relationship Id="rId1201" Type="http://schemas.openxmlformats.org/officeDocument/2006/relationships/hyperlink" Target="https://www.gov.uk/government/news/tenfold-increase-in-uk-drone-deliveries-for-ukraine-at-50-nation-ukraine-summit" TargetMode="External"/><Relationship Id="rId9" Type="http://schemas.openxmlformats.org/officeDocument/2006/relationships/hyperlink" Target="https://www.gov.uk/government/news/armys-construction-vehicles-boosted-by-240-million-contract" TargetMode="External"/><Relationship Id="rId210" Type="http://schemas.openxmlformats.org/officeDocument/2006/relationships/hyperlink" Target="https://www.gov.pl/web/obrona-narodowa/nowe-smiglowce-dla-wojsk-specjalnych" TargetMode="External"/><Relationship Id="rId448" Type="http://schemas.openxmlformats.org/officeDocument/2006/relationships/hyperlink" Target="https://www.hartpunkt.de/vorlagen-fuer-neue-munition-und-it-genehmigt/" TargetMode="External"/><Relationship Id="rId655" Type="http://schemas.openxmlformats.org/officeDocument/2006/relationships/hyperlink" Target="https://www.bmvg.de/de/aktuelles/bundestag-gibt-mittel-fuer-marineflugzeug-p-8a-poseidon-frei-5454548" TargetMode="External"/><Relationship Id="rId862" Type="http://schemas.openxmlformats.org/officeDocument/2006/relationships/hyperlink" Target="https://esut.de/2023/12/meldungen/46336/rahmenvertrag-fuer-bis-zu-1-280-lenkflugkoerper-iris-t-abgeschlossen/" TargetMode="External"/><Relationship Id="rId1078" Type="http://schemas.openxmlformats.org/officeDocument/2006/relationships/hyperlink" Target="https://www.bmvg.de/de/aktuelles/beschaffung-moersersystem-idz-ausstattungen-tawan-richtfunknetz-5882320" TargetMode="External"/><Relationship Id="rId1285" Type="http://schemas.openxmlformats.org/officeDocument/2006/relationships/hyperlink" Target="https://suv.report/bundestag-genehmigt-14-ruestungsprojekte-eurofighter-sanitaetsfahrzeuge-einsatzboote-uvm/" TargetMode="External"/><Relationship Id="rId294" Type="http://schemas.openxmlformats.org/officeDocument/2006/relationships/hyperlink" Target="https://www.defense.gouv.fr/dga/actualites/dga-commande-100-chars-leclerc-renoves-xlr" TargetMode="External"/><Relationship Id="rId308" Type="http://schemas.openxmlformats.org/officeDocument/2006/relationships/hyperlink" Target="https://prod-site-internet-minarm-admin.cloud.defense.gouv.fr/sites/default/files/dga/023_chiffres_cles_DGA.pdf" TargetMode="External"/><Relationship Id="rId515" Type="http://schemas.openxmlformats.org/officeDocument/2006/relationships/hyperlink" Target="https://www.bmvg.de/de/presse/bundeswehr-staerkt-den-lausitzer-standort-des-hil-werkes-5085358" TargetMode="External"/><Relationship Id="rId722" Type="http://schemas.openxmlformats.org/officeDocument/2006/relationships/hyperlink" Target="https://www.bundeswehr.de/de/organisation/ausruestung-baainbw/aktuelles/gehaertete-it-komponenten-5622761" TargetMode="External"/><Relationship Id="rId1145" Type="http://schemas.openxmlformats.org/officeDocument/2006/relationships/hyperlink" Target="https://www.gov.pl/web/obrona-narodowa/wojsko-polskie-otrzyma-najnowoczesniejszy-system-dowodzenia-obrona-przeciwlotnicza-i-przeciwrakietowa" TargetMode="External"/><Relationship Id="rId1352" Type="http://schemas.openxmlformats.org/officeDocument/2006/relationships/hyperlink" Target="https://esut.de/2025/12/meldungen/66362/haushalt-bundeswehr-grossvorhaben/" TargetMode="External"/><Relationship Id="rId89" Type="http://schemas.openxmlformats.org/officeDocument/2006/relationships/hyperlink" Target="https://www.gov.uk/government/news/des-procures-royal-navys-new-eye-in-the-sky-capability" TargetMode="External"/><Relationship Id="rId154" Type="http://schemas.openxmlformats.org/officeDocument/2006/relationships/hyperlink" Target="https://des.mod.uk/vital-aircraft-refuellers-upgraded-to-serve-uk-armed-forces-home-and-abroad/?portfolioCats=78%2C735%2C69%2C734" TargetMode="External"/><Relationship Id="rId361" Type="http://schemas.openxmlformats.org/officeDocument/2006/relationships/hyperlink" Target="https://esut.de/2020/08/meldungen/22206/gruendung-der-cyberagentur/" TargetMode="External"/><Relationship Id="rId599" Type="http://schemas.openxmlformats.org/officeDocument/2006/relationships/hyperlink" Target="https://augengeradeaus.net/2021/06/bundestag-gibt-fast-20-mrd-euro-fuer-ruestungsprojekte-frei-auflagen-unter-anderem-fuer-fcas-und-puma-schuetzenpanzer/" TargetMode="External"/><Relationship Id="rId1005" Type="http://schemas.openxmlformats.org/officeDocument/2006/relationships/hyperlink" Target="https://esut.de/2024/10/meldungen/53933/72-milliarden-euro-fuer-sieben-projekte-freigegeben/" TargetMode="External"/><Relationship Id="rId1212" Type="http://schemas.openxmlformats.org/officeDocument/2006/relationships/hyperlink" Target="https://www.gov.uk/government/news/uk-jobs-and-air-defences-boost-with-purchase-of-new-missile-launchers" TargetMode="External"/><Relationship Id="rId459" Type="http://schemas.openxmlformats.org/officeDocument/2006/relationships/hyperlink" Target="https://esut.de/2020/11/meldungen/24443/bundeswehr-investiert-weiter-in-transportfahrzeuge/" TargetMode="External"/><Relationship Id="rId666" Type="http://schemas.openxmlformats.org/officeDocument/2006/relationships/hyperlink" Target="https://www.bmvg.de/de/aktuelles/munition-fuer-schuetzenpanzer-puma-und-moderne-funkgeraete-5530546" TargetMode="External"/><Relationship Id="rId873" Type="http://schemas.openxmlformats.org/officeDocument/2006/relationships/hyperlink" Target="https://www.rheinmetall.com/de/media/news-watch/news/2024/01/2024-01-25-startschuss-fuer-luftverteidigungssystem-nnbs" TargetMode="External"/><Relationship Id="rId1089" Type="http://schemas.openxmlformats.org/officeDocument/2006/relationships/hyperlink" Target="https://esut.de/2025/01/meldungen/56952/beschaffungen-fuer-25-milliarden-euro-auf-den-letzten-druecker/" TargetMode="External"/><Relationship Id="rId1296" Type="http://schemas.openxmlformats.org/officeDocument/2006/relationships/hyperlink" Target="https://www.bmvg.de/de/aktuelles/bundestag-billigt-14-weitere-beschaffungsvertraege-fuer-truppe-6037382" TargetMode="External"/><Relationship Id="rId16" Type="http://schemas.openxmlformats.org/officeDocument/2006/relationships/hyperlink" Target="https://www.defensenews.com/global/europe/2020/11/30/bae-systems-gets-32-billion-deal-so-british-forces-can-reload/" TargetMode="External"/><Relationship Id="rId221" Type="http://schemas.openxmlformats.org/officeDocument/2006/relationships/hyperlink" Target="https://www.gov.pl/web/obrona-narodowa/czolgi-t-72-beda-nowoczesniejsze" TargetMode="External"/><Relationship Id="rId319" Type="http://schemas.openxmlformats.org/officeDocument/2006/relationships/hyperlink" Target="https://www.bmvg.de/de/aktuelles/beschaffung-von-lenkflugkoerpern-fuer-marine-und-luftwaffe-5841354" TargetMode="External"/><Relationship Id="rId526" Type="http://schemas.openxmlformats.org/officeDocument/2006/relationships/hyperlink" Target="https://www.bmvg.de/de/aktuelles/neue-tankcontainer-bodenradare-und-zusaetzliche-bekleidung-5084470" TargetMode="External"/><Relationship Id="rId1156" Type="http://schemas.openxmlformats.org/officeDocument/2006/relationships/hyperlink" Target="https://www.gov.pl/web/obrona-narodowa/umowy-offsetowe-zapewnia-transfer-technologii-do-krajowego-przemyslu-zbrojeniowego" TargetMode="External"/><Relationship Id="rId1363" Type="http://schemas.openxmlformats.org/officeDocument/2006/relationships/hyperlink" Target="https://esut.de/2026/02/meldungen/68467/fassmer-erhaelt-grossauftrag-ueber-vier-ausbildungsboote-fuer-die-deutsche-marine/" TargetMode="External"/><Relationship Id="rId733" Type="http://schemas.openxmlformats.org/officeDocument/2006/relationships/hyperlink" Target="https://www.bmvg.de/de/aktuelles/lenkflugkoerper-it-57-sattelzugmaschinen-sollen-beschafft-werden-5612684" TargetMode="External"/><Relationship Id="rId940" Type="http://schemas.openxmlformats.org/officeDocument/2006/relationships/hyperlink" Target="https://www.rheinmetall.com/de/media/news-watch/news/2024/06/2024-06-12-bundeswehr-bestellt-weitere-1515-militaer-lkw" TargetMode="External"/><Relationship Id="rId1016" Type="http://schemas.openxmlformats.org/officeDocument/2006/relationships/hyperlink" Target="https://www.bmvg.de/de/aktuelles/parlament-genehmigt-investitionen-in-milliardenhoehe-5847750" TargetMode="External"/><Relationship Id="rId165" Type="http://schemas.openxmlformats.org/officeDocument/2006/relationships/hyperlink" Target="https://www.gov.uk/government/news/uk-leadership-on-ukraine-continues-as-defence-secretary-announced-225m-support-package-during-kyiv-visit" TargetMode="External"/><Relationship Id="rId372" Type="http://schemas.openxmlformats.org/officeDocument/2006/relationships/hyperlink" Target="https://www.bmvg.de/de/aktuelles/parlament-stimmt-milliardeninvestitionen-fuer-verteidigung-zu-5871974" TargetMode="External"/><Relationship Id="rId677" Type="http://schemas.openxmlformats.org/officeDocument/2006/relationships/hyperlink" Target="https://www.bmvg.de/de/aktuelles/sondervermoegen-bundeswehr-markiert-historischen-aufbruch-5542400" TargetMode="External"/><Relationship Id="rId800" Type="http://schemas.openxmlformats.org/officeDocument/2006/relationships/hyperlink" Target="https://esut.de/2023/08/fachbeitraege/43533/gefechts-und-ausbildungsmunition-fuer-kampffahrzeuge-und-gewehre/" TargetMode="External"/><Relationship Id="rId1223" Type="http://schemas.openxmlformats.org/officeDocument/2006/relationships/hyperlink" Target="https://www.gov.uk/government/news/groundbreaking-ukraine-tech-sharing-agreement-to-deliver-drones-and-support-jobs" TargetMode="External"/><Relationship Id="rId232" Type="http://schemas.openxmlformats.org/officeDocument/2006/relationships/hyperlink" Target="https://www.gov.pl/web/obrona-narodowa/wyrzutnie-k239-chunmoo-zwieksza-potencjal-odstraszania-wojska-polskiego" TargetMode="External"/><Relationship Id="rId884" Type="http://schemas.openxmlformats.org/officeDocument/2006/relationships/hyperlink" Target="https://defence-network.com/nachtsichtbrillen-fuer-die-bundeswehr/" TargetMode="External"/><Relationship Id="rId27" Type="http://schemas.openxmlformats.org/officeDocument/2006/relationships/hyperlink" Target="https://www.gov.uk/government/news/274-million-training-boost-for-raf" TargetMode="External"/><Relationship Id="rId537" Type="http://schemas.openxmlformats.org/officeDocument/2006/relationships/hyperlink" Target="https://www.bmvg.de/de/aktuelles/investitionen-in-die-luftwaffe-der-zukunft-5099108" TargetMode="External"/><Relationship Id="rId744" Type="http://schemas.openxmlformats.org/officeDocument/2006/relationships/hyperlink" Target="https://www.bundeswehr.de/de/organisation/ausruestung-baainbw/aktuelles/gehaertete-it-komponenten-5622772" TargetMode="External"/><Relationship Id="rId951" Type="http://schemas.openxmlformats.org/officeDocument/2006/relationships/hyperlink" Target="https://www.bmvg.de/de/aktuelles/vertrag-bau-mks-180-unterzeichnet-268154" TargetMode="External"/><Relationship Id="rId1167" Type="http://schemas.openxmlformats.org/officeDocument/2006/relationships/hyperlink" Target="https://thedefensepost.com/2024/12/18/poland-rosomak-vehicles/" TargetMode="External"/><Relationship Id="rId1374" Type="http://schemas.openxmlformats.org/officeDocument/2006/relationships/hyperlink" Target="https://notesfrompoland.com/2025/08/01/poland-to-have-more-tanks-than-uk-germany-france-and-italy-combined-after-signing-new-k2-deal/" TargetMode="External"/><Relationship Id="rId80" Type="http://schemas.openxmlformats.org/officeDocument/2006/relationships/hyperlink" Target="https://www.gov.uk/government/news/100-million-boost-as-naval-shipbuilding-confirms-return-to-belfast" TargetMode="External"/><Relationship Id="rId176" Type="http://schemas.openxmlformats.org/officeDocument/2006/relationships/hyperlink" Target="https://www.gov.uk/government/news/uk-leadership-on-ukraine-continues-as-defence-secretary-announced-225m-support-package-during-kyiv-visit" TargetMode="External"/><Relationship Id="rId383" Type="http://schemas.openxmlformats.org/officeDocument/2006/relationships/hyperlink" Target="https://defence-network.com/haushaltsausschuss-38-bundeswehr-beschaffungen/" TargetMode="External"/><Relationship Id="rId590" Type="http://schemas.openxmlformats.org/officeDocument/2006/relationships/hyperlink" Target="https://marineforum.online/erfolgreiches-manoever-des-letzten-augenblicks/" TargetMode="External"/><Relationship Id="rId604" Type="http://schemas.openxmlformats.org/officeDocument/2006/relationships/hyperlink" Target="https://www.bundeswehr.de/resource/blob/5205260/bbec29cd36507eace59ed4a956008c63/27-nh90-erhaelt-upgrade-fuer-den-einsatz-data.pdf" TargetMode="External"/><Relationship Id="rId811" Type="http://schemas.openxmlformats.org/officeDocument/2006/relationships/hyperlink" Target="https://www.bmvg.de/de/aktuelles/aenderungsvertrag-projektfortfuehrung-neuer-auftragnehmer-5680352" TargetMode="External"/><Relationship Id="rId1027" Type="http://schemas.openxmlformats.org/officeDocument/2006/relationships/hyperlink" Target="https://esut.de/2024/11/meldungen/54762/drei-beschaffungsvorhaben-fuer-luft-und-land-gebilligt/" TargetMode="External"/><Relationship Id="rId1234" Type="http://schemas.openxmlformats.org/officeDocument/2006/relationships/hyperlink" Target="https://www.gov.uk/government/news/25-million-contract-to-revolutionise-deployed-military-healthcare" TargetMode="External"/><Relationship Id="rId243" Type="http://schemas.openxmlformats.org/officeDocument/2006/relationships/hyperlink" Target="https://www.gov.pl/web/obrona-narodowa/wyrzutnie-m903-w-ramach-systemu-patriot-beda-produkowane-w-polsce" TargetMode="External"/><Relationship Id="rId450" Type="http://schemas.openxmlformats.org/officeDocument/2006/relationships/hyperlink" Target="https://www.bmvg.de/de/aktuelles/bundeswehr-zukunftsinvestitionen-175-millionen-euro-4473484" TargetMode="External"/><Relationship Id="rId688" Type="http://schemas.openxmlformats.org/officeDocument/2006/relationships/hyperlink" Target="https://www.bmvg.de/de/aktuelles/bundeswehr-kann-g36-nachfolger-beschaffen-5540930" TargetMode="External"/><Relationship Id="rId895" Type="http://schemas.openxmlformats.org/officeDocument/2006/relationships/hyperlink" Target="https://esut.de/2024/03/meldungen/48319/bundeswehr-beschafft-30-000-sprechsaetze-mit-gehoerschutz/" TargetMode="External"/><Relationship Id="rId909" Type="http://schemas.openxmlformats.org/officeDocument/2006/relationships/hyperlink" Target="https://defence-industry.eu/germany-parliament-approves-military-upgrades-including-nh90-helicopters-and-eurofighter-jets/" TargetMode="External"/><Relationship Id="rId1080" Type="http://schemas.openxmlformats.org/officeDocument/2006/relationships/hyperlink" Target="https://esut.de/en/2025/02/meldungen/56995/bestand-an-fernbedienbaren-waffenstationen-flw-wird-aufgefuellt/" TargetMode="External"/><Relationship Id="rId1301" Type="http://schemas.openxmlformats.org/officeDocument/2006/relationships/hyperlink" Target="https://www.bmvg.de/de/aktuelles/bundestag-bewilligt-neue-technik-fuer-das-heer-5998536" TargetMode="External"/><Relationship Id="rId38" Type="http://schemas.openxmlformats.org/officeDocument/2006/relationships/hyperlink" Target="https://www.gov.uk/government/news/195m-contract-signed-for-13-additional-raf-protectors" TargetMode="External"/><Relationship Id="rId103" Type="http://schemas.openxmlformats.org/officeDocument/2006/relationships/hyperlink" Target="https://www.gov.uk/government/news/320-million-for-opvs-supports-more-than-100-jobs" TargetMode="External"/><Relationship Id="rId310" Type="http://schemas.openxmlformats.org/officeDocument/2006/relationships/hyperlink" Target="https://www.defense.gouv.fr/dga/actualites/dga-commande-100-chars-leclerc-renoves-xlr" TargetMode="External"/><Relationship Id="rId548" Type="http://schemas.openxmlformats.org/officeDocument/2006/relationships/hyperlink" Target="https://www.bundeswehr.de/resource/blob/5109066/e3a362cf0b87ca7cb68b3f8a41e607ff/20-beschaffung-zweier-u-boote-fuer-die-bundeswehr-unter-vertrag-data.pdf" TargetMode="External"/><Relationship Id="rId755" Type="http://schemas.openxmlformats.org/officeDocument/2006/relationships/hyperlink" Target="https://www.bmvg.de/de/aktuelles/modernste-leopard-2-und-panzerhaubitzen-2000-fuer-die-bundeswehr-5625774" TargetMode="External"/><Relationship Id="rId962" Type="http://schemas.openxmlformats.org/officeDocument/2006/relationships/hyperlink" Target="https://www.hartpunkt.de/waffen-fahrzeuge-schiffe-und-satelliten-haushalsausschuss-billigt-zahlreiche-beschaffungs-und-modernisierungsvorhaben-der-bundeswehr/" TargetMode="External"/><Relationship Id="rId1178" Type="http://schemas.openxmlformats.org/officeDocument/2006/relationships/hyperlink" Target="https://www.gov.uk/government/news/prime-minister-hails-game-changing-uk-made-raf-drones" TargetMode="External"/><Relationship Id="rId1385" Type="http://schemas.openxmlformats.org/officeDocument/2006/relationships/hyperlink" Target="https://www.gov.pl/web/obrona-narodowa/kolejny-pakiet-umow-na-rzecz-modernizacji-polskiej-armii" TargetMode="External"/><Relationship Id="rId91" Type="http://schemas.openxmlformats.org/officeDocument/2006/relationships/hyperlink" Target="https://www.gov.uk/government/news/ukraine-to-receive-multi-million-pound-capability-boost-from-international-fund" TargetMode="External"/><Relationship Id="rId187" Type="http://schemas.openxmlformats.org/officeDocument/2006/relationships/hyperlink" Target="https://www.gov.uk/government/news/uk-leads-major-ukraine-summit-and-announces-150-million-firepower-package" TargetMode="External"/><Relationship Id="rId394" Type="http://schemas.openxmlformats.org/officeDocument/2006/relationships/hyperlink" Target="https://defence-network.com/haushaltsausschuss-38-bundeswehr-beschaffungen/" TargetMode="External"/><Relationship Id="rId408" Type="http://schemas.openxmlformats.org/officeDocument/2006/relationships/hyperlink" Target="https://www.gov.pl/web/obrona-narodowa/himars-to-bron-ktora-zapewni-polsce-bezpieczenstwo" TargetMode="External"/><Relationship Id="rId615" Type="http://schemas.openxmlformats.org/officeDocument/2006/relationships/hyperlink" Target="https://www.bmvg.de/de/aktuelles/modernisierung-der-streitkraefte-rund-19-milliarden-freigegeben-5099070" TargetMode="External"/><Relationship Id="rId822" Type="http://schemas.openxmlformats.org/officeDocument/2006/relationships/hyperlink" Target="https://www.bundeswehr-journal.de/2023/ersatz-neue-panzerabwehrrichtminen-fuer-die-truppe/" TargetMode="External"/><Relationship Id="rId1038" Type="http://schemas.openxmlformats.org/officeDocument/2006/relationships/hyperlink" Target="https://www.bmvg.de/de/aktuelles/parlament-stimmt-milliardeninvestitionen-fuer-verteidigung-zu-5871974" TargetMode="External"/><Relationship Id="rId1245" Type="http://schemas.openxmlformats.org/officeDocument/2006/relationships/hyperlink" Target="https://www.airbus.com/en/newsroom/press-releases/2025-06-more-safety-for-a400m-crews-airbus-signs-contract-to-equip-german" TargetMode="External"/><Relationship Id="rId254" Type="http://schemas.openxmlformats.org/officeDocument/2006/relationships/hyperlink" Target="https://prod-site-internet-minarm-admin.cloud.defense.gouv.fr/sites/default/files/dga/021_chiffres_cles_DGA_2020_numerique.pdf" TargetMode="External"/><Relationship Id="rId699" Type="http://schemas.openxmlformats.org/officeDocument/2006/relationships/hyperlink" Target="https://www.behoerden-spiegel.de/2023/03/07/genehmigung-der-e-lynx-soldatenfunkgeraete/" TargetMode="External"/><Relationship Id="rId1091" Type="http://schemas.openxmlformats.org/officeDocument/2006/relationships/hyperlink" Target="https://www.bmvg.de/de/aktuelles/beschaffung-moersersystem-idz-ausstattungen-tawan-richtfunknetz-5882320" TargetMode="External"/><Relationship Id="rId1105" Type="http://schemas.openxmlformats.org/officeDocument/2006/relationships/hyperlink" Target="https://breakingdefense.com/2023/08/poland-signs-deals-for-light-recon-vehicles-heavy-infantry-combat-vehicles-and-apcs/" TargetMode="External"/><Relationship Id="rId1312" Type="http://schemas.openxmlformats.org/officeDocument/2006/relationships/hyperlink" Target="https://www.bmvg.de/de/aktuelles/bundestag-billigt-14-weitere-beschaffungsvertraege-fuer-truppe-6037382" TargetMode="External"/><Relationship Id="rId49" Type="http://schemas.openxmlformats.org/officeDocument/2006/relationships/hyperlink" Target="https://www.gov.uk/government/news/110m-upgrade-for-raf-shadow-fleet" TargetMode="External"/><Relationship Id="rId114" Type="http://schemas.openxmlformats.org/officeDocument/2006/relationships/hyperlink" Target="https://www.gov.uk/government/news/new-working-group-to-help-turbocharge-scotlands-defence-sector" TargetMode="External"/><Relationship Id="rId461" Type="http://schemas.openxmlformats.org/officeDocument/2006/relationships/hyperlink" Target="https://www.bmvg.de/de/aktuelles/moderne-transportfahrzeuge-bundeswehr-4575696" TargetMode="External"/><Relationship Id="rId559" Type="http://schemas.openxmlformats.org/officeDocument/2006/relationships/hyperlink" Target="https://www.bmvg.de/de/aktuelles/modernisierung-der-streitkraefte-rund-19-milliarden-freigegeben-5099070" TargetMode="External"/><Relationship Id="rId766" Type="http://schemas.openxmlformats.org/officeDocument/2006/relationships/hyperlink" Target="https://esut.de/2023/06/meldungen/land/42881/weitere-wechselladersysteme-fuer-die-logistik/" TargetMode="External"/><Relationship Id="rId1189" Type="http://schemas.openxmlformats.org/officeDocument/2006/relationships/hyperlink" Target="https://www.gov.uk/government/news/security-delivered-for-working-people-as-uk-us-ties-strengthened-with-new-google-cloud-partnership-for-classified-information-sharing" TargetMode="External"/><Relationship Id="rId1396" Type="http://schemas.openxmlformats.org/officeDocument/2006/relationships/hyperlink" Target="https://www.gov.pl/web/obrona-narodowa/kolejny-pakiet-umow-na-rzecz-modernizacji-polskiej-armii" TargetMode="External"/><Relationship Id="rId198" Type="http://schemas.openxmlformats.org/officeDocument/2006/relationships/hyperlink" Target="https://des.mod.uk/des-poised-to-deliver-on-uk-governments-150m-ukraine-firepower-package/" TargetMode="External"/><Relationship Id="rId321" Type="http://schemas.openxmlformats.org/officeDocument/2006/relationships/hyperlink" Target="https://esut.de/2024/09/meldungen/53331/knapp-eine-milliarde-euro-fuer-geraete-umruestungen-und-lenkwaffen/" TargetMode="External"/><Relationship Id="rId419" Type="http://schemas.openxmlformats.org/officeDocument/2006/relationships/hyperlink" Target="https://www.gov.pl/web/obrona-narodowa/produkcja-prochu-wraca-do-zakladow-w-pionkach2" TargetMode="External"/><Relationship Id="rId626" Type="http://schemas.openxmlformats.org/officeDocument/2006/relationships/hyperlink" Target="https://www.bundeswehr.de/resource/blob/5438380/e4990eba00f3dbf06a1d0aa572a1b3b4/10-bundeswehr-erhoeht-eigene-kapazitaeten-fuer-den-schwerlast-transport-data.pdf" TargetMode="External"/><Relationship Id="rId973" Type="http://schemas.openxmlformats.org/officeDocument/2006/relationships/hyperlink" Target="https://www.hartpunkt.de/waffen-fahrzeuge-schiffe-und-satelliten-haushalsausschuss-billigt-zahlreiche-beschaffungs-und-modernisierungsvorhaben-der-bundeswehr/" TargetMode="External"/><Relationship Id="rId1049" Type="http://schemas.openxmlformats.org/officeDocument/2006/relationships/hyperlink" Target="https://defence-network.com/haushaltsausschuss-38-bundeswehr-beschaffungen/" TargetMode="External"/><Relationship Id="rId1256" Type="http://schemas.openxmlformats.org/officeDocument/2006/relationships/hyperlink" Target="https://esut.de/2025/06/meldungen/60926/sieben-beschaffungsvorhaben-fuer-mehr-als-drei-milliarden-euro-gebilligt/" TargetMode="External"/><Relationship Id="rId833" Type="http://schemas.openxmlformats.org/officeDocument/2006/relationships/hyperlink" Target="https://esut.de/2023/11/meldungen/45602/nachbeschaffung-von-50-dingo-2-a4-1-gebilligt/" TargetMode="External"/><Relationship Id="rId1116" Type="http://schemas.openxmlformats.org/officeDocument/2006/relationships/hyperlink" Target="https://www.gov.pl/web/obrona-narodowa/nowe-pojazdy-dla-wojska" TargetMode="External"/><Relationship Id="rId265" Type="http://schemas.openxmlformats.org/officeDocument/2006/relationships/hyperlink" Target="https://prod-site-internet-minarm-admin.cloud.defense.gouv.fr/sites/default/files/dga/021_chiffres_cles_DGA_2020_numerique.pdf" TargetMode="External"/><Relationship Id="rId472" Type="http://schemas.openxmlformats.org/officeDocument/2006/relationships/hyperlink" Target="https://esut.de/2020/11/meldungen/24443/bundeswehr-investiert-weiter-in-transportfahrzeuge/" TargetMode="External"/><Relationship Id="rId900" Type="http://schemas.openxmlformats.org/officeDocument/2006/relationships/hyperlink" Target="https://www.janes.com/defence-news/news-detail/germany-orders-simulators-for-puma-ifvs" TargetMode="External"/><Relationship Id="rId1323" Type="http://schemas.openxmlformats.org/officeDocument/2006/relationships/hyperlink" Target="https://theon.com/theon-signs-the-largest-contract-ever-for-100000-nvgs-with-occar-valued-at-c-e1-billion/" TargetMode="External"/><Relationship Id="rId125" Type="http://schemas.openxmlformats.org/officeDocument/2006/relationships/hyperlink" Target="https://www.gov.uk/government/news/major-new-package-of-support-for-ukraines-counter-offensive-announced-by-grant-shapps" TargetMode="External"/><Relationship Id="rId332" Type="http://schemas.openxmlformats.org/officeDocument/2006/relationships/hyperlink" Target="https://www.bmvg.de/de/aktuelles/beschaffung-moersersystem-idz-ausstattungen-tawan-richtfunknetz-5882320" TargetMode="External"/><Relationship Id="rId777" Type="http://schemas.openxmlformats.org/officeDocument/2006/relationships/hyperlink" Target="https://www.produktion.de/schwerpunkte/ruestungsindustrie/vertrag-fix-boeing-liefert-60-chinook-helis-an-deutschland-278.html" TargetMode="External"/><Relationship Id="rId984" Type="http://schemas.openxmlformats.org/officeDocument/2006/relationships/hyperlink" Target="https://defence-network.com/rahmenvertrag-zur-nachfolge-wolf-unterzeichnet/" TargetMode="External"/><Relationship Id="rId637" Type="http://schemas.openxmlformats.org/officeDocument/2006/relationships/hyperlink" Target="https://www.bundeswehr.de/de/aktuelles/meldungen/statment-ministerin-beschaffung-persoenliche-ausruestung-5390076" TargetMode="External"/><Relationship Id="rId844" Type="http://schemas.openxmlformats.org/officeDocument/2006/relationships/hyperlink" Target="https://www.bmvg.de/de/aktuelles/bundestag-genehmigt-beschaffung-von-flares-und-fahrschulpanzern-5711904" TargetMode="External"/><Relationship Id="rId1267" Type="http://schemas.openxmlformats.org/officeDocument/2006/relationships/hyperlink" Target="https://www.bmvg.de/de/aktuelles/gruenes-licht-fuer-sieben-weitere-beschaffungsvertraege-5991106" TargetMode="External"/><Relationship Id="rId276" Type="http://schemas.openxmlformats.org/officeDocument/2006/relationships/hyperlink" Target="https://prod-site-internet-minarm-admin.cloud.defense.gouv.fr/sites/default/files/dga/022_chiffres_cles_DGA_num_fr.pdf" TargetMode="External"/><Relationship Id="rId483" Type="http://schemas.openxmlformats.org/officeDocument/2006/relationships/hyperlink" Target="https://www.bmvg.de/de/aktuelles/moderne-transportfahrzeuge-bundeswehr-4575696" TargetMode="External"/><Relationship Id="rId690" Type="http://schemas.openxmlformats.org/officeDocument/2006/relationships/hyperlink" Target="https://www.bmvg.de/de/aktuelles/sondervermoegen-bundeswehr-markiert-historischen-aufbruch-5542400" TargetMode="External"/><Relationship Id="rId704" Type="http://schemas.openxmlformats.org/officeDocument/2006/relationships/hyperlink" Target="https://www.bmvg.de/de/aktuelles/munition-fuer-schuetzenpanzer-puma-und-moderne-funkgeraete-5530546" TargetMode="External"/><Relationship Id="rId911" Type="http://schemas.openxmlformats.org/officeDocument/2006/relationships/hyperlink" Target="https://www.army-technology.com/news/germany-approves-software-update-of-nh90-helicopters/?cf-view" TargetMode="External"/><Relationship Id="rId1127" Type="http://schemas.openxmlformats.org/officeDocument/2006/relationships/hyperlink" Target="https://www.defensenews.com/global/europe/2022/09/08/estonia-joins-poland-in-buying-piorun-anti-aircraft-missiles/" TargetMode="External"/><Relationship Id="rId1334" Type="http://schemas.openxmlformats.org/officeDocument/2006/relationships/hyperlink" Target="https://esut.de/2025/12/meldungen/66362/haushalt-bundeswehr-grossvorhaben/" TargetMode="External"/><Relationship Id="rId40" Type="http://schemas.openxmlformats.org/officeDocument/2006/relationships/hyperlink" Target="https://www.gov.uk/government/news/400m-investment-for-the-royal-air-force" TargetMode="External"/><Relationship Id="rId136" Type="http://schemas.openxmlformats.org/officeDocument/2006/relationships/hyperlink" Target="https://www.gov.uk/government/news/uk-to-supply-more-than-10000-drones-to-ukraine" TargetMode="External"/><Relationship Id="rId343" Type="http://schemas.openxmlformats.org/officeDocument/2006/relationships/hyperlink" Target="https://www.opex360.com/2024/02/02/le-contrat-relatif-au-troisieme-arret-technique-majeur-du-porte-avions-charles-de-gaulle-a-ete-notifie/" TargetMode="External"/><Relationship Id="rId550" Type="http://schemas.openxmlformats.org/officeDocument/2006/relationships/hyperlink" Target="https://www.bmvg.de/de/aktuelles/umfangreiche-beschaffungen-fuer-die-deutsche-marine-5099106" TargetMode="External"/><Relationship Id="rId788" Type="http://schemas.openxmlformats.org/officeDocument/2006/relationships/hyperlink" Target="https://www.rheinmetall.com/en/media/news-watch/news/2023/7/2023-07-18-rheinmetall-receives-major-order-for-artillery-shells-by-bundeswehr" TargetMode="External"/><Relationship Id="rId995" Type="http://schemas.openxmlformats.org/officeDocument/2006/relationships/hyperlink" Target="https://www.bmvg.de/de/aktuelles/beschaffung-von-lenkflugkoerpern-fuer-marine-und-luftwaffe-5841354" TargetMode="External"/><Relationship Id="rId1180" Type="http://schemas.openxmlformats.org/officeDocument/2006/relationships/hyperlink" Target="https://www.gov.uk/government/news/major-15-billion-defence-contract-with-british-firm-ensures-world-class-equipment-testing-for-uk-forces-and-secures-1200-jobs" TargetMode="External"/><Relationship Id="rId1401" Type="http://schemas.openxmlformats.org/officeDocument/2006/relationships/hyperlink" Target="https://www.gov.pl/web/obrona-narodowa/polskie-f-16-przejda-modernizacje-do-standardu-f-16v" TargetMode="External"/><Relationship Id="rId203" Type="http://schemas.openxmlformats.org/officeDocument/2006/relationships/hyperlink" Target="https://www.gov.uk/government/news/1000-british-jobs-supported-by-deal-to-bolster-fleet-of-sub-hunting-helicopters" TargetMode="External"/><Relationship Id="rId648" Type="http://schemas.openxmlformats.org/officeDocument/2006/relationships/hyperlink" Target="https://www.hartpunkt.de/gruenes-licht-fuer-neue-einsatzboote/" TargetMode="External"/><Relationship Id="rId855" Type="http://schemas.openxmlformats.org/officeDocument/2006/relationships/hyperlink" Target="https://www.bmvg.de/de/aktuelles/beschaffung-kampfhubschrauber-kryptotelefone-und-weitere-5716992" TargetMode="External"/><Relationship Id="rId1040" Type="http://schemas.openxmlformats.org/officeDocument/2006/relationships/hyperlink" Target="https://www.bmvg.de/de/aktuelles/parlament-stimmt-milliardeninvestitionen-fuer-verteidigung-zu-5871974" TargetMode="External"/><Relationship Id="rId1278" Type="http://schemas.openxmlformats.org/officeDocument/2006/relationships/hyperlink" Target="https://www.fts-flensburg.de/news/cooperation-with-german-armed-forces" TargetMode="External"/><Relationship Id="rId287" Type="http://schemas.openxmlformats.org/officeDocument/2006/relationships/hyperlink" Target="https://prod-site-internet-minarm-admin.cloud.defense.gouv.fr/sites/default/files/dga/023_chiffres_cles_DGA.pdf" TargetMode="External"/><Relationship Id="rId410" Type="http://schemas.openxmlformats.org/officeDocument/2006/relationships/hyperlink" Target="https://www.gov.pl/web/obrona-narodowa/offset-podpisany-wzmacniamy-mozliwosci-polskiej-zbrojeniowki" TargetMode="External"/><Relationship Id="rId494" Type="http://schemas.openxmlformats.org/officeDocument/2006/relationships/hyperlink" Target="https://www.rheinmetall.com/de/media/news-watch/news/2021/2021-03-29_millionenauftrag-fuer-rheinmetall" TargetMode="External"/><Relationship Id="rId508" Type="http://schemas.openxmlformats.org/officeDocument/2006/relationships/hyperlink" Target="https://www.bmvg.de/de/aktuelles/europaeische-drohne-bis-2025-11586" TargetMode="External"/><Relationship Id="rId715" Type="http://schemas.openxmlformats.org/officeDocument/2006/relationships/hyperlink" Target="https://vpk.name/en/710839_bae-systems-will-supply-227-bvs10-articulated-all-terrain-vehicles-to-the-german-armed-forces.html" TargetMode="External"/><Relationship Id="rId922" Type="http://schemas.openxmlformats.org/officeDocument/2006/relationships/hyperlink" Target="https://esut.de/2024/05/meldungen/49772/19-milliarden-euro-fuer-vier-vorhaben-zu-lande-zu-wasser-und-in-der-luft/" TargetMode="External"/><Relationship Id="rId1138" Type="http://schemas.openxmlformats.org/officeDocument/2006/relationships/hyperlink" Target="https://www.gov.pl/web/obrona-narodowa/116-czolgow-abrams-m1a1-trafi-na-wyposazenie-wojska-polskiego" TargetMode="External"/><Relationship Id="rId1345" Type="http://schemas.openxmlformats.org/officeDocument/2006/relationships/hyperlink" Target="https://www.gdels.com/de/media/news/gdels-erhaelt-grossauftrag-zur-beschaffung-weiterer-eagle-fahrzeuge-fuer-die-bundeswehr-cmsc6bux0pn59903n9sa2ab0" TargetMode="External"/><Relationship Id="rId147" Type="http://schemas.openxmlformats.org/officeDocument/2006/relationships/hyperlink" Target="https://www.gov.uk/government/news/new-wargaming-and-analysis-software-for-defence" TargetMode="External"/><Relationship Id="rId354" Type="http://schemas.openxmlformats.org/officeDocument/2006/relationships/hyperlink" Target="https://www.bmvg.de/de/aktuelles/neue-schiffe-neues-radar-eurofighter-neue-it-bundeswehr-267934" TargetMode="External"/><Relationship Id="rId799" Type="http://schemas.openxmlformats.org/officeDocument/2006/relationships/hyperlink" Target="https://www.rheinmetall.com/de/media/news-watch/news/2023/07/2023-07-13-rheinmetall-erhaelt-grossauftrag-der-bundeswehr-ueber-panzermunition" TargetMode="External"/><Relationship Id="rId1191" Type="http://schemas.openxmlformats.org/officeDocument/2006/relationships/hyperlink" Target="https://www.gov.uk/government/news/boost-for-british-armed-forces-as-uk-and-germany-sign-major-contract-for-next-generation-bridging-equipment" TargetMode="External"/><Relationship Id="rId1205" Type="http://schemas.openxmlformats.org/officeDocument/2006/relationships/hyperlink" Target="https://www.gov.uk/government/news/dstl-announces-orpheus-satellite-mission-contract" TargetMode="External"/><Relationship Id="rId51" Type="http://schemas.openxmlformats.org/officeDocument/2006/relationships/hyperlink" Target="https://www.gov.uk/government/news/102-million-research-funding-awarded-for-robotic-chemist-project" TargetMode="External"/><Relationship Id="rId561" Type="http://schemas.openxmlformats.org/officeDocument/2006/relationships/hyperlink" Target="https://esut.de/2021/08/meldungen/ruestung2/29049/defenture-fahrzeuge-spezialkraefte/" TargetMode="External"/><Relationship Id="rId659" Type="http://schemas.openxmlformats.org/officeDocument/2006/relationships/hyperlink" Target="https://www.bmvg.de/de/aktuelles/bundestag-genehmigt-neue-lenkflugkoerper-fuer-die-marine-5500456" TargetMode="External"/><Relationship Id="rId866" Type="http://schemas.openxmlformats.org/officeDocument/2006/relationships/hyperlink" Target="https://www.bmvg.de/de/aktuelles/parlament-genehmigt-lenkflugkoerper-beschaffung-5716966" TargetMode="External"/><Relationship Id="rId1289" Type="http://schemas.openxmlformats.org/officeDocument/2006/relationships/hyperlink" Target="https://suv.report/bundestag-billigt-beschaffung-von-schakal-luchs-2-und-essm-raketen/" TargetMode="External"/><Relationship Id="rId1412" Type="http://schemas.openxmlformats.org/officeDocument/2006/relationships/hyperlink" Target="https://www.elbitsystems.com/news/elbit-systems-awarded-260-million-contract-supply-dircm-self-protection-systems-germanys-a400m" TargetMode="External"/><Relationship Id="rId214" Type="http://schemas.openxmlformats.org/officeDocument/2006/relationships/hyperlink" Target="https://www.gov.pl/web/obrona-narodowa/3-miliardy-zlotych-na-cyberbezpieczenstwo" TargetMode="External"/><Relationship Id="rId298" Type="http://schemas.openxmlformats.org/officeDocument/2006/relationships/hyperlink" Target="https://www.joint-forces.com/defence-equipment-news/60676-french-dga-hk416-rifles-received-and-ordered" TargetMode="External"/><Relationship Id="rId421" Type="http://schemas.openxmlformats.org/officeDocument/2006/relationships/hyperlink" Target="https://www.gov.pl/web/obrona-narodowa/kolejne-mozdzierze-rak-dla-wojska-polskiego" TargetMode="External"/><Relationship Id="rId519" Type="http://schemas.openxmlformats.org/officeDocument/2006/relationships/hyperlink" Target="https://www.bundeswehr.de/resource/blob/5095138/dd2c68fd02db7eb95d619f80c6073689/10-generationswechsel-bei-mobilen-radargeraeten-der-bundeswehr-data.pdf" TargetMode="External"/><Relationship Id="rId1051" Type="http://schemas.openxmlformats.org/officeDocument/2006/relationships/hyperlink" Target="https://www.bmvg.de/de/aktuelles/parlament-stimmt-milliardeninvestitionen-fuer-verteidigung-zu-5871974" TargetMode="External"/><Relationship Id="rId1149" Type="http://schemas.openxmlformats.org/officeDocument/2006/relationships/hyperlink" Target="https://www.gov.pl/web/obrona-narodowa/kolejne-bsp-flyeeye-wzmocnia-zdolnosci-rozpoznawcze-wojska-polskiego" TargetMode="External"/><Relationship Id="rId1356" Type="http://schemas.openxmlformats.org/officeDocument/2006/relationships/hyperlink" Target="https://esut.de/2025/12/meldungen/66362/haushalt-bundeswehr-grossvorhaben/" TargetMode="External"/><Relationship Id="rId158" Type="http://schemas.openxmlformats.org/officeDocument/2006/relationships/hyperlink" Target="https://des.mod.uk/new-support-contract-award-for-merlin-helicopter-engines/?portfolioCats=78%2C735%2C69%2C734" TargetMode="External"/><Relationship Id="rId726" Type="http://schemas.openxmlformats.org/officeDocument/2006/relationships/hyperlink" Target="https://www.bundeswehr.de/de/organisation/ausruestung-baainbw/aktuelles/gehaertete-it-komponenten-5622763" TargetMode="External"/><Relationship Id="rId933" Type="http://schemas.openxmlformats.org/officeDocument/2006/relationships/hyperlink" Target="https://www.bmvg.de/de/aktuelles/beschaffung-lkw-torpedos-it-marinekommando-5789050" TargetMode="External"/><Relationship Id="rId1009" Type="http://schemas.openxmlformats.org/officeDocument/2006/relationships/hyperlink" Target="https://esut.de/2024/10/meldungen/53933/72-milliarden-euro-fuer-sieben-projekte-freigegeben/" TargetMode="External"/><Relationship Id="rId62" Type="http://schemas.openxmlformats.org/officeDocument/2006/relationships/hyperlink" Target="https://www.gov.uk/government/news/science-technology-drive-to-deliver-uk-space-launch" TargetMode="External"/><Relationship Id="rId365" Type="http://schemas.openxmlformats.org/officeDocument/2006/relationships/hyperlink" Target="https://www.bmvg.de/de/aktuelles/parlament-genehmigt-investitionen-in-milliardenhoehe-5847750" TargetMode="External"/><Relationship Id="rId572" Type="http://schemas.openxmlformats.org/officeDocument/2006/relationships/hyperlink" Target="https://esut.de/2021/07/meldungen/ruestung2/28782/saab-modernisiert-fregatten-f123/" TargetMode="External"/><Relationship Id="rId1216" Type="http://schemas.openxmlformats.org/officeDocument/2006/relationships/hyperlink" Target="https://www.gov.uk/government/news/uk-jobs-and-air-defences-boost-with-purchase-of-new-missile-launchers" TargetMode="External"/><Relationship Id="rId1423" Type="http://schemas.openxmlformats.org/officeDocument/2006/relationships/printerSettings" Target="../printerSettings/printerSettings1.bin"/><Relationship Id="rId225" Type="http://schemas.openxmlformats.org/officeDocument/2006/relationships/hyperlink" Target="https://www.gov.pl/web/obrona-narodowa/nowoczesne-fregaty-dla-marynarki-wojennej-" TargetMode="External"/><Relationship Id="rId432" Type="http://schemas.openxmlformats.org/officeDocument/2006/relationships/hyperlink" Target="https://www.bmvg.de/de/aktuelles/bundeswehr-investiert-rund-2-1-milliarden-euro-2034972" TargetMode="External"/><Relationship Id="rId877" Type="http://schemas.openxmlformats.org/officeDocument/2006/relationships/hyperlink" Target="https://www.hessenschau.de/politik/fuer-fast-600-millionen-euro-bundeswehr-bestellt-flugabwehr-panzer-aus-werk-in-kassel-v1,rheinmetall-bundeswehr-skyranger-100.html" TargetMode="External"/><Relationship Id="rId1062" Type="http://schemas.openxmlformats.org/officeDocument/2006/relationships/hyperlink" Target="https://www.bmvg.de/de/aktuelles/parlament-stimmt-milliardeninvestitionen-fuer-verteidigung-zu-5871974" TargetMode="External"/><Relationship Id="rId737" Type="http://schemas.openxmlformats.org/officeDocument/2006/relationships/hyperlink" Target="https://www.bmvg.de/de/aktuelles/lenkflugkoerper-it-57-sattelzugmaschinen-sollen-beschafft-werden-5612686" TargetMode="External"/><Relationship Id="rId944" Type="http://schemas.openxmlformats.org/officeDocument/2006/relationships/hyperlink" Target="https://www.rtx.com/raytheon/what-we-do/sea/mk54" TargetMode="External"/><Relationship Id="rId1367" Type="http://schemas.openxmlformats.org/officeDocument/2006/relationships/hyperlink" Target="https://www.bmvg.de/de/aktuelles/bundestag-billigt-14-weitere-beschaffungsvertraege-fuer-truppe-6037382" TargetMode="External"/><Relationship Id="rId73" Type="http://schemas.openxmlformats.org/officeDocument/2006/relationships/hyperlink" Target="https://www.gov.uk/government/news/new-90-million-battlefield-radio-programme-to-benefit-over-200-jobs" TargetMode="External"/><Relationship Id="rId169" Type="http://schemas.openxmlformats.org/officeDocument/2006/relationships/hyperlink" Target="https://www.gov.uk/government/news/uk-leadership-on-ukraine-continues-as-defence-secretary-announced-225m-support-package-during-kyiv-visit" TargetMode="External"/><Relationship Id="rId376" Type="http://schemas.openxmlformats.org/officeDocument/2006/relationships/hyperlink" Target="https://defence-network.com/haushaltsausschuss-38-bundeswehr-beschaffungen/" TargetMode="External"/><Relationship Id="rId583" Type="http://schemas.openxmlformats.org/officeDocument/2006/relationships/hyperlink" Target="https://www.bundeswehr-journal.de/2021/minenjagdboote-frankenthal-klasse-werden-modernisiert/" TargetMode="External"/><Relationship Id="rId790" Type="http://schemas.openxmlformats.org/officeDocument/2006/relationships/hyperlink" Target="https://www.bmvg.de/de/aktuelles/bundestag-bewilligt-beschaffung-von-zehntausenden-schussmunition-5646262" TargetMode="External"/><Relationship Id="rId804" Type="http://schemas.openxmlformats.org/officeDocument/2006/relationships/hyperlink" Target="https://www.bmvg.de/de/aktuelles/bundestag-bewilligt-beschaffung-von-zehntausenden-schussmunition-5646262" TargetMode="External"/><Relationship Id="rId1227" Type="http://schemas.openxmlformats.org/officeDocument/2006/relationships/hyperlink" Target="https://des.mod.uk/des-awards-serco-contract-to-overhaul-typhoon-aircraft-engines" TargetMode="External"/><Relationship Id="rId4" Type="http://schemas.openxmlformats.org/officeDocument/2006/relationships/hyperlink" Target="https://www.gov.uk/government/news/mod-signs-65-million-contract-for-protector-aircraft" TargetMode="External"/><Relationship Id="rId236" Type="http://schemas.openxmlformats.org/officeDocument/2006/relationships/hyperlink" Target="https://www.gov.pl/web/obrona-narodowa/czolgi-k2" TargetMode="External"/><Relationship Id="rId443" Type="http://schemas.openxmlformats.org/officeDocument/2006/relationships/hyperlink" Target="https://www.bmvg.de/de/presse/erfolg-kostenloses-bahnfahren-in-uniform-3279156" TargetMode="External"/><Relationship Id="rId650" Type="http://schemas.openxmlformats.org/officeDocument/2006/relationships/hyperlink" Target="https://www.bundeswehr-journal.de/2022/bundeswehr-verbessert-faehigkeiten-zur-luftbildauswertung/" TargetMode="External"/><Relationship Id="rId888" Type="http://schemas.openxmlformats.org/officeDocument/2006/relationships/hyperlink" Target="https://www.bmvg.de/de/aktuelles/weitere-nachtsichtgeraete-truppe-5757530" TargetMode="External"/><Relationship Id="rId1073" Type="http://schemas.openxmlformats.org/officeDocument/2006/relationships/hyperlink" Target="https://www.bmvg.de/de/aktuelles/parlament-stimmt-milliardeninvestitionen-fuer-verteidigung-zu-5871974" TargetMode="External"/><Relationship Id="rId1280" Type="http://schemas.openxmlformats.org/officeDocument/2006/relationships/hyperlink" Target="https://www.bmvg.de/de/aktuelles/beschaffung-eurofighter-der-tranche-5-fuer-luftwaffe-5998542" TargetMode="External"/><Relationship Id="rId303" Type="http://schemas.openxmlformats.org/officeDocument/2006/relationships/hyperlink" Target="https://prod-site-internet-minarm-admin.cloud.defense.gouv.fr/sites/default/files/dga/023_chiffres_cles_DGA.pdf" TargetMode="External"/><Relationship Id="rId748" Type="http://schemas.openxmlformats.org/officeDocument/2006/relationships/hyperlink" Target="https://www.bmvg.de/de/aktuelles/beschaffung-weiterer-schuetzenpanzer-und-neuer-loeschfahrzeuge-5620458" TargetMode="External"/><Relationship Id="rId955" Type="http://schemas.openxmlformats.org/officeDocument/2006/relationships/hyperlink" Target="https://augengeradeaus.net/2024/06/pistorius-bekraeftigt-notwendigkeit-von-zwei-weiteren-f126-finanzen-und-personal-eine-zukunftshoffnung/" TargetMode="External"/><Relationship Id="rId1140" Type="http://schemas.openxmlformats.org/officeDocument/2006/relationships/hyperlink" Target="https://www.gov.pl/web/obrona-narodowa/kolejne-dziesiatki-tysiecy-karabinkow-trafi-do-wojska-polskiego" TargetMode="External"/><Relationship Id="rId1378" Type="http://schemas.openxmlformats.org/officeDocument/2006/relationships/hyperlink" Target="https://notesfrompoland.com/2025/08/01/poland-to-have-more-tanks-than-uk-germany-france-and-italy-combined-after-signing-new-k2-deal/" TargetMode="External"/><Relationship Id="rId84" Type="http://schemas.openxmlformats.org/officeDocument/2006/relationships/hyperlink" Target="https://des.mod.uk/hawk-jets-red-arrows-million-investment/?portfolioCats=78%2C735%2C69%2C734" TargetMode="External"/><Relationship Id="rId387" Type="http://schemas.openxmlformats.org/officeDocument/2006/relationships/hyperlink" Target="https://defence-network.com/haushaltsausschuss-38-bundeswehr-beschaffungen/" TargetMode="External"/><Relationship Id="rId510" Type="http://schemas.openxmlformats.org/officeDocument/2006/relationships/hyperlink" Target="https://www.bundeswehr.de/resource/blob/5467372/4ec38e3145a39f5c70e7c841ea8c6cbd/20-20-000-nachtsichtbrillen-aus-sondervermoegen-fuer-die-bundeswehr-data.pdf" TargetMode="External"/><Relationship Id="rId594" Type="http://schemas.openxmlformats.org/officeDocument/2006/relationships/hyperlink" Target="https://www.bmvg.de/de/aktuelles/modernisierung-der-streitkraefte-rund-19-milliarden-freigegeben-5099070" TargetMode="External"/><Relationship Id="rId608" Type="http://schemas.openxmlformats.org/officeDocument/2006/relationships/hyperlink" Target="https://esut.de/2021/07/meldungen/ruestung2/28767/electronic-warfare-system-und-satcom-fuer-nh90/" TargetMode="External"/><Relationship Id="rId815" Type="http://schemas.openxmlformats.org/officeDocument/2006/relationships/hyperlink" Target="https://esut.de/2023/09/meldungen/44639/entwicklung-des-neuen-eurofighter-radars-auf-neuer-basis/" TargetMode="External"/><Relationship Id="rId1238" Type="http://schemas.openxmlformats.org/officeDocument/2006/relationships/hyperlink" Target="https://www.bmvg.de/de/aktuelles/beschaffung-marschflugkoerper-selbstschutzsysteme-5951954" TargetMode="External"/><Relationship Id="rId247" Type="http://schemas.openxmlformats.org/officeDocument/2006/relationships/hyperlink" Target="https://archives.defense.gouv.fr/dga/actualite/le-ministere-des-armees-commande-313-vehicules-blindes-a-l-industrie-francaise.html" TargetMode="External"/><Relationship Id="rId899" Type="http://schemas.openxmlformats.org/officeDocument/2006/relationships/hyperlink" Target="https://www.bmvg.de/de/aktuelles/duellsimulator-fuer-puma-uebungsraketen-fuer-tiger-5768986" TargetMode="External"/><Relationship Id="rId1000" Type="http://schemas.openxmlformats.org/officeDocument/2006/relationships/hyperlink" Target="https://www.bmvg.de/de/aktuelles/beschaffung-wichtiger-ruestungs-it-programme-geht-weiter-5841340" TargetMode="External"/><Relationship Id="rId1084" Type="http://schemas.openxmlformats.org/officeDocument/2006/relationships/hyperlink" Target="https://www.bmvg.de/de/aktuelles/beschaffung-moersersystem-idz-ausstattungen-tawan-richtfunknetz-5882320" TargetMode="External"/><Relationship Id="rId1305" Type="http://schemas.openxmlformats.org/officeDocument/2006/relationships/hyperlink" Target="https://www.bmvg.de/de/aktuelles/bundestag-billigt-14-weitere-beschaffungsvertraege-fuer-truppe-6037382" TargetMode="External"/><Relationship Id="rId107" Type="http://schemas.openxmlformats.org/officeDocument/2006/relationships/hyperlink" Target="https://www.gov.uk/government/news/major-air-defence-package-for-ukraine-announced-at-meeting-of-joint-expeditionary-force-ministers" TargetMode="External"/><Relationship Id="rId454" Type="http://schemas.openxmlformats.org/officeDocument/2006/relationships/hyperlink" Target="https://www.shephardmedia.com/news/defence-notes/germany-approves-175-million-investment-package/" TargetMode="External"/><Relationship Id="rId661" Type="http://schemas.openxmlformats.org/officeDocument/2006/relationships/hyperlink" Target="https://www.bmvg.de/de/aktuelles/bundestag-genehmigt-neue-lenkflugkoerper-fuer-die-marine-5500456" TargetMode="External"/><Relationship Id="rId759" Type="http://schemas.openxmlformats.org/officeDocument/2006/relationships/hyperlink" Target="https://www.bmvg.de/de/aktuelles/vertraege-unterzeichnet-drei-nationen-setzen-auf-iris-t-slm-5676454" TargetMode="External"/><Relationship Id="rId966" Type="http://schemas.openxmlformats.org/officeDocument/2006/relationships/hyperlink" Target="https://esut.de/2024/06/meldungen/51182/bis-zu-6-500-ungeschuetzte-lkw-fuer-die-bundeswehr/" TargetMode="External"/><Relationship Id="rId1291" Type="http://schemas.openxmlformats.org/officeDocument/2006/relationships/hyperlink" Target="https://www.bmvg.de/de/aktuelles/beschaffung-bundestag-ruestungsprojekte-6027308" TargetMode="External"/><Relationship Id="rId1389" Type="http://schemas.openxmlformats.org/officeDocument/2006/relationships/hyperlink" Target="https://www.gov.pl/web/obrona-narodowa/umowa-podpisana-potezne-wzmocnienie-wojsk-pancernych---180-czolgow-k2-trafi-do-armii" TargetMode="External"/><Relationship Id="rId11" Type="http://schemas.openxmlformats.org/officeDocument/2006/relationships/hyperlink" Target="https://www.gov.uk/government/news/scottish-defence-industry-wins-new-radar-contract" TargetMode="External"/><Relationship Id="rId314" Type="http://schemas.openxmlformats.org/officeDocument/2006/relationships/hyperlink" Target="https://esut.de/2020/09/meldungen/22796/21-milliarden-euro-fuer-informationstechnik-und-munition/" TargetMode="External"/><Relationship Id="rId398" Type="http://schemas.openxmlformats.org/officeDocument/2006/relationships/hyperlink" Target="https://defence-network.com/haushaltsausschuss-38-bundeswehr-beschaffungen/" TargetMode="External"/><Relationship Id="rId521" Type="http://schemas.openxmlformats.org/officeDocument/2006/relationships/hyperlink" Target="https://www.bmvg.de/de/aktuelles/neue-tankcontainer-bodenradare-und-zusaetzliche-bekleidung-5084470" TargetMode="External"/><Relationship Id="rId619" Type="http://schemas.openxmlformats.org/officeDocument/2006/relationships/hyperlink" Target="https://esut.de/2021/08/meldungen/ruestung2/28867/fallschirmsysteme-bundeswehr/" TargetMode="External"/><Relationship Id="rId1151" Type="http://schemas.openxmlformats.org/officeDocument/2006/relationships/hyperlink" Target="https://www.gov.pl/web/obrona-narodowa/druga-umowa-wykonawcza-na-dostawy-wyrzutni-rakietowych-homar-k-podpisana" TargetMode="External"/><Relationship Id="rId1249" Type="http://schemas.openxmlformats.org/officeDocument/2006/relationships/hyperlink" Target="https://www.bmvg.de/de/aktuelles/beschaffung-marschflugkoerper-selbstschutzsysteme-5951954" TargetMode="External"/><Relationship Id="rId95" Type="http://schemas.openxmlformats.org/officeDocument/2006/relationships/hyperlink" Target="https://www.gov.uk/government/news/ukraine-to-receive-multi-million-pound-capability-boost-from-international-fund" TargetMode="External"/><Relationship Id="rId160" Type="http://schemas.openxmlformats.org/officeDocument/2006/relationships/hyperlink" Target="https://des.mod.uk/122m-contract-sees-uks-fleet-of-airbus-h145s-expanded-with-six-procured-for-overseas-duties/?portfolioCats=78%2C735%2C69%2C734" TargetMode="External"/><Relationship Id="rId826" Type="http://schemas.openxmlformats.org/officeDocument/2006/relationships/hyperlink" Target="https://www.bmvg.de/de/aktuelles/arrow-haushaltsausschuss-stimmt-beschaffung-zu-5690122" TargetMode="External"/><Relationship Id="rId1011" Type="http://schemas.openxmlformats.org/officeDocument/2006/relationships/hyperlink" Target="https://www.bmvg.de/de/aktuelles/parlament-genehmigt-investitionen-in-milliardenhoehe-5847750" TargetMode="External"/><Relationship Id="rId1109" Type="http://schemas.openxmlformats.org/officeDocument/2006/relationships/hyperlink" Target="https://www.gov.pl/web/obrona-narodowa/granatniki-carl-gustaf-m4" TargetMode="External"/><Relationship Id="rId258" Type="http://schemas.openxmlformats.org/officeDocument/2006/relationships/hyperlink" Target="https://prod-site-internet-minarm-admin.cloud.defense.gouv.fr/sites/default/files/dga/021_chiffres_cles_DGA_2020_numerique.pdf" TargetMode="External"/><Relationship Id="rId465" Type="http://schemas.openxmlformats.org/officeDocument/2006/relationships/hyperlink" Target="https://www.bmvg.de/de/aktuelles/moderne-transportfahrzeuge-bundeswehr-4575696" TargetMode="External"/><Relationship Id="rId672" Type="http://schemas.openxmlformats.org/officeDocument/2006/relationships/hyperlink" Target="https://www.bmvg.de/de/aktuelles/munition-fuer-schuetzenpanzer-puma-und-moderne-funkgeraete-5530546/" TargetMode="External"/><Relationship Id="rId1095" Type="http://schemas.openxmlformats.org/officeDocument/2006/relationships/hyperlink" Target="https://esut.de/2025/01/meldungen/56952/beschaffungen-fuer-25-milliarden-euro-auf-den-letzten-druecker/" TargetMode="External"/><Relationship Id="rId1316" Type="http://schemas.openxmlformats.org/officeDocument/2006/relationships/hyperlink" Target="https://esut.de/2025/11/meldungen/65689/bis-zu-25-000-waermebildzielgeraete-bei-theon-bestellt/" TargetMode="External"/><Relationship Id="rId22" Type="http://schemas.openxmlformats.org/officeDocument/2006/relationships/hyperlink" Target="https://www.gov.uk/government/news/30m-injection-for-uks-first-uncrewed-fighter-aircraft" TargetMode="External"/><Relationship Id="rId118" Type="http://schemas.openxmlformats.org/officeDocument/2006/relationships/hyperlink" Target="https://www.gov.uk/government/news/90-million-contract-equips-armed-forces-with-advanced-new-rifle" TargetMode="External"/><Relationship Id="rId325" Type="http://schemas.openxmlformats.org/officeDocument/2006/relationships/hyperlink" Target="https://esut.de/2024/10/meldungen/53933/72-milliarden-euro-fuer-sieben-projekte-freigegeben/" TargetMode="External"/><Relationship Id="rId532" Type="http://schemas.openxmlformats.org/officeDocument/2006/relationships/hyperlink" Target="https://www.bmvg.de/de/aktuelles/investitionen-in-die-luftwaffe-der-zukunft-5099108" TargetMode="External"/><Relationship Id="rId977" Type="http://schemas.openxmlformats.org/officeDocument/2006/relationships/hyperlink" Target="https://www.bmvg.de/de/aktuelles/beschaffung-lenkflugkoerper-brimstone-stinger-5807964" TargetMode="External"/><Relationship Id="rId1162" Type="http://schemas.openxmlformats.org/officeDocument/2006/relationships/hyperlink" Target="https://www.gov.pl/web/obrona-narodowa/modernizacja-sz-rp-to-nasz-priorytet" TargetMode="External"/><Relationship Id="rId171" Type="http://schemas.openxmlformats.org/officeDocument/2006/relationships/hyperlink" Target="https://www.gov.uk/government/news/uk-leadership-on-ukraine-continues-as-defence-secretary-announced-225m-support-package-during-kyiv-visit" TargetMode="External"/><Relationship Id="rId837" Type="http://schemas.openxmlformats.org/officeDocument/2006/relationships/hyperlink" Target="https://www.bmvg.de/de/aktuelles/bundestag-genehmigt-beschaffung-von-flares-und-fahrschulpanzern-5711904" TargetMode="External"/><Relationship Id="rId1022" Type="http://schemas.openxmlformats.org/officeDocument/2006/relationships/hyperlink" Target="https://esut.de/2024/11/meldungen/54673/letzter-beschluss-der-legislaturperiode-15-milliarden-euro-fuer-wechselladersysteme-und-die-modernisierung-satcombw-gebilligt/" TargetMode="External"/><Relationship Id="rId269" Type="http://schemas.openxmlformats.org/officeDocument/2006/relationships/hyperlink" Target="https://prod-site-internet-minarm-admin.cloud.defense.gouv.fr/sites/default/files/dga/022_chiffres_cles_DGA_num_fr.pdf" TargetMode="External"/><Relationship Id="rId476" Type="http://schemas.openxmlformats.org/officeDocument/2006/relationships/hyperlink" Target="https://www.bmvg.de/de/aktuelles/moderne-transportfahrzeuge-bundeswehr-4575696" TargetMode="External"/><Relationship Id="rId683" Type="http://schemas.openxmlformats.org/officeDocument/2006/relationships/hyperlink" Target="https://www.bmvg.de/de/aktuelles/sondervermoegen-bundeswehr-markiert-historischen-aufbruch-5542400" TargetMode="External"/><Relationship Id="rId890" Type="http://schemas.openxmlformats.org/officeDocument/2006/relationships/hyperlink" Target="https://www.rtx.com/news/news-center/2024/03/21/rtxs-raytheon-awarded-1-2-billion-contract-to-provide-patriot-air-and-missile-d" TargetMode="External"/><Relationship Id="rId904" Type="http://schemas.openxmlformats.org/officeDocument/2006/relationships/hyperlink" Target="https://www.bmvg.de/de/aktuelles/weiterentwicklung-nh-90-flotte-eurofighter-genehmigt-5773350" TargetMode="External"/><Relationship Id="rId1327" Type="http://schemas.openxmlformats.org/officeDocument/2006/relationships/hyperlink" Target="https://esut.de/2025/12/meldungen/65941/mehr-als-25-milliarden-euro-fuer-elf-beschaffungsvorhaben-gebilligt/" TargetMode="External"/><Relationship Id="rId33" Type="http://schemas.openxmlformats.org/officeDocument/2006/relationships/hyperlink" Target="https://www.gov.uk/government/news/230m-boost-for-raf-submarine-hunter-fleet" TargetMode="External"/><Relationship Id="rId129" Type="http://schemas.openxmlformats.org/officeDocument/2006/relationships/hyperlink" Target="https://www.gov.uk/government/news/navy-missile-system-used-to-destroy-red-sea-drones-to-be-upgraded" TargetMode="External"/><Relationship Id="rId336" Type="http://schemas.openxmlformats.org/officeDocument/2006/relationships/hyperlink" Target="https://armement.defense.gouv.fr/les-commandes-aupres-de-lindustrie-de-defense-passees-par-la-dga-atteignent-un-niveau-historique-en" TargetMode="External"/><Relationship Id="rId543" Type="http://schemas.openxmlformats.org/officeDocument/2006/relationships/hyperlink" Target="https://www.bmvg.de/de/aktuelles/umfangreiche-beschaffungen-fuer-die-deutsche-marine-5099106" TargetMode="External"/><Relationship Id="rId988" Type="http://schemas.openxmlformats.org/officeDocument/2006/relationships/hyperlink" Target="https://www.rheinmetall.com/de/media/news-watch/news/2024/04/2024-04-24-rheinmetall-gewinnt-rahmenvertrag-sprechsatz-mit-gehoerschutzfunktion" TargetMode="External"/><Relationship Id="rId1173" Type="http://schemas.openxmlformats.org/officeDocument/2006/relationships/hyperlink" Target="https://www.gov.pl/web/obrona-narodowa/umowa-na-nowy-okret-dla-marynarki-wojennej-podpisana" TargetMode="External"/><Relationship Id="rId1380" Type="http://schemas.openxmlformats.org/officeDocument/2006/relationships/hyperlink" Target="https://notesfrompoland.com/2025/08/01/poland-to-have-more-tanks-than-uk-germany-france-and-italy-combined-after-signing-new-k2-deal/" TargetMode="External"/><Relationship Id="rId182" Type="http://schemas.openxmlformats.org/officeDocument/2006/relationships/hyperlink" Target="https://www.gov.uk/government/news/45-billion-military-boost-to-ukraine-front-line-to-support-uk-growth-and-jobs" TargetMode="External"/><Relationship Id="rId403" Type="http://schemas.openxmlformats.org/officeDocument/2006/relationships/hyperlink" Target="https://defence-network.com/haushaltsausschuss-38-bundeswehr-beschaffungen/" TargetMode="External"/><Relationship Id="rId750" Type="http://schemas.openxmlformats.org/officeDocument/2006/relationships/hyperlink" Target="https://www.handelsblatt.com/politik/deutschland/verteidigung-bundeswehr-schafft-50-weitere-puma-panzer-an-trotz-bedenken-des-bundesrechnungshofs/29143018.html" TargetMode="External"/><Relationship Id="rId848" Type="http://schemas.openxmlformats.org/officeDocument/2006/relationships/hyperlink" Target="https://www.hartpunkt.de/bmvg-will-bis-maerz-mehr-als-90-000-schuss-artilleriemunition-liefern/" TargetMode="External"/><Relationship Id="rId1033" Type="http://schemas.openxmlformats.org/officeDocument/2006/relationships/hyperlink" Target="https://defence-network.com/haushaltsausschuss-38-bundeswehr-beschaffungen/" TargetMode="External"/><Relationship Id="rId487" Type="http://schemas.openxmlformats.org/officeDocument/2006/relationships/hyperlink" Target="https://esut.de/2020/11/meldungen/24443/bundeswehr-investiert-weiter-in-transportfahrzeuge/" TargetMode="External"/><Relationship Id="rId610" Type="http://schemas.openxmlformats.org/officeDocument/2006/relationships/hyperlink" Target="https://www.bundeswehr.de/resource/blob/5205260/bbec29cd36507eace59ed4a956008c63/27-nh90-erhaelt-upgrade-fuer-den-einsatz-data.pdf" TargetMode="External"/><Relationship Id="rId694" Type="http://schemas.openxmlformats.org/officeDocument/2006/relationships/hyperlink" Target="https://www.bmvg.de/de/aktuelles/gepard-munition-fuer-ukraine-wird-in-deutschland-produziert-5583588" TargetMode="External"/><Relationship Id="rId708" Type="http://schemas.openxmlformats.org/officeDocument/2006/relationships/hyperlink" Target="https://www.bmvg.de/de/aktuelles/bundestag-genehmigt-zehn-neue-panzerhaubitzen-2000-5599760" TargetMode="External"/><Relationship Id="rId915" Type="http://schemas.openxmlformats.org/officeDocument/2006/relationships/hyperlink" Target="https://defence-industry.eu/germany-parliament-approves-military-upgrades-including-nh90-helicopters-and-eurofighter-jets/" TargetMode="External"/><Relationship Id="rId1240" Type="http://schemas.openxmlformats.org/officeDocument/2006/relationships/hyperlink" Target="https://en.wikipedia.org/wiki/Joint_Strike_Missile" TargetMode="External"/><Relationship Id="rId1338" Type="http://schemas.openxmlformats.org/officeDocument/2006/relationships/hyperlink" Target="https://www.mbda-systems.com/de/mbda-erhaelt-auftrag-aus-deutschland-fuer-weitere-meteor-lenkflugkoerper" TargetMode="External"/><Relationship Id="rId347" Type="http://schemas.openxmlformats.org/officeDocument/2006/relationships/hyperlink" Target="https://dicod.hosting.augure.com/Augure_Dicod/r/ContenuEnLigne/Download?id=6EE66B0F-C115-4A69-8F24-4A450DF7480D&amp;filename=Communiqu%C3%A9_La%20Direction%20g%C3%A9n%C3%A9rale%20de%20l%E2%80%99armement%20commande%20la%20modernisation%20du%20porte-avions%20Charles%20de%20Gaulle.pdf" TargetMode="External"/><Relationship Id="rId999" Type="http://schemas.openxmlformats.org/officeDocument/2006/relationships/hyperlink" Target="https://esut.de/2024/09/meldungen/53331/knapp-eine-milliarde-euro-fuer-geraete-umruestungen-und-lenkwaffen/" TargetMode="External"/><Relationship Id="rId1100" Type="http://schemas.openxmlformats.org/officeDocument/2006/relationships/hyperlink" Target="https://www.gov.pl/web/obrona-narodowa/armatohaubica-samobiezna-k9" TargetMode="External"/><Relationship Id="rId1184" Type="http://schemas.openxmlformats.org/officeDocument/2006/relationships/hyperlink" Target="https://www.gov.uk/government/news/uk-to-provide-hundreds-of-air-defence-missiles-for-ukraine-with-money-from-seized-russian-assets" TargetMode="External"/><Relationship Id="rId1405" Type="http://schemas.openxmlformats.org/officeDocument/2006/relationships/hyperlink" Target="https://www.gov.pl/web/obrona-narodowa/umowy-na-dostawe-pociskow-rakietowych-i-wozow-ewakuacji-medycznej-podpisane" TargetMode="External"/><Relationship Id="rId44" Type="http://schemas.openxmlformats.org/officeDocument/2006/relationships/hyperlink" Target="https://des.mod.uk/contract-awarded-weapon-radar-systems/?portfolioCats=78%2C735%2C69%2C734" TargetMode="External"/><Relationship Id="rId554" Type="http://schemas.openxmlformats.org/officeDocument/2006/relationships/hyperlink" Target="https://www.bmvg.de/de/aktuelles/modernisierung-der-streitkraefte-rund-19-milliarden-freigegeben-5099070" TargetMode="External"/><Relationship Id="rId761" Type="http://schemas.openxmlformats.org/officeDocument/2006/relationships/hyperlink" Target="https://www.bmvg.de/de/aktuelles/iris-t-arrow-wechselladersysteme-fuer-bundeswehr-5636272" TargetMode="External"/><Relationship Id="rId859" Type="http://schemas.openxmlformats.org/officeDocument/2006/relationships/hyperlink" Target="https://www.secunet.com/fileadmin/user_upload/02_Downloads/Produkt-_und_Serviceseiten_Brosch%C3%BCren_und_Factsheets/SINA_Produkte/Technische_Info/Factsheets_Englisch/SINA_Communicator_H_Factsheet_EN.pdf" TargetMode="External"/><Relationship Id="rId1391" Type="http://schemas.openxmlformats.org/officeDocument/2006/relationships/hyperlink" Target="https://www.gov.pl/web/obrona-narodowa/umowa-podpisana-potezne-wzmocnienie-wojsk-pancernych---180-czolgow-k2-trafi-do-armii" TargetMode="External"/><Relationship Id="rId193" Type="http://schemas.openxmlformats.org/officeDocument/2006/relationships/hyperlink" Target="https://www.gov.uk/government/news/uk-leads-major-ukraine-summit-and-announces-150-million-firepower-package" TargetMode="External"/><Relationship Id="rId207" Type="http://schemas.openxmlformats.org/officeDocument/2006/relationships/hyperlink" Target="https://www.gov.uk/government/news/450m-surge-of-military-support-to-boost-ukraines-armed-forces-as-uk-and-germany-chair-meeting-of-50-nations" TargetMode="External"/><Relationship Id="rId414" Type="http://schemas.openxmlformats.org/officeDocument/2006/relationships/hyperlink" Target="https://www.gov.pl/web/obrona-narodowa/silny-przemysl-zbrojeniowy-to-silna-i-bezpieczna-polska" TargetMode="External"/><Relationship Id="rId498" Type="http://schemas.openxmlformats.org/officeDocument/2006/relationships/hyperlink" Target="https://www.rheinmetall.com/de/media/news-watch/news/2021/2021-05-12_rheinmetalls-kodiak-wird-neuer-pionierpanzer-der-bundeswehr" TargetMode="External"/><Relationship Id="rId621" Type="http://schemas.openxmlformats.org/officeDocument/2006/relationships/hyperlink" Target="https://www.bmvg.de/de/aktuelles/bewaffnung-der-heron-tp-drohnen-mit-praezisionsmunition-5389376" TargetMode="External"/><Relationship Id="rId1044" Type="http://schemas.openxmlformats.org/officeDocument/2006/relationships/hyperlink" Target="https://www.bmvg.de/de/aktuelles/parlament-stimmt-milliardeninvestitionen-fuer-verteidigung-zu-5871974" TargetMode="External"/><Relationship Id="rId1251" Type="http://schemas.openxmlformats.org/officeDocument/2006/relationships/hyperlink" Target="https://www.bmvg.de/de/aktuelles/haushaltsausschuss-genehmigt-investitionen-in-milliardenhoehe-5957266" TargetMode="External"/><Relationship Id="rId1349" Type="http://schemas.openxmlformats.org/officeDocument/2006/relationships/hyperlink" Target="https://esut.de/2025/12/meldungen/66558/startgeraete-und-lenkraketen-pac-3-mse-fuer-das-luftverteidigungssystem-patriot/" TargetMode="External"/><Relationship Id="rId260" Type="http://schemas.openxmlformats.org/officeDocument/2006/relationships/hyperlink" Target="https://prod-site-internet-minarm-admin.cloud.defense.gouv.fr/sites/default/files/dga/021_chiffres_cles_DGA_2020_numerique.pdf" TargetMode="External"/><Relationship Id="rId719" Type="http://schemas.openxmlformats.org/officeDocument/2006/relationships/hyperlink" Target="https://www.bmvg.de/de/aktuelles/lenkflugkoerper-it-57-sattelzugmaschinen-sollen-beschafft-werden-5612678" TargetMode="External"/><Relationship Id="rId926" Type="http://schemas.openxmlformats.org/officeDocument/2006/relationships/hyperlink" Target="https://www.bmvg.de/de/aktuelles/beschaffung-lenkflugkoerper-it-logistik-und-kommunikation-5782326" TargetMode="External"/><Relationship Id="rId1111" Type="http://schemas.openxmlformats.org/officeDocument/2006/relationships/hyperlink" Target="https://www.gov.pl/web/obrona-narodowa/bsp-fly-eye" TargetMode="External"/><Relationship Id="rId55" Type="http://schemas.openxmlformats.org/officeDocument/2006/relationships/hyperlink" Target="https://des.mod.uk/des-awards-diving-equipment-contract-to-lancashire-based-company/?portfolioCats=78%2C735%2C69%2C734" TargetMode="External"/><Relationship Id="rId120" Type="http://schemas.openxmlformats.org/officeDocument/2006/relationships/hyperlink" Target="https://www.gov.uk/government/news/4-billion-uk-contracts-progresses-aukus-submarine-design" TargetMode="External"/><Relationship Id="rId358" Type="http://schemas.openxmlformats.org/officeDocument/2006/relationships/hyperlink" Target="https://www.flugrevue.de/flugzeugbau/eine-milliarde-euro-freigegeben-aesa-radar-fuer-den-eurofighter/" TargetMode="External"/><Relationship Id="rId565" Type="http://schemas.openxmlformats.org/officeDocument/2006/relationships/hyperlink" Target="https://www.bmvg.de/de/aktuelles/modernisierung-der-streitkraefte-rund-19-milliarden-freigegeben-5099070" TargetMode="External"/><Relationship Id="rId772" Type="http://schemas.openxmlformats.org/officeDocument/2006/relationships/hyperlink" Target="https://esut.de/2023/06/meldungen/land/42881/weitere-wechselladersysteme-fuer-die-logistik/" TargetMode="External"/><Relationship Id="rId1195" Type="http://schemas.openxmlformats.org/officeDocument/2006/relationships/hyperlink" Target="https://des.mod.uk/boeing-defence-uk-awarded-16-9m-contract-for-gladiator-synthetic-training-system/?portfolioCats=78%2C735%2C69%2C734" TargetMode="External"/><Relationship Id="rId1209" Type="http://schemas.openxmlformats.org/officeDocument/2006/relationships/hyperlink" Target="https://des.mod.uk/41-million-contract-supports-95-dorset-jobs-and-boosts-royal-navy-helicopter-support-services/?portfolioCats=78%2C735%2C69%2C734" TargetMode="External"/><Relationship Id="rId1416" Type="http://schemas.openxmlformats.org/officeDocument/2006/relationships/hyperlink" Target="https://esut.de/2025/06/meldungen/60926/sieben-beschaffungsvorhaben-fuer-mehr-als-drei-milliarden-euro-gebilligt/" TargetMode="External"/><Relationship Id="rId218" Type="http://schemas.openxmlformats.org/officeDocument/2006/relationships/hyperlink" Target="https://www.gov.pl/web/obrona-narodowa/smiglowce-aw101-dla-marynarki-wojennej-rp" TargetMode="External"/><Relationship Id="rId425" Type="http://schemas.openxmlformats.org/officeDocument/2006/relationships/hyperlink" Target="https://euro-sd.com/2020/09/news/19152/gbu-54-contract-for-bundeswehr/" TargetMode="External"/><Relationship Id="rId632" Type="http://schemas.openxmlformats.org/officeDocument/2006/relationships/hyperlink" Target="https://www.bmvg.de/de/presse/vollausstattung-persoenliche-ausruestung-bis-2025-5390698" TargetMode="External"/><Relationship Id="rId1055" Type="http://schemas.openxmlformats.org/officeDocument/2006/relationships/hyperlink" Target="https://www.bmvg.de/de/aktuelles/parlament-stimmt-milliardeninvestitionen-fuer-verteidigung-zu-5871974" TargetMode="External"/><Relationship Id="rId1262" Type="http://schemas.openxmlformats.org/officeDocument/2006/relationships/hyperlink" Target="https://www.bmvg.de/de/aktuelles/gruenes-licht-fuer-sieben-weitere-beschaffungsvertraege-5991106" TargetMode="External"/><Relationship Id="rId271" Type="http://schemas.openxmlformats.org/officeDocument/2006/relationships/hyperlink" Target="https://actu-aero.fr/2021/12/28/defense-larmee-francaise-commande-les-169-helicopteres-guepard/" TargetMode="External"/><Relationship Id="rId937" Type="http://schemas.openxmlformats.org/officeDocument/2006/relationships/hyperlink" Target="https://www.rheinmetall.com/de/media/news-watch/news/2024/06/2024-06-12-bundeswehr-bestellt-weitere-1515-militaer-lkw" TargetMode="External"/><Relationship Id="rId1122" Type="http://schemas.openxmlformats.org/officeDocument/2006/relationships/hyperlink" Target="https://www.gov.pl/web/obrona-narodowa/wazne-umowy-na-modernizacje-wojska-polskiego-podpisano-w-kielcach" TargetMode="External"/><Relationship Id="rId66" Type="http://schemas.openxmlformats.org/officeDocument/2006/relationships/hyperlink" Target="https://www.gov.uk/government/news/60-million-development-of-uncrewed-helicopter-supports-100-uk-jobs" TargetMode="External"/><Relationship Id="rId131" Type="http://schemas.openxmlformats.org/officeDocument/2006/relationships/hyperlink" Target="https://www.gov.uk/government/news/smarter-maintenance-for-navy-fleet-under-185-billion-contract" TargetMode="External"/><Relationship Id="rId369" Type="http://schemas.openxmlformats.org/officeDocument/2006/relationships/hyperlink" Target="https://dn-defence.com/the-company/news/" TargetMode="External"/><Relationship Id="rId576" Type="http://schemas.openxmlformats.org/officeDocument/2006/relationships/hyperlink" Target="https://esut.de/2021/07/meldungen/28346/seeziel-lenkflugkoerper-rbs15-mk3/" TargetMode="External"/><Relationship Id="rId783" Type="http://schemas.openxmlformats.org/officeDocument/2006/relationships/hyperlink" Target="https://wehrtechnik.info/index.php/2023/07/11/deutschland-und-niederlande-bestellen-ueber-3-058-caracal-fahrzeuge/" TargetMode="External"/><Relationship Id="rId990" Type="http://schemas.openxmlformats.org/officeDocument/2006/relationships/hyperlink" Target="https://www.bmvg.de/de/aktuelles/beschaffung-patriot-systemen-lenkflugkoerpern-5811004" TargetMode="External"/><Relationship Id="rId229" Type="http://schemas.openxmlformats.org/officeDocument/2006/relationships/hyperlink" Target="https://www.gov.pl/web/obrona-narodowa/umowy-zatwierdzone-kolejne-wozy-bojowe-wzmocnia-potencjal-wojsk-ladowych" TargetMode="External"/><Relationship Id="rId436" Type="http://schemas.openxmlformats.org/officeDocument/2006/relationships/hyperlink" Target="https://esut.de/2020/09/meldungen/22796/21-milliarden-euro-fuer-informationstechnik-und-munition/" TargetMode="External"/><Relationship Id="rId643" Type="http://schemas.openxmlformats.org/officeDocument/2006/relationships/hyperlink" Target="https://www.bundeswehr.de/de/aktuelles/meldungen/statment-ministerin-beschaffung-persoenliche-ausruestung-5390076" TargetMode="External"/><Relationship Id="rId1066" Type="http://schemas.openxmlformats.org/officeDocument/2006/relationships/hyperlink" Target="https://www.bmvg.de/de/aktuelles/parlament-stimmt-milliardeninvestitionen-fuer-verteidigung-zu-5871974" TargetMode="External"/><Relationship Id="rId1273" Type="http://schemas.openxmlformats.org/officeDocument/2006/relationships/hyperlink" Target="https://esut.de/2025/09/meldungen/63247/entwicklung-cavs-variante-pioniergruppe-gebilligt/" TargetMode="External"/><Relationship Id="rId850" Type="http://schemas.openxmlformats.org/officeDocument/2006/relationships/hyperlink" Target="https://www.bundeswehr-journal.de/2024/bis-zu-82-mehrzweckhubschrauber-h145m-fuer-die-truppe/" TargetMode="External"/><Relationship Id="rId948" Type="http://schemas.openxmlformats.org/officeDocument/2006/relationships/hyperlink" Target="https://www.rheinmetall.com/de/media/news-watch/news/2024/06/2024-06-20-rheinmetall-erhaelt-rekordauftrag-ueber-155mm-munition" TargetMode="External"/><Relationship Id="rId1133" Type="http://schemas.openxmlformats.org/officeDocument/2006/relationships/hyperlink" Target="https://www.gov.pl/web/obrona-narodowa/huta-stalowa-wola-dostarczy-wojsku-nowoczesne-systemy-wiezowe-zintegrowane-z-transporterami-rosomak" TargetMode="External"/><Relationship Id="rId77" Type="http://schemas.openxmlformats.org/officeDocument/2006/relationships/hyperlink" Target="https://www.gov.uk/government/news/129-million-to-deliver-cutting-edge-mini-drones-for-uk-forces" TargetMode="External"/><Relationship Id="rId282" Type="http://schemas.openxmlformats.org/officeDocument/2006/relationships/hyperlink" Target="https://prod-site-internet-minarm-admin.cloud.defense.gouv.fr/sites/default/files/dga/023_chiffres_cles_DGA.pdf" TargetMode="External"/><Relationship Id="rId503" Type="http://schemas.openxmlformats.org/officeDocument/2006/relationships/hyperlink" Target="https://esut.de/2021/05/meldungen/27447/waffensystem-tornado-modernisiert/" TargetMode="External"/><Relationship Id="rId587" Type="http://schemas.openxmlformats.org/officeDocument/2006/relationships/hyperlink" Target="https://esut.de/2021/09/meldungen/29554/digitalfunksystemen-schiffe-boote/" TargetMode="External"/><Relationship Id="rId710" Type="http://schemas.openxmlformats.org/officeDocument/2006/relationships/hyperlink" Target="https://esut.de/en/2023/03/meldungen/41081/nur-zehn-panzerhaubitzen-2000-werden-nachbeschafft/" TargetMode="External"/><Relationship Id="rId808" Type="http://schemas.openxmlformats.org/officeDocument/2006/relationships/hyperlink" Target="https://www.rheinmetall.com/en/media/news-watch/news/2022/2022-12-08_major-order-from-the-bundeswehr-for-30mm-ammunition-for-puma-ifv" TargetMode="External"/><Relationship Id="rId1340" Type="http://schemas.openxmlformats.org/officeDocument/2006/relationships/hyperlink" Target="https://esut.de/2025/12/meldungen/66362/haushalt-bundeswehr-grossvorhaben/" TargetMode="External"/><Relationship Id="rId8" Type="http://schemas.openxmlformats.org/officeDocument/2006/relationships/hyperlink" Target="https://www.gov.uk/government/news/12m-innovation-contracts-awarded-to-help-army-engineers-survey-water-crossings" TargetMode="External"/><Relationship Id="rId142" Type="http://schemas.openxmlformats.org/officeDocument/2006/relationships/hyperlink" Target="https://www.gov.uk/government/news/royal-navy-warships-to-be-boosted-with-new-cutting-edge-launchers" TargetMode="External"/><Relationship Id="rId447" Type="http://schemas.openxmlformats.org/officeDocument/2006/relationships/hyperlink" Target="https://www.airbus.com/en/newsroom/press-releases/2020-11-airbus-signs-contract-for-38-eurofighters-with-germany" TargetMode="External"/><Relationship Id="rId794" Type="http://schemas.openxmlformats.org/officeDocument/2006/relationships/hyperlink" Target="https://www.rheinmetall.com/en/media/news-watch/news/2023/7/2023-07-18-rheinmetall-receives-major-order-for-artillery-shells-by-bundeswehr" TargetMode="External"/><Relationship Id="rId1077" Type="http://schemas.openxmlformats.org/officeDocument/2006/relationships/hyperlink" Target="https://esut.de/2025/01/meldungen/56952/beschaffungen-fuer-25-milliarden-euro-auf-den-letzten-druecker/" TargetMode="External"/><Relationship Id="rId1200" Type="http://schemas.openxmlformats.org/officeDocument/2006/relationships/hyperlink" Target="https://www.gov.uk/government/speeches/prime-ministers-remarks-at-the-london-defence-conference-8-may-2025" TargetMode="External"/><Relationship Id="rId654" Type="http://schemas.openxmlformats.org/officeDocument/2006/relationships/hyperlink" Target="https://www.bmvg.de/de/aktuelles/bundestag-gibt-mittel-fuer-marineflugzeug-p-8a-poseidon-frei-5454548" TargetMode="External"/><Relationship Id="rId861" Type="http://schemas.openxmlformats.org/officeDocument/2006/relationships/hyperlink" Target="https://www.bundeswehr-journal.de/2023/1200-lenkflugkoerper-iris-t-fuer-die-deutschen-streitkraefte/" TargetMode="External"/><Relationship Id="rId959" Type="http://schemas.openxmlformats.org/officeDocument/2006/relationships/hyperlink" Target="https://www.bmvg.de/de/aktuelles/beschaffung-munition-tornado-head-up-displays-5801330" TargetMode="External"/><Relationship Id="rId1284" Type="http://schemas.openxmlformats.org/officeDocument/2006/relationships/hyperlink" Target="https://www.bmvg.de/de/aktuelles/beschaffung-eurofighter-der-tranche-5-fuer-luftwaffe-5998542" TargetMode="External"/><Relationship Id="rId293" Type="http://schemas.openxmlformats.org/officeDocument/2006/relationships/hyperlink" Target="https://prod-site-internet-minarm-admin.cloud.defense.gouv.fr/sites/default/files/dga/023_chiffres_cles_DGA.pdf" TargetMode="External"/><Relationship Id="rId307" Type="http://schemas.openxmlformats.org/officeDocument/2006/relationships/hyperlink" Target="https://www.defense.gouv.fr/dga/actualites/direction-generale-larmement-commande180-vehicules-fardier-100-remorques" TargetMode="External"/><Relationship Id="rId514" Type="http://schemas.openxmlformats.org/officeDocument/2006/relationships/hyperlink" Target="https://esut.de/2021/07/meldungen/28384/selbstschutzsystem-der-ch-53gs-ge/" TargetMode="External"/><Relationship Id="rId721" Type="http://schemas.openxmlformats.org/officeDocument/2006/relationships/hyperlink" Target="https://www.bmvg.de/de/aktuelles/lenkflugkoerper-it-57-sattelzugmaschinen-sollen-beschafft-werden-5612678" TargetMode="External"/><Relationship Id="rId1144" Type="http://schemas.openxmlformats.org/officeDocument/2006/relationships/hyperlink" Target="https://www.gov.pl/web/obrona-narodowa/kolejna-umowa-offsetowa-w-programie-wisla" TargetMode="External"/><Relationship Id="rId1351" Type="http://schemas.openxmlformats.org/officeDocument/2006/relationships/hyperlink" Target="https://esut.de/2025/12/meldungen/featured/66335/patria-cavs-bundeswehr/" TargetMode="External"/><Relationship Id="rId88" Type="http://schemas.openxmlformats.org/officeDocument/2006/relationships/hyperlink" Target="https://www.gov.uk/government/news/des-purchase-specialist-ship-to-protect-our-underwater-cables" TargetMode="External"/><Relationship Id="rId153" Type="http://schemas.openxmlformats.org/officeDocument/2006/relationships/hyperlink" Target="https://des.mod.uk/des-awards-additional-20m-contract-to-bae-systems-for-small-arms-ammunition/?portfolioCats=78%2C735%2C69%2C734" TargetMode="External"/><Relationship Id="rId360" Type="http://schemas.openxmlformats.org/officeDocument/2006/relationships/hyperlink" Target="https://www.bmi.bund.de/SharedDocs/pressemitteilungen/DE/2020/08/startschuss-cyberagentur.html" TargetMode="External"/><Relationship Id="rId598" Type="http://schemas.openxmlformats.org/officeDocument/2006/relationships/hyperlink" Target="https://augengeradeaus.net/2021/06/rekordverdaechtige-liste-fuer-den-haushaltsausschuss-27-ruestungsprojekte-in-der-letzten-sitzung/" TargetMode="External"/><Relationship Id="rId819" Type="http://schemas.openxmlformats.org/officeDocument/2006/relationships/hyperlink" Target="https://www.bmvg.de/de/aktuelles/arrow-haushaltsausschuss-stimmt-beschaffung-zu-5690122" TargetMode="External"/><Relationship Id="rId1004" Type="http://schemas.openxmlformats.org/officeDocument/2006/relationships/hyperlink" Target="https://www.bmvg.de/de/aktuelles/parlament-genehmigt-investitionen-in-milliardenhoehe-5847750" TargetMode="External"/><Relationship Id="rId1211" Type="http://schemas.openxmlformats.org/officeDocument/2006/relationships/hyperlink" Target="https://www.army-technology.com/news/cook-supply-tracks-combat-vehicles/" TargetMode="External"/><Relationship Id="rId220" Type="http://schemas.openxmlformats.org/officeDocument/2006/relationships/hyperlink" Target="https://www.gov.pl/web/obrona-narodowa/umowa-na-dostawe-pojazdow-dla-komponentow-specjalnych-systemu-wisla-podpisana" TargetMode="External"/><Relationship Id="rId458" Type="http://schemas.openxmlformats.org/officeDocument/2006/relationships/hyperlink" Target="https://www.airbus.com/en/newsroom/press-releases/2020-11-bundeswehr-orders-31-nh90-helicopters-for-shipborne-operations" TargetMode="External"/><Relationship Id="rId665" Type="http://schemas.openxmlformats.org/officeDocument/2006/relationships/hyperlink" Target="https://esut.de/2022/10/meldungen/37472/nachentwicklung-fuer-artilleriemunition-smart-155-genehmigt/" TargetMode="External"/><Relationship Id="rId872" Type="http://schemas.openxmlformats.org/officeDocument/2006/relationships/hyperlink" Target="https://www.bmvg.de/de/aktuelles/entwicklung-luftverteidigungssystems-landoperationen-5726548" TargetMode="External"/><Relationship Id="rId1088" Type="http://schemas.openxmlformats.org/officeDocument/2006/relationships/hyperlink" Target="https://www.bmvg.de/de/aktuelles/beschaffung-moersersystem-idz-ausstattungen-tawan-richtfunknetz-5882320" TargetMode="External"/><Relationship Id="rId1295" Type="http://schemas.openxmlformats.org/officeDocument/2006/relationships/hyperlink" Target="https://de.wikipedia.org/wiki/GTK_Boxer" TargetMode="External"/><Relationship Id="rId1309" Type="http://schemas.openxmlformats.org/officeDocument/2006/relationships/hyperlink" Target="https://www.bmvg.de/de/aktuelles/bundestag-billigt-14-weitere-beschaffungsvertraege-fuer-truppe-6037382" TargetMode="External"/><Relationship Id="rId15" Type="http://schemas.openxmlformats.org/officeDocument/2006/relationships/hyperlink" Target="https://www.gov.uk/government/news/24-billion-munitions-deal-secures-thousands-of-uk-jobs" TargetMode="External"/><Relationship Id="rId318" Type="http://schemas.openxmlformats.org/officeDocument/2006/relationships/hyperlink" Target="https://www.bmvg.de/de/aktuelles/beschaffung-patriot-systemen-lenkflugkoerpern-5811004" TargetMode="External"/><Relationship Id="rId525" Type="http://schemas.openxmlformats.org/officeDocument/2006/relationships/hyperlink" Target="https://www.bundeswehr.de/resource/blob/5096528/fbde9f60613b7a071ad1986372186119/11-bundeswehr-stellt-it-kapazitaeten-zukunftssicher-auf-data.pdf" TargetMode="External"/><Relationship Id="rId732" Type="http://schemas.openxmlformats.org/officeDocument/2006/relationships/hyperlink" Target="https://www.bundeswehr.de/de/organisation/ausruestung-baainbw/aktuelles/gehaertete-it-komponenten-5622766" TargetMode="External"/><Relationship Id="rId1155" Type="http://schemas.openxmlformats.org/officeDocument/2006/relationships/hyperlink" Target="https://www.gov.pl/web/obrona-narodowa/umowa-na-kolejne-rosomaki-podpisana" TargetMode="External"/><Relationship Id="rId1362" Type="http://schemas.openxmlformats.org/officeDocument/2006/relationships/hyperlink" Target="https://esut.de/2026/02/meldungen/67674/bundeswehr-bestellt-iris-t-flugkoerper-fuer-luft-luft-und-boden-luft-anwendungen/" TargetMode="External"/><Relationship Id="rId99" Type="http://schemas.openxmlformats.org/officeDocument/2006/relationships/hyperlink" Target="https://www.gov.uk/government/news/british-army-announces-new-artillery-deal-with-sweden" TargetMode="External"/><Relationship Id="rId164" Type="http://schemas.openxmlformats.org/officeDocument/2006/relationships/hyperlink" Target="https://www.gov.uk/government/news/satellite-deal-signed-for-advanced-military-tech" TargetMode="External"/><Relationship Id="rId371" Type="http://schemas.openxmlformats.org/officeDocument/2006/relationships/hyperlink" Target="https://www.bmvg.de/de/aktuelles/parlament-stimmt-milliardeninvestitionen-fuer-verteidigung-zu-5871974" TargetMode="External"/><Relationship Id="rId1015" Type="http://schemas.openxmlformats.org/officeDocument/2006/relationships/hyperlink" Target="https://www.bmvg.de/de/aktuelles/parlament-genehmigt-investitionen-in-milliardenhoehe-5847750" TargetMode="External"/><Relationship Id="rId1222" Type="http://schemas.openxmlformats.org/officeDocument/2006/relationships/hyperlink" Target="https://www.gov.uk/government/news/major-skills-boost-at-the-heart-of-transformative-new-defence-industrial-strategy" TargetMode="External"/><Relationship Id="rId469" Type="http://schemas.openxmlformats.org/officeDocument/2006/relationships/hyperlink" Target="https://esut.de/2020/11/meldungen/24443/bundeswehr-investiert-weiter-in-transportfahrzeuge/" TargetMode="External"/><Relationship Id="rId676" Type="http://schemas.openxmlformats.org/officeDocument/2006/relationships/hyperlink" Target="https://www.bmvg.de/de/aktuelles/bundeswehr-kann-g36-nachfolger-beschaffen-5540930" TargetMode="External"/><Relationship Id="rId883" Type="http://schemas.openxmlformats.org/officeDocument/2006/relationships/hyperlink" Target="https://soldat-und-technik.de/2024/01/ausruestung-bekleidung/36703/zusaetzliche-nachtsichtgeraete-fuer-deutschland-und-belgien/" TargetMode="External"/><Relationship Id="rId1099" Type="http://schemas.openxmlformats.org/officeDocument/2006/relationships/hyperlink" Target="https://www.gov.pl/web/obrona-narodowa/kolejne-kraby-trafia-na-wyposazenie-wojska" TargetMode="External"/><Relationship Id="rId26" Type="http://schemas.openxmlformats.org/officeDocument/2006/relationships/hyperlink" Target="https://www.gov.uk/government/news/british-army-to-possess-most-lethal-tank-in-europe" TargetMode="External"/><Relationship Id="rId231" Type="http://schemas.openxmlformats.org/officeDocument/2006/relationships/hyperlink" Target="https://www.gov.pl/web/obrona-narodowa/armia-stawia-na-systemy-bezzalogowe-tarantule-zasila-wojsko-polskie" TargetMode="External"/><Relationship Id="rId329" Type="http://schemas.openxmlformats.org/officeDocument/2006/relationships/hyperlink" Target="https://defence-network.com/haushaltsausschuss-38-bundeswehr-beschaffungen/" TargetMode="External"/><Relationship Id="rId536" Type="http://schemas.openxmlformats.org/officeDocument/2006/relationships/hyperlink" Target="https://www.hensoldt.net/de/news/hensoldt-wins-contract-for-german-airspace-surveillance/" TargetMode="External"/><Relationship Id="rId1166" Type="http://schemas.openxmlformats.org/officeDocument/2006/relationships/hyperlink" Target="https://www.gov.pl/web/obrona-narodowa/modernizujemy-flote-transportowa-sil-powietrznych" TargetMode="External"/><Relationship Id="rId1373" Type="http://schemas.openxmlformats.org/officeDocument/2006/relationships/hyperlink" Target="https://www.polskieradio.pl/395/7784/artykul/3574244,poland-signs-pln-58-bn-radar-deal-for-air-defense" TargetMode="External"/><Relationship Id="rId175" Type="http://schemas.openxmlformats.org/officeDocument/2006/relationships/hyperlink" Target="https://www.gov.uk/government/news/uk-leadership-on-ukraine-continues-as-defence-secretary-announced-225m-support-package-during-kyiv-visit" TargetMode="External"/><Relationship Id="rId743" Type="http://schemas.openxmlformats.org/officeDocument/2006/relationships/hyperlink" Target="https://www.bmvg.de/de/aktuelles/lenkflugkoerper-it-57-sattelzugmaschinen-sollen-beschafft-werden-5612689" TargetMode="External"/><Relationship Id="rId950" Type="http://schemas.openxmlformats.org/officeDocument/2006/relationships/hyperlink" Target="https://www.bmvg.de/de/aktuelles/bundeswehr-beschafft-zwei-weitere-fregatten-klasse-126-5791938" TargetMode="External"/><Relationship Id="rId1026" Type="http://schemas.openxmlformats.org/officeDocument/2006/relationships/hyperlink" Target="https://esut.de/2024/11/meldungen/54762/drei-beschaffungsvorhaben-fuer-luft-und-land-gebilligt/" TargetMode="External"/><Relationship Id="rId382" Type="http://schemas.openxmlformats.org/officeDocument/2006/relationships/hyperlink" Target="https://defence-network.com/haushaltsausschuss-38-bundeswehr-beschaffungen/" TargetMode="External"/><Relationship Id="rId603" Type="http://schemas.openxmlformats.org/officeDocument/2006/relationships/hyperlink" Target="https://www.bmvg.de/de/aktuelles/modernisierung-der-streitkraefte-rund-19-milliarden-freigegeben-5099070" TargetMode="External"/><Relationship Id="rId687" Type="http://schemas.openxmlformats.org/officeDocument/2006/relationships/hyperlink" Target="https://www.bundeswehr-journal.de/2024/moderne-kommunikations-und-funktechnik-fuer-die-truppe/" TargetMode="External"/><Relationship Id="rId810" Type="http://schemas.openxmlformats.org/officeDocument/2006/relationships/hyperlink" Target="https://esut.de/2023/07/meldungen/43253/haushaltsausschuss-billigt-munitionsbeschaffung/" TargetMode="External"/><Relationship Id="rId908" Type="http://schemas.openxmlformats.org/officeDocument/2006/relationships/hyperlink" Target="https://www.army-technology.com/news/germany-approves-software-update-of-nh90-helicopters/?cf-view" TargetMode="External"/><Relationship Id="rId1233" Type="http://schemas.openxmlformats.org/officeDocument/2006/relationships/hyperlink" Target="https://des.mod.uk/mine-clearing-command-hubs-hybrid-royal-navy-thales/?portfolioCats=78%2C735%2C69%2C734" TargetMode="External"/><Relationship Id="rId242" Type="http://schemas.openxmlformats.org/officeDocument/2006/relationships/hyperlink" Target="https://www.gov.pl/web/obrona-narodowa/17-miliardow-zlotych-na-zakup-sprzetu-dla-wojska-polskiego-w-polskim-przemysle-zbrojeniowym" TargetMode="External"/><Relationship Id="rId894" Type="http://schemas.openxmlformats.org/officeDocument/2006/relationships/hyperlink" Target="https://www.rheinmetall.com/de/media/news-watch/news/2024/04/2024-04-24-rheinmetall-gewinnt-rahmenvertrag-sprechsatz-mit-gehoerschutzfunktion" TargetMode="External"/><Relationship Id="rId1177" Type="http://schemas.openxmlformats.org/officeDocument/2006/relationships/hyperlink" Target="https://www.gov.pl/web/obrona-narodowa/wsparcie-szkoleniowe-i-logistyczne-dla-programu-wisla" TargetMode="External"/><Relationship Id="rId1300" Type="http://schemas.openxmlformats.org/officeDocument/2006/relationships/hyperlink" Target="https://www.bmvg.de/de/aktuelles/bundestag-billigt-14-weitere-beschaffungsvertraege-fuer-truppe-6037382" TargetMode="External"/><Relationship Id="rId37" Type="http://schemas.openxmlformats.org/officeDocument/2006/relationships/hyperlink" Target="https://www.gov.uk/government/news/440000-research-funding-for-next-generation-sea-mine-disposal" TargetMode="External"/><Relationship Id="rId102" Type="http://schemas.openxmlformats.org/officeDocument/2006/relationships/hyperlink" Target="https://www.gov.uk/government/news/major-funding-boost-to-progress-future-fighter-jet-programme" TargetMode="External"/><Relationship Id="rId547" Type="http://schemas.openxmlformats.org/officeDocument/2006/relationships/hyperlink" Target="https://esut.de/2021/07/meldungen/see/28286/milliarden-euro-deutsche-marine/" TargetMode="External"/><Relationship Id="rId754" Type="http://schemas.openxmlformats.org/officeDocument/2006/relationships/hyperlink" Target="https://www.bundeswehr.de/resource/blob/5628104/4604a50e04f3db7ed999988c1e86eff0/14-bundeswehr-erhaelt-weitere-zwoelf-panzerhaubitzen-dl-data.pdf" TargetMode="External"/><Relationship Id="rId961" Type="http://schemas.openxmlformats.org/officeDocument/2006/relationships/hyperlink" Target="https://www.bmvg.de/de/aktuelles/kommunikationssatelliten-fuer-bundeswehr-5807926" TargetMode="External"/><Relationship Id="rId1384" Type="http://schemas.openxmlformats.org/officeDocument/2006/relationships/hyperlink" Target="https://www.gov.pl/web/obrona-narodowa/system-san-zwiekszy-zdolnosci-wojska-polskiego-do-zwalczania-systemow-bezzalogowych" TargetMode="External"/><Relationship Id="rId90" Type="http://schemas.openxmlformats.org/officeDocument/2006/relationships/hyperlink" Target="https://www.gov.uk/government/news/400-million-contract-to-operate-military-satellite-communications-system-supports-400-uk-jobs" TargetMode="External"/><Relationship Id="rId186" Type="http://schemas.openxmlformats.org/officeDocument/2006/relationships/hyperlink" Target="https://www.gov.uk/government/news/new-investment-in-royal-navy-fleet-communications-to-boost-jobs" TargetMode="External"/><Relationship Id="rId393" Type="http://schemas.openxmlformats.org/officeDocument/2006/relationships/hyperlink" Target="https://defence-network.com/haushaltsausschuss-38-bundeswehr-beschaffungen/" TargetMode="External"/><Relationship Id="rId407" Type="http://schemas.openxmlformats.org/officeDocument/2006/relationships/hyperlink" Target="https://esut.de/en/2025/02/meldungen/56995/bestand-an-fernbedienbaren-waffenstationen-flw-wird-aufgefuellt/" TargetMode="External"/><Relationship Id="rId614" Type="http://schemas.openxmlformats.org/officeDocument/2006/relationships/hyperlink" Target="https://www.bundeswehr.de/resource/blob/5386862/a2f3d1faf53ccc99a232dc1ba856fe4a/06-neue-fallschirmsysteme-fuer-die-bundeswehr-data.pdf" TargetMode="External"/><Relationship Id="rId821" Type="http://schemas.openxmlformats.org/officeDocument/2006/relationships/hyperlink" Target="https://www.bundeswehr.de/resource/blob/5705020/57eb11ffb43f4db8324d078b7a946770/35-panzerabwehrrichtminen-als-ersatz-fuer-ukraine-abgabe-dl-data.pdf" TargetMode="External"/><Relationship Id="rId1037" Type="http://schemas.openxmlformats.org/officeDocument/2006/relationships/hyperlink" Target="https://www.bmvg.de/de/aktuelles/parlament-stimmt-milliardeninvestitionen-fuer-verteidigung-zu-5871974" TargetMode="External"/><Relationship Id="rId1244" Type="http://schemas.openxmlformats.org/officeDocument/2006/relationships/hyperlink" Target="https://defence-network.com/vier-neue-beschaffungsvorhaben-beschlossen/" TargetMode="External"/><Relationship Id="rId253" Type="http://schemas.openxmlformats.org/officeDocument/2006/relationships/hyperlink" Target="https://archives.defense.gouv.fr/dga/actualite/la-dga-passe-une-nouvelle-commande-de-12-000-fusils-d-assaut-hk-416-f-pour-les-armees.html" TargetMode="External"/><Relationship Id="rId460" Type="http://schemas.openxmlformats.org/officeDocument/2006/relationships/hyperlink" Target="https://www.bmvg.de/de/aktuelles/moderne-transportfahrzeuge-bundeswehr-4575696" TargetMode="External"/><Relationship Id="rId698" Type="http://schemas.openxmlformats.org/officeDocument/2006/relationships/hyperlink" Target="https://www.bmvg.de/de/aktuelles/munition-fuer-schuetzenpanzer-puma-und-moderne-funkgeraete-5530546" TargetMode="External"/><Relationship Id="rId919" Type="http://schemas.openxmlformats.org/officeDocument/2006/relationships/hyperlink" Target="https://www.rheinmetall.com/de/media/news-watch/news/2024/05/2024-05-27-nebelhandgranate-dm45" TargetMode="External"/><Relationship Id="rId1090" Type="http://schemas.openxmlformats.org/officeDocument/2006/relationships/hyperlink" Target="https://esut.de/2025/01/meldungen/56952/beschaffungen-fuer-25-milliarden-euro-auf-den-letzten-druecker/" TargetMode="External"/><Relationship Id="rId1104" Type="http://schemas.openxmlformats.org/officeDocument/2006/relationships/hyperlink" Target="https://www.reuters.com/business/aerospace-defense/poland-signs-contract-buy-2-swedish-saab-340-aew-300-aircraft-2023-07-25/" TargetMode="External"/><Relationship Id="rId1311" Type="http://schemas.openxmlformats.org/officeDocument/2006/relationships/hyperlink" Target="https://esut.de/2025/11/meldungen/65078/mehr-als-19-milliarden-euro-beschaffungsmittel-fuer-die-bundeswehr-gebilligt/" TargetMode="External"/><Relationship Id="rId48" Type="http://schemas.openxmlformats.org/officeDocument/2006/relationships/hyperlink" Target="https://www.gov.uk/government/news/110m-upgrade-for-raf-shadow-fleet" TargetMode="External"/><Relationship Id="rId113" Type="http://schemas.openxmlformats.org/officeDocument/2006/relationships/hyperlink" Target="https://des.mod.uk/20-million-contract-awarded-by-des-marks-big-steps-towards-challenger3-missile-protection-system/?portfolioCats=78%2C735%2C69%2C734" TargetMode="External"/><Relationship Id="rId320" Type="http://schemas.openxmlformats.org/officeDocument/2006/relationships/hyperlink" Target="https://esut.de/2024/10/meldungen/54012/400-rolling-airframe-missile-ram-block-2b-bestellt/" TargetMode="External"/><Relationship Id="rId558" Type="http://schemas.openxmlformats.org/officeDocument/2006/relationships/hyperlink" Target="https://www.occar.int/news/new-contract-was-signed-to-develop-a-new-boxer-vehicle-known-as-joint-fire-support-team" TargetMode="External"/><Relationship Id="rId765" Type="http://schemas.openxmlformats.org/officeDocument/2006/relationships/hyperlink" Target="https://www.bundeswehr-journal.de/2023/transportfahrzeuge-bundeswehr-beschafft-doppelte-anzahl/" TargetMode="External"/><Relationship Id="rId972" Type="http://schemas.openxmlformats.org/officeDocument/2006/relationships/hyperlink" Target="https://esut.de/2024/06/meldungen/50887/acht-25-mio-euro-vorlagen-fuer-den-haushaltsausschuss/" TargetMode="External"/><Relationship Id="rId1188" Type="http://schemas.openxmlformats.org/officeDocument/2006/relationships/hyperlink" Target="https://des.mod.uk/des-secures-118m-contract-to-deliver-six-new-land-ceptor-missile-systems-strengthening-uk-air-defence/?portfolioCats=78%2C735%2C69%2C734" TargetMode="External"/><Relationship Id="rId1395" Type="http://schemas.openxmlformats.org/officeDocument/2006/relationships/hyperlink" Target="https://www.gov.pl/web/obrona-narodowa/polska-producentem-rakiet-umowa-dla-homara-k-podpisana" TargetMode="External"/><Relationship Id="rId1409" Type="http://schemas.openxmlformats.org/officeDocument/2006/relationships/hyperlink" Target="https://www.gov.pl/web/obrona-narodowa/umowa-na-rakiety-dla-f-35-podpisana" TargetMode="External"/><Relationship Id="rId197" Type="http://schemas.openxmlformats.org/officeDocument/2006/relationships/hyperlink" Target="https://www.gov.uk/government/news/uk-leads-major-ukraine-summit-and-announces-150-million-firepower-package" TargetMode="External"/><Relationship Id="rId418" Type="http://schemas.openxmlformats.org/officeDocument/2006/relationships/hyperlink" Target="https://www.gov.pl/web/obrona-narodowa/nowoczesne-gogle-noktowizyjne-dla-wojska-polskiego" TargetMode="External"/><Relationship Id="rId625" Type="http://schemas.openxmlformats.org/officeDocument/2006/relationships/hyperlink" Target="https://www.bundeswehr.de/de/organisation/ausruestung-baainbw/aktuelles/bundeswehr-erhaelt-neue-militarisierte-sattelanhaenger-70t-5439706" TargetMode="External"/><Relationship Id="rId832" Type="http://schemas.openxmlformats.org/officeDocument/2006/relationships/hyperlink" Target="https://soldat-und-technik.de/2023/11/mobilitaet/36064/bundeswehr-beschafft-50-dingo-2-a4-1-auf-modernem-unimog-fahrgestell/" TargetMode="External"/><Relationship Id="rId1048" Type="http://schemas.openxmlformats.org/officeDocument/2006/relationships/hyperlink" Target="https://www.bmvg.de/de/aktuelles/parlament-stimmt-milliardeninvestitionen-fuer-verteidigung-zu-5871974" TargetMode="External"/><Relationship Id="rId1255" Type="http://schemas.openxmlformats.org/officeDocument/2006/relationships/hyperlink" Target="https://www.bmvg.de/de/aktuelles/haushaltsausschuss-genehmigt-investitionen-in-milliardenhoehe-5957266" TargetMode="External"/><Relationship Id="rId264" Type="http://schemas.openxmlformats.org/officeDocument/2006/relationships/hyperlink" Target="https://actu-aero.fr/2020/09/04/la-france-commande-trois-nouveaux-airbus-a330-mrtt/" TargetMode="External"/><Relationship Id="rId471" Type="http://schemas.openxmlformats.org/officeDocument/2006/relationships/hyperlink" Target="https://www.bmvg.de/de/aktuelles/moderne-transportfahrzeuge-bundeswehr-4575696" TargetMode="External"/><Relationship Id="rId1115" Type="http://schemas.openxmlformats.org/officeDocument/2006/relationships/hyperlink" Target="https://www.gov.pl/web/obrona-narodowa/nowe-samochody-sanitarne-dla-sil-zbrojnych-rp" TargetMode="External"/><Relationship Id="rId1322" Type="http://schemas.openxmlformats.org/officeDocument/2006/relationships/hyperlink" Target="https://esut.de/2025/12/meldungen/66123/24-milliarden-euro-fuer-mikron-nachtsichtgeraete-von-theon/" TargetMode="External"/><Relationship Id="rId59" Type="http://schemas.openxmlformats.org/officeDocument/2006/relationships/hyperlink" Target="https://www.gov.uk/government/news/more-than-2-billion-to-boost-uk-submarine-programme" TargetMode="External"/><Relationship Id="rId124" Type="http://schemas.openxmlformats.org/officeDocument/2006/relationships/hyperlink" Target="https://www.gov.uk/government/news/major-new-package-of-support-for-ukraines-counter-offensive-announced-by-grant-shapps" TargetMode="External"/><Relationship Id="rId569" Type="http://schemas.openxmlformats.org/officeDocument/2006/relationships/hyperlink" Target="https://www.bundeswehr.de/resource/blob/5202774/0fe4d4cf94943286ea1f1aa861944759/24-neue-fahrzeuge-fuer-den-verwundetentransport-data.pdf" TargetMode="External"/><Relationship Id="rId776" Type="http://schemas.openxmlformats.org/officeDocument/2006/relationships/hyperlink" Target="https://www.bmvg.de/de/presse/zeitenwende-zahlen-beschaffung-ausruestung-5719998" TargetMode="External"/><Relationship Id="rId983" Type="http://schemas.openxmlformats.org/officeDocument/2006/relationships/hyperlink" Target="https://www.topagrar.com/technik/news/bundeswehr-mustert-g-klasse-gelaendewagen-wolf-aus-a-20005216.html" TargetMode="External"/><Relationship Id="rId1199" Type="http://schemas.openxmlformats.org/officeDocument/2006/relationships/hyperlink" Target="https://des.mod.uk/typhoon-fleet-strengthened-with-205m-engineering-delivery-partnership-contract/?portfolioCats=78%2C735%2C69%2C734" TargetMode="External"/><Relationship Id="rId331" Type="http://schemas.openxmlformats.org/officeDocument/2006/relationships/hyperlink" Target="https://esut.de/2024/12/meldungen/55634/modernisierung-und-ergaenzung-der-bekleidung/" TargetMode="External"/><Relationship Id="rId429" Type="http://schemas.openxmlformats.org/officeDocument/2006/relationships/hyperlink" Target="https://esut.de/2020/09/meldungen/22796/21-milliarden-euro-fuer-informationstechnik-und-munition/" TargetMode="External"/><Relationship Id="rId636" Type="http://schemas.openxmlformats.org/officeDocument/2006/relationships/hyperlink" Target="https://www.bmvg.de/de/aktuelles/neue-schwerlastanhaenger-fuer-die-bundeswehr-5424250" TargetMode="External"/><Relationship Id="rId1059" Type="http://schemas.openxmlformats.org/officeDocument/2006/relationships/hyperlink" Target="https://www.bmvg.de/de/aktuelles/parlament-stimmt-milliardeninvestitionen-fuer-verteidigung-zu-5871974" TargetMode="External"/><Relationship Id="rId1266" Type="http://schemas.openxmlformats.org/officeDocument/2006/relationships/hyperlink" Target="https://www.edrmagazine.eu/nspa-supports-germany-with-contract-for-additional-patriot-missiles" TargetMode="External"/><Relationship Id="rId843" Type="http://schemas.openxmlformats.org/officeDocument/2006/relationships/hyperlink" Target="https://esut.de/2023/12/meldungen/45973/beschaffungen-von-taeuschkoerpern-und-fahrschulpanzern-leopard-2-gebilligt/" TargetMode="External"/><Relationship Id="rId1126" Type="http://schemas.openxmlformats.org/officeDocument/2006/relationships/hyperlink" Target="https://www.gov.pl/web/obrona-narodowa/wojsko-polskie-otrzyma-kolejne-zestawy-piorun" TargetMode="External"/><Relationship Id="rId275" Type="http://schemas.openxmlformats.org/officeDocument/2006/relationships/hyperlink" Target="https://prod-site-internet-minarm-admin.cloud.defense.gouv.fr/sites/default/files/dga/022_chiffres_cles_DGA_num_fr.pdf" TargetMode="External"/><Relationship Id="rId482" Type="http://schemas.openxmlformats.org/officeDocument/2006/relationships/hyperlink" Target="https://www.bmvg.de/de/aktuelles/moderne-transportfahrzeuge-bundeswehr-4575696" TargetMode="External"/><Relationship Id="rId703" Type="http://schemas.openxmlformats.org/officeDocument/2006/relationships/hyperlink" Target="https://www.bmvg.de/de/aktuelles/digitalfunk-bundestag-genehmigt-bestellung-aus-sondervermoegen-5586808" TargetMode="External"/><Relationship Id="rId910" Type="http://schemas.openxmlformats.org/officeDocument/2006/relationships/hyperlink" Target="https://www.bmvg.de/de/aktuelles/weiterentwicklung-nh-90-flotte-eurofighter-genehmigt-5773350" TargetMode="External"/><Relationship Id="rId1333" Type="http://schemas.openxmlformats.org/officeDocument/2006/relationships/hyperlink" Target="https://esut.de/2025/12/meldungen/66362/haushalt-bundeswehr-grossvorhaben/"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9.xml.rels><?xml version="1.0" encoding="UTF-8" standalone="yes"?>
<Relationships xmlns="http://schemas.openxmlformats.org/package/2006/relationships"><Relationship Id="rId8" Type="http://schemas.openxmlformats.org/officeDocument/2006/relationships/hyperlink" Target="https://www.budget.gouv.fr/documentation/file-download/18462" TargetMode="External"/><Relationship Id="rId3" Type="http://schemas.openxmlformats.org/officeDocument/2006/relationships/hyperlink" Target="https://prod-site-internet-minarm-admin.cloud.defense.gouv.fr/sites/default/files/dga/022_chiffres_cles_DGA_num_fr.pdf" TargetMode="External"/><Relationship Id="rId7" Type="http://schemas.openxmlformats.org/officeDocument/2006/relationships/hyperlink" Target="https://www.budget.gouv.fr/documentation/file-download/18462" TargetMode="External"/><Relationship Id="rId2" Type="http://schemas.openxmlformats.org/officeDocument/2006/relationships/hyperlink" Target="https://prod-site-internet-minarm-admin.cloud.defense.gouv.fr/sites/default/files/dga/021_chiffres_cles_DGA_2020_numerique.pdf" TargetMode="External"/><Relationship Id="rId1" Type="http://schemas.openxmlformats.org/officeDocument/2006/relationships/hyperlink" Target="https://prod-site-internet-minarm-admin.cloud.defense.gouv.fr/sites/default/files/dga/021_chiffres_cles_DGA_2020_numerique.pdf" TargetMode="External"/><Relationship Id="rId6" Type="http://schemas.openxmlformats.org/officeDocument/2006/relationships/hyperlink" Target="https://prod-site-internet-minarm-admin.cloud.defense.gouv.fr/sites/default/files/dga/023_chiffres_cles_DGA.pdf" TargetMode="External"/><Relationship Id="rId5" Type="http://schemas.openxmlformats.org/officeDocument/2006/relationships/hyperlink" Target="https://prod-site-internet-minarm-admin.cloud.defense.gouv.fr/sites/default/files/dga/023_chiffres_cles_DGA.pdf" TargetMode="External"/><Relationship Id="rId4" Type="http://schemas.openxmlformats.org/officeDocument/2006/relationships/hyperlink" Target="https://prod-site-internet-minarm-admin.cloud.defense.gouv.fr/sites/default/files/dga/022_chiffres_cles_DGA_num_fr.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14999847407452621"/>
  </sheetPr>
  <dimension ref="A1:S106"/>
  <sheetViews>
    <sheetView tabSelected="1" workbookViewId="0">
      <selection activeCell="B10" sqref="B10:P10"/>
    </sheetView>
  </sheetViews>
  <sheetFormatPr baseColWidth="10" defaultColWidth="9" defaultRowHeight="16" x14ac:dyDescent="0.4"/>
  <cols>
    <col min="1" max="1" width="8.75" style="34" customWidth="1"/>
    <col min="2" max="2" width="34.83203125" style="36" bestFit="1" customWidth="1"/>
    <col min="3" max="16384" width="9" style="36"/>
  </cols>
  <sheetData>
    <row r="1" spans="1:18" x14ac:dyDescent="0.4">
      <c r="A1" s="146"/>
    </row>
    <row r="2" spans="1:18" ht="16" customHeight="1" x14ac:dyDescent="0.4">
      <c r="B2" s="231" t="s">
        <v>0</v>
      </c>
      <c r="C2" s="231"/>
      <c r="D2" s="231"/>
      <c r="E2" s="231"/>
      <c r="F2" s="231"/>
      <c r="G2" s="231"/>
      <c r="H2" s="231"/>
      <c r="I2" s="231"/>
      <c r="J2" s="231"/>
      <c r="K2" s="231"/>
      <c r="L2" s="231"/>
      <c r="M2" s="231"/>
      <c r="N2" s="231"/>
      <c r="O2" s="231"/>
      <c r="P2" s="231"/>
    </row>
    <row r="3" spans="1:18" ht="16" customHeight="1" x14ac:dyDescent="0.4">
      <c r="B3" s="231"/>
      <c r="C3" s="231"/>
      <c r="D3" s="231"/>
      <c r="E3" s="231"/>
      <c r="F3" s="231"/>
      <c r="G3" s="231"/>
      <c r="H3" s="231"/>
      <c r="I3" s="231"/>
      <c r="J3" s="231"/>
      <c r="K3" s="231"/>
      <c r="L3" s="231"/>
      <c r="M3" s="231"/>
      <c r="N3" s="231"/>
      <c r="O3" s="231"/>
      <c r="P3" s="231"/>
    </row>
    <row r="4" spans="1:18" ht="16" customHeight="1" x14ac:dyDescent="0.4">
      <c r="B4" s="41"/>
      <c r="C4" s="41"/>
      <c r="D4" s="41"/>
      <c r="E4" s="41"/>
      <c r="F4" s="41"/>
      <c r="G4" s="41"/>
      <c r="H4" s="41"/>
      <c r="I4" s="41"/>
      <c r="J4" s="41"/>
      <c r="K4" s="41"/>
      <c r="L4" s="41"/>
      <c r="M4" s="41"/>
      <c r="N4" s="41"/>
      <c r="O4" s="39"/>
    </row>
    <row r="5" spans="1:18" ht="16" customHeight="1" x14ac:dyDescent="0.4">
      <c r="B5" s="230" t="s">
        <v>5691</v>
      </c>
      <c r="C5" s="230"/>
      <c r="D5" s="230"/>
      <c r="E5" s="230"/>
      <c r="F5" s="230"/>
      <c r="G5" s="230"/>
      <c r="H5" s="230"/>
      <c r="I5" s="230"/>
      <c r="J5" s="230"/>
      <c r="K5" s="230"/>
      <c r="L5" s="230"/>
      <c r="M5" s="230"/>
      <c r="N5" s="230"/>
      <c r="O5" s="230"/>
      <c r="P5" s="230"/>
    </row>
    <row r="6" spans="1:18" ht="16" customHeight="1" x14ac:dyDescent="0.4">
      <c r="B6" s="230"/>
      <c r="C6" s="230"/>
      <c r="D6" s="230"/>
      <c r="E6" s="230"/>
      <c r="F6" s="230"/>
      <c r="G6" s="230"/>
      <c r="H6" s="230"/>
      <c r="I6" s="230"/>
      <c r="J6" s="230"/>
      <c r="K6" s="230"/>
      <c r="L6" s="230"/>
      <c r="M6" s="230"/>
      <c r="N6" s="230"/>
      <c r="O6" s="230"/>
      <c r="P6" s="230"/>
    </row>
    <row r="7" spans="1:18" ht="16" customHeight="1" x14ac:dyDescent="0.4">
      <c r="B7" s="42"/>
      <c r="C7" s="42"/>
      <c r="D7" s="42"/>
      <c r="E7" s="42"/>
      <c r="F7" s="42"/>
      <c r="G7" s="42"/>
      <c r="H7" s="42"/>
      <c r="I7" s="42"/>
      <c r="J7" s="42"/>
      <c r="K7" s="42"/>
      <c r="L7" s="42"/>
      <c r="M7" s="42"/>
      <c r="N7" s="40"/>
      <c r="O7" s="39"/>
    </row>
    <row r="8" spans="1:18" ht="16" customHeight="1" x14ac:dyDescent="0.4">
      <c r="B8" s="43" t="s">
        <v>1</v>
      </c>
      <c r="C8" s="179" t="s">
        <v>2</v>
      </c>
      <c r="D8" s="44"/>
      <c r="E8" s="44"/>
      <c r="F8" s="44"/>
      <c r="G8" s="44"/>
      <c r="H8" s="44"/>
      <c r="I8" s="44"/>
      <c r="J8" s="44"/>
      <c r="K8" s="44"/>
      <c r="L8" s="45"/>
      <c r="M8" s="45"/>
      <c r="N8" s="39"/>
      <c r="O8" s="39"/>
    </row>
    <row r="9" spans="1:18" ht="16" customHeight="1" x14ac:dyDescent="0.4">
      <c r="B9"/>
      <c r="D9" s="44"/>
      <c r="E9" s="44"/>
      <c r="F9" s="44"/>
      <c r="G9" s="44"/>
      <c r="H9" s="44"/>
      <c r="I9" s="44"/>
      <c r="J9" s="44"/>
      <c r="K9" s="44"/>
      <c r="L9" s="45"/>
      <c r="M9" s="45"/>
      <c r="N9" s="39"/>
      <c r="O9" s="39"/>
    </row>
    <row r="10" spans="1:18" ht="16" customHeight="1" x14ac:dyDescent="0.4">
      <c r="B10" s="230" t="s">
        <v>5692</v>
      </c>
      <c r="C10" s="230"/>
      <c r="D10" s="230"/>
      <c r="E10" s="230"/>
      <c r="F10" s="230"/>
      <c r="G10" s="230"/>
      <c r="H10" s="230"/>
      <c r="I10" s="230"/>
      <c r="J10" s="230"/>
      <c r="K10" s="230"/>
      <c r="L10" s="230"/>
      <c r="M10" s="230"/>
      <c r="N10" s="230"/>
      <c r="O10" s="230"/>
      <c r="P10" s="230"/>
    </row>
    <row r="11" spans="1:18" ht="16" customHeight="1" x14ac:dyDescent="0.4">
      <c r="B11" s="37"/>
      <c r="C11" s="35"/>
      <c r="D11" s="35"/>
      <c r="E11" s="35"/>
      <c r="F11" s="35"/>
      <c r="G11" s="35"/>
      <c r="H11" s="35"/>
      <c r="I11" s="35"/>
      <c r="J11" s="35"/>
      <c r="K11" s="35"/>
      <c r="L11" s="35"/>
      <c r="M11" s="35"/>
      <c r="N11" s="35"/>
      <c r="O11" s="35"/>
      <c r="P11" s="35"/>
    </row>
    <row r="12" spans="1:18" ht="16" customHeight="1" x14ac:dyDescent="0.4">
      <c r="B12" s="43" t="s">
        <v>3</v>
      </c>
      <c r="C12" s="35"/>
      <c r="D12" s="35"/>
      <c r="E12" s="35"/>
      <c r="F12" s="35"/>
      <c r="G12" s="35"/>
      <c r="H12" s="35"/>
      <c r="I12" s="35"/>
      <c r="J12" s="35"/>
      <c r="K12" s="35"/>
      <c r="L12" s="35"/>
      <c r="M12" s="35"/>
      <c r="N12" s="35"/>
      <c r="O12" s="35"/>
      <c r="P12" s="35"/>
    </row>
    <row r="13" spans="1:18" ht="16" customHeight="1" x14ac:dyDescent="0.4">
      <c r="B13" s="38"/>
      <c r="C13" s="35"/>
      <c r="D13" s="35"/>
      <c r="E13" s="35"/>
      <c r="F13" s="35"/>
      <c r="G13" s="35"/>
      <c r="H13" s="35"/>
      <c r="I13" s="35"/>
      <c r="J13" s="35"/>
      <c r="K13" s="35"/>
      <c r="L13" s="35"/>
      <c r="M13" s="35"/>
      <c r="N13" s="35"/>
      <c r="O13" s="35"/>
      <c r="P13" s="35"/>
      <c r="Q13" s="35"/>
      <c r="R13" s="35"/>
    </row>
    <row r="14" spans="1:18" s="47" customFormat="1" ht="16" customHeight="1" x14ac:dyDescent="0.35">
      <c r="B14" s="229" t="s">
        <v>4</v>
      </c>
      <c r="C14" s="229"/>
      <c r="D14" s="229"/>
      <c r="E14" s="229"/>
      <c r="F14" s="229"/>
      <c r="G14" s="229"/>
      <c r="H14" s="229"/>
      <c r="I14" s="229"/>
      <c r="J14" s="229"/>
      <c r="K14" s="229"/>
      <c r="L14" s="229"/>
      <c r="M14" s="229"/>
      <c r="N14" s="229"/>
      <c r="O14" s="229"/>
      <c r="P14" s="229"/>
      <c r="Q14" s="78"/>
      <c r="R14" s="78"/>
    </row>
    <row r="15" spans="1:18" s="47" customFormat="1" ht="16" customHeight="1" x14ac:dyDescent="0.35">
      <c r="B15" s="229"/>
      <c r="C15" s="229"/>
      <c r="D15" s="229"/>
      <c r="E15" s="229"/>
      <c r="F15" s="229"/>
      <c r="G15" s="229"/>
      <c r="H15" s="229"/>
      <c r="I15" s="229"/>
      <c r="J15" s="229"/>
      <c r="K15" s="229"/>
      <c r="L15" s="229"/>
      <c r="M15" s="229"/>
      <c r="N15" s="229"/>
      <c r="O15" s="229"/>
      <c r="P15" s="229"/>
      <c r="Q15" s="78"/>
      <c r="R15" s="78"/>
    </row>
    <row r="16" spans="1:18" s="47" customFormat="1" ht="16" customHeight="1" x14ac:dyDescent="0.35">
      <c r="B16" s="229"/>
      <c r="C16" s="229"/>
      <c r="D16" s="229"/>
      <c r="E16" s="229"/>
      <c r="F16" s="229"/>
      <c r="G16" s="229"/>
      <c r="H16" s="229"/>
      <c r="I16" s="229"/>
      <c r="J16" s="229"/>
      <c r="K16" s="229"/>
      <c r="L16" s="229"/>
      <c r="M16" s="229"/>
      <c r="N16" s="229"/>
      <c r="O16" s="229"/>
      <c r="P16" s="229"/>
      <c r="Q16" s="78"/>
      <c r="R16" s="78"/>
    </row>
    <row r="17" spans="2:18" s="47" customFormat="1" ht="16" customHeight="1" x14ac:dyDescent="0.35">
      <c r="B17" s="229"/>
      <c r="C17" s="229"/>
      <c r="D17" s="229"/>
      <c r="E17" s="229"/>
      <c r="F17" s="229"/>
      <c r="G17" s="229"/>
      <c r="H17" s="229"/>
      <c r="I17" s="229"/>
      <c r="J17" s="229"/>
      <c r="K17" s="229"/>
      <c r="L17" s="229"/>
      <c r="M17" s="229"/>
      <c r="N17" s="229"/>
      <c r="O17" s="229"/>
      <c r="P17" s="229"/>
      <c r="Q17" s="78"/>
      <c r="R17" s="78"/>
    </row>
    <row r="18" spans="2:18" s="47" customFormat="1" ht="16" customHeight="1" x14ac:dyDescent="0.35">
      <c r="B18" s="229"/>
      <c r="C18" s="229"/>
      <c r="D18" s="229"/>
      <c r="E18" s="229"/>
      <c r="F18" s="229"/>
      <c r="G18" s="229"/>
      <c r="H18" s="229"/>
      <c r="I18" s="229"/>
      <c r="J18" s="229"/>
      <c r="K18" s="229"/>
      <c r="L18" s="229"/>
      <c r="M18" s="229"/>
      <c r="N18" s="229"/>
      <c r="O18" s="229"/>
      <c r="P18" s="229"/>
      <c r="Q18" s="185"/>
      <c r="R18" s="185"/>
    </row>
    <row r="19" spans="2:18" ht="16" customHeight="1" x14ac:dyDescent="0.4">
      <c r="B19" s="46"/>
      <c r="C19" s="46"/>
      <c r="D19" s="46"/>
      <c r="E19" s="46"/>
      <c r="F19" s="46"/>
      <c r="G19" s="46"/>
      <c r="H19" s="46"/>
      <c r="I19" s="46"/>
      <c r="J19" s="46"/>
      <c r="K19" s="46"/>
      <c r="L19" s="46"/>
      <c r="M19" s="46"/>
      <c r="N19" s="46"/>
      <c r="O19" s="48"/>
      <c r="P19" s="48"/>
      <c r="Q19" s="48"/>
      <c r="R19" s="48"/>
    </row>
    <row r="20" spans="2:18" ht="16" customHeight="1" x14ac:dyDescent="0.4">
      <c r="B20" s="43" t="s">
        <v>5</v>
      </c>
      <c r="C20" s="228" t="s">
        <v>5679</v>
      </c>
      <c r="D20" s="228"/>
      <c r="E20" s="228"/>
      <c r="F20" s="228"/>
      <c r="G20" s="228"/>
      <c r="H20" s="228"/>
      <c r="I20" s="228"/>
      <c r="J20" s="228"/>
      <c r="K20" s="228"/>
      <c r="L20" s="228"/>
      <c r="M20" s="228"/>
      <c r="N20" s="228"/>
      <c r="O20" s="228"/>
      <c r="P20" s="228"/>
      <c r="Q20" s="228"/>
      <c r="R20" s="228"/>
    </row>
    <row r="21" spans="2:18" ht="16" customHeight="1" x14ac:dyDescent="0.4">
      <c r="B21" s="49"/>
      <c r="C21" s="228"/>
      <c r="D21" s="228"/>
      <c r="E21" s="228"/>
      <c r="F21" s="228"/>
      <c r="G21" s="228"/>
      <c r="H21" s="228"/>
      <c r="I21" s="228"/>
      <c r="J21" s="228"/>
      <c r="K21" s="228"/>
      <c r="L21" s="228"/>
      <c r="M21" s="228"/>
      <c r="N21" s="228"/>
      <c r="O21" s="228"/>
      <c r="P21" s="228"/>
      <c r="Q21" s="228"/>
      <c r="R21" s="228"/>
    </row>
    <row r="22" spans="2:18" ht="16" customHeight="1" x14ac:dyDescent="0.4">
      <c r="B22" s="50"/>
      <c r="C22" s="51"/>
      <c r="D22" s="51"/>
      <c r="E22" s="51"/>
      <c r="F22" s="51"/>
      <c r="G22" s="51"/>
      <c r="H22" s="51"/>
      <c r="I22" s="51"/>
      <c r="J22" s="51"/>
      <c r="K22" s="51"/>
      <c r="L22" s="51"/>
      <c r="M22" s="51"/>
      <c r="N22" s="51"/>
      <c r="O22" s="51"/>
      <c r="P22" s="51"/>
      <c r="Q22" s="51"/>
      <c r="R22" s="51"/>
    </row>
    <row r="23" spans="2:18" ht="16" customHeight="1" x14ac:dyDescent="0.4">
      <c r="B23" s="50"/>
      <c r="C23" s="51"/>
      <c r="D23" s="51"/>
      <c r="E23" s="51"/>
      <c r="F23" s="51"/>
      <c r="G23" s="51"/>
      <c r="H23" s="51"/>
      <c r="I23" s="51"/>
      <c r="J23" s="51"/>
      <c r="K23" s="51"/>
      <c r="L23" s="51"/>
      <c r="M23" s="51"/>
      <c r="N23" s="51"/>
      <c r="O23" s="51"/>
      <c r="P23" s="51"/>
      <c r="Q23" s="51"/>
      <c r="R23" s="51"/>
    </row>
    <row r="24" spans="2:18" ht="16" customHeight="1" x14ac:dyDescent="0.4">
      <c r="B24" s="43" t="s">
        <v>6</v>
      </c>
      <c r="C24" s="27" t="s">
        <v>7</v>
      </c>
      <c r="D24" s="51"/>
      <c r="E24" s="51"/>
      <c r="F24" s="51"/>
      <c r="G24" s="51"/>
      <c r="H24" s="51"/>
      <c r="I24" s="51"/>
      <c r="J24" s="51"/>
      <c r="K24" s="51"/>
      <c r="L24" s="51"/>
      <c r="M24" s="51"/>
      <c r="N24" s="51"/>
      <c r="O24" s="51"/>
      <c r="P24" s="51"/>
      <c r="Q24" s="51"/>
      <c r="R24" s="51"/>
    </row>
    <row r="25" spans="2:18" ht="16" customHeight="1" x14ac:dyDescent="0.4">
      <c r="B25" s="52"/>
    </row>
    <row r="26" spans="2:18" ht="16" customHeight="1" x14ac:dyDescent="0.4">
      <c r="B26" s="54" t="s">
        <v>8</v>
      </c>
      <c r="C26" s="186" t="s">
        <v>9</v>
      </c>
    </row>
    <row r="27" spans="2:18" ht="16" customHeight="1" x14ac:dyDescent="0.4">
      <c r="B27" s="55"/>
    </row>
    <row r="28" spans="2:18" ht="16" customHeight="1" x14ac:dyDescent="0.4">
      <c r="B28" s="57" t="s">
        <v>10</v>
      </c>
      <c r="C28" s="186" t="s">
        <v>11</v>
      </c>
    </row>
    <row r="29" spans="2:18" ht="16" customHeight="1" x14ac:dyDescent="0.4">
      <c r="B29" s="55"/>
    </row>
    <row r="30" spans="2:18" ht="16" customHeight="1" x14ac:dyDescent="0.4">
      <c r="B30" s="56" t="s">
        <v>12</v>
      </c>
      <c r="C30" s="186" t="s">
        <v>13</v>
      </c>
    </row>
    <row r="31" spans="2:18" ht="16" customHeight="1" x14ac:dyDescent="0.4">
      <c r="B31" s="55"/>
    </row>
    <row r="32" spans="2:18" ht="16" customHeight="1" x14ac:dyDescent="0.4">
      <c r="B32" s="58" t="s">
        <v>14</v>
      </c>
      <c r="C32" s="186" t="s">
        <v>5670</v>
      </c>
    </row>
    <row r="33" spans="2:16" ht="16" customHeight="1" x14ac:dyDescent="0.4">
      <c r="B33" s="55"/>
    </row>
    <row r="34" spans="2:16" ht="16" customHeight="1" x14ac:dyDescent="0.4">
      <c r="B34" s="100" t="s">
        <v>15</v>
      </c>
      <c r="C34" s="186" t="s">
        <v>5674</v>
      </c>
    </row>
    <row r="37" spans="2:16" x14ac:dyDescent="0.4">
      <c r="B37" s="61" t="s">
        <v>16</v>
      </c>
    </row>
    <row r="38" spans="2:16" x14ac:dyDescent="0.4">
      <c r="B38" s="61"/>
    </row>
    <row r="39" spans="2:16" x14ac:dyDescent="0.4">
      <c r="B39" s="61" t="s">
        <v>17</v>
      </c>
      <c r="C39" s="186"/>
    </row>
    <row r="40" spans="2:16" x14ac:dyDescent="0.4">
      <c r="B40" s="32" t="s">
        <v>18</v>
      </c>
      <c r="C40" s="226" t="s">
        <v>19</v>
      </c>
      <c r="D40" s="226"/>
      <c r="E40" s="226"/>
      <c r="F40" s="226"/>
      <c r="G40" s="226"/>
      <c r="H40" s="226"/>
      <c r="I40" s="226"/>
      <c r="J40" s="226"/>
      <c r="K40" s="226"/>
      <c r="L40" s="226"/>
      <c r="M40" s="226"/>
      <c r="N40" s="226"/>
      <c r="O40" s="226"/>
      <c r="P40" s="226"/>
    </row>
    <row r="41" spans="2:16" x14ac:dyDescent="0.4">
      <c r="B41" s="32" t="s">
        <v>20</v>
      </c>
      <c r="C41" s="226" t="s">
        <v>21</v>
      </c>
      <c r="D41" s="226"/>
      <c r="E41" s="226"/>
      <c r="F41" s="226"/>
      <c r="G41" s="226"/>
      <c r="H41" s="226"/>
      <c r="I41" s="226"/>
      <c r="J41" s="226"/>
      <c r="K41" s="226"/>
      <c r="L41" s="226"/>
      <c r="M41" s="226"/>
      <c r="N41" s="226"/>
      <c r="O41" s="226"/>
      <c r="P41" s="226"/>
    </row>
    <row r="42" spans="2:16" x14ac:dyDescent="0.4">
      <c r="B42" s="32" t="s">
        <v>22</v>
      </c>
      <c r="C42" s="226" t="s">
        <v>23</v>
      </c>
      <c r="D42" s="226"/>
      <c r="E42" s="226"/>
      <c r="F42" s="226"/>
      <c r="G42" s="226"/>
      <c r="H42" s="226"/>
      <c r="I42" s="226"/>
      <c r="J42" s="226"/>
      <c r="K42" s="226"/>
      <c r="L42" s="226"/>
      <c r="M42" s="226"/>
      <c r="N42" s="226"/>
      <c r="O42" s="226"/>
      <c r="P42" s="226"/>
    </row>
    <row r="43" spans="2:16" x14ac:dyDescent="0.4">
      <c r="B43" s="32" t="s">
        <v>24</v>
      </c>
      <c r="C43" s="226" t="s">
        <v>25</v>
      </c>
      <c r="D43" s="226"/>
      <c r="E43" s="226"/>
      <c r="F43" s="226"/>
      <c r="G43" s="226"/>
      <c r="H43" s="226"/>
      <c r="I43" s="226"/>
      <c r="J43" s="226"/>
      <c r="K43" s="226"/>
      <c r="L43" s="226"/>
      <c r="M43" s="226"/>
      <c r="N43" s="226"/>
      <c r="O43" s="226"/>
      <c r="P43" s="226"/>
    </row>
    <row r="44" spans="2:16" x14ac:dyDescent="0.4">
      <c r="B44" s="32" t="s">
        <v>26</v>
      </c>
      <c r="C44" s="226" t="s">
        <v>27</v>
      </c>
      <c r="D44" s="226"/>
      <c r="E44" s="226"/>
      <c r="F44" s="226"/>
      <c r="G44" s="226"/>
      <c r="H44" s="226"/>
      <c r="I44" s="226"/>
      <c r="J44" s="226"/>
      <c r="K44" s="226"/>
      <c r="L44" s="226"/>
      <c r="M44" s="226"/>
      <c r="N44" s="226"/>
      <c r="O44" s="226"/>
      <c r="P44" s="226"/>
    </row>
    <row r="45" spans="2:16" x14ac:dyDescent="0.4">
      <c r="B45" s="32" t="s">
        <v>28</v>
      </c>
      <c r="C45" s="226" t="s">
        <v>29</v>
      </c>
      <c r="D45" s="226"/>
      <c r="E45" s="226"/>
      <c r="F45" s="226"/>
      <c r="G45" s="226"/>
      <c r="H45" s="226"/>
      <c r="I45" s="226"/>
      <c r="J45" s="226"/>
      <c r="K45" s="226"/>
      <c r="L45" s="226"/>
      <c r="M45" s="226"/>
      <c r="N45" s="226"/>
      <c r="O45" s="226"/>
      <c r="P45" s="226"/>
    </row>
    <row r="46" spans="2:16" x14ac:dyDescent="0.4">
      <c r="B46" s="32" t="s">
        <v>30</v>
      </c>
      <c r="C46" s="226" t="s">
        <v>31</v>
      </c>
      <c r="D46" s="226"/>
      <c r="E46" s="226"/>
      <c r="F46" s="226"/>
      <c r="G46" s="226"/>
      <c r="H46" s="226"/>
      <c r="I46" s="226"/>
      <c r="J46" s="226"/>
      <c r="K46" s="226"/>
      <c r="L46" s="226"/>
      <c r="M46" s="226"/>
      <c r="N46" s="226"/>
      <c r="O46" s="226"/>
      <c r="P46" s="226"/>
    </row>
    <row r="47" spans="2:16" x14ac:dyDescent="0.4">
      <c r="B47" s="32" t="s">
        <v>32</v>
      </c>
      <c r="C47" s="226" t="s">
        <v>33</v>
      </c>
      <c r="D47" s="226"/>
      <c r="E47" s="226"/>
      <c r="F47" s="226"/>
      <c r="G47" s="226"/>
      <c r="H47" s="226"/>
      <c r="I47" s="226"/>
      <c r="J47" s="226"/>
      <c r="K47" s="226"/>
      <c r="L47" s="226"/>
      <c r="M47" s="226"/>
      <c r="N47" s="226"/>
      <c r="O47" s="226"/>
      <c r="P47" s="226"/>
    </row>
    <row r="48" spans="2:16" x14ac:dyDescent="0.4">
      <c r="B48" s="32" t="s">
        <v>34</v>
      </c>
      <c r="C48" s="226" t="s">
        <v>35</v>
      </c>
      <c r="D48" s="226"/>
      <c r="E48" s="226"/>
      <c r="F48" s="226"/>
      <c r="G48" s="226"/>
      <c r="H48" s="226"/>
      <c r="I48" s="226"/>
      <c r="J48" s="226"/>
      <c r="K48" s="226"/>
      <c r="L48" s="226"/>
      <c r="M48" s="226"/>
      <c r="N48" s="226"/>
      <c r="O48" s="226"/>
      <c r="P48" s="226"/>
    </row>
    <row r="49" spans="2:16" x14ac:dyDescent="0.4">
      <c r="B49" s="32" t="s">
        <v>5682</v>
      </c>
      <c r="C49" s="186" t="s">
        <v>5687</v>
      </c>
      <c r="D49" s="186"/>
      <c r="E49" s="186"/>
      <c r="F49" s="186"/>
      <c r="G49" s="186"/>
      <c r="H49" s="186"/>
      <c r="I49" s="186"/>
      <c r="J49" s="186"/>
      <c r="K49" s="186"/>
      <c r="L49" s="186"/>
      <c r="M49" s="186"/>
      <c r="N49" s="186"/>
      <c r="O49" s="186"/>
      <c r="P49" s="186"/>
    </row>
    <row r="50" spans="2:16" x14ac:dyDescent="0.4">
      <c r="B50" s="32" t="s">
        <v>5683</v>
      </c>
      <c r="C50" s="186" t="s">
        <v>5688</v>
      </c>
      <c r="D50" s="186"/>
      <c r="E50" s="186"/>
      <c r="F50" s="186"/>
      <c r="G50" s="186"/>
      <c r="H50" s="186"/>
      <c r="I50" s="186"/>
      <c r="J50" s="186"/>
      <c r="K50" s="186"/>
      <c r="L50" s="186"/>
      <c r="M50" s="186"/>
      <c r="N50" s="186"/>
      <c r="O50" s="186"/>
      <c r="P50" s="186"/>
    </row>
    <row r="51" spans="2:16" x14ac:dyDescent="0.4">
      <c r="B51" s="32" t="s">
        <v>5684</v>
      </c>
      <c r="C51" s="186" t="s">
        <v>5689</v>
      </c>
      <c r="D51" s="186"/>
      <c r="E51" s="186"/>
      <c r="F51" s="186"/>
      <c r="G51" s="186"/>
      <c r="H51" s="186"/>
      <c r="I51" s="186"/>
      <c r="J51" s="186"/>
      <c r="K51" s="186"/>
      <c r="L51" s="186"/>
      <c r="M51" s="186"/>
      <c r="N51" s="186"/>
      <c r="O51" s="186"/>
      <c r="P51" s="186"/>
    </row>
    <row r="52" spans="2:16" x14ac:dyDescent="0.4">
      <c r="B52" s="32" t="s">
        <v>36</v>
      </c>
      <c r="C52" s="226" t="s">
        <v>37</v>
      </c>
      <c r="D52" s="226"/>
      <c r="E52" s="226"/>
      <c r="F52" s="226"/>
      <c r="G52" s="226"/>
      <c r="H52" s="226"/>
      <c r="I52" s="226"/>
      <c r="J52" s="226"/>
      <c r="K52" s="226"/>
      <c r="L52" s="226"/>
      <c r="M52" s="226"/>
      <c r="N52" s="226"/>
      <c r="O52" s="226"/>
      <c r="P52" s="226"/>
    </row>
    <row r="53" spans="2:16" x14ac:dyDescent="0.4">
      <c r="B53" s="32" t="s">
        <v>38</v>
      </c>
      <c r="C53" s="226" t="s">
        <v>39</v>
      </c>
      <c r="D53" s="226"/>
      <c r="E53" s="226"/>
      <c r="F53" s="226"/>
      <c r="G53" s="226"/>
      <c r="H53" s="226"/>
      <c r="I53" s="226"/>
      <c r="J53" s="226"/>
      <c r="K53" s="226"/>
      <c r="L53" s="226"/>
      <c r="M53" s="226"/>
      <c r="N53" s="226"/>
      <c r="O53" s="226"/>
      <c r="P53" s="226"/>
    </row>
    <row r="54" spans="2:16" x14ac:dyDescent="0.4">
      <c r="B54" s="32" t="s">
        <v>40</v>
      </c>
      <c r="C54" s="226" t="s">
        <v>41</v>
      </c>
      <c r="D54" s="226"/>
      <c r="E54" s="226"/>
      <c r="F54" s="226"/>
      <c r="G54" s="226"/>
      <c r="H54" s="226"/>
      <c r="I54" s="226"/>
      <c r="J54" s="226"/>
      <c r="K54" s="226"/>
      <c r="L54" s="226"/>
      <c r="M54" s="226"/>
      <c r="N54" s="226"/>
      <c r="O54" s="226"/>
      <c r="P54" s="226"/>
    </row>
    <row r="55" spans="2:16" x14ac:dyDescent="0.4">
      <c r="B55" s="32" t="s">
        <v>42</v>
      </c>
      <c r="C55" s="226" t="s">
        <v>43</v>
      </c>
      <c r="D55" s="226"/>
      <c r="E55" s="226"/>
      <c r="F55" s="226"/>
      <c r="G55" s="226"/>
      <c r="H55" s="226"/>
      <c r="I55" s="226"/>
      <c r="J55" s="226"/>
      <c r="K55" s="226"/>
      <c r="L55" s="226"/>
      <c r="M55" s="226"/>
      <c r="N55" s="226"/>
      <c r="O55" s="226"/>
      <c r="P55" s="226"/>
    </row>
    <row r="56" spans="2:16" x14ac:dyDescent="0.4">
      <c r="B56" s="32" t="s">
        <v>44</v>
      </c>
      <c r="C56" s="226" t="s">
        <v>45</v>
      </c>
      <c r="D56" s="226"/>
      <c r="E56" s="226"/>
      <c r="F56" s="226"/>
      <c r="G56" s="226"/>
      <c r="H56" s="226"/>
      <c r="I56" s="226"/>
      <c r="J56" s="226"/>
      <c r="K56" s="226"/>
      <c r="L56" s="226"/>
      <c r="M56" s="226"/>
      <c r="N56" s="226"/>
      <c r="O56" s="226"/>
      <c r="P56" s="226"/>
    </row>
    <row r="57" spans="2:16" x14ac:dyDescent="0.4">
      <c r="B57" s="32" t="s">
        <v>46</v>
      </c>
      <c r="C57" s="226" t="s">
        <v>47</v>
      </c>
      <c r="D57" s="226"/>
      <c r="E57" s="226"/>
      <c r="F57" s="226"/>
      <c r="G57" s="226"/>
      <c r="H57" s="226"/>
      <c r="I57" s="226"/>
      <c r="J57" s="226"/>
      <c r="K57" s="226"/>
      <c r="L57" s="226"/>
      <c r="M57" s="226"/>
      <c r="N57" s="226"/>
      <c r="O57" s="226"/>
      <c r="P57" s="226"/>
    </row>
    <row r="58" spans="2:16" x14ac:dyDescent="0.4">
      <c r="B58" s="32" t="s">
        <v>48</v>
      </c>
      <c r="C58" s="226" t="s">
        <v>49</v>
      </c>
      <c r="D58" s="226"/>
      <c r="E58" s="226"/>
      <c r="F58" s="226"/>
      <c r="G58" s="226"/>
      <c r="H58" s="226"/>
      <c r="I58" s="226"/>
      <c r="J58" s="226"/>
      <c r="K58" s="226"/>
      <c r="L58" s="226"/>
      <c r="M58" s="226"/>
      <c r="N58" s="226"/>
      <c r="O58" s="226"/>
      <c r="P58" s="226"/>
    </row>
    <row r="59" spans="2:16" x14ac:dyDescent="0.4">
      <c r="B59" s="32" t="s">
        <v>50</v>
      </c>
      <c r="C59" s="226" t="s">
        <v>51</v>
      </c>
      <c r="D59" s="226"/>
      <c r="E59" s="226"/>
      <c r="F59" s="226"/>
      <c r="G59" s="226"/>
      <c r="H59" s="226"/>
      <c r="I59" s="226"/>
      <c r="J59" s="226"/>
      <c r="K59" s="226"/>
      <c r="L59" s="226"/>
      <c r="M59" s="226"/>
      <c r="N59" s="226"/>
      <c r="O59" s="226"/>
      <c r="P59" s="226"/>
    </row>
    <row r="60" spans="2:16" x14ac:dyDescent="0.4">
      <c r="B60" s="32" t="s">
        <v>52</v>
      </c>
      <c r="C60" s="226" t="s">
        <v>53</v>
      </c>
      <c r="D60" s="226"/>
      <c r="E60" s="226"/>
      <c r="F60" s="226"/>
      <c r="G60" s="226"/>
      <c r="H60" s="226"/>
      <c r="I60" s="226"/>
      <c r="J60" s="226"/>
      <c r="K60" s="226"/>
      <c r="L60" s="226"/>
      <c r="M60" s="226"/>
      <c r="N60" s="226"/>
      <c r="O60" s="226"/>
      <c r="P60" s="226"/>
    </row>
    <row r="61" spans="2:16" x14ac:dyDescent="0.4">
      <c r="B61" s="32" t="s">
        <v>54</v>
      </c>
      <c r="C61" s="226" t="s">
        <v>55</v>
      </c>
      <c r="D61" s="226"/>
      <c r="E61" s="226"/>
      <c r="F61" s="226"/>
      <c r="G61" s="226"/>
      <c r="H61" s="226"/>
      <c r="I61" s="226"/>
      <c r="J61" s="226"/>
      <c r="K61" s="226"/>
      <c r="L61" s="226"/>
      <c r="M61" s="226"/>
      <c r="N61" s="226"/>
      <c r="O61" s="226"/>
      <c r="P61" s="226"/>
    </row>
    <row r="62" spans="2:16" x14ac:dyDescent="0.4">
      <c r="B62" s="32" t="s">
        <v>56</v>
      </c>
      <c r="C62" s="226" t="s">
        <v>57</v>
      </c>
      <c r="D62" s="226"/>
      <c r="E62" s="226"/>
      <c r="F62" s="226"/>
      <c r="G62" s="226"/>
      <c r="H62" s="226"/>
      <c r="I62" s="226"/>
      <c r="J62" s="226"/>
      <c r="K62" s="226"/>
      <c r="L62" s="226"/>
      <c r="M62" s="226"/>
      <c r="N62" s="226"/>
      <c r="O62" s="226"/>
      <c r="P62" s="226"/>
    </row>
    <row r="63" spans="2:16" x14ac:dyDescent="0.4">
      <c r="B63" s="32" t="s">
        <v>58</v>
      </c>
      <c r="C63" s="226" t="s">
        <v>59</v>
      </c>
      <c r="D63" s="226"/>
      <c r="E63" s="226"/>
      <c r="F63" s="226"/>
      <c r="G63" s="226"/>
      <c r="H63" s="226"/>
      <c r="I63" s="226"/>
      <c r="J63" s="226"/>
      <c r="K63" s="226"/>
      <c r="L63" s="226"/>
      <c r="M63" s="226"/>
      <c r="N63" s="226"/>
      <c r="O63" s="226"/>
      <c r="P63" s="226"/>
    </row>
    <row r="64" spans="2:16" x14ac:dyDescent="0.4">
      <c r="B64" s="32" t="s">
        <v>60</v>
      </c>
      <c r="C64" s="226" t="s">
        <v>61</v>
      </c>
      <c r="D64" s="226"/>
      <c r="E64" s="226"/>
      <c r="F64" s="226"/>
      <c r="G64" s="226"/>
      <c r="H64" s="226"/>
      <c r="I64" s="226"/>
      <c r="J64" s="226"/>
      <c r="K64" s="226"/>
      <c r="L64" s="226"/>
      <c r="M64" s="226"/>
      <c r="N64" s="226"/>
      <c r="O64" s="226"/>
      <c r="P64" s="226"/>
    </row>
    <row r="65" spans="2:19" x14ac:dyDescent="0.4">
      <c r="B65" s="32" t="s">
        <v>62</v>
      </c>
      <c r="C65" s="227" t="s">
        <v>63</v>
      </c>
      <c r="D65" s="227"/>
      <c r="E65" s="227"/>
      <c r="F65" s="227"/>
      <c r="G65" s="227"/>
      <c r="H65" s="227"/>
      <c r="I65" s="227"/>
      <c r="J65" s="227"/>
      <c r="K65" s="227"/>
      <c r="L65" s="227"/>
      <c r="M65" s="227"/>
      <c r="N65" s="227"/>
      <c r="O65" s="227"/>
      <c r="P65" s="227"/>
      <c r="Q65" s="227"/>
      <c r="R65" s="227"/>
      <c r="S65" s="187"/>
    </row>
    <row r="66" spans="2:19" x14ac:dyDescent="0.4">
      <c r="B66" s="32" t="s">
        <v>64</v>
      </c>
      <c r="C66" s="226" t="s">
        <v>65</v>
      </c>
      <c r="D66" s="226"/>
      <c r="E66" s="226"/>
      <c r="F66" s="226"/>
      <c r="G66" s="226"/>
      <c r="H66" s="226"/>
      <c r="I66" s="226"/>
      <c r="J66" s="226"/>
      <c r="K66" s="226"/>
      <c r="L66" s="226"/>
      <c r="M66" s="226"/>
      <c r="N66" s="226"/>
      <c r="O66" s="226"/>
      <c r="P66" s="226"/>
    </row>
    <row r="67" spans="2:19" x14ac:dyDescent="0.4">
      <c r="B67" s="32" t="s">
        <v>66</v>
      </c>
      <c r="C67" s="226" t="s">
        <v>67</v>
      </c>
      <c r="D67" s="226"/>
      <c r="E67" s="226"/>
      <c r="F67" s="226"/>
      <c r="G67" s="226"/>
      <c r="H67" s="226"/>
      <c r="I67" s="226"/>
      <c r="J67" s="226"/>
      <c r="K67" s="226"/>
      <c r="L67" s="226"/>
      <c r="M67" s="226"/>
      <c r="N67" s="226"/>
      <c r="O67" s="226"/>
      <c r="P67" s="226"/>
    </row>
    <row r="68" spans="2:19" x14ac:dyDescent="0.4">
      <c r="B68" s="32" t="s">
        <v>68</v>
      </c>
      <c r="C68" s="226" t="s">
        <v>69</v>
      </c>
      <c r="D68" s="226"/>
      <c r="E68" s="226"/>
      <c r="F68" s="226"/>
      <c r="G68" s="226"/>
      <c r="H68" s="226"/>
      <c r="I68" s="226"/>
      <c r="J68" s="226"/>
      <c r="K68" s="226"/>
      <c r="L68" s="226"/>
      <c r="M68" s="226"/>
      <c r="N68" s="226"/>
      <c r="O68" s="226"/>
      <c r="P68" s="226"/>
    </row>
    <row r="69" spans="2:19" x14ac:dyDescent="0.4">
      <c r="B69" s="32" t="s">
        <v>70</v>
      </c>
      <c r="C69" s="226" t="s">
        <v>71</v>
      </c>
      <c r="D69" s="226"/>
      <c r="E69" s="226"/>
      <c r="F69" s="226"/>
      <c r="G69" s="226"/>
      <c r="H69" s="226"/>
      <c r="I69" s="226"/>
      <c r="J69" s="226"/>
      <c r="K69" s="226"/>
      <c r="L69" s="226"/>
      <c r="M69" s="226"/>
      <c r="N69" s="226"/>
      <c r="O69" s="226"/>
      <c r="P69" s="226"/>
    </row>
    <row r="70" spans="2:19" x14ac:dyDescent="0.4">
      <c r="B70" s="32" t="s">
        <v>72</v>
      </c>
      <c r="C70" s="226" t="s">
        <v>73</v>
      </c>
      <c r="D70" s="226"/>
      <c r="E70" s="226"/>
      <c r="F70" s="226"/>
      <c r="G70" s="226"/>
      <c r="H70" s="226"/>
      <c r="I70" s="226"/>
      <c r="J70" s="226"/>
      <c r="K70" s="226"/>
      <c r="L70" s="226"/>
      <c r="M70" s="226"/>
      <c r="N70" s="226"/>
      <c r="O70" s="226"/>
      <c r="P70" s="226"/>
    </row>
    <row r="71" spans="2:19" x14ac:dyDescent="0.4">
      <c r="B71" s="32" t="s">
        <v>74</v>
      </c>
      <c r="C71" s="226" t="s">
        <v>75</v>
      </c>
      <c r="D71" s="226"/>
      <c r="E71" s="226"/>
      <c r="F71" s="226"/>
      <c r="G71" s="226"/>
      <c r="H71" s="226"/>
      <c r="I71" s="226"/>
      <c r="J71" s="226"/>
      <c r="K71" s="226"/>
      <c r="L71" s="226"/>
      <c r="M71" s="226"/>
      <c r="N71" s="226"/>
      <c r="O71" s="226"/>
      <c r="P71" s="226"/>
    </row>
    <row r="72" spans="2:19" x14ac:dyDescent="0.4">
      <c r="B72" s="32" t="s">
        <v>76</v>
      </c>
      <c r="C72" s="226" t="s">
        <v>77</v>
      </c>
      <c r="D72" s="226"/>
      <c r="E72" s="226"/>
      <c r="F72" s="226"/>
      <c r="G72" s="226"/>
      <c r="H72" s="226"/>
      <c r="I72" s="226"/>
      <c r="J72" s="226"/>
      <c r="K72" s="226"/>
      <c r="L72" s="226"/>
      <c r="M72" s="226"/>
      <c r="N72" s="226"/>
      <c r="O72" s="226"/>
      <c r="P72" s="226"/>
    </row>
    <row r="73" spans="2:19" x14ac:dyDescent="0.4">
      <c r="B73" s="32" t="s">
        <v>78</v>
      </c>
      <c r="C73" s="226" t="s">
        <v>79</v>
      </c>
      <c r="D73" s="226"/>
      <c r="E73" s="226"/>
      <c r="F73" s="226"/>
      <c r="G73" s="226"/>
      <c r="H73" s="226"/>
      <c r="I73" s="226"/>
      <c r="J73" s="226"/>
      <c r="K73" s="226"/>
      <c r="L73" s="226"/>
      <c r="M73" s="226"/>
      <c r="N73" s="226"/>
      <c r="O73" s="226"/>
      <c r="P73" s="226"/>
    </row>
    <row r="74" spans="2:19" x14ac:dyDescent="0.4">
      <c r="B74" s="32" t="s">
        <v>80</v>
      </c>
      <c r="C74" s="226" t="s">
        <v>81</v>
      </c>
      <c r="D74" s="226"/>
      <c r="E74" s="226"/>
      <c r="F74" s="226"/>
      <c r="G74" s="226"/>
      <c r="H74" s="226"/>
      <c r="I74" s="226"/>
      <c r="J74" s="226"/>
      <c r="K74" s="226"/>
      <c r="L74" s="226"/>
      <c r="M74" s="226"/>
      <c r="N74" s="226"/>
      <c r="O74" s="226"/>
      <c r="P74" s="226"/>
    </row>
    <row r="75" spans="2:19" x14ac:dyDescent="0.4">
      <c r="B75" s="32" t="s">
        <v>82</v>
      </c>
      <c r="C75" s="226" t="s">
        <v>83</v>
      </c>
      <c r="D75" s="226"/>
      <c r="E75" s="226"/>
      <c r="F75" s="226"/>
      <c r="G75" s="226"/>
      <c r="H75" s="226"/>
      <c r="I75" s="226"/>
      <c r="J75" s="226"/>
      <c r="K75" s="226"/>
      <c r="L75" s="226"/>
      <c r="M75" s="226"/>
      <c r="N75" s="226"/>
      <c r="O75" s="226"/>
      <c r="P75" s="226"/>
    </row>
    <row r="76" spans="2:19" x14ac:dyDescent="0.4">
      <c r="B76" s="32" t="s">
        <v>84</v>
      </c>
      <c r="C76" s="226" t="s">
        <v>85</v>
      </c>
      <c r="D76" s="226"/>
      <c r="E76" s="226"/>
      <c r="F76" s="226"/>
      <c r="G76" s="226"/>
      <c r="H76" s="226"/>
      <c r="I76" s="226"/>
      <c r="J76" s="226"/>
      <c r="K76" s="226"/>
      <c r="L76" s="226"/>
      <c r="M76" s="226"/>
      <c r="N76" s="226"/>
      <c r="O76" s="226"/>
      <c r="P76" s="226"/>
    </row>
    <row r="77" spans="2:19" x14ac:dyDescent="0.4">
      <c r="B77" s="32" t="s">
        <v>86</v>
      </c>
      <c r="C77" s="226" t="s">
        <v>87</v>
      </c>
      <c r="D77" s="226"/>
      <c r="E77" s="226"/>
      <c r="F77" s="226"/>
      <c r="G77" s="226"/>
      <c r="H77" s="226"/>
      <c r="I77" s="226"/>
      <c r="J77" s="226"/>
      <c r="K77" s="226"/>
      <c r="L77" s="226"/>
      <c r="M77" s="226"/>
      <c r="N77" s="226"/>
      <c r="O77" s="226"/>
      <c r="P77" s="226"/>
    </row>
    <row r="78" spans="2:19" x14ac:dyDescent="0.4">
      <c r="B78" s="32" t="s">
        <v>88</v>
      </c>
      <c r="C78" s="226" t="s">
        <v>89</v>
      </c>
      <c r="D78" s="226"/>
      <c r="E78" s="226"/>
      <c r="F78" s="226"/>
      <c r="G78" s="226"/>
      <c r="H78" s="226"/>
      <c r="I78" s="226"/>
      <c r="J78" s="226"/>
      <c r="K78" s="226"/>
      <c r="L78" s="226"/>
      <c r="M78" s="226"/>
      <c r="N78" s="226"/>
      <c r="O78" s="226"/>
      <c r="P78" s="226"/>
    </row>
    <row r="79" spans="2:19" x14ac:dyDescent="0.4">
      <c r="B79" s="32" t="s">
        <v>90</v>
      </c>
      <c r="C79" s="226" t="s">
        <v>91</v>
      </c>
      <c r="D79" s="226"/>
      <c r="E79" s="226"/>
      <c r="F79" s="226"/>
      <c r="G79" s="226"/>
      <c r="H79" s="226"/>
      <c r="I79" s="226"/>
      <c r="J79" s="226"/>
      <c r="K79" s="226"/>
      <c r="L79" s="226"/>
      <c r="M79" s="226"/>
      <c r="N79" s="226"/>
      <c r="O79" s="226"/>
      <c r="P79" s="226"/>
    </row>
    <row r="80" spans="2:19" x14ac:dyDescent="0.4">
      <c r="B80" s="32" t="s">
        <v>92</v>
      </c>
      <c r="C80" s="226" t="s">
        <v>93</v>
      </c>
      <c r="D80" s="226"/>
      <c r="E80" s="226"/>
      <c r="F80" s="226"/>
      <c r="G80" s="226"/>
      <c r="H80" s="226"/>
      <c r="I80" s="226"/>
      <c r="J80" s="226"/>
      <c r="K80" s="226"/>
      <c r="L80" s="226"/>
      <c r="M80" s="226"/>
      <c r="N80" s="226"/>
      <c r="O80" s="226"/>
      <c r="P80" s="226"/>
    </row>
    <row r="81" spans="2:16" x14ac:dyDescent="0.4">
      <c r="B81" s="32" t="s">
        <v>94</v>
      </c>
      <c r="C81" s="226" t="s">
        <v>95</v>
      </c>
      <c r="D81" s="226"/>
      <c r="E81" s="226"/>
      <c r="F81" s="226"/>
      <c r="G81" s="226"/>
      <c r="H81" s="226"/>
      <c r="I81" s="226"/>
      <c r="J81" s="226"/>
      <c r="K81" s="226"/>
      <c r="L81" s="226"/>
      <c r="M81" s="226"/>
      <c r="N81" s="226"/>
      <c r="O81" s="226"/>
      <c r="P81" s="226"/>
    </row>
    <row r="82" spans="2:16" x14ac:dyDescent="0.4">
      <c r="B82" s="32" t="s">
        <v>96</v>
      </c>
      <c r="C82" s="226" t="s">
        <v>97</v>
      </c>
      <c r="D82" s="226"/>
      <c r="E82" s="226"/>
      <c r="F82" s="226"/>
      <c r="G82" s="226"/>
      <c r="H82" s="226"/>
      <c r="I82" s="226"/>
      <c r="J82" s="226"/>
      <c r="K82" s="226"/>
      <c r="L82" s="226"/>
      <c r="M82" s="226"/>
      <c r="N82" s="226"/>
      <c r="O82" s="226"/>
      <c r="P82" s="226"/>
    </row>
    <row r="83" spans="2:16" x14ac:dyDescent="0.4">
      <c r="B83" s="32" t="s">
        <v>98</v>
      </c>
      <c r="C83" s="226" t="s">
        <v>99</v>
      </c>
      <c r="D83" s="226"/>
      <c r="E83" s="226"/>
      <c r="F83" s="226"/>
      <c r="G83" s="226"/>
      <c r="H83" s="226"/>
      <c r="I83" s="226"/>
      <c r="J83" s="226"/>
      <c r="K83" s="226"/>
      <c r="L83" s="226"/>
      <c r="M83" s="226"/>
      <c r="N83" s="226"/>
      <c r="O83" s="226"/>
      <c r="P83" s="226"/>
    </row>
    <row r="84" spans="2:16" x14ac:dyDescent="0.4">
      <c r="B84" s="32" t="s">
        <v>100</v>
      </c>
      <c r="C84" s="226" t="s">
        <v>101</v>
      </c>
      <c r="D84" s="226"/>
      <c r="E84" s="226"/>
      <c r="F84" s="226"/>
      <c r="G84" s="226"/>
      <c r="H84" s="226"/>
      <c r="I84" s="226"/>
      <c r="J84" s="226"/>
      <c r="K84" s="226"/>
      <c r="L84" s="226"/>
      <c r="M84" s="226"/>
      <c r="N84" s="226"/>
      <c r="O84" s="226"/>
      <c r="P84" s="226"/>
    </row>
    <row r="85" spans="2:16" x14ac:dyDescent="0.4">
      <c r="B85" s="32" t="s">
        <v>102</v>
      </c>
      <c r="C85" s="226" t="s">
        <v>103</v>
      </c>
      <c r="D85" s="226"/>
      <c r="E85" s="226"/>
      <c r="F85" s="226"/>
      <c r="G85" s="226"/>
      <c r="H85" s="226"/>
      <c r="I85" s="226"/>
      <c r="J85" s="226"/>
      <c r="K85" s="226"/>
      <c r="L85" s="226"/>
      <c r="M85" s="226"/>
      <c r="N85" s="226"/>
      <c r="O85" s="226"/>
      <c r="P85" s="226"/>
    </row>
    <row r="86" spans="2:16" x14ac:dyDescent="0.4">
      <c r="B86" s="32" t="s">
        <v>104</v>
      </c>
      <c r="C86" s="226" t="s">
        <v>105</v>
      </c>
      <c r="D86" s="226"/>
      <c r="E86" s="226"/>
      <c r="F86" s="226"/>
      <c r="G86" s="226"/>
      <c r="H86" s="226"/>
      <c r="I86" s="226"/>
      <c r="J86" s="226"/>
      <c r="K86" s="226"/>
      <c r="L86" s="226"/>
      <c r="M86" s="226"/>
      <c r="N86" s="226"/>
      <c r="O86" s="226"/>
      <c r="P86" s="226"/>
    </row>
    <row r="87" spans="2:16" x14ac:dyDescent="0.4">
      <c r="B87" s="32" t="s">
        <v>106</v>
      </c>
      <c r="C87" s="226" t="s">
        <v>107</v>
      </c>
      <c r="D87" s="226"/>
      <c r="E87" s="226"/>
      <c r="F87" s="226"/>
      <c r="G87" s="226"/>
      <c r="H87" s="226"/>
      <c r="I87" s="226"/>
      <c r="J87" s="226"/>
      <c r="K87" s="226"/>
      <c r="L87" s="226"/>
      <c r="M87" s="226"/>
      <c r="N87" s="226"/>
      <c r="O87" s="226"/>
      <c r="P87" s="226"/>
    </row>
    <row r="88" spans="2:16" x14ac:dyDescent="0.4">
      <c r="B88" s="32" t="s">
        <v>108</v>
      </c>
      <c r="C88" s="226" t="s">
        <v>109</v>
      </c>
      <c r="D88" s="226"/>
      <c r="E88" s="226"/>
      <c r="F88" s="226"/>
      <c r="G88" s="226"/>
      <c r="H88" s="226"/>
      <c r="I88" s="226"/>
      <c r="J88" s="226"/>
      <c r="K88" s="226"/>
      <c r="L88" s="226"/>
      <c r="M88" s="226"/>
      <c r="N88" s="226"/>
      <c r="O88" s="226"/>
      <c r="P88" s="226"/>
    </row>
    <row r="89" spans="2:16" x14ac:dyDescent="0.4">
      <c r="B89" s="32" t="s">
        <v>110</v>
      </c>
      <c r="C89" s="226" t="s">
        <v>111</v>
      </c>
      <c r="D89" s="226"/>
      <c r="E89" s="226"/>
      <c r="F89" s="226"/>
      <c r="G89" s="226"/>
      <c r="H89" s="226"/>
      <c r="I89" s="226"/>
      <c r="J89" s="226"/>
      <c r="K89" s="226"/>
      <c r="L89" s="226"/>
      <c r="M89" s="226"/>
      <c r="N89" s="226"/>
      <c r="O89" s="226"/>
      <c r="P89" s="226"/>
    </row>
    <row r="90" spans="2:16" x14ac:dyDescent="0.4">
      <c r="B90" s="32" t="s">
        <v>112</v>
      </c>
      <c r="C90" s="226" t="s">
        <v>113</v>
      </c>
      <c r="D90" s="226"/>
      <c r="E90" s="226"/>
      <c r="F90" s="226"/>
      <c r="G90" s="226"/>
      <c r="H90" s="226"/>
      <c r="I90" s="226"/>
      <c r="J90" s="226"/>
      <c r="K90" s="226"/>
      <c r="L90" s="226"/>
      <c r="M90" s="226"/>
      <c r="N90" s="226"/>
      <c r="O90" s="226"/>
      <c r="P90" s="226"/>
    </row>
    <row r="91" spans="2:16" x14ac:dyDescent="0.4">
      <c r="B91" s="32" t="s">
        <v>114</v>
      </c>
      <c r="C91" s="226" t="s">
        <v>115</v>
      </c>
      <c r="D91" s="226"/>
      <c r="E91" s="226"/>
      <c r="F91" s="226"/>
      <c r="G91" s="226"/>
      <c r="H91" s="226"/>
      <c r="I91" s="226"/>
      <c r="J91" s="226"/>
      <c r="K91" s="226"/>
      <c r="L91" s="226"/>
      <c r="M91" s="226"/>
      <c r="N91" s="226"/>
      <c r="O91" s="226"/>
      <c r="P91" s="226"/>
    </row>
    <row r="92" spans="2:16" x14ac:dyDescent="0.4">
      <c r="B92" s="32" t="s">
        <v>116</v>
      </c>
      <c r="C92" s="226" t="s">
        <v>117</v>
      </c>
      <c r="D92" s="226"/>
      <c r="E92" s="226"/>
      <c r="F92" s="226"/>
      <c r="G92" s="226"/>
      <c r="H92" s="226"/>
      <c r="I92" s="226"/>
      <c r="J92" s="226"/>
      <c r="K92" s="226"/>
      <c r="L92" s="226"/>
      <c r="M92" s="226"/>
      <c r="N92" s="226"/>
      <c r="O92" s="226"/>
      <c r="P92" s="226"/>
    </row>
    <row r="93" spans="2:16" x14ac:dyDescent="0.4">
      <c r="B93" s="32" t="s">
        <v>118</v>
      </c>
      <c r="C93" s="226" t="s">
        <v>119</v>
      </c>
      <c r="D93" s="226"/>
      <c r="E93" s="226"/>
      <c r="F93" s="226"/>
      <c r="G93" s="226"/>
      <c r="H93" s="226"/>
      <c r="I93" s="226"/>
      <c r="J93" s="226"/>
      <c r="K93" s="226"/>
      <c r="L93" s="226"/>
      <c r="M93" s="226"/>
      <c r="N93" s="226"/>
      <c r="O93" s="226"/>
      <c r="P93" s="226"/>
    </row>
    <row r="94" spans="2:16" x14ac:dyDescent="0.4">
      <c r="B94" s="32" t="s">
        <v>120</v>
      </c>
      <c r="C94" s="226" t="s">
        <v>121</v>
      </c>
      <c r="D94" s="226"/>
      <c r="E94" s="226"/>
      <c r="F94" s="226"/>
      <c r="G94" s="226"/>
      <c r="H94" s="226"/>
      <c r="I94" s="226"/>
      <c r="J94" s="226"/>
      <c r="K94" s="226"/>
      <c r="L94" s="226"/>
      <c r="M94" s="226"/>
      <c r="N94" s="226"/>
      <c r="O94" s="226"/>
      <c r="P94" s="226"/>
    </row>
    <row r="95" spans="2:16" x14ac:dyDescent="0.4">
      <c r="B95" s="32" t="s">
        <v>122</v>
      </c>
      <c r="C95" s="186" t="s">
        <v>123</v>
      </c>
    </row>
    <row r="96" spans="2:16" x14ac:dyDescent="0.4">
      <c r="B96" s="74"/>
    </row>
    <row r="97" spans="2:2" x14ac:dyDescent="0.4">
      <c r="B97" s="74"/>
    </row>
    <row r="98" spans="2:2" x14ac:dyDescent="0.4">
      <c r="B98" s="61"/>
    </row>
    <row r="99" spans="2:2" x14ac:dyDescent="0.4">
      <c r="B99" s="32"/>
    </row>
    <row r="100" spans="2:2" x14ac:dyDescent="0.4">
      <c r="B100" s="32"/>
    </row>
    <row r="101" spans="2:2" x14ac:dyDescent="0.4">
      <c r="B101" s="32"/>
    </row>
    <row r="102" spans="2:2" x14ac:dyDescent="0.4">
      <c r="B102" s="32"/>
    </row>
    <row r="103" spans="2:2" x14ac:dyDescent="0.4">
      <c r="B103" s="32"/>
    </row>
    <row r="104" spans="2:2" x14ac:dyDescent="0.4">
      <c r="B104" s="32"/>
    </row>
    <row r="105" spans="2:2" x14ac:dyDescent="0.4">
      <c r="B105" s="32"/>
    </row>
    <row r="106" spans="2:2" x14ac:dyDescent="0.4">
      <c r="B106" s="32"/>
    </row>
  </sheetData>
  <mergeCells count="57">
    <mergeCell ref="C20:R21"/>
    <mergeCell ref="B14:P18"/>
    <mergeCell ref="B5:P6"/>
    <mergeCell ref="B2:P3"/>
    <mergeCell ref="B10:P10"/>
    <mergeCell ref="C43:P43"/>
    <mergeCell ref="C40:P40"/>
    <mergeCell ref="C41:P41"/>
    <mergeCell ref="C42:P42"/>
    <mergeCell ref="C45:P45"/>
    <mergeCell ref="C44:P44"/>
    <mergeCell ref="C46:P46"/>
    <mergeCell ref="C47:P47"/>
    <mergeCell ref="C48:P48"/>
    <mergeCell ref="C52:P52"/>
    <mergeCell ref="C54:P54"/>
    <mergeCell ref="C53:P53"/>
    <mergeCell ref="C55:P55"/>
    <mergeCell ref="C56:P56"/>
    <mergeCell ref="C59:P59"/>
    <mergeCell ref="C60:P60"/>
    <mergeCell ref="C61:P61"/>
    <mergeCell ref="C57:P57"/>
    <mergeCell ref="C58:P58"/>
    <mergeCell ref="C63:P63"/>
    <mergeCell ref="C64:P64"/>
    <mergeCell ref="C66:P66"/>
    <mergeCell ref="C67:P67"/>
    <mergeCell ref="C65:R65"/>
    <mergeCell ref="C68:P68"/>
    <mergeCell ref="C69:P69"/>
    <mergeCell ref="C70:P70"/>
    <mergeCell ref="C71:P71"/>
    <mergeCell ref="C72:P72"/>
    <mergeCell ref="C81:P81"/>
    <mergeCell ref="C82:P82"/>
    <mergeCell ref="C73:P73"/>
    <mergeCell ref="C74:P74"/>
    <mergeCell ref="C75:P75"/>
    <mergeCell ref="C76:P76"/>
    <mergeCell ref="C77:P77"/>
    <mergeCell ref="C62:P62"/>
    <mergeCell ref="C94:P94"/>
    <mergeCell ref="C88:P88"/>
    <mergeCell ref="C89:P89"/>
    <mergeCell ref="C90:P90"/>
    <mergeCell ref="C91:P91"/>
    <mergeCell ref="C92:P92"/>
    <mergeCell ref="C93:P93"/>
    <mergeCell ref="C83:P83"/>
    <mergeCell ref="C84:P84"/>
    <mergeCell ref="C85:P85"/>
    <mergeCell ref="C86:P86"/>
    <mergeCell ref="C87:P87"/>
    <mergeCell ref="C78:P78"/>
    <mergeCell ref="C79:P79"/>
    <mergeCell ref="C80:P80"/>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9BF06-1A51-494B-94F5-042FC64B248F}">
  <sheetPr codeName="Sheet10">
    <tabColor theme="5" tint="0.39997558519241921"/>
  </sheetPr>
  <dimension ref="B2:K71"/>
  <sheetViews>
    <sheetView workbookViewId="0"/>
  </sheetViews>
  <sheetFormatPr baseColWidth="10" defaultColWidth="8.75" defaultRowHeight="15.5" x14ac:dyDescent="0.35"/>
  <cols>
    <col min="1" max="16384" width="8.75" style="1"/>
  </cols>
  <sheetData>
    <row r="2" spans="2:11" ht="25.9" customHeight="1" x14ac:dyDescent="0.7">
      <c r="B2" s="21" t="s">
        <v>5185</v>
      </c>
    </row>
    <row r="3" spans="2:11" x14ac:dyDescent="0.35">
      <c r="I3" s="140"/>
      <c r="J3" s="141"/>
      <c r="K3" s="141"/>
    </row>
    <row r="4" spans="2:11" ht="64.900000000000006" customHeight="1" x14ac:dyDescent="0.35">
      <c r="B4" s="232" t="s">
        <v>5186</v>
      </c>
      <c r="C4" s="232"/>
      <c r="D4" s="232"/>
      <c r="E4" s="232"/>
      <c r="F4" s="232"/>
      <c r="G4" s="232"/>
      <c r="H4" s="232"/>
      <c r="I4" s="232"/>
      <c r="J4" s="232"/>
      <c r="K4" s="141"/>
    </row>
    <row r="5" spans="2:11" x14ac:dyDescent="0.35">
      <c r="I5" s="140"/>
      <c r="J5" s="141"/>
      <c r="K5" s="141"/>
    </row>
    <row r="6" spans="2:11" ht="21" customHeight="1" x14ac:dyDescent="0.35">
      <c r="B6" s="68" t="s">
        <v>5187</v>
      </c>
      <c r="C6" s="69" t="s">
        <v>132</v>
      </c>
      <c r="D6" s="69" t="s">
        <v>3284</v>
      </c>
      <c r="E6" s="69" t="s">
        <v>2145</v>
      </c>
      <c r="F6" s="69" t="s">
        <v>3274</v>
      </c>
      <c r="I6" s="140"/>
      <c r="J6" s="142"/>
      <c r="K6" s="141"/>
    </row>
    <row r="7" spans="2:11" x14ac:dyDescent="0.35">
      <c r="B7" s="93">
        <v>2019</v>
      </c>
      <c r="C7" s="7">
        <v>1</v>
      </c>
      <c r="D7" s="145">
        <v>1.1194999999999999</v>
      </c>
      <c r="E7" s="145">
        <v>0.87777000000000005</v>
      </c>
      <c r="F7" s="145">
        <v>4.2976000000000001</v>
      </c>
      <c r="I7" s="140"/>
      <c r="J7" s="140"/>
      <c r="K7" s="141"/>
    </row>
    <row r="8" spans="2:11" x14ac:dyDescent="0.35">
      <c r="B8" s="93">
        <v>2020</v>
      </c>
      <c r="C8" s="7">
        <v>1</v>
      </c>
      <c r="D8" s="145">
        <v>1.1422000000000001</v>
      </c>
      <c r="E8" s="145">
        <v>0.88970000000000005</v>
      </c>
      <c r="F8" s="145">
        <v>4.4429999999999996</v>
      </c>
      <c r="I8" s="141"/>
      <c r="J8" s="141"/>
      <c r="K8" s="141"/>
    </row>
    <row r="9" spans="2:11" x14ac:dyDescent="0.35">
      <c r="B9" s="93">
        <v>2021</v>
      </c>
      <c r="C9" s="7">
        <v>1</v>
      </c>
      <c r="D9" s="145">
        <v>1.1827000000000001</v>
      </c>
      <c r="E9" s="145">
        <v>0.85960000000000003</v>
      </c>
      <c r="F9" s="145">
        <v>4.5651999999999999</v>
      </c>
      <c r="I9" s="142"/>
      <c r="J9" s="141"/>
      <c r="K9" s="140"/>
    </row>
    <row r="10" spans="2:11" x14ac:dyDescent="0.35">
      <c r="B10" s="93">
        <v>2022</v>
      </c>
      <c r="C10" s="7">
        <v>1</v>
      </c>
      <c r="D10" s="145">
        <v>1.0529999999999999</v>
      </c>
      <c r="E10" s="145">
        <v>0.85275999999999996</v>
      </c>
      <c r="F10" s="145">
        <v>4.6860999999999997</v>
      </c>
      <c r="I10" s="142"/>
      <c r="J10" s="141"/>
      <c r="K10" s="140"/>
    </row>
    <row r="11" spans="2:11" x14ac:dyDescent="0.35">
      <c r="B11" s="93">
        <v>2023</v>
      </c>
      <c r="C11" s="7">
        <v>1</v>
      </c>
      <c r="D11" s="145">
        <v>1.0812999999999999</v>
      </c>
      <c r="E11" s="145">
        <v>0.86978999999999995</v>
      </c>
      <c r="F11" s="145">
        <v>4.5419999999999998</v>
      </c>
      <c r="I11" s="142"/>
      <c r="J11" s="141"/>
      <c r="K11" s="140"/>
    </row>
    <row r="12" spans="2:11" x14ac:dyDescent="0.35">
      <c r="B12" s="93">
        <v>2024</v>
      </c>
      <c r="C12" s="7">
        <v>1</v>
      </c>
      <c r="D12" s="145">
        <v>1.0824</v>
      </c>
      <c r="E12" s="145">
        <v>0.84662000000000004</v>
      </c>
      <c r="F12" s="145">
        <v>4.3057999999999996</v>
      </c>
    </row>
    <row r="13" spans="2:11" x14ac:dyDescent="0.35">
      <c r="B13" s="93">
        <v>2025</v>
      </c>
      <c r="C13" s="7">
        <v>1</v>
      </c>
      <c r="D13" s="145">
        <v>1.1299999999999999</v>
      </c>
      <c r="E13" s="145">
        <v>0.85679000000000005</v>
      </c>
      <c r="F13" s="145">
        <v>4.2397</v>
      </c>
    </row>
    <row r="14" spans="2:11" x14ac:dyDescent="0.35">
      <c r="B14" s="93">
        <v>2026</v>
      </c>
      <c r="C14" s="7">
        <v>1</v>
      </c>
      <c r="D14" s="145">
        <v>1.1738</v>
      </c>
      <c r="E14" s="145">
        <v>0.86828000000000005</v>
      </c>
      <c r="F14" s="145">
        <v>4.2126999999999999</v>
      </c>
    </row>
    <row r="15" spans="2:11" x14ac:dyDescent="0.35">
      <c r="B15" s="17"/>
      <c r="C15" s="7"/>
      <c r="D15" s="145"/>
      <c r="E15" s="145"/>
      <c r="F15" s="145"/>
    </row>
    <row r="16" spans="2:11" x14ac:dyDescent="0.35">
      <c r="B16" s="17"/>
    </row>
    <row r="17" spans="2:2" x14ac:dyDescent="0.35">
      <c r="B17" s="17"/>
    </row>
    <row r="18" spans="2:2" x14ac:dyDescent="0.35">
      <c r="B18" s="17"/>
    </row>
    <row r="19" spans="2:2" x14ac:dyDescent="0.35">
      <c r="B19" s="17"/>
    </row>
    <row r="20" spans="2:2" x14ac:dyDescent="0.35">
      <c r="B20" s="17"/>
    </row>
    <row r="21" spans="2:2" x14ac:dyDescent="0.35">
      <c r="B21" s="17"/>
    </row>
    <row r="22" spans="2:2" x14ac:dyDescent="0.35">
      <c r="B22" s="17"/>
    </row>
    <row r="23" spans="2:2" x14ac:dyDescent="0.35">
      <c r="B23" s="17"/>
    </row>
    <row r="24" spans="2:2" x14ac:dyDescent="0.35">
      <c r="B24" s="17"/>
    </row>
    <row r="25" spans="2:2" x14ac:dyDescent="0.35">
      <c r="B25" s="17"/>
    </row>
    <row r="26" spans="2:2" x14ac:dyDescent="0.35">
      <c r="B26" s="17"/>
    </row>
    <row r="27" spans="2:2" x14ac:dyDescent="0.35">
      <c r="B27" s="17"/>
    </row>
    <row r="28" spans="2:2" x14ac:dyDescent="0.35">
      <c r="B28" s="17"/>
    </row>
    <row r="29" spans="2:2" x14ac:dyDescent="0.35">
      <c r="B29" s="17"/>
    </row>
    <row r="30" spans="2:2" x14ac:dyDescent="0.35">
      <c r="B30" s="17"/>
    </row>
    <row r="31" spans="2:2" x14ac:dyDescent="0.35">
      <c r="B31" s="17"/>
    </row>
    <row r="32" spans="2:2" x14ac:dyDescent="0.35">
      <c r="B32" s="17"/>
    </row>
    <row r="33" spans="2:2" x14ac:dyDescent="0.35">
      <c r="B33" s="17"/>
    </row>
    <row r="34" spans="2:2" x14ac:dyDescent="0.35">
      <c r="B34" s="17"/>
    </row>
    <row r="35" spans="2:2" x14ac:dyDescent="0.35">
      <c r="B35" s="17"/>
    </row>
    <row r="36" spans="2:2" x14ac:dyDescent="0.35">
      <c r="B36" s="17"/>
    </row>
    <row r="37" spans="2:2" x14ac:dyDescent="0.35">
      <c r="B37" s="17"/>
    </row>
    <row r="38" spans="2:2" x14ac:dyDescent="0.35">
      <c r="B38" s="17"/>
    </row>
    <row r="39" spans="2:2" x14ac:dyDescent="0.35">
      <c r="B39" s="17"/>
    </row>
    <row r="40" spans="2:2" x14ac:dyDescent="0.35">
      <c r="B40" s="17"/>
    </row>
    <row r="41" spans="2:2" x14ac:dyDescent="0.35">
      <c r="B41" s="17"/>
    </row>
    <row r="42" spans="2:2" x14ac:dyDescent="0.35">
      <c r="B42" s="17"/>
    </row>
    <row r="43" spans="2:2" x14ac:dyDescent="0.35">
      <c r="B43" s="17"/>
    </row>
    <row r="44" spans="2:2" x14ac:dyDescent="0.35">
      <c r="B44" s="17"/>
    </row>
    <row r="45" spans="2:2" x14ac:dyDescent="0.35">
      <c r="B45" s="17"/>
    </row>
    <row r="46" spans="2:2" x14ac:dyDescent="0.35">
      <c r="B46" s="17"/>
    </row>
    <row r="47" spans="2:2" x14ac:dyDescent="0.35">
      <c r="B47" s="17"/>
    </row>
    <row r="48" spans="2:2" x14ac:dyDescent="0.35">
      <c r="B48" s="17"/>
    </row>
    <row r="49" spans="2:2" x14ac:dyDescent="0.35">
      <c r="B49" s="17"/>
    </row>
    <row r="50" spans="2:2" x14ac:dyDescent="0.35">
      <c r="B50" s="17"/>
    </row>
    <row r="51" spans="2:2" x14ac:dyDescent="0.35">
      <c r="B51" s="17"/>
    </row>
    <row r="52" spans="2:2" x14ac:dyDescent="0.35">
      <c r="B52" s="17"/>
    </row>
    <row r="53" spans="2:2" x14ac:dyDescent="0.35">
      <c r="B53" s="17"/>
    </row>
    <row r="54" spans="2:2" x14ac:dyDescent="0.35">
      <c r="B54" s="17"/>
    </row>
    <row r="55" spans="2:2" x14ac:dyDescent="0.35">
      <c r="B55" s="17"/>
    </row>
    <row r="56" spans="2:2" x14ac:dyDescent="0.35">
      <c r="B56" s="17"/>
    </row>
    <row r="57" spans="2:2" x14ac:dyDescent="0.35">
      <c r="B57" s="17"/>
    </row>
    <row r="58" spans="2:2" x14ac:dyDescent="0.35">
      <c r="B58" s="17"/>
    </row>
    <row r="59" spans="2:2" x14ac:dyDescent="0.35">
      <c r="B59" s="17"/>
    </row>
    <row r="60" spans="2:2" x14ac:dyDescent="0.35">
      <c r="B60" s="17"/>
    </row>
    <row r="61" spans="2:2" x14ac:dyDescent="0.35">
      <c r="B61" s="17"/>
    </row>
    <row r="62" spans="2:2" x14ac:dyDescent="0.35">
      <c r="B62" s="17"/>
    </row>
    <row r="63" spans="2:2" x14ac:dyDescent="0.35">
      <c r="B63" s="17"/>
    </row>
    <row r="64" spans="2:2" x14ac:dyDescent="0.35">
      <c r="B64" s="17"/>
    </row>
    <row r="65" spans="2:2" x14ac:dyDescent="0.35">
      <c r="B65" s="17"/>
    </row>
    <row r="66" spans="2:2" x14ac:dyDescent="0.35">
      <c r="B66" s="17"/>
    </row>
    <row r="67" spans="2:2" x14ac:dyDescent="0.35">
      <c r="B67" s="17"/>
    </row>
    <row r="68" spans="2:2" x14ac:dyDescent="0.35">
      <c r="B68" s="17"/>
    </row>
    <row r="69" spans="2:2" x14ac:dyDescent="0.35">
      <c r="B69" s="17"/>
    </row>
    <row r="70" spans="2:2" x14ac:dyDescent="0.35">
      <c r="B70" s="17"/>
    </row>
    <row r="71" spans="2:2" x14ac:dyDescent="0.35">
      <c r="B71" s="17"/>
    </row>
  </sheetData>
  <mergeCells count="1">
    <mergeCell ref="B4:J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26BA9-5EBF-41A2-A3C4-08B1CF2F9358}">
  <sheetPr codeName="Sheet11">
    <tabColor theme="8" tint="0.59999389629810485"/>
  </sheetPr>
  <dimension ref="A2:AJ16"/>
  <sheetViews>
    <sheetView zoomScaleNormal="100" workbookViewId="0"/>
  </sheetViews>
  <sheetFormatPr baseColWidth="10" defaultColWidth="8.75" defaultRowHeight="15.5" x14ac:dyDescent="0.35"/>
  <cols>
    <col min="1" max="2" width="8.75" style="1"/>
    <col min="3" max="5" width="8.75" style="1" customWidth="1"/>
    <col min="6" max="16384" width="8.75" style="1"/>
  </cols>
  <sheetData>
    <row r="2" spans="1:36" ht="25.9" customHeight="1" x14ac:dyDescent="0.7">
      <c r="B2" s="16" t="s">
        <v>5619</v>
      </c>
      <c r="AJ2" s="5"/>
    </row>
    <row r="3" spans="1:36" x14ac:dyDescent="0.35">
      <c r="Z3" s="5"/>
      <c r="AJ3" s="5"/>
    </row>
    <row r="4" spans="1:36" ht="130.15" customHeight="1" x14ac:dyDescent="0.35">
      <c r="B4" s="232" t="s">
        <v>5616</v>
      </c>
      <c r="C4" s="232"/>
      <c r="D4" s="232"/>
      <c r="E4" s="232"/>
      <c r="F4" s="232"/>
      <c r="G4" s="232"/>
      <c r="H4" s="232"/>
      <c r="I4" s="232"/>
      <c r="J4" s="232"/>
      <c r="P4" s="90"/>
      <c r="Z4" s="5"/>
      <c r="AJ4" s="5"/>
    </row>
    <row r="6" spans="1:36" ht="19.899999999999999" customHeight="1" x14ac:dyDescent="0.35">
      <c r="B6" s="68" t="s">
        <v>5187</v>
      </c>
      <c r="C6" s="69">
        <v>2020</v>
      </c>
      <c r="D6" s="69">
        <v>2021</v>
      </c>
      <c r="E6" s="69">
        <v>2022</v>
      </c>
      <c r="F6" s="69">
        <v>2023</v>
      </c>
      <c r="G6" s="69">
        <v>2024</v>
      </c>
      <c r="H6" s="69">
        <v>2025</v>
      </c>
      <c r="I6" s="69">
        <v>2026</v>
      </c>
      <c r="J6" s="69" t="s">
        <v>4219</v>
      </c>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row>
    <row r="7" spans="1:36" x14ac:dyDescent="0.35">
      <c r="A7" s="20"/>
      <c r="B7" s="93" t="s">
        <v>128</v>
      </c>
      <c r="C7" s="15">
        <f>(SUMIFS('MAIN DATA, Orders'!$U:$U,'MAIN DATA, Orders'!$F:$F,C$6,'MAIN DATA, Orders'!$D:$D,"Germany")/1000000000)</f>
        <v>25.44</v>
      </c>
      <c r="D7" s="15">
        <f>(SUMIFS('MAIN DATA, Orders'!$U:$U,'MAIN DATA, Orders'!$F:$F,D$6,'MAIN DATA, Orders'!$D:$D,"Germany")/1000000000)</f>
        <v>22.336877999999999</v>
      </c>
      <c r="E7" s="15">
        <f>(SUMIFS('MAIN DATA, Orders'!$U:$U,'MAIN DATA, Orders'!$F:$F,E$6,'MAIN DATA, Orders'!$D:$D,"Germany")/1000000000)</f>
        <v>21.097149999999999</v>
      </c>
      <c r="F7" s="15">
        <f>(SUMIFS('MAIN DATA, Orders'!$U:$U,'MAIN DATA, Orders'!$F:$F,F$6,'MAIN DATA, Orders'!$D:$D,"Germany")/1000000000)</f>
        <v>42.026179999999997</v>
      </c>
      <c r="G7" s="15">
        <f>(SUMIFS('MAIN DATA, Orders'!$U:$U,'MAIN DATA, Orders'!$F:$F,G$6,'MAIN DATA, Orders'!$D:$D,"Germany")/1000000000)</f>
        <v>57.076360000000001</v>
      </c>
      <c r="H7" s="15">
        <f>(SUMIFS('MAIN DATA, Orders'!$U:$U,'MAIN DATA, Orders'!$F:$F,H$6,'MAIN DATA, Orders'!$D:$D,"Germany")/1000000000)</f>
        <v>85.264398190999998</v>
      </c>
      <c r="I7" s="15">
        <f>(SUMIFS('MAIN DATA, Orders'!$U:$U,'MAIN DATA, Orders'!$F:$F,I$6,'MAIN DATA, Orders'!$D:$D,"Germany")/1000000000)</f>
        <v>0.05</v>
      </c>
      <c r="J7" s="15">
        <f>SUM(C7:I7)</f>
        <v>253.290966191</v>
      </c>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36" x14ac:dyDescent="0.35">
      <c r="A8" s="20"/>
      <c r="B8" s="93" t="s">
        <v>5224</v>
      </c>
      <c r="C8" s="15">
        <f>(SUMIFS('MAIN DATA, Orders'!$U:$U,'MAIN DATA, Orders'!$F:$F,C$6,'MAIN DATA, Orders'!$D:$D,"United Kingdom")/1000000000)</f>
        <v>4.6710127009104196</v>
      </c>
      <c r="D8" s="15">
        <f>(SUMIFS('MAIN DATA, Orders'!$U:$U,'MAIN DATA, Orders'!$F:$F,D$6,'MAIN DATA, Orders'!$D:$D,"United Kingdom")/1000000000)</f>
        <v>5.4279432294090268</v>
      </c>
      <c r="E8" s="15">
        <f>(SUMIFS('MAIN DATA, Orders'!$U:$U,'MAIN DATA, Orders'!$F:$F,E$6,'MAIN DATA, Orders'!$D:$D,"United Kingdom")/1000000000)</f>
        <v>18.073045170974247</v>
      </c>
      <c r="F8" s="15">
        <f>(SUMIFS('MAIN DATA, Orders'!$U:$U,'MAIN DATA, Orders'!$F:$F,F$6,'MAIN DATA, Orders'!$D:$D,"United Kingdom")/1000000000)</f>
        <v>9.705906023292977</v>
      </c>
      <c r="G8" s="15">
        <f>(SUMIFS('MAIN DATA, Orders'!$U:$U,'MAIN DATA, Orders'!$F:$F,G$6,'MAIN DATA, Orders'!$D:$D,"United Kingdom")/1000000000)</f>
        <v>15.786090571921283</v>
      </c>
      <c r="H8" s="15">
        <f>(SUMIFS('MAIN DATA, Orders'!$U:$U,'MAIN DATA, Orders'!$F:$F,H$6,'MAIN DATA, Orders'!$D:$D,"United Kingdom")/1000000000)</f>
        <v>26.151624085248422</v>
      </c>
      <c r="I8" s="15">
        <f>(SUMIFS('MAIN DATA, Orders'!$U:$U,'MAIN DATA, Orders'!$F:$F,I$6,'MAIN DATA, Orders'!$D:$D,"United Kingdom")/1000000000)</f>
        <v>0.80135440180586903</v>
      </c>
      <c r="J8" s="15">
        <f>SUM(C8:I8)</f>
        <v>80.616976183562244</v>
      </c>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36" x14ac:dyDescent="0.35">
      <c r="A9" s="20"/>
      <c r="B9" s="124" t="s">
        <v>3272</v>
      </c>
      <c r="C9" s="67">
        <f>(SUMIFS('MAIN DATA, Orders'!$U:$U,'MAIN DATA, Orders'!$F:$F,C$6,'MAIN DATA, Orders'!$D:$D,"Poland")/1000000000)</f>
        <v>4.2627647274630585</v>
      </c>
      <c r="D9" s="67">
        <f>(SUMIFS('MAIN DATA, Orders'!$U:$U,'MAIN DATA, Orders'!$F:$F,D$6,'MAIN DATA, Orders'!$D:$D,"Poland")/1000000000)</f>
        <v>6.1511843199964416</v>
      </c>
      <c r="E9" s="67">
        <f>(SUMIFS('MAIN DATA, Orders'!$U:$U,'MAIN DATA, Orders'!$F:$F,E$6,'MAIN DATA, Orders'!$D:$D,"Poland")/1000000000)</f>
        <v>16.587926695087589</v>
      </c>
      <c r="F9" s="67">
        <f>(SUMIFS('MAIN DATA, Orders'!$U:$U,'MAIN DATA, Orders'!$F:$F,F$6,'MAIN DATA, Orders'!$D:$D,"Poland")/1000000000)</f>
        <v>6.68087407060088</v>
      </c>
      <c r="G9" s="67">
        <f>(SUMIFS('MAIN DATA, Orders'!$U:$U,'MAIN DATA, Orders'!$F:$F,G$6,'MAIN DATA, Orders'!$D:$D,"Poland")/1000000000)</f>
        <v>25.104207085597295</v>
      </c>
      <c r="H9" s="67">
        <f>(SUMIFS('MAIN DATA, Orders'!$U:$U,'MAIN DATA, Orders'!$F:$F,H$6,'MAIN DATA, Orders'!$D:$D,"Poland")/1000000000)</f>
        <v>25.99645700428378</v>
      </c>
      <c r="I9" s="67">
        <f>(SUMIFS('MAIN DATA, Orders'!$U:$U,'MAIN DATA, Orders'!$F:$F,I$6,'MAIN DATA, Orders'!$D:$D,"Poland")/1000000000)</f>
        <v>3.5606618083414441</v>
      </c>
      <c r="J9" s="67">
        <f>SUM(C9:I9)</f>
        <v>88.344075711370493</v>
      </c>
      <c r="K9" s="15"/>
      <c r="L9" s="15"/>
      <c r="M9" s="15"/>
      <c r="N9" s="15"/>
      <c r="O9" s="15"/>
      <c r="P9" s="15"/>
      <c r="Q9" s="15"/>
      <c r="R9" s="15"/>
      <c r="S9" s="15"/>
      <c r="T9" s="15"/>
      <c r="U9" s="15"/>
      <c r="V9" s="15"/>
      <c r="W9" s="15"/>
      <c r="X9" s="15"/>
      <c r="Y9" s="15"/>
      <c r="Z9" s="15"/>
      <c r="AA9" s="15"/>
      <c r="AB9" s="15"/>
      <c r="AC9" s="15"/>
      <c r="AD9" s="15"/>
      <c r="AE9" s="15"/>
      <c r="AF9" s="15"/>
      <c r="AG9" s="15"/>
      <c r="AH9" s="15"/>
      <c r="AI9" s="15"/>
      <c r="AJ9" s="15"/>
    </row>
    <row r="10" spans="1:36" x14ac:dyDescent="0.35">
      <c r="A10" s="20"/>
      <c r="B10" s="93"/>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x14ac:dyDescent="0.35">
      <c r="A11" s="20"/>
      <c r="B11" s="125" t="s">
        <v>4219</v>
      </c>
      <c r="C11" s="198">
        <f>SUM(C7:C9)</f>
        <v>34.373777428373479</v>
      </c>
      <c r="D11" s="198">
        <f t="shared" ref="D11:J11" si="0">SUM(D7:D9)</f>
        <v>33.916005549405469</v>
      </c>
      <c r="E11" s="198">
        <f t="shared" si="0"/>
        <v>55.758121866061835</v>
      </c>
      <c r="F11" s="198">
        <f t="shared" si="0"/>
        <v>58.412960093893851</v>
      </c>
      <c r="G11" s="198">
        <f t="shared" si="0"/>
        <v>97.966657657518581</v>
      </c>
      <c r="H11" s="198">
        <f t="shared" si="0"/>
        <v>137.41247928053218</v>
      </c>
      <c r="I11" s="198">
        <f t="shared" si="0"/>
        <v>4.4120162101473133</v>
      </c>
      <c r="J11" s="198">
        <f t="shared" si="0"/>
        <v>422.25201808593272</v>
      </c>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row>
    <row r="12" spans="1:36" x14ac:dyDescent="0.35">
      <c r="A12" s="20"/>
      <c r="B12" s="9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x14ac:dyDescent="0.35">
      <c r="A13" s="20"/>
      <c r="B13" s="94"/>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row>
    <row r="16" spans="1:36" x14ac:dyDescent="0.35">
      <c r="H16" s="90"/>
    </row>
  </sheetData>
  <mergeCells count="1">
    <mergeCell ref="B4:J4"/>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28479-EB25-4693-904E-5B20BDAEFC5C}">
  <sheetPr codeName="Sheet51">
    <tabColor theme="8" tint="0.59999389629810485"/>
  </sheetPr>
  <dimension ref="A2:S81"/>
  <sheetViews>
    <sheetView zoomScaleNormal="100" workbookViewId="0"/>
  </sheetViews>
  <sheetFormatPr baseColWidth="10" defaultColWidth="8.75" defaultRowHeight="15.5" x14ac:dyDescent="0.35"/>
  <cols>
    <col min="1" max="1" width="8.75" style="1"/>
    <col min="2" max="2" width="13.5" style="208" customWidth="1"/>
    <col min="3" max="6" width="14.75" style="1" customWidth="1"/>
    <col min="7" max="16384" width="8.75" style="1"/>
  </cols>
  <sheetData>
    <row r="2" spans="1:19" ht="25.9" customHeight="1" x14ac:dyDescent="0.7">
      <c r="B2" s="202" t="s">
        <v>5620</v>
      </c>
    </row>
    <row r="3" spans="1:19" ht="15.65" customHeight="1" x14ac:dyDescent="0.4">
      <c r="B3" s="203"/>
    </row>
    <row r="4" spans="1:19" ht="130.15" customHeight="1" x14ac:dyDescent="0.35">
      <c r="B4" s="232" t="s">
        <v>5198</v>
      </c>
      <c r="C4" s="232"/>
      <c r="D4" s="232"/>
      <c r="E4" s="232"/>
      <c r="F4" s="232"/>
      <c r="G4" s="232"/>
      <c r="H4" s="232"/>
      <c r="I4" s="232"/>
      <c r="J4" s="232"/>
      <c r="N4" s="232"/>
      <c r="O4" s="232"/>
      <c r="P4" s="232"/>
      <c r="Q4" s="232"/>
      <c r="R4" s="232"/>
      <c r="S4" s="232"/>
    </row>
    <row r="6" spans="1:19" ht="21" customHeight="1" x14ac:dyDescent="0.35">
      <c r="B6" s="204" t="s">
        <v>4197</v>
      </c>
      <c r="C6" s="69" t="s">
        <v>5199</v>
      </c>
      <c r="D6" s="69" t="s">
        <v>5200</v>
      </c>
      <c r="E6" s="69" t="s">
        <v>5201</v>
      </c>
      <c r="F6" s="69" t="s">
        <v>287</v>
      </c>
      <c r="G6" s="2"/>
    </row>
    <row r="7" spans="1:19" x14ac:dyDescent="0.35">
      <c r="A7" s="20">
        <v>202001</v>
      </c>
      <c r="B7" s="205">
        <v>43831</v>
      </c>
      <c r="C7" s="15" cm="1">
        <f t="array" ref="C7">SUM(SUMIFS('MAIN DATA, Orders'!$S:$S,'MAIN DATA, Orders'!$D:$D,"Germany",'MAIN DATA, Orders'!$I:$I,{"Aircraft","Development - Aircraft","Missile (Air)","Development - Missile (Air)"},'MAIN DATA, Orders'!$Y:$Y,$A7)/1000000000)</f>
        <v>0</v>
      </c>
      <c r="D7" s="15" cm="1">
        <f t="array" ref="D7">SUM(SUMIFS('MAIN DATA, Orders'!$S:$S,'MAIN DATA, Orders'!$D:$D,"Germany",'MAIN DATA, Orders'!$I:$I,{"Naval","Development - Naval","Missile (Naval)","Development - Missile (Naval)"},'MAIN DATA, Orders'!$Y:$Y,$A7)/1000000000)</f>
        <v>0</v>
      </c>
      <c r="E7" s="15" cm="1">
        <f t="array" ref="E7">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Orders'!$Y:$Y,$A7)/1000000000)</f>
        <v>0</v>
      </c>
      <c r="F7" s="15" cm="1">
        <f t="array" ref="F7">SUM(SUMIFS('MAIN DATA, Orders'!$S:$S,'MAIN DATA, Orders'!$D:$D,"Germany",'MAIN DATA, Orders'!$I:$I,{"Maintenance","Development - Maintenance","Modernisation","Development - Modernisation","Other","Development - Other"},'MAIN DATA, Orders'!$Y:$Y,$A7)/1000000000)</f>
        <v>0</v>
      </c>
      <c r="G7" s="3"/>
    </row>
    <row r="8" spans="1:19" x14ac:dyDescent="0.35">
      <c r="A8" s="20">
        <v>202002</v>
      </c>
      <c r="B8" s="205">
        <v>43862</v>
      </c>
      <c r="C8" s="15" cm="1">
        <f t="array" ref="C8">SUM(SUMIFS('MAIN DATA, Orders'!$S:$S,'MAIN DATA, Orders'!$D:$D,"Germany",'MAIN DATA, Orders'!$I:$I,{"Aircraft","Development - Aircraft","Missile (Air)","Development - Missile (Air)"},'MAIN DATA, Orders'!$Y:$Y,$A8)/1000000000)</f>
        <v>0</v>
      </c>
      <c r="D8" s="15" cm="1">
        <f t="array" ref="D8">SUM(SUMIFS('MAIN DATA, Orders'!$S:$S,'MAIN DATA, Orders'!$D:$D,"Germany",'MAIN DATA, Orders'!$I:$I,{"Naval","Development - Naval","Missile (Naval)","Development - Missile (Naval)"},'MAIN DATA, Orders'!$Y:$Y,$A8)/1000000000)</f>
        <v>0</v>
      </c>
      <c r="E8" s="15" cm="1">
        <f t="array" ref="E8">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Orders'!$Y:$Y,$A8)/1000000000)</f>
        <v>0</v>
      </c>
      <c r="F8" s="15" cm="1">
        <f t="array" ref="F8">SUM(SUMIFS('MAIN DATA, Orders'!$S:$S,'MAIN DATA, Orders'!$D:$D,"Germany",'MAIN DATA, Orders'!$I:$I,{"Maintenance","Development - Maintenance","Modernisation","Development - Modernisation","Other","Development - Other"},'MAIN DATA, Orders'!$Y:$Y,$A8)/1000000000)</f>
        <v>0</v>
      </c>
      <c r="G8" s="3"/>
    </row>
    <row r="9" spans="1:19" x14ac:dyDescent="0.35">
      <c r="A9" s="20">
        <v>202003</v>
      </c>
      <c r="B9" s="205">
        <v>43891</v>
      </c>
      <c r="C9" s="15" cm="1">
        <f t="array" ref="C9">SUM(SUMIFS('MAIN DATA, Orders'!$S:$S,'MAIN DATA, Orders'!$D:$D,"Germany",'MAIN DATA, Orders'!$I:$I,{"Aircraft","Development - Aircraft","Missile (Air)","Development - Missile (Air)"},'MAIN DATA, Orders'!$Y:$Y,$A9)/1000000000)</f>
        <v>0</v>
      </c>
      <c r="D9" s="15" cm="1">
        <f t="array" ref="D9">SUM(SUMIFS('MAIN DATA, Orders'!$S:$S,'MAIN DATA, Orders'!$D:$D,"Germany",'MAIN DATA, Orders'!$I:$I,{"Naval","Development - Naval","Missile (Naval)","Development - Missile (Naval)"},'MAIN DATA, Orders'!$Y:$Y,$A9)/1000000000)</f>
        <v>0</v>
      </c>
      <c r="E9" s="15" cm="1">
        <f t="array" ref="E9">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Orders'!$Y:$Y,$A9)/1000000000)</f>
        <v>0</v>
      </c>
      <c r="F9" s="15" cm="1">
        <f t="array" ref="F9">SUM(SUMIFS('MAIN DATA, Orders'!$S:$S,'MAIN DATA, Orders'!$D:$D,"Germany",'MAIN DATA, Orders'!$I:$I,{"Maintenance","Development - Maintenance","Modernisation","Development - Modernisation","Other","Development - Other"},'MAIN DATA, Orders'!$Y:$Y,$A9)/1000000000)</f>
        <v>0</v>
      </c>
      <c r="G9" s="3"/>
    </row>
    <row r="10" spans="1:19" x14ac:dyDescent="0.35">
      <c r="A10" s="20">
        <v>202004</v>
      </c>
      <c r="B10" s="205">
        <v>43922</v>
      </c>
      <c r="C10" s="15" cm="1">
        <f t="array" ref="C10">SUM(SUMIFS('MAIN DATA, Orders'!$S:$S,'MAIN DATA, Orders'!$D:$D,"Germany",'MAIN DATA, Orders'!$I:$I,{"Aircraft","Development - Aircraft","Missile (Air)","Development - Missile (Air)"},'MAIN DATA, Orders'!$Y:$Y,$A10)/1000000000)</f>
        <v>0</v>
      </c>
      <c r="D10" s="15" cm="1">
        <f t="array" ref="D10">SUM(SUMIFS('MAIN DATA, Orders'!$S:$S,'MAIN DATA, Orders'!$D:$D,"Germany",'MAIN DATA, Orders'!$I:$I,{"Naval","Development - Naval","Missile (Naval)","Development - Missile (Naval)"},'MAIN DATA, Orders'!$Y:$Y,$A10)/1000000000)</f>
        <v>0</v>
      </c>
      <c r="E10" s="15" cm="1">
        <f t="array" ref="E10">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Orders'!$Y:$Y,$A10)/1000000000)</f>
        <v>0</v>
      </c>
      <c r="F10" s="15" cm="1">
        <f t="array" ref="F10">SUM(SUMIFS('MAIN DATA, Orders'!$S:$S,'MAIN DATA, Orders'!$D:$D,"Germany",'MAIN DATA, Orders'!$I:$I,{"Maintenance","Development - Maintenance","Modernisation","Development - Modernisation","Other","Development - Other"},'MAIN DATA, Orders'!$Y:$Y,$A10)/1000000000)</f>
        <v>0</v>
      </c>
      <c r="G10" s="3"/>
    </row>
    <row r="11" spans="1:19" x14ac:dyDescent="0.35">
      <c r="A11" s="20">
        <v>202005</v>
      </c>
      <c r="B11" s="205">
        <v>43952</v>
      </c>
      <c r="C11" s="15" cm="1">
        <f t="array" ref="C11">SUM(SUMIFS('MAIN DATA, Orders'!$S:$S,'MAIN DATA, Orders'!$D:$D,"Germany",'MAIN DATA, Orders'!$I:$I,{"Aircraft","Development - Aircraft","Missile (Air)","Development - Missile (Air)"},'MAIN DATA, Orders'!$Y:$Y,$A11)/1000000000)</f>
        <v>0</v>
      </c>
      <c r="D11" s="15" cm="1">
        <f t="array" ref="D11">SUM(SUMIFS('MAIN DATA, Orders'!$S:$S,'MAIN DATA, Orders'!$D:$D,"Germany",'MAIN DATA, Orders'!$I:$I,{"Naval","Development - Naval","Missile (Naval)","Development - Missile (Naval)"},'MAIN DATA, Orders'!$Y:$Y,$A11)/1000000000)</f>
        <v>0</v>
      </c>
      <c r="E11" s="15" cm="1">
        <f t="array" ref="E11">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Orders'!$Y:$Y,$A11)/1000000000)</f>
        <v>0.03</v>
      </c>
      <c r="F11" s="15" cm="1">
        <f t="array" ref="F11">SUM(SUMIFS('MAIN DATA, Orders'!$S:$S,'MAIN DATA, Orders'!$D:$D,"Germany",'MAIN DATA, Orders'!$I:$I,{"Maintenance","Development - Maintenance","Modernisation","Development - Modernisation","Other","Development - Other"},'MAIN DATA, Orders'!$Y:$Y,$A11)/1000000000)</f>
        <v>0</v>
      </c>
      <c r="G11" s="3"/>
    </row>
    <row r="12" spans="1:19" x14ac:dyDescent="0.35">
      <c r="A12" s="20">
        <v>202006</v>
      </c>
      <c r="B12" s="205">
        <v>43983</v>
      </c>
      <c r="C12" s="15" cm="1">
        <f t="array" ref="C12">SUM(SUMIFS('MAIN DATA, Orders'!$S:$S,'MAIN DATA, Orders'!$D:$D,"Germany",'MAIN DATA, Orders'!$I:$I,{"Aircraft","Development - Aircraft","Missile (Air)","Development - Missile (Air)"},'MAIN DATA, Orders'!$Y:$Y,$A12)/1000000000)</f>
        <v>2.8</v>
      </c>
      <c r="D12" s="15" cm="1">
        <f t="array" ref="D12">SUM(SUMIFS('MAIN DATA, Orders'!$S:$S,'MAIN DATA, Orders'!$D:$D,"Germany",'MAIN DATA, Orders'!$I:$I,{"Naval","Development - Naval","Missile (Naval)","Development - Missile (Naval)"},'MAIN DATA, Orders'!$Y:$Y,$A12)/1000000000)</f>
        <v>5.6</v>
      </c>
      <c r="E12" s="15" cm="1">
        <f t="array" ref="E12">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Orders'!$Y:$Y,$A12)/1000000000)</f>
        <v>0</v>
      </c>
      <c r="F12" s="15" cm="1">
        <f t="array" ref="F12">SUM(SUMIFS('MAIN DATA, Orders'!$S:$S,'MAIN DATA, Orders'!$D:$D,"Germany",'MAIN DATA, Orders'!$I:$I,{"Maintenance","Development - Maintenance","Modernisation","Development - Modernisation","Other","Development - Other"},'MAIN DATA, Orders'!$Y:$Y,$A12)/1000000000)</f>
        <v>4.5999999999999996</v>
      </c>
      <c r="G12" s="3"/>
    </row>
    <row r="13" spans="1:19" x14ac:dyDescent="0.35">
      <c r="A13" s="20">
        <v>202007</v>
      </c>
      <c r="B13" s="205">
        <v>44013</v>
      </c>
      <c r="C13" s="15" cm="1">
        <f t="array" ref="C13">SUM(SUMIFS('MAIN DATA, Orders'!$S:$S,'MAIN DATA, Orders'!$D:$D,"Germany",'MAIN DATA, Orders'!$I:$I,{"Aircraft","Development - Aircraft","Missile (Air)","Development - Missile (Air)"},'MAIN DATA, Orders'!$Y:$Y,$A13)/1000000000)</f>
        <v>0</v>
      </c>
      <c r="D13" s="15" cm="1">
        <f t="array" ref="D13">SUM(SUMIFS('MAIN DATA, Orders'!$S:$S,'MAIN DATA, Orders'!$D:$D,"Germany",'MAIN DATA, Orders'!$I:$I,{"Naval","Development - Naval","Missile (Naval)","Development - Missile (Naval)"},'MAIN DATA, Orders'!$Y:$Y,$A13)/1000000000)</f>
        <v>0</v>
      </c>
      <c r="E13" s="15" cm="1">
        <f t="array" ref="E13">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Orders'!$Y:$Y,$A13)/1000000000)</f>
        <v>0</v>
      </c>
      <c r="F13" s="15" cm="1">
        <f t="array" ref="F13">SUM(SUMIFS('MAIN DATA, Orders'!$S:$S,'MAIN DATA, Orders'!$D:$D,"Germany",'MAIN DATA, Orders'!$I:$I,{"Maintenance","Development - Maintenance","Modernisation","Development - Modernisation","Other","Development - Other"},'MAIN DATA, Orders'!$Y:$Y,$A13)/1000000000)</f>
        <v>0</v>
      </c>
      <c r="G13" s="3"/>
    </row>
    <row r="14" spans="1:19" x14ac:dyDescent="0.35">
      <c r="A14" s="20">
        <v>202008</v>
      </c>
      <c r="B14" s="205">
        <v>44044</v>
      </c>
      <c r="C14" s="15" cm="1">
        <f t="array" ref="C14">SUM(SUMIFS('MAIN DATA, Orders'!$S:$S,'MAIN DATA, Orders'!$D:$D,"Germany",'MAIN DATA, Orders'!$I:$I,{"Aircraft","Development - Aircraft","Missile (Air)","Development - Missile (Air)"},'MAIN DATA, Orders'!$Y:$Y,$A14)/1000000000)</f>
        <v>0</v>
      </c>
      <c r="D14" s="15" cm="1">
        <f t="array" ref="D14">SUM(SUMIFS('MAIN DATA, Orders'!$S:$S,'MAIN DATA, Orders'!$D:$D,"Germany",'MAIN DATA, Orders'!$I:$I,{"Naval","Development - Naval","Missile (Naval)","Development - Missile (Naval)"},'MAIN DATA, Orders'!$Y:$Y,$A14)/1000000000)</f>
        <v>0</v>
      </c>
      <c r="E14" s="15" cm="1">
        <f t="array" ref="E14">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Orders'!$Y:$Y,$A14)/1000000000)</f>
        <v>0</v>
      </c>
      <c r="F14" s="15" cm="1">
        <f t="array" ref="F14">SUM(SUMIFS('MAIN DATA, Orders'!$S:$S,'MAIN DATA, Orders'!$D:$D,"Germany",'MAIN DATA, Orders'!$I:$I,{"Maintenance","Development - Maintenance","Modernisation","Development - Modernisation","Other","Development - Other"},'MAIN DATA, Orders'!$Y:$Y,$A14)/1000000000)</f>
        <v>0.35</v>
      </c>
      <c r="G14" s="3"/>
    </row>
    <row r="15" spans="1:19" x14ac:dyDescent="0.35">
      <c r="A15" s="20">
        <v>202009</v>
      </c>
      <c r="B15" s="205">
        <v>44075</v>
      </c>
      <c r="C15" s="15" cm="1">
        <f t="array" ref="C15">SUM(SUMIFS('MAIN DATA, Orders'!$S:$S,'MAIN DATA, Orders'!$D:$D,"Germany",'MAIN DATA, Orders'!$I:$I,{"Aircraft","Development - Aircraft","Missile (Air)","Development - Missile (Air)"},'MAIN DATA, Orders'!$Y:$Y,$A15)/1000000000)</f>
        <v>0.21299999999999999</v>
      </c>
      <c r="D15" s="15" cm="1">
        <f t="array" ref="D15">SUM(SUMIFS('MAIN DATA, Orders'!$S:$S,'MAIN DATA, Orders'!$D:$D,"Germany",'MAIN DATA, Orders'!$I:$I,{"Naval","Development - Naval","Missile (Naval)","Development - Missile (Naval)"},'MAIN DATA, Orders'!$Y:$Y,$A15)/1000000000)</f>
        <v>0.29099999999999998</v>
      </c>
      <c r="E15" s="15" cm="1">
        <f t="array" ref="E15">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Orders'!$Y:$Y,$A15)/1000000000)</f>
        <v>0</v>
      </c>
      <c r="F15" s="15" cm="1">
        <f t="array" ref="F15">SUM(SUMIFS('MAIN DATA, Orders'!$S:$S,'MAIN DATA, Orders'!$D:$D,"Germany",'MAIN DATA, Orders'!$I:$I,{"Maintenance","Development - Maintenance","Modernisation","Development - Modernisation","Other","Development - Other"},'MAIN DATA, Orders'!$Y:$Y,$A15)/1000000000)</f>
        <v>1.88</v>
      </c>
      <c r="G15" s="3"/>
    </row>
    <row r="16" spans="1:19" x14ac:dyDescent="0.35">
      <c r="A16" s="20">
        <v>202010</v>
      </c>
      <c r="B16" s="205">
        <v>44105</v>
      </c>
      <c r="C16" s="15" cm="1">
        <f t="array" ref="C16">SUM(SUMIFS('MAIN DATA, Orders'!$S:$S,'MAIN DATA, Orders'!$D:$D,"Germany",'MAIN DATA, Orders'!$I:$I,{"Aircraft","Development - Aircraft","Missile (Air)","Development - Missile (Air)"},'MAIN DATA, Orders'!$Y:$Y,$A16)/1000000000)</f>
        <v>0</v>
      </c>
      <c r="D16" s="15" cm="1">
        <f t="array" ref="D16">SUM(SUMIFS('MAIN DATA, Orders'!$S:$S,'MAIN DATA, Orders'!$D:$D,"Germany",'MAIN DATA, Orders'!$I:$I,{"Naval","Development - Naval","Missile (Naval)","Development - Missile (Naval)"},'MAIN DATA, Orders'!$Y:$Y,$A16)/1000000000)</f>
        <v>0</v>
      </c>
      <c r="E16" s="15" cm="1">
        <f t="array" ref="E16">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Orders'!$Y:$Y,$A16)/1000000000)</f>
        <v>0</v>
      </c>
      <c r="F16" s="15" cm="1">
        <f t="array" ref="F16">SUM(SUMIFS('MAIN DATA, Orders'!$S:$S,'MAIN DATA, Orders'!$D:$D,"Germany",'MAIN DATA, Orders'!$I:$I,{"Maintenance","Development - Maintenance","Modernisation","Development - Modernisation","Other","Development - Other"},'MAIN DATA, Orders'!$Y:$Y,$A16)/1000000000)</f>
        <v>0.04</v>
      </c>
      <c r="G16" s="3"/>
    </row>
    <row r="17" spans="1:6" x14ac:dyDescent="0.35">
      <c r="A17" s="20">
        <v>202011</v>
      </c>
      <c r="B17" s="205">
        <v>44136</v>
      </c>
      <c r="C17" s="15" cm="1">
        <f t="array" ref="C17">SUM(SUMIFS('MAIN DATA, Orders'!$S:$S,'MAIN DATA, Orders'!$D:$D,"Germany",'MAIN DATA, Orders'!$I:$I,{"Aircraft","Development - Aircraft","Missile (Air)","Development - Missile (Air)"},'MAIN DATA, Orders'!$Y:$Y,$A17)/1000000000)</f>
        <v>5.5</v>
      </c>
      <c r="D17" s="15" cm="1">
        <f t="array" ref="D17">SUM(SUMIFS('MAIN DATA, Orders'!$S:$S,'MAIN DATA, Orders'!$D:$D,"Germany",'MAIN DATA, Orders'!$I:$I,{"Naval","Development - Naval","Missile (Naval)","Development - Missile (Naval)"},'MAIN DATA, Orders'!$Y:$Y,$A17)/1000000000)</f>
        <v>2.7309999999999999</v>
      </c>
      <c r="E17" s="15" cm="1">
        <f t="array" ref="E17">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Orders'!$Y:$Y,$A17)/1000000000)</f>
        <v>0.20599999999999999</v>
      </c>
      <c r="F17" s="15" cm="1">
        <f t="array" ref="F17">SUM(SUMIFS('MAIN DATA, Orders'!$S:$S,'MAIN DATA, Orders'!$D:$D,"Germany",'MAIN DATA, Orders'!$I:$I,{"Maintenance","Development - Maintenance","Modernisation","Development - Modernisation","Other","Development - Other"},'MAIN DATA, Orders'!$Y:$Y,$A17)/1000000000)</f>
        <v>0.749</v>
      </c>
    </row>
    <row r="18" spans="1:6" x14ac:dyDescent="0.35">
      <c r="A18" s="20">
        <v>202012</v>
      </c>
      <c r="B18" s="205">
        <v>44166</v>
      </c>
      <c r="C18" s="15" cm="1">
        <f t="array" ref="C18">SUM(SUMIFS('MAIN DATA, Orders'!$S:$S,'MAIN DATA, Orders'!$D:$D,"Germany",'MAIN DATA, Orders'!$I:$I,{"Aircraft","Development - Aircraft","Missile (Air)","Development - Missile (Air)"},'MAIN DATA, Orders'!$Y:$Y,$A18)/1000000000)</f>
        <v>0</v>
      </c>
      <c r="D18" s="15" cm="1">
        <f t="array" ref="D18">SUM(SUMIFS('MAIN DATA, Orders'!$S:$S,'MAIN DATA, Orders'!$D:$D,"Germany",'MAIN DATA, Orders'!$I:$I,{"Naval","Development - Naval","Missile (Naval)","Development - Missile (Naval)"},'MAIN DATA, Orders'!$Y:$Y,$A18)/1000000000)</f>
        <v>0</v>
      </c>
      <c r="E18" s="15" cm="1">
        <f t="array" ref="E18">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Orders'!$Y:$Y,$A18)/1000000000)</f>
        <v>0</v>
      </c>
      <c r="F18" s="15" cm="1">
        <f t="array" ref="F18">SUM(SUMIFS('MAIN DATA, Orders'!$S:$S,'MAIN DATA, Orders'!$D:$D,"Germany",'MAIN DATA, Orders'!$I:$I,{"Maintenance","Development - Maintenance","Modernisation","Development - Modernisation","Other","Development - Other"},'MAIN DATA, Orders'!$Y:$Y,$A18)/1000000000)</f>
        <v>0.45</v>
      </c>
    </row>
    <row r="19" spans="1:6" x14ac:dyDescent="0.35">
      <c r="A19" s="20">
        <v>202101</v>
      </c>
      <c r="B19" s="205">
        <v>44197</v>
      </c>
      <c r="C19" s="15" cm="1">
        <f t="array" ref="C19">SUM(SUMIFS('MAIN DATA, Orders'!$S:$S,'MAIN DATA, Orders'!$D:$D,"Germany",'MAIN DATA, Orders'!$I:$I,{"Aircraft","Development - Aircraft","Missile (Air)","Development - Missile (Air)"},'MAIN DATA, Orders'!$Y:$Y,$A19)/1000000000)</f>
        <v>0</v>
      </c>
      <c r="D19" s="15" cm="1">
        <f t="array" ref="D19">SUM(SUMIFS('MAIN DATA, Orders'!$S:$S,'MAIN DATA, Orders'!$D:$D,"Germany",'MAIN DATA, Orders'!$I:$I,{"Naval","Development - Naval","Missile (Naval)","Development - Missile (Naval)"},'MAIN DATA, Orders'!$Y:$Y,$A19)/1000000000)</f>
        <v>0</v>
      </c>
      <c r="E19" s="15" cm="1">
        <f t="array" ref="E19">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Orders'!$Y:$Y,$A19)/1000000000)</f>
        <v>0</v>
      </c>
      <c r="F19" s="15" cm="1">
        <f t="array" ref="F19">SUM(SUMIFS('MAIN DATA, Orders'!$S:$S,'MAIN DATA, Orders'!$D:$D,"Germany",'MAIN DATA, Orders'!$I:$I,{"Maintenance","Development - Maintenance","Modernisation","Development - Modernisation","Other","Development - Other"},'MAIN DATA, Orders'!$Y:$Y,$A19)/1000000000)</f>
        <v>0</v>
      </c>
    </row>
    <row r="20" spans="1:6" x14ac:dyDescent="0.35">
      <c r="A20" s="20">
        <v>202102</v>
      </c>
      <c r="B20" s="205">
        <v>44228</v>
      </c>
      <c r="C20" s="15" cm="1">
        <f t="array" ref="C20">SUM(SUMIFS('MAIN DATA, Orders'!$S:$S,'MAIN DATA, Orders'!$D:$D,"Germany",'MAIN DATA, Orders'!$I:$I,{"Aircraft","Development - Aircraft","Missile (Air)","Development - Missile (Air)"},'MAIN DATA, Orders'!$Y:$Y,$A20)/1000000000)</f>
        <v>0</v>
      </c>
      <c r="D20" s="15" cm="1">
        <f t="array" ref="D20">SUM(SUMIFS('MAIN DATA, Orders'!$S:$S,'MAIN DATA, Orders'!$D:$D,"Germany",'MAIN DATA, Orders'!$I:$I,{"Naval","Development - Naval","Missile (Naval)","Development - Missile (Naval)"},'MAIN DATA, Orders'!$Y:$Y,$A20)/1000000000)</f>
        <v>0</v>
      </c>
      <c r="E20" s="15" cm="1">
        <f t="array" ref="E20">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Orders'!$Y:$Y,$A20)/1000000000)</f>
        <v>8.7999999999999995E-2</v>
      </c>
      <c r="F20" s="15" cm="1">
        <f t="array" ref="F20">SUM(SUMIFS('MAIN DATA, Orders'!$S:$S,'MAIN DATA, Orders'!$D:$D,"Germany",'MAIN DATA, Orders'!$I:$I,{"Maintenance","Development - Maintenance","Modernisation","Development - Modernisation","Other","Development - Other"},'MAIN DATA, Orders'!$Y:$Y,$A20)/1000000000)</f>
        <v>0</v>
      </c>
    </row>
    <row r="21" spans="1:6" x14ac:dyDescent="0.35">
      <c r="A21" s="20">
        <v>202103</v>
      </c>
      <c r="B21" s="205">
        <v>44256</v>
      </c>
      <c r="C21" s="15" cm="1">
        <f t="array" ref="C21">SUM(SUMIFS('MAIN DATA, Orders'!$S:$S,'MAIN DATA, Orders'!$D:$D,"Germany",'MAIN DATA, Orders'!$I:$I,{"Aircraft","Development - Aircraft","Missile (Air)","Development - Missile (Air)"},'MAIN DATA, Orders'!$Y:$Y,$A21)/1000000000)</f>
        <v>0</v>
      </c>
      <c r="D21" s="15" cm="1">
        <f t="array" ref="D21">SUM(SUMIFS('MAIN DATA, Orders'!$S:$S,'MAIN DATA, Orders'!$D:$D,"Germany",'MAIN DATA, Orders'!$I:$I,{"Naval","Development - Naval","Missile (Naval)","Development - Missile (Naval)"},'MAIN DATA, Orders'!$Y:$Y,$A21)/1000000000)</f>
        <v>0</v>
      </c>
      <c r="E21" s="15" cm="1">
        <f t="array" ref="E21">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Orders'!$Y:$Y,$A21)/1000000000)</f>
        <v>0</v>
      </c>
      <c r="F21" s="15" cm="1">
        <f t="array" ref="F21">SUM(SUMIFS('MAIN DATA, Orders'!$S:$S,'MAIN DATA, Orders'!$D:$D,"Germany",'MAIN DATA, Orders'!$I:$I,{"Maintenance","Development - Maintenance","Modernisation","Development - Modernisation","Other","Development - Other"},'MAIN DATA, Orders'!$Y:$Y,$A21)/1000000000)</f>
        <v>0</v>
      </c>
    </row>
    <row r="22" spans="1:6" x14ac:dyDescent="0.35">
      <c r="A22" s="20">
        <v>202104</v>
      </c>
      <c r="B22" s="205">
        <v>44287</v>
      </c>
      <c r="C22" s="15" cm="1">
        <f t="array" ref="C22">SUM(SUMIFS('MAIN DATA, Orders'!$S:$S,'MAIN DATA, Orders'!$D:$D,"Germany",'MAIN DATA, Orders'!$I:$I,{"Aircraft","Development - Aircraft","Missile (Air)","Development - Missile (Air)"},'MAIN DATA, Orders'!$Y:$Y,$A22)/1000000000)</f>
        <v>0.105</v>
      </c>
      <c r="D22" s="15" cm="1">
        <f t="array" ref="D22">SUM(SUMIFS('MAIN DATA, Orders'!$S:$S,'MAIN DATA, Orders'!$D:$D,"Germany",'MAIN DATA, Orders'!$I:$I,{"Naval","Development - Naval","Missile (Naval)","Development - Missile (Naval)"},'MAIN DATA, Orders'!$Y:$Y,$A22)/1000000000)</f>
        <v>7.8E-2</v>
      </c>
      <c r="E22" s="15" cm="1">
        <f t="array" ref="E22">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Orders'!$Y:$Y,$A22)/1000000000)</f>
        <v>3.4580000000000002</v>
      </c>
      <c r="F22" s="15" cm="1">
        <f t="array" ref="F22">SUM(SUMIFS('MAIN DATA, Orders'!$S:$S,'MAIN DATA, Orders'!$D:$D,"Germany",'MAIN DATA, Orders'!$I:$I,{"Maintenance","Development - Maintenance","Modernisation","Development - Modernisation","Other","Development - Other"},'MAIN DATA, Orders'!$Y:$Y,$A22)/1000000000)</f>
        <v>5.8999999999999997E-2</v>
      </c>
    </row>
    <row r="23" spans="1:6" x14ac:dyDescent="0.35">
      <c r="A23" s="20">
        <v>202105</v>
      </c>
      <c r="B23" s="205">
        <v>44317</v>
      </c>
      <c r="C23" s="15" cm="1">
        <f t="array" ref="C23">SUM(SUMIFS('MAIN DATA, Orders'!$S:$S,'MAIN DATA, Orders'!$D:$D,"Germany",'MAIN DATA, Orders'!$I:$I,{"Aircraft","Development - Aircraft","Missile (Air)","Development - Missile (Air)"},'MAIN DATA, Orders'!$Y:$Y,$A23)/1000000000)</f>
        <v>0</v>
      </c>
      <c r="D23" s="15" cm="1">
        <f t="array" ref="D23">SUM(SUMIFS('MAIN DATA, Orders'!$S:$S,'MAIN DATA, Orders'!$D:$D,"Germany",'MAIN DATA, Orders'!$I:$I,{"Naval","Development - Naval","Missile (Naval)","Development - Missile (Naval)"},'MAIN DATA, Orders'!$Y:$Y,$A23)/1000000000)</f>
        <v>0</v>
      </c>
      <c r="E23" s="15" cm="1">
        <f t="array" ref="E23">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Orders'!$Y:$Y,$A23)/1000000000)</f>
        <v>0</v>
      </c>
      <c r="F23" s="15" cm="1">
        <f t="array" ref="F23">SUM(SUMIFS('MAIN DATA, Orders'!$S:$S,'MAIN DATA, Orders'!$D:$D,"Germany",'MAIN DATA, Orders'!$I:$I,{"Maintenance","Development - Maintenance","Modernisation","Development - Modernisation","Other","Development - Other"},'MAIN DATA, Orders'!$Y:$Y,$A23)/1000000000)</f>
        <v>2.4019999999999997</v>
      </c>
    </row>
    <row r="24" spans="1:6" x14ac:dyDescent="0.35">
      <c r="A24" s="20">
        <v>202106</v>
      </c>
      <c r="B24" s="205">
        <v>44348</v>
      </c>
      <c r="C24" s="15" cm="1">
        <f t="array" ref="C24">SUM(SUMIFS('MAIN DATA, Orders'!$S:$S,'MAIN DATA, Orders'!$D:$D,"Germany",'MAIN DATA, Orders'!$I:$I,{"Aircraft","Development - Aircraft","Missile (Air)","Development - Missile (Air)"},'MAIN DATA, Orders'!$Y:$Y,$A24)/1000000000)</f>
        <v>6.2130000000000001</v>
      </c>
      <c r="D24" s="15" cm="1">
        <f t="array" ref="D24">SUM(SUMIFS('MAIN DATA, Orders'!$S:$S,'MAIN DATA, Orders'!$D:$D,"Germany",'MAIN DATA, Orders'!$I:$I,{"Naval","Development - Naval","Missile (Naval)","Development - Missile (Naval)"},'MAIN DATA, Orders'!$Y:$Y,$A24)/1000000000)</f>
        <v>7.4718780000000002</v>
      </c>
      <c r="E24" s="15" cm="1">
        <f t="array" ref="E24">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Orders'!$Y:$Y,$A24)/1000000000)</f>
        <v>1.32</v>
      </c>
      <c r="F24" s="15" cm="1">
        <f t="array" ref="F24">SUM(SUMIFS('MAIN DATA, Orders'!$S:$S,'MAIN DATA, Orders'!$D:$D,"Germany",'MAIN DATA, Orders'!$I:$I,{"Maintenance","Development - Maintenance","Modernisation","Development - Modernisation","Other","Development - Other"},'MAIN DATA, Orders'!$Y:$Y,$A24)/1000000000)</f>
        <v>1.1419999999999999</v>
      </c>
    </row>
    <row r="25" spans="1:6" x14ac:dyDescent="0.35">
      <c r="A25" s="20">
        <v>202107</v>
      </c>
      <c r="B25" s="205">
        <v>44378</v>
      </c>
      <c r="C25" s="15" cm="1">
        <f t="array" ref="C25">SUM(SUMIFS('MAIN DATA, Orders'!$S:$S,'MAIN DATA, Orders'!$D:$D,"Germany",'MAIN DATA, Orders'!$I:$I,{"Aircraft","Development - Aircraft","Missile (Air)","Development - Missile (Air)"},'MAIN DATA, Orders'!$Y:$Y,$A25)/1000000000)</f>
        <v>0</v>
      </c>
      <c r="D25" s="15" cm="1">
        <f t="array" ref="D25">SUM(SUMIFS('MAIN DATA, Orders'!$S:$S,'MAIN DATA, Orders'!$D:$D,"Germany",'MAIN DATA, Orders'!$I:$I,{"Naval","Development - Naval","Missile (Naval)","Development - Missile (Naval)"},'MAIN DATA, Orders'!$Y:$Y,$A25)/1000000000)</f>
        <v>0</v>
      </c>
      <c r="E25" s="15" cm="1">
        <f t="array" ref="E25">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Orders'!$Y:$Y,$A25)/1000000000)</f>
        <v>0</v>
      </c>
      <c r="F25" s="15" cm="1">
        <f t="array" ref="F25">SUM(SUMIFS('MAIN DATA, Orders'!$S:$S,'MAIN DATA, Orders'!$D:$D,"Germany",'MAIN DATA, Orders'!$I:$I,{"Maintenance","Development - Maintenance","Modernisation","Development - Modernisation","Other","Development - Other"},'MAIN DATA, Orders'!$Y:$Y,$A25)/1000000000)</f>
        <v>0</v>
      </c>
    </row>
    <row r="26" spans="1:6" x14ac:dyDescent="0.35">
      <c r="A26" s="20">
        <v>202108</v>
      </c>
      <c r="B26" s="205">
        <v>44409</v>
      </c>
      <c r="C26" s="15" cm="1">
        <f t="array" ref="C26">SUM(SUMIFS('MAIN DATA, Orders'!$S:$S,'MAIN DATA, Orders'!$D:$D,"Germany",'MAIN DATA, Orders'!$I:$I,{"Aircraft","Development - Aircraft","Missile (Air)","Development - Missile (Air)"},'MAIN DATA, Orders'!$Y:$Y,$A26)/1000000000)</f>
        <v>0</v>
      </c>
      <c r="D26" s="15" cm="1">
        <f t="array" ref="D26">SUM(SUMIFS('MAIN DATA, Orders'!$S:$S,'MAIN DATA, Orders'!$D:$D,"Germany",'MAIN DATA, Orders'!$I:$I,{"Naval","Development - Naval","Missile (Naval)","Development - Missile (Naval)"},'MAIN DATA, Orders'!$Y:$Y,$A26)/1000000000)</f>
        <v>0</v>
      </c>
      <c r="E26" s="15" cm="1">
        <f t="array" ref="E26">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Orders'!$Y:$Y,$A26)/1000000000)</f>
        <v>0</v>
      </c>
      <c r="F26" s="15" cm="1">
        <f t="array" ref="F26">SUM(SUMIFS('MAIN DATA, Orders'!$S:$S,'MAIN DATA, Orders'!$D:$D,"Germany",'MAIN DATA, Orders'!$I:$I,{"Maintenance","Development - Maintenance","Modernisation","Development - Modernisation","Other","Development - Other"},'MAIN DATA, Orders'!$Y:$Y,$A26)/1000000000)</f>
        <v>0</v>
      </c>
    </row>
    <row r="27" spans="1:6" x14ac:dyDescent="0.35">
      <c r="A27" s="20">
        <v>202109</v>
      </c>
      <c r="B27" s="205">
        <v>44440</v>
      </c>
      <c r="C27" s="15" cm="1">
        <f t="array" ref="C27">SUM(SUMIFS('MAIN DATA, Orders'!$S:$S,'MAIN DATA, Orders'!$D:$D,"Germany",'MAIN DATA, Orders'!$I:$I,{"Aircraft","Development - Aircraft","Missile (Air)","Development - Missile (Air)"},'MAIN DATA, Orders'!$Y:$Y,$A27)/1000000000)</f>
        <v>0</v>
      </c>
      <c r="D27" s="15" cm="1">
        <f t="array" ref="D27">SUM(SUMIFS('MAIN DATA, Orders'!$S:$S,'MAIN DATA, Orders'!$D:$D,"Germany",'MAIN DATA, Orders'!$I:$I,{"Naval","Development - Naval","Missile (Naval)","Development - Missile (Naval)"},'MAIN DATA, Orders'!$Y:$Y,$A27)/1000000000)</f>
        <v>0</v>
      </c>
      <c r="E27" s="15" cm="1">
        <f t="array" ref="E27">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Orders'!$Y:$Y,$A27)/1000000000)</f>
        <v>0</v>
      </c>
      <c r="F27" s="15" cm="1">
        <f t="array" ref="F27">SUM(SUMIFS('MAIN DATA, Orders'!$S:$S,'MAIN DATA, Orders'!$D:$D,"Germany",'MAIN DATA, Orders'!$I:$I,{"Maintenance","Development - Maintenance","Modernisation","Development - Modernisation","Other","Development - Other"},'MAIN DATA, Orders'!$Y:$Y,$A27)/1000000000)</f>
        <v>0</v>
      </c>
    </row>
    <row r="28" spans="1:6" x14ac:dyDescent="0.35">
      <c r="A28" s="20">
        <v>202110</v>
      </c>
      <c r="B28" s="205">
        <v>44470</v>
      </c>
      <c r="C28" s="15" cm="1">
        <f t="array" ref="C28">SUM(SUMIFS('MAIN DATA, Orders'!$S:$S,'MAIN DATA, Orders'!$D:$D,"Germany",'MAIN DATA, Orders'!$I:$I,{"Aircraft","Development - Aircraft","Missile (Air)","Development - Missile (Air)"},'MAIN DATA, Orders'!$Y:$Y,$A28)/1000000000)</f>
        <v>0</v>
      </c>
      <c r="D28" s="15" cm="1">
        <f t="array" ref="D28">SUM(SUMIFS('MAIN DATA, Orders'!$S:$S,'MAIN DATA, Orders'!$D:$D,"Germany",'MAIN DATA, Orders'!$I:$I,{"Naval","Development - Naval","Missile (Naval)","Development - Missile (Naval)"},'MAIN DATA, Orders'!$Y:$Y,$A28)/1000000000)</f>
        <v>0</v>
      </c>
      <c r="E28" s="15" cm="1">
        <f t="array" ref="E28">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Orders'!$Y:$Y,$A28)/1000000000)</f>
        <v>0</v>
      </c>
      <c r="F28" s="15" cm="1">
        <f t="array" ref="F28">SUM(SUMIFS('MAIN DATA, Orders'!$S:$S,'MAIN DATA, Orders'!$D:$D,"Germany",'MAIN DATA, Orders'!$I:$I,{"Maintenance","Development - Maintenance","Modernisation","Development - Modernisation","Other","Development - Other"},'MAIN DATA, Orders'!$Y:$Y,$A28)/1000000000)</f>
        <v>0</v>
      </c>
    </row>
    <row r="29" spans="1:6" x14ac:dyDescent="0.35">
      <c r="A29" s="20">
        <v>202111</v>
      </c>
      <c r="B29" s="205">
        <v>44501</v>
      </c>
      <c r="C29" s="15" cm="1">
        <f t="array" ref="C29">SUM(SUMIFS('MAIN DATA, Orders'!$S:$S,'MAIN DATA, Orders'!$D:$D,"Germany",'MAIN DATA, Orders'!$I:$I,{"Aircraft","Development - Aircraft","Missile (Air)","Development - Missile (Air)"},'MAIN DATA, Orders'!$Y:$Y,$A29)/1000000000)</f>
        <v>0</v>
      </c>
      <c r="D29" s="15" cm="1">
        <f t="array" ref="D29">SUM(SUMIFS('MAIN DATA, Orders'!$S:$S,'MAIN DATA, Orders'!$D:$D,"Germany",'MAIN DATA, Orders'!$I:$I,{"Naval","Development - Naval","Missile (Naval)","Development - Missile (Naval)"},'MAIN DATA, Orders'!$Y:$Y,$A29)/1000000000)</f>
        <v>0</v>
      </c>
      <c r="E29" s="15" cm="1">
        <f t="array" ref="E29">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Orders'!$Y:$Y,$A29)/1000000000)</f>
        <v>0</v>
      </c>
      <c r="F29" s="15" cm="1">
        <f t="array" ref="F29">SUM(SUMIFS('MAIN DATA, Orders'!$S:$S,'MAIN DATA, Orders'!$D:$D,"Germany",'MAIN DATA, Orders'!$I:$I,{"Maintenance","Development - Maintenance","Modernisation","Development - Modernisation","Other","Development - Other"},'MAIN DATA, Orders'!$Y:$Y,$A29)/1000000000)</f>
        <v>0</v>
      </c>
    </row>
    <row r="30" spans="1:6" x14ac:dyDescent="0.35">
      <c r="A30" s="20">
        <v>202112</v>
      </c>
      <c r="B30" s="205">
        <v>44531</v>
      </c>
      <c r="C30" s="15" cm="1">
        <f t="array" ref="C30">SUM(SUMIFS('MAIN DATA, Orders'!$S:$S,'MAIN DATA, Orders'!$D:$D,"Germany",'MAIN DATA, Orders'!$I:$I,{"Aircraft","Development - Aircraft","Missile (Air)","Development - Missile (Air)"},'MAIN DATA, Orders'!$Y:$Y,$A30)/1000000000)</f>
        <v>0</v>
      </c>
      <c r="D30" s="15" cm="1">
        <f t="array" ref="D30">SUM(SUMIFS('MAIN DATA, Orders'!$S:$S,'MAIN DATA, Orders'!$D:$D,"Germany",'MAIN DATA, Orders'!$I:$I,{"Naval","Development - Naval","Missile (Naval)","Development - Missile (Naval)"},'MAIN DATA, Orders'!$Y:$Y,$A30)/1000000000)</f>
        <v>0</v>
      </c>
      <c r="E30" s="15" cm="1">
        <f t="array" ref="E30">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Orders'!$Y:$Y,$A30)/1000000000)</f>
        <v>0</v>
      </c>
      <c r="F30" s="15" cm="1">
        <f t="array" ref="F30">SUM(SUMIFS('MAIN DATA, Orders'!$S:$S,'MAIN DATA, Orders'!$D:$D,"Germany",'MAIN DATA, Orders'!$I:$I,{"Maintenance","Development - Maintenance","Modernisation","Development - Modernisation","Other","Development - Other"},'MAIN DATA, Orders'!$Y:$Y,$A30)/1000000000)</f>
        <v>0</v>
      </c>
    </row>
    <row r="31" spans="1:6" x14ac:dyDescent="0.35">
      <c r="A31" s="20">
        <v>202201</v>
      </c>
      <c r="B31" s="205">
        <v>44562</v>
      </c>
      <c r="C31" s="15" cm="1">
        <f t="array" ref="C31">SUM(SUMIFS('MAIN DATA, Orders'!$S:$S,'MAIN DATA, Orders'!$D:$D,"Germany",'MAIN DATA, Orders'!$I:$I,{"Aircraft","Development - Aircraft","Missile (Air)","Development - Missile (Air)"},'MAIN DATA, Orders'!$Y:$Y,$A31)/1000000000)</f>
        <v>0</v>
      </c>
      <c r="D31" s="15" cm="1">
        <f t="array" ref="D31">SUM(SUMIFS('MAIN DATA, Orders'!$S:$S,'MAIN DATA, Orders'!$D:$D,"Germany",'MAIN DATA, Orders'!$I:$I,{"Naval","Development - Naval","Missile (Naval)","Development - Missile (Naval)"},'MAIN DATA, Orders'!$Y:$Y,$A31)/1000000000)</f>
        <v>0</v>
      </c>
      <c r="E31" s="15" cm="1">
        <f t="array" ref="E31">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Orders'!$Y:$Y,$A31)/1000000000)</f>
        <v>0</v>
      </c>
      <c r="F31" s="15" cm="1">
        <f t="array" ref="F31">SUM(SUMIFS('MAIN DATA, Orders'!$S:$S,'MAIN DATA, Orders'!$D:$D,"Germany",'MAIN DATA, Orders'!$I:$I,{"Maintenance","Development - Maintenance","Modernisation","Development - Modernisation","Other","Development - Other"},'MAIN DATA, Orders'!$Y:$Y,$A31)/1000000000)</f>
        <v>0</v>
      </c>
    </row>
    <row r="32" spans="1:6" x14ac:dyDescent="0.35">
      <c r="A32" s="20">
        <v>202202</v>
      </c>
      <c r="B32" s="205">
        <v>44593</v>
      </c>
      <c r="C32" s="15" cm="1">
        <f t="array" ref="C32">SUM(SUMIFS('MAIN DATA, Orders'!$S:$S,'MAIN DATA, Orders'!$D:$D,"Germany",'MAIN DATA, Orders'!$I:$I,{"Aircraft","Development - Aircraft","Missile (Air)","Development - Missile (Air)"},'MAIN DATA, Orders'!$Y:$Y,$A32)/1000000000)</f>
        <v>0</v>
      </c>
      <c r="D32" s="15" cm="1">
        <f t="array" ref="D32">SUM(SUMIFS('MAIN DATA, Orders'!$S:$S,'MAIN DATA, Orders'!$D:$D,"Germany",'MAIN DATA, Orders'!$I:$I,{"Naval","Development - Naval","Missile (Naval)","Development - Missile (Naval)"},'MAIN DATA, Orders'!$Y:$Y,$A32)/1000000000)</f>
        <v>0</v>
      </c>
      <c r="E32" s="15" cm="1">
        <f t="array" ref="E32">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Orders'!$Y:$Y,$A32)/1000000000)</f>
        <v>0</v>
      </c>
      <c r="F32" s="15" cm="1">
        <f t="array" ref="F32">SUM(SUMIFS('MAIN DATA, Orders'!$S:$S,'MAIN DATA, Orders'!$D:$D,"Germany",'MAIN DATA, Orders'!$I:$I,{"Maintenance","Development - Maintenance","Modernisation","Development - Modernisation","Other","Development - Other"},'MAIN DATA, Orders'!$Y:$Y,$A32)/1000000000)</f>
        <v>0</v>
      </c>
    </row>
    <row r="33" spans="1:6" x14ac:dyDescent="0.35">
      <c r="A33" s="20">
        <v>202203</v>
      </c>
      <c r="B33" s="205">
        <v>44621</v>
      </c>
      <c r="C33" s="15" cm="1">
        <f t="array" ref="C33">SUM(SUMIFS('MAIN DATA, Orders'!$S:$S,'MAIN DATA, Orders'!$D:$D,"Germany",'MAIN DATA, Orders'!$I:$I,{"Aircraft","Development - Aircraft","Missile (Air)","Development - Missile (Air)"},'MAIN DATA, Orders'!$Y:$Y,$A33)/1000000000)</f>
        <v>0</v>
      </c>
      <c r="D33" s="15" cm="1">
        <f t="array" ref="D33">SUM(SUMIFS('MAIN DATA, Orders'!$S:$S,'MAIN DATA, Orders'!$D:$D,"Germany",'MAIN DATA, Orders'!$I:$I,{"Naval","Development - Naval","Missile (Naval)","Development - Missile (Naval)"},'MAIN DATA, Orders'!$Y:$Y,$A33)/1000000000)</f>
        <v>0</v>
      </c>
      <c r="E33" s="15" cm="1">
        <f t="array" ref="E33">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Orders'!$Y:$Y,$A33)/1000000000)</f>
        <v>0</v>
      </c>
      <c r="F33" s="15" cm="1">
        <f t="array" ref="F33">SUM(SUMIFS('MAIN DATA, Orders'!$S:$S,'MAIN DATA, Orders'!$D:$D,"Germany",'MAIN DATA, Orders'!$I:$I,{"Maintenance","Development - Maintenance","Modernisation","Development - Modernisation","Other","Development - Other"},'MAIN DATA, Orders'!$Y:$Y,$A33)/1000000000)</f>
        <v>0</v>
      </c>
    </row>
    <row r="34" spans="1:6" x14ac:dyDescent="0.35">
      <c r="A34" s="20">
        <v>202204</v>
      </c>
      <c r="B34" s="205">
        <v>44652</v>
      </c>
      <c r="C34" s="15" cm="1">
        <f t="array" ref="C34">SUM(SUMIFS('MAIN DATA, Orders'!$S:$S,'MAIN DATA, Orders'!$D:$D,"Germany",'MAIN DATA, Orders'!$I:$I,{"Aircraft","Development - Aircraft","Missile (Air)","Development - Missile (Air)"},'MAIN DATA, Orders'!$Y:$Y,$A34)/1000000000)</f>
        <v>0</v>
      </c>
      <c r="D34" s="15" cm="1">
        <f t="array" ref="D34">SUM(SUMIFS('MAIN DATA, Orders'!$S:$S,'MAIN DATA, Orders'!$D:$D,"Germany",'MAIN DATA, Orders'!$I:$I,{"Naval","Development - Naval","Missile (Naval)","Development - Missile (Naval)"},'MAIN DATA, Orders'!$Y:$Y,$A34)/1000000000)</f>
        <v>0</v>
      </c>
      <c r="E34" s="15" cm="1">
        <f t="array" ref="E34">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Orders'!$Y:$Y,$A34)/1000000000)</f>
        <v>0.15</v>
      </c>
      <c r="F34" s="15" cm="1">
        <f t="array" ref="F34">SUM(SUMIFS('MAIN DATA, Orders'!$S:$S,'MAIN DATA, Orders'!$D:$D,"Germany",'MAIN DATA, Orders'!$I:$I,{"Maintenance","Development - Maintenance","Modernisation","Development - Modernisation","Other","Development - Other"},'MAIN DATA, Orders'!$Y:$Y,$A34)/1000000000)</f>
        <v>0</v>
      </c>
    </row>
    <row r="35" spans="1:6" x14ac:dyDescent="0.35">
      <c r="A35" s="20">
        <v>202205</v>
      </c>
      <c r="B35" s="205">
        <v>44682</v>
      </c>
      <c r="C35" s="15" cm="1">
        <f t="array" ref="C35">SUM(SUMIFS('MAIN DATA, Orders'!$S:$S,'MAIN DATA, Orders'!$D:$D,"Germany",'MAIN DATA, Orders'!$I:$I,{"Aircraft","Development - Aircraft","Missile (Air)","Development - Missile (Air)"},'MAIN DATA, Orders'!$Y:$Y,$A35)/1000000000)</f>
        <v>0</v>
      </c>
      <c r="D35" s="15" cm="1">
        <f t="array" ref="D35">SUM(SUMIFS('MAIN DATA, Orders'!$S:$S,'MAIN DATA, Orders'!$D:$D,"Germany",'MAIN DATA, Orders'!$I:$I,{"Naval","Development - Naval","Missile (Naval)","Development - Missile (Naval)"},'MAIN DATA, Orders'!$Y:$Y,$A35)/1000000000)</f>
        <v>0</v>
      </c>
      <c r="E35" s="15" cm="1">
        <f t="array" ref="E35">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Orders'!$Y:$Y,$A35)/1000000000)</f>
        <v>0</v>
      </c>
      <c r="F35" s="15" cm="1">
        <f t="array" ref="F35">SUM(SUMIFS('MAIN DATA, Orders'!$S:$S,'MAIN DATA, Orders'!$D:$D,"Germany",'MAIN DATA, Orders'!$I:$I,{"Maintenance","Development - Maintenance","Modernisation","Development - Modernisation","Other","Development - Other"},'MAIN DATA, Orders'!$Y:$Y,$A35)/1000000000)</f>
        <v>2.5139</v>
      </c>
    </row>
    <row r="36" spans="1:6" x14ac:dyDescent="0.35">
      <c r="A36" s="20">
        <v>202206</v>
      </c>
      <c r="B36" s="205">
        <v>44713</v>
      </c>
      <c r="C36" s="15" cm="1">
        <f t="array" ref="C36">SUM(SUMIFS('MAIN DATA, Orders'!$S:$S,'MAIN DATA, Orders'!$D:$D,"Germany",'MAIN DATA, Orders'!$I:$I,{"Aircraft","Development - Aircraft","Missile (Air)","Development - Missile (Air)"},'MAIN DATA, Orders'!$Y:$Y,$A36)/1000000000)</f>
        <v>0</v>
      </c>
      <c r="D36" s="15" cm="1">
        <f t="array" ref="D36">SUM(SUMIFS('MAIN DATA, Orders'!$S:$S,'MAIN DATA, Orders'!$D:$D,"Germany",'MAIN DATA, Orders'!$I:$I,{"Naval","Development - Naval","Missile (Naval)","Development - Missile (Naval)"},'MAIN DATA, Orders'!$Y:$Y,$A36)/1000000000)</f>
        <v>3.5000000000000003E-2</v>
      </c>
      <c r="E36" s="15" cm="1">
        <f t="array" ref="E36">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Orders'!$Y:$Y,$A36)/1000000000)</f>
        <v>0</v>
      </c>
      <c r="F36" s="15" cm="1">
        <f t="array" ref="F36">SUM(SUMIFS('MAIN DATA, Orders'!$S:$S,'MAIN DATA, Orders'!$D:$D,"Germany",'MAIN DATA, Orders'!$I:$I,{"Maintenance","Development - Maintenance","Modernisation","Development - Modernisation","Other","Development - Other"},'MAIN DATA, Orders'!$Y:$Y,$A36)/1000000000)</f>
        <v>0.10100000000000001</v>
      </c>
    </row>
    <row r="37" spans="1:6" x14ac:dyDescent="0.35">
      <c r="A37" s="20">
        <v>202207</v>
      </c>
      <c r="B37" s="205">
        <v>44743</v>
      </c>
      <c r="C37" s="15" cm="1">
        <f t="array" ref="C37">SUM(SUMIFS('MAIN DATA, Orders'!$S:$S,'MAIN DATA, Orders'!$D:$D,"Germany",'MAIN DATA, Orders'!$I:$I,{"Aircraft","Development - Aircraft","Missile (Air)","Development - Missile (Air)"},'MAIN DATA, Orders'!$Y:$Y,$A37)/1000000000)</f>
        <v>0.24199999999999999</v>
      </c>
      <c r="D37" s="15" cm="1">
        <f t="array" ref="D37">SUM(SUMIFS('MAIN DATA, Orders'!$S:$S,'MAIN DATA, Orders'!$D:$D,"Germany",'MAIN DATA, Orders'!$I:$I,{"Naval","Development - Naval","Missile (Naval)","Development - Missile (Naval)"},'MAIN DATA, Orders'!$Y:$Y,$A37)/1000000000)</f>
        <v>0.34179999999999999</v>
      </c>
      <c r="E37" s="15" cm="1">
        <f t="array" ref="E37">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Orders'!$Y:$Y,$A37)/1000000000)</f>
        <v>4.2099999999999999E-2</v>
      </c>
      <c r="F37" s="15" cm="1">
        <f t="array" ref="F37">SUM(SUMIFS('MAIN DATA, Orders'!$S:$S,'MAIN DATA, Orders'!$D:$D,"Germany",'MAIN DATA, Orders'!$I:$I,{"Maintenance","Development - Maintenance","Modernisation","Development - Modernisation","Other","Development - Other"},'MAIN DATA, Orders'!$Y:$Y,$A37)/1000000000)</f>
        <v>6.89</v>
      </c>
    </row>
    <row r="38" spans="1:6" x14ac:dyDescent="0.35">
      <c r="A38" s="20">
        <v>202208</v>
      </c>
      <c r="B38" s="205">
        <v>44774</v>
      </c>
      <c r="C38" s="15" cm="1">
        <f t="array" ref="C38">SUM(SUMIFS('MAIN DATA, Orders'!$S:$S,'MAIN DATA, Orders'!$D:$D,"Germany",'MAIN DATA, Orders'!$I:$I,{"Aircraft","Development - Aircraft","Missile (Air)","Development - Missile (Air)"},'MAIN DATA, Orders'!$Y:$Y,$A38)/1000000000)</f>
        <v>0</v>
      </c>
      <c r="D38" s="15" cm="1">
        <f t="array" ref="D38">SUM(SUMIFS('MAIN DATA, Orders'!$S:$S,'MAIN DATA, Orders'!$D:$D,"Germany",'MAIN DATA, Orders'!$I:$I,{"Naval","Development - Naval","Missile (Naval)","Development - Missile (Naval)"},'MAIN DATA, Orders'!$Y:$Y,$A38)/1000000000)</f>
        <v>0</v>
      </c>
      <c r="E38" s="15" cm="1">
        <f t="array" ref="E38">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Orders'!$Y:$Y,$A38)/1000000000)</f>
        <v>0</v>
      </c>
      <c r="F38" s="15" cm="1">
        <f t="array" ref="F38">SUM(SUMIFS('MAIN DATA, Orders'!$S:$S,'MAIN DATA, Orders'!$D:$D,"Germany",'MAIN DATA, Orders'!$I:$I,{"Maintenance","Development - Maintenance","Modernisation","Development - Modernisation","Other","Development - Other"},'MAIN DATA, Orders'!$Y:$Y,$A38)/1000000000)</f>
        <v>0</v>
      </c>
    </row>
    <row r="39" spans="1:6" x14ac:dyDescent="0.35">
      <c r="A39" s="20">
        <v>202209</v>
      </c>
      <c r="B39" s="205">
        <v>44805</v>
      </c>
      <c r="C39" s="15" cm="1">
        <f t="array" ref="C39">SUM(SUMIFS('MAIN DATA, Orders'!$S:$S,'MAIN DATA, Orders'!$D:$D,"Germany",'MAIN DATA, Orders'!$I:$I,{"Aircraft","Development - Aircraft","Missile (Air)","Development - Missile (Air)"},'MAIN DATA, Orders'!$Y:$Y,$A39)/1000000000)</f>
        <v>0</v>
      </c>
      <c r="D39" s="15" cm="1">
        <f t="array" ref="D39">SUM(SUMIFS('MAIN DATA, Orders'!$S:$S,'MAIN DATA, Orders'!$D:$D,"Germany",'MAIN DATA, Orders'!$I:$I,{"Naval","Development - Naval","Missile (Naval)","Development - Missile (Naval)"},'MAIN DATA, Orders'!$Y:$Y,$A39)/1000000000)</f>
        <v>0.63700000000000001</v>
      </c>
      <c r="E39" s="15" cm="1">
        <f t="array" ref="E39">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Orders'!$Y:$Y,$A39)/1000000000)</f>
        <v>0</v>
      </c>
      <c r="F39" s="15" cm="1">
        <f t="array" ref="F39">SUM(SUMIFS('MAIN DATA, Orders'!$S:$S,'MAIN DATA, Orders'!$D:$D,"Germany",'MAIN DATA, Orders'!$I:$I,{"Maintenance","Development - Maintenance","Modernisation","Development - Modernisation","Other","Development - Other"},'MAIN DATA, Orders'!$Y:$Y,$A39)/1000000000)</f>
        <v>0</v>
      </c>
    </row>
    <row r="40" spans="1:6" x14ac:dyDescent="0.35">
      <c r="A40" s="20">
        <v>202210</v>
      </c>
      <c r="B40" s="205">
        <v>44835</v>
      </c>
      <c r="C40" s="15" cm="1">
        <f t="array" ref="C40">SUM(SUMIFS('MAIN DATA, Orders'!$S:$S,'MAIN DATA, Orders'!$D:$D,"Germany",'MAIN DATA, Orders'!$I:$I,{"Aircraft","Development - Aircraft","Missile (Air)","Development - Missile (Air)"},'MAIN DATA, Orders'!$Y:$Y,$A40)/1000000000)</f>
        <v>0</v>
      </c>
      <c r="D40" s="15" cm="1">
        <f t="array" ref="D40">SUM(SUMIFS('MAIN DATA, Orders'!$S:$S,'MAIN DATA, Orders'!$D:$D,"Germany",'MAIN DATA, Orders'!$I:$I,{"Naval","Development - Naval","Missile (Naval)","Development - Missile (Naval)"},'MAIN DATA, Orders'!$Y:$Y,$A40)/1000000000)</f>
        <v>0</v>
      </c>
      <c r="E40" s="15" cm="1">
        <f t="array" ref="E40">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Orders'!$Y:$Y,$A40)/1000000000)</f>
        <v>9.74E-2</v>
      </c>
      <c r="F40" s="15" cm="1">
        <f t="array" ref="F40">SUM(SUMIFS('MAIN DATA, Orders'!$S:$S,'MAIN DATA, Orders'!$D:$D,"Germany",'MAIN DATA, Orders'!$I:$I,{"Maintenance","Development - Maintenance","Modernisation","Development - Modernisation","Other","Development - Other"},'MAIN DATA, Orders'!$Y:$Y,$A40)/1000000000)</f>
        <v>7.4999999999999997E-3</v>
      </c>
    </row>
    <row r="41" spans="1:6" x14ac:dyDescent="0.35">
      <c r="A41" s="20">
        <v>202211</v>
      </c>
      <c r="B41" s="205">
        <v>44866</v>
      </c>
      <c r="C41" s="15" cm="1">
        <f t="array" ref="C41">SUM(SUMIFS('MAIN DATA, Orders'!$S:$S,'MAIN DATA, Orders'!$D:$D,"Germany",'MAIN DATA, Orders'!$I:$I,{"Aircraft","Development - Aircraft","Missile (Air)","Development - Missile (Air)"},'MAIN DATA, Orders'!$Y:$Y,$A41)/1000000000)</f>
        <v>0</v>
      </c>
      <c r="D41" s="15" cm="1">
        <f t="array" ref="D41">SUM(SUMIFS('MAIN DATA, Orders'!$S:$S,'MAIN DATA, Orders'!$D:$D,"Germany",'MAIN DATA, Orders'!$I:$I,{"Naval","Development - Naval","Missile (Naval)","Development - Missile (Naval)"},'MAIN DATA, Orders'!$Y:$Y,$A41)/1000000000)</f>
        <v>0</v>
      </c>
      <c r="E41" s="15" cm="1">
        <f t="array" ref="E41">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Orders'!$Y:$Y,$A41)/1000000000)</f>
        <v>0</v>
      </c>
      <c r="F41" s="15" cm="1">
        <f t="array" ref="F41">SUM(SUMIFS('MAIN DATA, Orders'!$S:$S,'MAIN DATA, Orders'!$D:$D,"Germany",'MAIN DATA, Orders'!$I:$I,{"Maintenance","Development - Maintenance","Modernisation","Development - Modernisation","Other","Development - Other"},'MAIN DATA, Orders'!$Y:$Y,$A41)/1000000000)</f>
        <v>0.15545</v>
      </c>
    </row>
    <row r="42" spans="1:6" x14ac:dyDescent="0.35">
      <c r="A42" s="20">
        <v>202212</v>
      </c>
      <c r="B42" s="205">
        <v>44896</v>
      </c>
      <c r="C42" s="15" cm="1">
        <f t="array" ref="C42">SUM(SUMIFS('MAIN DATA, Orders'!$S:$S,'MAIN DATA, Orders'!$D:$D,"Germany",'MAIN DATA, Orders'!$I:$I,{"Aircraft","Development - Aircraft","Missile (Air)","Development - Missile (Air)"},'MAIN DATA, Orders'!$Y:$Y,$A42)/1000000000)</f>
        <v>8.3000000000000007</v>
      </c>
      <c r="D42" s="15" cm="1">
        <f t="array" ref="D42">SUM(SUMIFS('MAIN DATA, Orders'!$S:$S,'MAIN DATA, Orders'!$D:$D,"Germany",'MAIN DATA, Orders'!$I:$I,{"Naval","Development - Naval","Missile (Naval)","Development - Missile (Naval)"},'MAIN DATA, Orders'!$Y:$Y,$A42)/1000000000)</f>
        <v>0</v>
      </c>
      <c r="E42" s="15" cm="1">
        <f t="array" ref="E42">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Orders'!$Y:$Y,$A42)/1000000000)</f>
        <v>1.464</v>
      </c>
      <c r="F42" s="15" cm="1">
        <f t="array" ref="F42">SUM(SUMIFS('MAIN DATA, Orders'!$S:$S,'MAIN DATA, Orders'!$D:$D,"Germany",'MAIN DATA, Orders'!$I:$I,{"Maintenance","Development - Maintenance","Modernisation","Development - Modernisation","Other","Development - Other"},'MAIN DATA, Orders'!$Y:$Y,$A42)/1000000000)</f>
        <v>0.12</v>
      </c>
    </row>
    <row r="43" spans="1:6" x14ac:dyDescent="0.35">
      <c r="A43" s="20">
        <v>202301</v>
      </c>
      <c r="B43" s="205">
        <v>44927</v>
      </c>
      <c r="C43" s="15" cm="1">
        <f t="array" ref="C43">SUM(SUMIFS('MAIN DATA, Orders'!$S:$S,'MAIN DATA, Orders'!$D:$D,"Germany",'MAIN DATA, Orders'!$I:$I,{"Aircraft","Development - Aircraft","Missile (Air)","Development - Missile (Air)"},'MAIN DATA, Orders'!$Y:$Y,$A43)/1000000000)</f>
        <v>0</v>
      </c>
      <c r="D43" s="15" cm="1">
        <f t="array" ref="D43">SUM(SUMIFS('MAIN DATA, Orders'!$S:$S,'MAIN DATA, Orders'!$D:$D,"Germany",'MAIN DATA, Orders'!$I:$I,{"Naval","Development - Naval","Missile (Naval)","Development - Missile (Naval)"},'MAIN DATA, Orders'!$Y:$Y,$A43)/1000000000)</f>
        <v>0</v>
      </c>
      <c r="E43" s="15" cm="1">
        <f t="array" ref="E43">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Orders'!$Y:$Y,$A43)/1000000000)</f>
        <v>0</v>
      </c>
      <c r="F43" s="15" cm="1">
        <f t="array" ref="F43">SUM(SUMIFS('MAIN DATA, Orders'!$S:$S,'MAIN DATA, Orders'!$D:$D,"Germany",'MAIN DATA, Orders'!$I:$I,{"Maintenance","Development - Maintenance","Modernisation","Development - Modernisation","Other","Development - Other"},'MAIN DATA, Orders'!$Y:$Y,$A43)/1000000000)</f>
        <v>0</v>
      </c>
    </row>
    <row r="44" spans="1:6" x14ac:dyDescent="0.35">
      <c r="A44" s="20">
        <v>202302</v>
      </c>
      <c r="B44" s="205">
        <v>44958</v>
      </c>
      <c r="C44" s="15" cm="1">
        <f t="array" ref="C44">SUM(SUMIFS('MAIN DATA, Orders'!$S:$S,'MAIN DATA, Orders'!$D:$D,"Germany",'MAIN DATA, Orders'!$I:$I,{"Aircraft","Development - Aircraft","Missile (Air)","Development - Missile (Air)"},'MAIN DATA, Orders'!$Y:$Y,$A44)/1000000000)</f>
        <v>0</v>
      </c>
      <c r="D44" s="15" cm="1">
        <f t="array" ref="D44">SUM(SUMIFS('MAIN DATA, Orders'!$S:$S,'MAIN DATA, Orders'!$D:$D,"Germany",'MAIN DATA, Orders'!$I:$I,{"Naval","Development - Naval","Missile (Naval)","Development - Missile (Naval)"},'MAIN DATA, Orders'!$Y:$Y,$A44)/1000000000)</f>
        <v>0</v>
      </c>
      <c r="E44" s="15" cm="1">
        <f t="array" ref="E44">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Orders'!$Y:$Y,$A44)/1000000000)</f>
        <v>0.16800000000000001</v>
      </c>
      <c r="F44" s="15" cm="1">
        <f t="array" ref="F44">SUM(SUMIFS('MAIN DATA, Orders'!$S:$S,'MAIN DATA, Orders'!$D:$D,"Germany",'MAIN DATA, Orders'!$I:$I,{"Maintenance","Development - Maintenance","Modernisation","Development - Modernisation","Other","Development - Other"},'MAIN DATA, Orders'!$Y:$Y,$A44)/1000000000)</f>
        <v>5.28E-2</v>
      </c>
    </row>
    <row r="45" spans="1:6" x14ac:dyDescent="0.35">
      <c r="A45" s="20">
        <v>202303</v>
      </c>
      <c r="B45" s="205">
        <v>44986</v>
      </c>
      <c r="C45" s="15" cm="1">
        <f t="array" ref="C45">SUM(SUMIFS('MAIN DATA, Orders'!$S:$S,'MAIN DATA, Orders'!$D:$D,"Germany",'MAIN DATA, Orders'!$I:$I,{"Aircraft","Development - Aircraft","Missile (Air)","Development - Missile (Air)"},'MAIN DATA, Orders'!$Y:$Y,$A45)/1000000000)</f>
        <v>0</v>
      </c>
      <c r="D45" s="15" cm="1">
        <f t="array" ref="D45">SUM(SUMIFS('MAIN DATA, Orders'!$S:$S,'MAIN DATA, Orders'!$D:$D,"Germany",'MAIN DATA, Orders'!$I:$I,{"Naval","Development - Naval","Missile (Naval)","Development - Missile (Naval)"},'MAIN DATA, Orders'!$Y:$Y,$A45)/1000000000)</f>
        <v>4.2000000000000003E-2</v>
      </c>
      <c r="E45" s="15" cm="1">
        <f t="array" ref="E45">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Orders'!$Y:$Y,$A45)/1000000000)</f>
        <v>1.2991999999999999</v>
      </c>
      <c r="F45" s="15" cm="1">
        <f t="array" ref="F45">SUM(SUMIFS('MAIN DATA, Orders'!$S:$S,'MAIN DATA, Orders'!$D:$D,"Germany",'MAIN DATA, Orders'!$I:$I,{"Maintenance","Development - Maintenance","Modernisation","Development - Modernisation","Other","Development - Other"},'MAIN DATA, Orders'!$Y:$Y,$A45)/1000000000)</f>
        <v>3.32E-2</v>
      </c>
    </row>
    <row r="46" spans="1:6" x14ac:dyDescent="0.35">
      <c r="A46" s="20">
        <v>202304</v>
      </c>
      <c r="B46" s="205">
        <v>45017</v>
      </c>
      <c r="C46" s="15" cm="1">
        <f t="array" ref="C46">SUM(SUMIFS('MAIN DATA, Orders'!$S:$S,'MAIN DATA, Orders'!$D:$D,"Germany",'MAIN DATA, Orders'!$I:$I,{"Aircraft","Development - Aircraft","Missile (Air)","Development - Missile (Air)"},'MAIN DATA, Orders'!$Y:$Y,$A46)/1000000000)</f>
        <v>0</v>
      </c>
      <c r="D46" s="15" cm="1">
        <f t="array" ref="D46">SUM(SUMIFS('MAIN DATA, Orders'!$S:$S,'MAIN DATA, Orders'!$D:$D,"Germany",'MAIN DATA, Orders'!$I:$I,{"Naval","Development - Naval","Missile (Naval)","Development - Missile (Naval)"},'MAIN DATA, Orders'!$Y:$Y,$A46)/1000000000)</f>
        <v>0.26900000000000002</v>
      </c>
      <c r="E46" s="15" cm="1">
        <f t="array" ref="E46">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Orders'!$Y:$Y,$A46)/1000000000)</f>
        <v>0</v>
      </c>
      <c r="F46" s="15" cm="1">
        <f t="array" ref="F46">SUM(SUMIFS('MAIN DATA, Orders'!$S:$S,'MAIN DATA, Orders'!$D:$D,"Germany",'MAIN DATA, Orders'!$I:$I,{"Maintenance","Development - Maintenance","Modernisation","Development - Modernisation","Other","Development - Other"},'MAIN DATA, Orders'!$Y:$Y,$A46)/1000000000)</f>
        <v>0.498</v>
      </c>
    </row>
    <row r="47" spans="1:6" x14ac:dyDescent="0.35">
      <c r="A47" s="20">
        <v>202305</v>
      </c>
      <c r="B47" s="205">
        <v>45047</v>
      </c>
      <c r="C47" s="15" cm="1">
        <f t="array" ref="C47">SUM(SUMIFS('MAIN DATA, Orders'!$S:$S,'MAIN DATA, Orders'!$D:$D,"Germany",'MAIN DATA, Orders'!$I:$I,{"Aircraft","Development - Aircraft","Missile (Air)","Development - Missile (Air)"},'MAIN DATA, Orders'!$Y:$Y,$A47)/1000000000)</f>
        <v>0</v>
      </c>
      <c r="D47" s="15" cm="1">
        <f t="array" ref="D47">SUM(SUMIFS('MAIN DATA, Orders'!$S:$S,'MAIN DATA, Orders'!$D:$D,"Germany",'MAIN DATA, Orders'!$I:$I,{"Naval","Development - Naval","Missile (Naval)","Development - Missile (Naval)"},'MAIN DATA, Orders'!$Y:$Y,$A47)/1000000000)</f>
        <v>0.18</v>
      </c>
      <c r="E47" s="15" cm="1">
        <f t="array" ref="E47">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Orders'!$Y:$Y,$A47)/1000000000)</f>
        <v>1.8033000000000001</v>
      </c>
      <c r="F47" s="15" cm="1">
        <f t="array" ref="F47">SUM(SUMIFS('MAIN DATA, Orders'!$S:$S,'MAIN DATA, Orders'!$D:$D,"Germany",'MAIN DATA, Orders'!$I:$I,{"Maintenance","Development - Maintenance","Modernisation","Development - Modernisation","Other","Development - Other"},'MAIN DATA, Orders'!$Y:$Y,$A47)/1000000000)</f>
        <v>3.2000000000000001E-2</v>
      </c>
    </row>
    <row r="48" spans="1:6" x14ac:dyDescent="0.35">
      <c r="A48" s="20">
        <v>202306</v>
      </c>
      <c r="B48" s="205">
        <v>45078</v>
      </c>
      <c r="C48" s="15" cm="1">
        <f t="array" ref="C48">SUM(SUMIFS('MAIN DATA, Orders'!$S:$S,'MAIN DATA, Orders'!$D:$D,"Germany",'MAIN DATA, Orders'!$I:$I,{"Aircraft","Development - Aircraft","Missile (Air)","Development - Missile (Air)"},'MAIN DATA, Orders'!$Y:$Y,$A48)/1000000000)</f>
        <v>0</v>
      </c>
      <c r="D48" s="15" cm="1">
        <f t="array" ref="D48">SUM(SUMIFS('MAIN DATA, Orders'!$S:$S,'MAIN DATA, Orders'!$D:$D,"Germany",'MAIN DATA, Orders'!$I:$I,{"Naval","Development - Naval","Missile (Naval)","Development - Missile (Naval)"},'MAIN DATA, Orders'!$Y:$Y,$A48)/1000000000)</f>
        <v>0</v>
      </c>
      <c r="E48" s="15" cm="1">
        <f t="array" ref="E48">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Orders'!$Y:$Y,$A48)/1000000000)</f>
        <v>0.95</v>
      </c>
      <c r="F48" s="15" cm="1">
        <f t="array" ref="F48">SUM(SUMIFS('MAIN DATA, Orders'!$S:$S,'MAIN DATA, Orders'!$D:$D,"Germany",'MAIN DATA, Orders'!$I:$I,{"Maintenance","Development - Maintenance","Modernisation","Development - Modernisation","Other","Development - Other"},'MAIN DATA, Orders'!$Y:$Y,$A48)/1000000000)</f>
        <v>0.9032</v>
      </c>
    </row>
    <row r="49" spans="1:6" x14ac:dyDescent="0.35">
      <c r="A49" s="20">
        <v>202307</v>
      </c>
      <c r="B49" s="205">
        <v>45108</v>
      </c>
      <c r="C49" s="15" cm="1">
        <f t="array" ref="C49">SUM(SUMIFS('MAIN DATA, Orders'!$S:$S,'MAIN DATA, Orders'!$D:$D,"Germany",'MAIN DATA, Orders'!$I:$I,{"Aircraft","Development - Aircraft","Missile (Air)","Development - Missile (Air)"},'MAIN DATA, Orders'!$Y:$Y,$A49)/1000000000)</f>
        <v>0</v>
      </c>
      <c r="D49" s="15" cm="1">
        <f t="array" ref="D49">SUM(SUMIFS('MAIN DATA, Orders'!$S:$S,'MAIN DATA, Orders'!$D:$D,"Germany",'MAIN DATA, Orders'!$I:$I,{"Naval","Development - Naval","Missile (Naval)","Development - Missile (Naval)"},'MAIN DATA, Orders'!$Y:$Y,$A49)/1000000000)</f>
        <v>1.1599999999999999</v>
      </c>
      <c r="E49" s="15" cm="1">
        <f t="array" ref="E49">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Orders'!$Y:$Y,$A49)/1000000000)</f>
        <v>8.5849000000000011</v>
      </c>
      <c r="F49" s="15" cm="1">
        <f t="array" ref="F49">SUM(SUMIFS('MAIN DATA, Orders'!$S:$S,'MAIN DATA, Orders'!$D:$D,"Germany",'MAIN DATA, Orders'!$I:$I,{"Maintenance","Development - Maintenance","Modernisation","Development - Modernisation","Other","Development - Other"},'MAIN DATA, Orders'!$Y:$Y,$A49)/1000000000)</f>
        <v>0</v>
      </c>
    </row>
    <row r="50" spans="1:6" x14ac:dyDescent="0.35">
      <c r="A50" s="20">
        <v>202308</v>
      </c>
      <c r="B50" s="205">
        <v>45139</v>
      </c>
      <c r="C50" s="15" cm="1">
        <f t="array" ref="C50">SUM(SUMIFS('MAIN DATA, Orders'!$S:$S,'MAIN DATA, Orders'!$D:$D,"Germany",'MAIN DATA, Orders'!$I:$I,{"Aircraft","Development - Aircraft","Missile (Air)","Development - Missile (Air)"},'MAIN DATA, Orders'!$Y:$Y,$A50)/1000000000)</f>
        <v>0</v>
      </c>
      <c r="D50" s="15" cm="1">
        <f t="array" ref="D50">SUM(SUMIFS('MAIN DATA, Orders'!$S:$S,'MAIN DATA, Orders'!$D:$D,"Germany",'MAIN DATA, Orders'!$I:$I,{"Naval","Development - Naval","Missile (Naval)","Development - Missile (Naval)"},'MAIN DATA, Orders'!$Y:$Y,$A50)/1000000000)</f>
        <v>0</v>
      </c>
      <c r="E50" s="15" cm="1">
        <f t="array" ref="E50">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Orders'!$Y:$Y,$A50)/1000000000)</f>
        <v>0</v>
      </c>
      <c r="F50" s="15" cm="1">
        <f t="array" ref="F50">SUM(SUMIFS('MAIN DATA, Orders'!$S:$S,'MAIN DATA, Orders'!$D:$D,"Germany",'MAIN DATA, Orders'!$I:$I,{"Maintenance","Development - Maintenance","Modernisation","Development - Modernisation","Other","Development - Other"},'MAIN DATA, Orders'!$Y:$Y,$A50)/1000000000)</f>
        <v>0</v>
      </c>
    </row>
    <row r="51" spans="1:6" x14ac:dyDescent="0.35">
      <c r="A51" s="20">
        <v>202309</v>
      </c>
      <c r="B51" s="205">
        <v>45170</v>
      </c>
      <c r="C51" s="15" cm="1">
        <f t="array" ref="C51">SUM(SUMIFS('MAIN DATA, Orders'!$S:$S,'MAIN DATA, Orders'!$D:$D,"Germany",'MAIN DATA, Orders'!$I:$I,{"Aircraft","Development - Aircraft","Missile (Air)","Development - Missile (Air)"},'MAIN DATA, Orders'!$Y:$Y,$A51)/1000000000)</f>
        <v>0.19769999999999999</v>
      </c>
      <c r="D51" s="15" cm="1">
        <f t="array" ref="D51">SUM(SUMIFS('MAIN DATA, Orders'!$S:$S,'MAIN DATA, Orders'!$D:$D,"Germany",'MAIN DATA, Orders'!$I:$I,{"Naval","Development - Naval","Missile (Naval)","Development - Missile (Naval)"},'MAIN DATA, Orders'!$Y:$Y,$A51)/1000000000)</f>
        <v>0</v>
      </c>
      <c r="E51" s="15" cm="1">
        <f t="array" ref="E51">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Orders'!$Y:$Y,$A51)/1000000000)</f>
        <v>0.23860000000000001</v>
      </c>
      <c r="F51" s="15" cm="1">
        <f t="array" ref="F51">SUM(SUMIFS('MAIN DATA, Orders'!$S:$S,'MAIN DATA, Orders'!$D:$D,"Germany",'MAIN DATA, Orders'!$I:$I,{"Maintenance","Development - Maintenance","Modernisation","Development - Modernisation","Other","Development - Other"},'MAIN DATA, Orders'!$Y:$Y,$A51)/1000000000)</f>
        <v>0</v>
      </c>
    </row>
    <row r="52" spans="1:6" x14ac:dyDescent="0.35">
      <c r="A52" s="20">
        <v>202310</v>
      </c>
      <c r="B52" s="205">
        <v>45200</v>
      </c>
      <c r="C52" s="15" cm="1">
        <f t="array" ref="C52">SUM(SUMIFS('MAIN DATA, Orders'!$S:$S,'MAIN DATA, Orders'!$D:$D,"Germany",'MAIN DATA, Orders'!$I:$I,{"Aircraft","Development - Aircraft","Missile (Air)","Development - Missile (Air)"},'MAIN DATA, Orders'!$Y:$Y,$A52)/1000000000)</f>
        <v>0</v>
      </c>
      <c r="D52" s="15" cm="1">
        <f t="array" ref="D52">SUM(SUMIFS('MAIN DATA, Orders'!$S:$S,'MAIN DATA, Orders'!$D:$D,"Germany",'MAIN DATA, Orders'!$I:$I,{"Naval","Development - Naval","Missile (Naval)","Development - Missile (Naval)"},'MAIN DATA, Orders'!$Y:$Y,$A52)/1000000000)</f>
        <v>0</v>
      </c>
      <c r="E52" s="15" cm="1">
        <f t="array" ref="E52">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Orders'!$Y:$Y,$A52)/1000000000)</f>
        <v>4.1609999999999996</v>
      </c>
      <c r="F52" s="15" cm="1">
        <f t="array" ref="F52">SUM(SUMIFS('MAIN DATA, Orders'!$S:$S,'MAIN DATA, Orders'!$D:$D,"Germany",'MAIN DATA, Orders'!$I:$I,{"Maintenance","Development - Maintenance","Modernisation","Development - Modernisation","Other","Development - Other"},'MAIN DATA, Orders'!$Y:$Y,$A52)/1000000000)</f>
        <v>0.2515</v>
      </c>
    </row>
    <row r="53" spans="1:6" x14ac:dyDescent="0.35">
      <c r="A53" s="20">
        <v>202311</v>
      </c>
      <c r="B53" s="205">
        <v>45231</v>
      </c>
      <c r="C53" s="15" cm="1">
        <f t="array" ref="C53">SUM(SUMIFS('MAIN DATA, Orders'!$S:$S,'MAIN DATA, Orders'!$D:$D,"Germany",'MAIN DATA, Orders'!$I:$I,{"Aircraft","Development - Aircraft","Missile (Air)","Development - Missile (Air)"},'MAIN DATA, Orders'!$Y:$Y,$A53)/1000000000)</f>
        <v>4.9299999999999997E-2</v>
      </c>
      <c r="D53" s="15" cm="1">
        <f t="array" ref="D53">SUM(SUMIFS('MAIN DATA, Orders'!$S:$S,'MAIN DATA, Orders'!$D:$D,"Germany",'MAIN DATA, Orders'!$I:$I,{"Naval","Development - Naval","Missile (Naval)","Development - Missile (Naval)"},'MAIN DATA, Orders'!$Y:$Y,$A53)/1000000000)</f>
        <v>1.1000000000000001</v>
      </c>
      <c r="E53" s="15" cm="1">
        <f t="array" ref="E53">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Orders'!$Y:$Y,$A53)/1000000000)</f>
        <v>0.40100000000000002</v>
      </c>
      <c r="F53" s="15" cm="1">
        <f t="array" ref="F53">SUM(SUMIFS('MAIN DATA, Orders'!$S:$S,'MAIN DATA, Orders'!$D:$D,"Germany",'MAIN DATA, Orders'!$I:$I,{"Maintenance","Development - Maintenance","Modernisation","Development - Modernisation","Other","Development - Other"},'MAIN DATA, Orders'!$Y:$Y,$A53)/1000000000)</f>
        <v>13.4</v>
      </c>
    </row>
    <row r="54" spans="1:6" x14ac:dyDescent="0.35">
      <c r="A54" s="20">
        <v>202312</v>
      </c>
      <c r="B54" s="205">
        <v>45261</v>
      </c>
      <c r="C54" s="15" cm="1">
        <f t="array" ref="C54">SUM(SUMIFS('MAIN DATA, Orders'!$S:$S,'MAIN DATA, Orders'!$D:$D,"Germany",'MAIN DATA, Orders'!$I:$I,{"Aircraft","Development - Aircraft","Missile (Air)","Development - Missile (Air)"},'MAIN DATA, Orders'!$Y:$Y,$A54)/1000000000)</f>
        <v>0.1429</v>
      </c>
      <c r="D54" s="15" cm="1">
        <f t="array" ref="D54">SUM(SUMIFS('MAIN DATA, Orders'!$S:$S,'MAIN DATA, Orders'!$D:$D,"Germany",'MAIN DATA, Orders'!$I:$I,{"Naval","Development - Naval","Missile (Naval)","Development - Missile (Naval)"},'MAIN DATA, Orders'!$Y:$Y,$A54)/1000000000)</f>
        <v>9.98E-2</v>
      </c>
      <c r="E54" s="15" cm="1">
        <f t="array" ref="E54">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Orders'!$Y:$Y,$A54)/1000000000)</f>
        <v>5.9740000000000002</v>
      </c>
      <c r="F54" s="15" cm="1">
        <f t="array" ref="F54">SUM(SUMIFS('MAIN DATA, Orders'!$S:$S,'MAIN DATA, Orders'!$D:$D,"Germany",'MAIN DATA, Orders'!$I:$I,{"Maintenance","Development - Maintenance","Modernisation","Development - Modernisation","Other","Development - Other"},'MAIN DATA, Orders'!$Y:$Y,$A54)/1000000000)</f>
        <v>3.4779999999999998E-2</v>
      </c>
    </row>
    <row r="55" spans="1:6" x14ac:dyDescent="0.35">
      <c r="A55" s="20">
        <v>202401</v>
      </c>
      <c r="B55" s="205">
        <v>45292</v>
      </c>
      <c r="C55" s="15" cm="1">
        <f t="array" ref="C55">SUM(SUMIFS('MAIN DATA, Orders'!$S:$S,'MAIN DATA, Orders'!$D:$D,"Germany",'MAIN DATA, Orders'!$I:$I,{"Aircraft","Development - Aircraft","Missile (Air)","Development - Missile (Air)"},'MAIN DATA, Orders'!$Y:$Y,$A55)/1000000000)</f>
        <v>0</v>
      </c>
      <c r="D55" s="15" cm="1">
        <f t="array" ref="D55">SUM(SUMIFS('MAIN DATA, Orders'!$S:$S,'MAIN DATA, Orders'!$D:$D,"Germany",'MAIN DATA, Orders'!$I:$I,{"Naval","Development - Naval","Missile (Naval)","Development - Missile (Naval)"},'MAIN DATA, Orders'!$Y:$Y,$A55)/1000000000)</f>
        <v>0</v>
      </c>
      <c r="E55" s="15" cm="1">
        <f t="array" ref="E55">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Orders'!$Y:$Y,$A55)/1000000000)</f>
        <v>1.23</v>
      </c>
      <c r="F55" s="15" cm="1">
        <f t="array" ref="F55">SUM(SUMIFS('MAIN DATA, Orders'!$S:$S,'MAIN DATA, Orders'!$D:$D,"Germany",'MAIN DATA, Orders'!$I:$I,{"Maintenance","Development - Maintenance","Modernisation","Development - Modernisation","Other","Development - Other"},'MAIN DATA, Orders'!$Y:$Y,$A55)/1000000000)</f>
        <v>0</v>
      </c>
    </row>
    <row r="56" spans="1:6" x14ac:dyDescent="0.35">
      <c r="A56" s="20">
        <v>202402</v>
      </c>
      <c r="B56" s="205">
        <v>45323</v>
      </c>
      <c r="C56" s="15" cm="1">
        <f t="array" ref="C56">SUM(SUMIFS('MAIN DATA, Orders'!$S:$S,'MAIN DATA, Orders'!$D:$D,"Germany",'MAIN DATA, Orders'!$I:$I,{"Aircraft","Development - Aircraft","Missile (Air)","Development - Missile (Air)"},'MAIN DATA, Orders'!$Y:$Y,$A56)/1000000000)</f>
        <v>0</v>
      </c>
      <c r="D56" s="15" cm="1">
        <f t="array" ref="D56">SUM(SUMIFS('MAIN DATA, Orders'!$S:$S,'MAIN DATA, Orders'!$D:$D,"Germany",'MAIN DATA, Orders'!$I:$I,{"Naval","Development - Naval","Missile (Naval)","Development - Missile (Naval)"},'MAIN DATA, Orders'!$Y:$Y,$A56)/1000000000)</f>
        <v>0</v>
      </c>
      <c r="E56" s="15" cm="1">
        <f t="array" ref="E56">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Orders'!$Y:$Y,$A56)/1000000000)</f>
        <v>0.64900000000000002</v>
      </c>
      <c r="F56" s="15" cm="1">
        <f t="array" ref="F56">SUM(SUMIFS('MAIN DATA, Orders'!$S:$S,'MAIN DATA, Orders'!$D:$D,"Germany",'MAIN DATA, Orders'!$I:$I,{"Maintenance","Development - Maintenance","Modernisation","Development - Modernisation","Other","Development - Other"},'MAIN DATA, Orders'!$Y:$Y,$A56)/1000000000)</f>
        <v>2.2000000000000002</v>
      </c>
    </row>
    <row r="57" spans="1:6" x14ac:dyDescent="0.35">
      <c r="A57" s="20">
        <v>202403</v>
      </c>
      <c r="B57" s="205">
        <v>45352</v>
      </c>
      <c r="C57" s="15" cm="1">
        <f t="array" ref="C57">SUM(SUMIFS('MAIN DATA, Orders'!$S:$S,'MAIN DATA, Orders'!$D:$D,"Germany",'MAIN DATA, Orders'!$I:$I,{"Aircraft","Development - Aircraft","Missile (Air)","Development - Missile (Air)"},'MAIN DATA, Orders'!$Y:$Y,$A57)/1000000000)</f>
        <v>0.10199999999999999</v>
      </c>
      <c r="D57" s="15" cm="1">
        <f t="array" ref="D57">SUM(SUMIFS('MAIN DATA, Orders'!$S:$S,'MAIN DATA, Orders'!$D:$D,"Germany",'MAIN DATA, Orders'!$I:$I,{"Naval","Development - Naval","Missile (Naval)","Development - Missile (Naval)"},'MAIN DATA, Orders'!$Y:$Y,$A57)/1000000000)</f>
        <v>0</v>
      </c>
      <c r="E57" s="15" cm="1">
        <f t="array" ref="E57">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Orders'!$Y:$Y,$A57)/1000000000)</f>
        <v>3.34</v>
      </c>
      <c r="F57" s="15" cm="1">
        <f t="array" ref="F57">SUM(SUMIFS('MAIN DATA, Orders'!$S:$S,'MAIN DATA, Orders'!$D:$D,"Germany",'MAIN DATA, Orders'!$I:$I,{"Maintenance","Development - Maintenance","Modernisation","Development - Modernisation","Other","Development - Other"},'MAIN DATA, Orders'!$Y:$Y,$A57)/1000000000)</f>
        <v>0.9899</v>
      </c>
    </row>
    <row r="58" spans="1:6" x14ac:dyDescent="0.35">
      <c r="A58" s="20">
        <v>202404</v>
      </c>
      <c r="B58" s="205">
        <v>45383</v>
      </c>
      <c r="C58" s="15" cm="1">
        <f t="array" ref="C58">SUM(SUMIFS('MAIN DATA, Orders'!$S:$S,'MAIN DATA, Orders'!$D:$D,"Germany",'MAIN DATA, Orders'!$I:$I,{"Aircraft","Development - Aircraft","Missile (Air)","Development - Missile (Air)"},'MAIN DATA, Orders'!$Y:$Y,$A58)/1000000000)</f>
        <v>0.14000000000000001</v>
      </c>
      <c r="D58" s="15" cm="1">
        <f t="array" ref="D58">SUM(SUMIFS('MAIN DATA, Orders'!$S:$S,'MAIN DATA, Orders'!$D:$D,"Germany",'MAIN DATA, Orders'!$I:$I,{"Naval","Development - Naval","Missile (Naval)","Development - Missile (Naval)"},'MAIN DATA, Orders'!$Y:$Y,$A58)/1000000000)</f>
        <v>0</v>
      </c>
      <c r="E58" s="15" cm="1">
        <f t="array" ref="E58">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Orders'!$Y:$Y,$A58)/1000000000)</f>
        <v>0.44700000000000001</v>
      </c>
      <c r="F58" s="15" cm="1">
        <f t="array" ref="F58">SUM(SUMIFS('MAIN DATA, Orders'!$S:$S,'MAIN DATA, Orders'!$D:$D,"Germany",'MAIN DATA, Orders'!$I:$I,{"Maintenance","Development - Maintenance","Modernisation","Development - Modernisation","Other","Development - Other"},'MAIN DATA, Orders'!$Y:$Y,$A58)/1000000000)</f>
        <v>0</v>
      </c>
    </row>
    <row r="59" spans="1:6" x14ac:dyDescent="0.35">
      <c r="A59" s="20">
        <v>202405</v>
      </c>
      <c r="B59" s="205">
        <v>45413</v>
      </c>
      <c r="C59" s="15" cm="1">
        <f t="array" ref="C59">SUM(SUMIFS('MAIN DATA, Orders'!$S:$S,'MAIN DATA, Orders'!$D:$D,"Germany",'MAIN DATA, Orders'!$I:$I,{"Aircraft","Development - Aircraft","Missile (Air)","Development - Missile (Air)"},'MAIN DATA, Orders'!$Y:$Y,$A59)/1000000000)</f>
        <v>0.17799999999999999</v>
      </c>
      <c r="D59" s="15" cm="1">
        <f t="array" ref="D59">SUM(SUMIFS('MAIN DATA, Orders'!$S:$S,'MAIN DATA, Orders'!$D:$D,"Germany",'MAIN DATA, Orders'!$I:$I,{"Naval","Development - Naval","Missile (Naval)","Development - Missile (Naval)"},'MAIN DATA, Orders'!$Y:$Y,$A59)/1000000000)</f>
        <v>1.2</v>
      </c>
      <c r="E59" s="15" cm="1">
        <f t="array" ref="E59">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Orders'!$Y:$Y,$A59)/1000000000)</f>
        <v>0</v>
      </c>
      <c r="F59" s="15" cm="1">
        <f t="array" ref="F59">SUM(SUMIFS('MAIN DATA, Orders'!$S:$S,'MAIN DATA, Orders'!$D:$D,"Germany",'MAIN DATA, Orders'!$I:$I,{"Maintenance","Development - Maintenance","Modernisation","Development - Modernisation","Other","Development - Other"},'MAIN DATA, Orders'!$Y:$Y,$A59)/1000000000)</f>
        <v>0.47095999999999999</v>
      </c>
    </row>
    <row r="60" spans="1:6" x14ac:dyDescent="0.35">
      <c r="A60" s="20">
        <v>202406</v>
      </c>
      <c r="B60" s="205">
        <v>45444</v>
      </c>
      <c r="C60" s="15" cm="1">
        <f t="array" ref="C60">SUM(SUMIFS('MAIN DATA, Orders'!$S:$S,'MAIN DATA, Orders'!$D:$D,"Germany",'MAIN DATA, Orders'!$I:$I,{"Aircraft","Development - Aircraft","Missile (Air)","Development - Missile (Air)"},'MAIN DATA, Orders'!$Y:$Y,$A60)/1000000000)</f>
        <v>0.442</v>
      </c>
      <c r="D60" s="15" cm="1">
        <f t="array" ref="D60">SUM(SUMIFS('MAIN DATA, Orders'!$S:$S,'MAIN DATA, Orders'!$D:$D,"Germany",'MAIN DATA, Orders'!$I:$I,{"Naval","Development - Naval","Missile (Naval)","Development - Missile (Naval)"},'MAIN DATA, Orders'!$Y:$Y,$A60)/1000000000)</f>
        <v>4.0519999999999996</v>
      </c>
      <c r="E60" s="15" cm="1">
        <f t="array" ref="E60">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Orders'!$Y:$Y,$A60)/1000000000)</f>
        <v>1.466</v>
      </c>
      <c r="F60" s="15" cm="1">
        <f t="array" ref="F60">SUM(SUMIFS('MAIN DATA, Orders'!$S:$S,'MAIN DATA, Orders'!$D:$D,"Germany",'MAIN DATA, Orders'!$I:$I,{"Maintenance","Development - Maintenance","Modernisation","Development - Modernisation","Other","Development - Other"},'MAIN DATA, Orders'!$Y:$Y,$A60)/1000000000)</f>
        <v>3.5170000000000003</v>
      </c>
    </row>
    <row r="61" spans="1:6" x14ac:dyDescent="0.35">
      <c r="A61" s="20">
        <v>202407</v>
      </c>
      <c r="B61" s="205">
        <v>45474</v>
      </c>
      <c r="C61" s="15" cm="1">
        <f t="array" ref="C61">SUM(SUMIFS('MAIN DATA, Orders'!$S:$S,'MAIN DATA, Orders'!$D:$D,"Germany",'MAIN DATA, Orders'!$I:$I,{"Aircraft","Development - Aircraft","Missile (Air)","Development - Missile (Air)"},'MAIN DATA, Orders'!$Y:$Y,$A61)/1000000000)</f>
        <v>0</v>
      </c>
      <c r="D61" s="15" cm="1">
        <f t="array" ref="D61">SUM(SUMIFS('MAIN DATA, Orders'!$S:$S,'MAIN DATA, Orders'!$D:$D,"Germany",'MAIN DATA, Orders'!$I:$I,{"Naval","Development - Naval","Missile (Naval)","Development - Missile (Naval)"},'MAIN DATA, Orders'!$Y:$Y,$A61)/1000000000)</f>
        <v>0</v>
      </c>
      <c r="E61" s="15" cm="1">
        <f t="array" ref="E61">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Orders'!$Y:$Y,$A61)/1000000000)</f>
        <v>6.2519999999999998</v>
      </c>
      <c r="F61" s="15" cm="1">
        <f t="array" ref="F61">SUM(SUMIFS('MAIN DATA, Orders'!$S:$S,'MAIN DATA, Orders'!$D:$D,"Germany",'MAIN DATA, Orders'!$I:$I,{"Maintenance","Development - Maintenance","Modernisation","Development - Modernisation","Other","Development - Other"},'MAIN DATA, Orders'!$Y:$Y,$A61)/1000000000)</f>
        <v>6.7000000000000004E-2</v>
      </c>
    </row>
    <row r="62" spans="1:6" x14ac:dyDescent="0.35">
      <c r="A62" s="20">
        <v>202408</v>
      </c>
      <c r="B62" s="205">
        <v>45505</v>
      </c>
      <c r="C62" s="15" cm="1">
        <f t="array" ref="C62">SUM(SUMIFS('MAIN DATA, Orders'!$S:$S,'MAIN DATA, Orders'!$D:$D,"Germany",'MAIN DATA, Orders'!$I:$I,{"Aircraft","Development - Aircraft","Missile (Air)","Development - Missile (Air)"},'MAIN DATA, Orders'!$Y:$Y,$A62)/1000000000)</f>
        <v>0</v>
      </c>
      <c r="D62" s="15" cm="1">
        <f t="array" ref="D62">SUM(SUMIFS('MAIN DATA, Orders'!$S:$S,'MAIN DATA, Orders'!$D:$D,"Germany",'MAIN DATA, Orders'!$I:$I,{"Naval","Development - Naval","Missile (Naval)","Development - Missile (Naval)"},'MAIN DATA, Orders'!$Y:$Y,$A62)/1000000000)</f>
        <v>0</v>
      </c>
      <c r="E62" s="15" cm="1">
        <f t="array" ref="E62">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Orders'!$Y:$Y,$A62)/1000000000)</f>
        <v>0</v>
      </c>
      <c r="F62" s="15" cm="1">
        <f t="array" ref="F62">SUM(SUMIFS('MAIN DATA, Orders'!$S:$S,'MAIN DATA, Orders'!$D:$D,"Germany",'MAIN DATA, Orders'!$I:$I,{"Maintenance","Development - Maintenance","Modernisation","Development - Modernisation","Other","Development - Other"},'MAIN DATA, Orders'!$Y:$Y,$A62)/1000000000)</f>
        <v>0</v>
      </c>
    </row>
    <row r="63" spans="1:6" x14ac:dyDescent="0.35">
      <c r="A63" s="20">
        <v>202409</v>
      </c>
      <c r="B63" s="205">
        <v>45536</v>
      </c>
      <c r="C63" s="15" cm="1">
        <f t="array" ref="C63">SUM(SUMIFS('MAIN DATA, Orders'!$S:$S,'MAIN DATA, Orders'!$D:$D,"Germany",'MAIN DATA, Orders'!$I:$I,{"Aircraft","Development - Aircraft","Missile (Air)","Development - Missile (Air)"},'MAIN DATA, Orders'!$Y:$Y,$A63)/1000000000)</f>
        <v>0.122</v>
      </c>
      <c r="D63" s="15" cm="1">
        <f t="array" ref="D63">SUM(SUMIFS('MAIN DATA, Orders'!$S:$S,'MAIN DATA, Orders'!$D:$D,"Germany",'MAIN DATA, Orders'!$I:$I,{"Naval","Development - Naval","Missile (Naval)","Development - Missile (Naval)"},'MAIN DATA, Orders'!$Y:$Y,$A63)/1000000000)</f>
        <v>0.39860000000000001</v>
      </c>
      <c r="E63" s="15" cm="1">
        <f t="array" ref="E63">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Orders'!$Y:$Y,$A63)/1000000000)</f>
        <v>0</v>
      </c>
      <c r="F63" s="15" cm="1">
        <f t="array" ref="F63">SUM(SUMIFS('MAIN DATA, Orders'!$S:$S,'MAIN DATA, Orders'!$D:$D,"Germany",'MAIN DATA, Orders'!$I:$I,{"Maintenance","Development - Maintenance","Modernisation","Development - Modernisation","Other","Development - Other"},'MAIN DATA, Orders'!$Y:$Y,$A63)/1000000000)</f>
        <v>0.43140000000000001</v>
      </c>
    </row>
    <row r="64" spans="1:6" x14ac:dyDescent="0.35">
      <c r="A64" s="20">
        <v>202410</v>
      </c>
      <c r="B64" s="205">
        <v>45566</v>
      </c>
      <c r="C64" s="15" cm="1">
        <f t="array" ref="C64">SUM(SUMIFS('MAIN DATA, Orders'!$S:$S,'MAIN DATA, Orders'!$D:$D,"Germany",'MAIN DATA, Orders'!$I:$I,{"Aircraft","Development - Aircraft","Missile (Air)","Development - Missile (Air)"},'MAIN DATA, Orders'!$Y:$Y,$A64)/1000000000)</f>
        <v>0.32200000000000001</v>
      </c>
      <c r="D64" s="15" cm="1">
        <f t="array" ref="D64">SUM(SUMIFS('MAIN DATA, Orders'!$S:$S,'MAIN DATA, Orders'!$D:$D,"Germany",'MAIN DATA, Orders'!$I:$I,{"Naval","Development - Naval","Missile (Naval)","Development - Missile (Naval)"},'MAIN DATA, Orders'!$Y:$Y,$A64)/1000000000)</f>
        <v>0.23</v>
      </c>
      <c r="E64" s="15" cm="1">
        <f t="array" ref="E64">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Orders'!$Y:$Y,$A64)/1000000000)</f>
        <v>0</v>
      </c>
      <c r="F64" s="15" cm="1">
        <f t="array" ref="F64">SUM(SUMIFS('MAIN DATA, Orders'!$S:$S,'MAIN DATA, Orders'!$D:$D,"Germany",'MAIN DATA, Orders'!$I:$I,{"Maintenance","Development - Maintenance","Modernisation","Development - Modernisation","Other","Development - Other"},'MAIN DATA, Orders'!$Y:$Y,$A64)/1000000000)</f>
        <v>6.6669999999999998</v>
      </c>
    </row>
    <row r="65" spans="1:6" x14ac:dyDescent="0.35">
      <c r="A65" s="20">
        <v>202411</v>
      </c>
      <c r="B65" s="205">
        <v>45597</v>
      </c>
      <c r="C65" s="15" cm="1">
        <f t="array" ref="C65">SUM(SUMIFS('MAIN DATA, Orders'!$S:$S,'MAIN DATA, Orders'!$D:$D,"Germany",'MAIN DATA, Orders'!$I:$I,{"Aircraft","Development - Aircraft","Missile (Air)","Development - Missile (Air)"},'MAIN DATA, Orders'!$Y:$Y,$A65)/1000000000)</f>
        <v>0.58400000000000007</v>
      </c>
      <c r="D65" s="15" cm="1">
        <f t="array" ref="D65">SUM(SUMIFS('MAIN DATA, Orders'!$S:$S,'MAIN DATA, Orders'!$D:$D,"Germany",'MAIN DATA, Orders'!$I:$I,{"Naval","Development - Naval","Missile (Naval)","Development - Missile (Naval)"},'MAIN DATA, Orders'!$Y:$Y,$A65)/1000000000)</f>
        <v>0</v>
      </c>
      <c r="E65" s="15" cm="1">
        <f t="array" ref="E65">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Orders'!$Y:$Y,$A65)/1000000000)</f>
        <v>0</v>
      </c>
      <c r="F65" s="15" cm="1">
        <f t="array" ref="F65">SUM(SUMIFS('MAIN DATA, Orders'!$S:$S,'MAIN DATA, Orders'!$D:$D,"Germany",'MAIN DATA, Orders'!$I:$I,{"Maintenance","Development - Maintenance","Modernisation","Development - Modernisation","Other","Development - Other"},'MAIN DATA, Orders'!$Y:$Y,$A65)/1000000000)</f>
        <v>1.5785</v>
      </c>
    </row>
    <row r="66" spans="1:6" x14ac:dyDescent="0.35">
      <c r="A66" s="20">
        <v>202412</v>
      </c>
      <c r="B66" s="205">
        <v>45627</v>
      </c>
      <c r="C66" s="15" cm="1">
        <f t="array" ref="C66">SUM(SUMIFS('MAIN DATA, Orders'!$S:$S,'MAIN DATA, Orders'!$D:$D,"Germany",'MAIN DATA, Orders'!$I:$I,{"Aircraft","Development - Aircraft","Missile (Air)","Development - Missile (Air)"},'MAIN DATA, Orders'!$Y:$Y,$A66)/1000000000)</f>
        <v>0</v>
      </c>
      <c r="D66" s="15" cm="1">
        <f t="array" ref="D66">SUM(SUMIFS('MAIN DATA, Orders'!$S:$S,'MAIN DATA, Orders'!$D:$D,"Germany",'MAIN DATA, Orders'!$I:$I,{"Naval","Development - Naval","Missile (Naval)","Development - Missile (Naval)"},'MAIN DATA, Orders'!$Y:$Y,$A66)/1000000000)</f>
        <v>4.9697589999999998</v>
      </c>
      <c r="E66" s="15" cm="1">
        <f t="array" ref="E66">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Orders'!$Y:$Y,$A66)/1000000000)</f>
        <v>6.5000000000000002E-2</v>
      </c>
      <c r="F66" s="15" cm="1">
        <f t="array" ref="F66">SUM(SUMIFS('MAIN DATA, Orders'!$S:$S,'MAIN DATA, Orders'!$D:$D,"Germany",'MAIN DATA, Orders'!$I:$I,{"Maintenance","Development - Maintenance","Modernisation","Development - Modernisation","Other","Development - Other"},'MAIN DATA, Orders'!$Y:$Y,$A66)/1000000000)</f>
        <v>14.965241000000001</v>
      </c>
    </row>
    <row r="67" spans="1:6" x14ac:dyDescent="0.35">
      <c r="A67" s="20">
        <v>202501</v>
      </c>
      <c r="B67" s="205">
        <v>45658</v>
      </c>
      <c r="C67" s="15" cm="1">
        <f t="array" ref="C67">SUM(SUMIFS('MAIN DATA, Orders'!$S:$S,'MAIN DATA, Orders'!$D:$D,"Germany",'MAIN DATA, Orders'!$I:$I,{"Aircraft","Development - Aircraft","Missile (Air)","Development - Missile (Air)"},'MAIN DATA, Orders'!$Y:$Y,$A67)/1000000000)</f>
        <v>0</v>
      </c>
      <c r="D67" s="15" cm="1">
        <f t="array" ref="D67">SUM(SUMIFS('MAIN DATA, Orders'!$S:$S,'MAIN DATA, Orders'!$D:$D,"Germany",'MAIN DATA, Orders'!$I:$I,{"Naval","Development - Naval","Missile (Naval)","Development - Missile (Naval)"},'MAIN DATA, Orders'!$Y:$Y,$A67)/1000000000)</f>
        <v>0</v>
      </c>
      <c r="E67" s="15" cm="1">
        <f t="array" ref="E67">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Orders'!$Y:$Y,$A67)/1000000000)</f>
        <v>0.154</v>
      </c>
      <c r="F67" s="15" cm="1">
        <f t="array" ref="F67">SUM(SUMIFS('MAIN DATA, Orders'!$S:$S,'MAIN DATA, Orders'!$D:$D,"Germany",'MAIN DATA, Orders'!$I:$I,{"Maintenance","Development - Maintenance","Modernisation","Development - Modernisation","Other","Development - Other"},'MAIN DATA, Orders'!$Y:$Y,$A67)/1000000000)</f>
        <v>2.3656999999999999</v>
      </c>
    </row>
    <row r="68" spans="1:6" x14ac:dyDescent="0.35">
      <c r="A68" s="20">
        <v>202502</v>
      </c>
      <c r="B68" s="205">
        <v>45689</v>
      </c>
      <c r="C68" s="15" cm="1">
        <f t="array" ref="C68">SUM(SUMIFS('MAIN DATA, Orders'!$S:$S,'MAIN DATA, Orders'!$D:$D,"Germany",'MAIN DATA, Orders'!$I:$I,{"Aircraft","Development - Aircraft","Missile (Air)","Development - Missile (Air)"},'MAIN DATA, Orders'!$Y:$Y,$A68)/1000000000)</f>
        <v>0</v>
      </c>
      <c r="D68" s="15" cm="1">
        <f t="array" ref="D68">SUM(SUMIFS('MAIN DATA, Orders'!$S:$S,'MAIN DATA, Orders'!$D:$D,"Germany",'MAIN DATA, Orders'!$I:$I,{"Naval","Development - Naval","Missile (Naval)","Development - Missile (Naval)"},'MAIN DATA, Orders'!$Y:$Y,$A68)/1000000000)</f>
        <v>0</v>
      </c>
      <c r="E68" s="15" cm="1">
        <f t="array" ref="E68">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Orders'!$Y:$Y,$A68)/1000000000)</f>
        <v>0</v>
      </c>
      <c r="F68" s="15" cm="1">
        <f t="array" ref="F68">SUM(SUMIFS('MAIN DATA, Orders'!$S:$S,'MAIN DATA, Orders'!$D:$D,"Germany",'MAIN DATA, Orders'!$I:$I,{"Maintenance","Development - Maintenance","Modernisation","Development - Modernisation","Other","Development - Other"},'MAIN DATA, Orders'!$Y:$Y,$A68)/1000000000)</f>
        <v>0</v>
      </c>
    </row>
    <row r="69" spans="1:6" x14ac:dyDescent="0.35">
      <c r="A69" s="20">
        <v>202503</v>
      </c>
      <c r="B69" s="205">
        <v>45717</v>
      </c>
      <c r="C69" s="15" cm="1">
        <f t="array" ref="C69">SUM(SUMIFS('MAIN DATA, Orders'!$S:$S,'MAIN DATA, Orders'!$D:$D,"Germany",'MAIN DATA, Orders'!$I:$I,{"Aircraft","Development - Aircraft","Missile (Air)","Development - Missile (Air)"},'MAIN DATA, Orders'!$Y:$Y,$A69)/1000000000)</f>
        <v>0</v>
      </c>
      <c r="D69" s="15" cm="1">
        <f t="array" ref="D69">SUM(SUMIFS('MAIN DATA, Orders'!$S:$S,'MAIN DATA, Orders'!$D:$D,"Germany",'MAIN DATA, Orders'!$I:$I,{"Naval","Development - Naval","Missile (Naval)","Development - Missile (Naval)"},'MAIN DATA, Orders'!$Y:$Y,$A69)/1000000000)</f>
        <v>0</v>
      </c>
      <c r="E69" s="15" cm="1">
        <f t="array" ref="E69">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Orders'!$Y:$Y,$A69)/1000000000)</f>
        <v>0</v>
      </c>
      <c r="F69" s="15" cm="1">
        <f t="array" ref="F69">SUM(SUMIFS('MAIN DATA, Orders'!$S:$S,'MAIN DATA, Orders'!$D:$D,"Germany",'MAIN DATA, Orders'!$I:$I,{"Maintenance","Development - Maintenance","Modernisation","Development - Modernisation","Other","Development - Other"},'MAIN DATA, Orders'!$Y:$Y,$A69)/1000000000)</f>
        <v>0</v>
      </c>
    </row>
    <row r="70" spans="1:6" x14ac:dyDescent="0.35">
      <c r="A70" s="20">
        <v>202504</v>
      </c>
      <c r="B70" s="205">
        <v>45748</v>
      </c>
      <c r="C70" s="15" cm="1">
        <f t="array" ref="C70">SUM(SUMIFS('MAIN DATA, Orders'!$S:$S,'MAIN DATA, Orders'!$D:$D,"Germany",'MAIN DATA, Orders'!$I:$I,{"Aircraft","Development - Aircraft","Missile (Air)","Development - Missile (Air)"},'MAIN DATA, Orders'!$Y:$Y,$A70)/1000000000)</f>
        <v>0</v>
      </c>
      <c r="D70" s="15" cm="1">
        <f t="array" ref="D70">SUM(SUMIFS('MAIN DATA, Orders'!$S:$S,'MAIN DATA, Orders'!$D:$D,"Germany",'MAIN DATA, Orders'!$I:$I,{"Naval","Development - Naval","Missile (Naval)","Development - Missile (Naval)"},'MAIN DATA, Orders'!$Y:$Y,$A70)/1000000000)</f>
        <v>0</v>
      </c>
      <c r="E70" s="15" cm="1">
        <f t="array" ref="E70">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Orders'!$Y:$Y,$A70)/1000000000)</f>
        <v>0</v>
      </c>
      <c r="F70" s="15" cm="1">
        <f t="array" ref="F70">SUM(SUMIFS('MAIN DATA, Orders'!$S:$S,'MAIN DATA, Orders'!$D:$D,"Germany",'MAIN DATA, Orders'!$I:$I,{"Maintenance","Development - Maintenance","Modernisation","Development - Modernisation","Other","Development - Other"},'MAIN DATA, Orders'!$Y:$Y,$A70)/1000000000)</f>
        <v>0</v>
      </c>
    </row>
    <row r="71" spans="1:6" x14ac:dyDescent="0.35">
      <c r="A71" s="20">
        <v>202505</v>
      </c>
      <c r="B71" s="205">
        <v>45778</v>
      </c>
      <c r="C71" s="15" cm="1">
        <f t="array" ref="C71">SUM(SUMIFS('MAIN DATA, Orders'!$S:$S,'MAIN DATA, Orders'!$D:$D,"Germany",'MAIN DATA, Orders'!$I:$I,{"Aircraft","Development - Aircraft","Missile (Air)","Development - Missile (Air)"},'MAIN DATA, Orders'!$Y:$Y,$A71)/1000000000)</f>
        <v>0</v>
      </c>
      <c r="D71" s="15" cm="1">
        <f t="array" ref="D71">SUM(SUMIFS('MAIN DATA, Orders'!$S:$S,'MAIN DATA, Orders'!$D:$D,"Germany",'MAIN DATA, Orders'!$I:$I,{"Naval","Development - Naval","Missile (Naval)","Development - Missile (Naval)"},'MAIN DATA, Orders'!$Y:$Y,$A71)/1000000000)</f>
        <v>0</v>
      </c>
      <c r="E71" s="15" cm="1">
        <f t="array" ref="E71">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Orders'!$Y:$Y,$A71)/1000000000)</f>
        <v>0</v>
      </c>
      <c r="F71" s="15" cm="1">
        <f t="array" ref="F71">SUM(SUMIFS('MAIN DATA, Orders'!$S:$S,'MAIN DATA, Orders'!$D:$D,"Germany",'MAIN DATA, Orders'!$I:$I,{"Maintenance","Development - Maintenance","Modernisation","Development - Modernisation","Other","Development - Other"},'MAIN DATA, Orders'!$Y:$Y,$A71)/1000000000)</f>
        <v>0</v>
      </c>
    </row>
    <row r="72" spans="1:6" x14ac:dyDescent="0.35">
      <c r="A72" s="20">
        <v>202506</v>
      </c>
      <c r="B72" s="205">
        <v>45809</v>
      </c>
      <c r="C72" s="15" cm="1">
        <f t="array" ref="C72">SUM(SUMIFS('MAIN DATA, Orders'!$S:$S,'MAIN DATA, Orders'!$D:$D,"Germany",'MAIN DATA, Orders'!$I:$I,{"Aircraft","Development - Aircraft","Missile (Air)","Development - Missile (Air)"},'MAIN DATA, Orders'!$Y:$Y,$A72)/1000000000)</f>
        <v>2.1065</v>
      </c>
      <c r="D72" s="15" cm="1">
        <f t="array" ref="D72">SUM(SUMIFS('MAIN DATA, Orders'!$S:$S,'MAIN DATA, Orders'!$D:$D,"Germany",'MAIN DATA, Orders'!$I:$I,{"Naval","Development - Naval","Missile (Naval)","Development - Missile (Naval)"},'MAIN DATA, Orders'!$Y:$Y,$A72)/1000000000)</f>
        <v>0</v>
      </c>
      <c r="E72" s="15" cm="1">
        <f t="array" ref="E72">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Orders'!$Y:$Y,$A72)/1000000000)</f>
        <v>0.34899999999999998</v>
      </c>
      <c r="F72" s="15" cm="1">
        <f t="array" ref="F72">SUM(SUMIFS('MAIN DATA, Orders'!$S:$S,'MAIN DATA, Orders'!$D:$D,"Germany",'MAIN DATA, Orders'!$I:$I,{"Maintenance","Development - Maintenance","Modernisation","Development - Modernisation","Other","Development - Other"},'MAIN DATA, Orders'!$Y:$Y,$A72)/1000000000)</f>
        <v>2.5299999999999998</v>
      </c>
    </row>
    <row r="73" spans="1:6" x14ac:dyDescent="0.35">
      <c r="A73" s="20">
        <v>202507</v>
      </c>
      <c r="B73" s="205">
        <v>45839</v>
      </c>
      <c r="C73" s="15" cm="1">
        <f t="array" ref="C73">SUM(SUMIFS('MAIN DATA, Orders'!$S:$S,'MAIN DATA, Orders'!$D:$D,"Germany",'MAIN DATA, Orders'!$I:$I,{"Aircraft","Development - Aircraft","Missile (Air)","Development - Missile (Air)"},'MAIN DATA, Orders'!$Y:$Y,$A73)/1000000000)</f>
        <v>0</v>
      </c>
      <c r="D73" s="15" cm="1">
        <f t="array" ref="D73">SUM(SUMIFS('MAIN DATA, Orders'!$S:$S,'MAIN DATA, Orders'!$D:$D,"Germany",'MAIN DATA, Orders'!$I:$I,{"Naval","Development - Naval","Missile (Naval)","Development - Missile (Naval)"},'MAIN DATA, Orders'!$Y:$Y,$A73)/1000000000)</f>
        <v>0</v>
      </c>
      <c r="E73" s="15" cm="1">
        <f t="array" ref="E73">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Orders'!$Y:$Y,$A73)/1000000000)</f>
        <v>0</v>
      </c>
      <c r="F73" s="15" cm="1">
        <f t="array" ref="F73">SUM(SUMIFS('MAIN DATA, Orders'!$S:$S,'MAIN DATA, Orders'!$D:$D,"Germany",'MAIN DATA, Orders'!$I:$I,{"Maintenance","Development - Maintenance","Modernisation","Development - Modernisation","Other","Development - Other"},'MAIN DATA, Orders'!$Y:$Y,$A73)/1000000000)</f>
        <v>0.77</v>
      </c>
    </row>
    <row r="74" spans="1:6" x14ac:dyDescent="0.35">
      <c r="A74" s="20">
        <v>202508</v>
      </c>
      <c r="B74" s="205">
        <v>45870</v>
      </c>
      <c r="C74" s="15" cm="1">
        <f t="array" ref="C74">SUM(SUMIFS('MAIN DATA, Orders'!$S:$S,'MAIN DATA, Orders'!$D:$D,"Germany",'MAIN DATA, Orders'!$I:$I,{"Aircraft","Development - Aircraft","Missile (Air)","Development - Missile (Air)"},'MAIN DATA, Orders'!$Y:$Y,$A74)/1000000000)</f>
        <v>0</v>
      </c>
      <c r="D74" s="15" cm="1">
        <f t="array" ref="D74">SUM(SUMIFS('MAIN DATA, Orders'!$S:$S,'MAIN DATA, Orders'!$D:$D,"Germany",'MAIN DATA, Orders'!$I:$I,{"Naval","Development - Naval","Missile (Naval)","Development - Missile (Naval)"},'MAIN DATA, Orders'!$Y:$Y,$A74)/1000000000)</f>
        <v>0</v>
      </c>
      <c r="E74" s="15" cm="1">
        <f t="array" ref="E74">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Orders'!$Y:$Y,$A74)/1000000000)</f>
        <v>0</v>
      </c>
      <c r="F74" s="15" cm="1">
        <f t="array" ref="F74">SUM(SUMIFS('MAIN DATA, Orders'!$S:$S,'MAIN DATA, Orders'!$D:$D,"Germany",'MAIN DATA, Orders'!$I:$I,{"Maintenance","Development - Maintenance","Modernisation","Development - Modernisation","Other","Development - Other"},'MAIN DATA, Orders'!$Y:$Y,$A74)/1000000000)</f>
        <v>0</v>
      </c>
    </row>
    <row r="75" spans="1:6" x14ac:dyDescent="0.35">
      <c r="A75" s="20">
        <v>202509</v>
      </c>
      <c r="B75" s="205">
        <v>45901</v>
      </c>
      <c r="C75" s="15" cm="1">
        <f t="array" ref="C75">SUM(SUMIFS('MAIN DATA, Orders'!$S:$S,'MAIN DATA, Orders'!$D:$D,"Germany",'MAIN DATA, Orders'!$I:$I,{"Aircraft","Development - Aircraft","Missile (Air)","Development - Missile (Air)"},'MAIN DATA, Orders'!$Y:$Y,$A75)/1000000000)</f>
        <v>0</v>
      </c>
      <c r="D75" s="15" cm="1">
        <f t="array" ref="D75">SUM(SUMIFS('MAIN DATA, Orders'!$S:$S,'MAIN DATA, Orders'!$D:$D,"Germany",'MAIN DATA, Orders'!$I:$I,{"Naval","Development - Naval","Missile (Naval)","Development - Missile (Naval)"},'MAIN DATA, Orders'!$Y:$Y,$A75)/1000000000)</f>
        <v>0</v>
      </c>
      <c r="E75" s="15" cm="1">
        <f t="array" ref="E75">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Orders'!$Y:$Y,$A75)/1000000000)</f>
        <v>2.3319000000000001</v>
      </c>
      <c r="F75" s="15" cm="1">
        <f t="array" ref="F75">SUM(SUMIFS('MAIN DATA, Orders'!$S:$S,'MAIN DATA, Orders'!$D:$D,"Germany",'MAIN DATA, Orders'!$I:$I,{"Maintenance","Development - Maintenance","Modernisation","Development - Modernisation","Other","Development - Other"},'MAIN DATA, Orders'!$Y:$Y,$A75)/1000000000)</f>
        <v>0.79</v>
      </c>
    </row>
    <row r="76" spans="1:6" x14ac:dyDescent="0.35">
      <c r="A76" s="20">
        <v>202510</v>
      </c>
      <c r="B76" s="205">
        <v>45931</v>
      </c>
      <c r="C76" s="15" cm="1">
        <f t="array" ref="C76">SUM(SUMIFS('MAIN DATA, Orders'!$S:$S,'MAIN DATA, Orders'!$D:$D,"Germany",'MAIN DATA, Orders'!$I:$I,{"Aircraft","Development - Aircraft","Missile (Air)","Development - Missile (Air)"},'MAIN DATA, Orders'!$Y:$Y,$A76)/1000000000)</f>
        <v>4.1619999999999999</v>
      </c>
      <c r="D76" s="15" cm="1">
        <f t="array" ref="D76">SUM(SUMIFS('MAIN DATA, Orders'!$S:$S,'MAIN DATA, Orders'!$D:$D,"Germany",'MAIN DATA, Orders'!$I:$I,{"Naval","Development - Naval","Missile (Naval)","Development - Missile (Naval)"},'MAIN DATA, Orders'!$Y:$Y,$A76)/1000000000)</f>
        <v>0.44590999999999997</v>
      </c>
      <c r="E76" s="15" cm="1">
        <f t="array" ref="E76">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Orders'!$Y:$Y,$A76)/1000000000)</f>
        <v>7.758</v>
      </c>
      <c r="F76" s="15" cm="1">
        <f t="array" ref="F76">SUM(SUMIFS('MAIN DATA, Orders'!$S:$S,'MAIN DATA, Orders'!$D:$D,"Germany",'MAIN DATA, Orders'!$I:$I,{"Maintenance","Development - Maintenance","Modernisation","Development - Modernisation","Other","Development - Other"},'MAIN DATA, Orders'!$Y:$Y,$A76)/1000000000)</f>
        <v>2.2507000000000001</v>
      </c>
    </row>
    <row r="77" spans="1:6" x14ac:dyDescent="0.35">
      <c r="A77" s="20">
        <v>202511</v>
      </c>
      <c r="B77" s="205">
        <v>45962</v>
      </c>
      <c r="C77" s="15" cm="1">
        <f t="array" ref="C77">SUM(SUMIFS('MAIN DATA, Orders'!$S:$S,'MAIN DATA, Orders'!$D:$D,"Germany",'MAIN DATA, Orders'!$I:$I,{"Aircraft","Development - Aircraft","Missile (Air)","Development - Missile (Air)"},'MAIN DATA, Orders'!$Y:$Y,$A77)/1000000000)</f>
        <v>0.67799999999999994</v>
      </c>
      <c r="D77" s="15" cm="1">
        <f t="array" ref="D77">SUM(SUMIFS('MAIN DATA, Orders'!$S:$S,'MAIN DATA, Orders'!$D:$D,"Germany",'MAIN DATA, Orders'!$I:$I,{"Naval","Development - Naval","Missile (Naval)","Development - Missile (Naval)"},'MAIN DATA, Orders'!$Y:$Y,$A77)/1000000000)</f>
        <v>0.66200000000000003</v>
      </c>
      <c r="E77" s="15" cm="1">
        <f t="array" ref="E77">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Orders'!$Y:$Y,$A77)/1000000000)</f>
        <v>3.17</v>
      </c>
      <c r="F77" s="15" cm="1">
        <f t="array" ref="F77">SUM(SUMIFS('MAIN DATA, Orders'!$S:$S,'MAIN DATA, Orders'!$D:$D,"Germany",'MAIN DATA, Orders'!$I:$I,{"Maintenance","Development - Maintenance","Modernisation","Development - Modernisation","Other","Development - Other"},'MAIN DATA, Orders'!$Y:$Y,$A77)/1000000000)</f>
        <v>1.6500000000000001</v>
      </c>
    </row>
    <row r="78" spans="1:6" x14ac:dyDescent="0.35">
      <c r="A78" s="20">
        <v>202512</v>
      </c>
      <c r="B78" s="205">
        <v>45992</v>
      </c>
      <c r="C78" s="15" cm="1">
        <f t="array" ref="C78">SUM(SUMIFS('MAIN DATA, Orders'!$S:$S,'MAIN DATA, Orders'!$D:$D,"Germany",'MAIN DATA, Orders'!$I:$I,{"Aircraft","Development - Aircraft","Missile (Air)","Development - Missile (Air)"},'MAIN DATA, Orders'!$Y:$Y,$A78)/1000000000)</f>
        <v>1.377</v>
      </c>
      <c r="D78" s="15" cm="1">
        <f t="array" ref="D78">SUM(SUMIFS('MAIN DATA, Orders'!$S:$S,'MAIN DATA, Orders'!$D:$D,"Germany",'MAIN DATA, Orders'!$I:$I,{"Naval","Development - Naval","Missile (Naval)","Development - Missile (Naval)"},'MAIN DATA, Orders'!$Y:$Y,$A78)/1000000000)</f>
        <v>0</v>
      </c>
      <c r="E78" s="15" cm="1">
        <f t="array" ref="E78">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Orders'!$Y:$Y,$A78)/1000000000)</f>
        <v>20.406688191000001</v>
      </c>
      <c r="F78" s="15" cm="1">
        <f t="array" ref="F78">SUM(SUMIFS('MAIN DATA, Orders'!$S:$S,'MAIN DATA, Orders'!$D:$D,"Germany",'MAIN DATA, Orders'!$I:$I,{"Maintenance","Development - Maintenance","Modernisation","Development - Modernisation","Other","Development - Other"},'MAIN DATA, Orders'!$Y:$Y,$A78)/1000000000)</f>
        <v>31.306999999999999</v>
      </c>
    </row>
    <row r="79" spans="1:6" x14ac:dyDescent="0.35">
      <c r="A79" s="20">
        <v>202601</v>
      </c>
      <c r="B79" s="205">
        <v>46023</v>
      </c>
      <c r="C79" s="15" cm="1">
        <f t="array" ref="C79">SUM(SUMIFS('MAIN DATA, Orders'!$S:$S,'MAIN DATA, Orders'!$D:$D,"Germany",'MAIN DATA, Orders'!$I:$I,{"Aircraft","Development - Aircraft","Missile (Air)","Development - Missile (Air)"},'MAIN DATA, Orders'!$Y:$Y,$A79)/1000000000)</f>
        <v>0</v>
      </c>
      <c r="D79" s="15" cm="1">
        <f t="array" ref="D79">SUM(SUMIFS('MAIN DATA, Orders'!$S:$S,'MAIN DATA, Orders'!$D:$D,"Germany",'MAIN DATA, Orders'!$I:$I,{"Naval","Development - Naval","Missile (Naval)","Development - Missile (Naval)"},'MAIN DATA, Orders'!$Y:$Y,$A79)/1000000000)</f>
        <v>0</v>
      </c>
      <c r="E79" s="15" cm="1">
        <f t="array" ref="E79">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Orders'!$Y:$Y,$A79)/1000000000)</f>
        <v>0</v>
      </c>
      <c r="F79" s="15" cm="1">
        <f t="array" ref="F79">SUM(SUMIFS('MAIN DATA, Orders'!$S:$S,'MAIN DATA, Orders'!$D:$D,"Germany",'MAIN DATA, Orders'!$I:$I,{"Maintenance","Development - Maintenance","Modernisation","Development - Modernisation","Other","Development - Other"},'MAIN DATA, Orders'!$Y:$Y,$A79)/1000000000)</f>
        <v>0.05</v>
      </c>
    </row>
    <row r="80" spans="1:6" x14ac:dyDescent="0.35">
      <c r="B80" s="206"/>
      <c r="C80" s="66"/>
      <c r="D80" s="66"/>
      <c r="E80" s="66"/>
      <c r="F80" s="66"/>
    </row>
    <row r="81" spans="2:6" x14ac:dyDescent="0.35">
      <c r="B81" s="207" t="s">
        <v>4219</v>
      </c>
      <c r="C81" s="18">
        <f t="shared" ref="C81:F81" si="0">SUM(C7:C79)</f>
        <v>33.976400000000005</v>
      </c>
      <c r="D81" s="18">
        <f t="shared" si="0"/>
        <v>31.994746999999997</v>
      </c>
      <c r="E81" s="18">
        <f t="shared" si="0"/>
        <v>78.054088191000005</v>
      </c>
      <c r="F81" s="18">
        <f t="shared" si="0"/>
        <v>109.265731</v>
      </c>
    </row>
  </sheetData>
  <mergeCells count="2">
    <mergeCell ref="B4:J4"/>
    <mergeCell ref="N4:S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4BEEB-80D3-4AB2-B86D-D355D12F06EA}">
  <sheetPr>
    <tabColor theme="8" tint="0.59999389629810485"/>
  </sheetPr>
  <dimension ref="A2:H94"/>
  <sheetViews>
    <sheetView zoomScaleNormal="100" workbookViewId="0"/>
  </sheetViews>
  <sheetFormatPr baseColWidth="10" defaultColWidth="8.75" defaultRowHeight="15.5" x14ac:dyDescent="0.35"/>
  <cols>
    <col min="1" max="1" width="8.75" style="1"/>
    <col min="2" max="2" width="10.25" style="1" customWidth="1"/>
    <col min="3" max="3" width="14.08203125" style="1" bestFit="1" customWidth="1"/>
    <col min="4" max="4" width="32.83203125" style="1" bestFit="1" customWidth="1"/>
    <col min="5" max="5" width="24" style="1" bestFit="1" customWidth="1"/>
    <col min="6" max="6" width="19" style="1" bestFit="1" customWidth="1"/>
    <col min="7" max="7" width="8.83203125" style="1" bestFit="1" customWidth="1"/>
    <col min="8" max="8" width="8.75" style="1"/>
    <col min="9" max="14" width="8.75" style="1" customWidth="1"/>
    <col min="15" max="16384" width="8.75" style="1"/>
  </cols>
  <sheetData>
    <row r="2" spans="2:8" ht="25.9" customHeight="1" x14ac:dyDescent="0.7">
      <c r="B2" s="16" t="s">
        <v>5621</v>
      </c>
    </row>
    <row r="4" spans="2:8" ht="130.15" customHeight="1" x14ac:dyDescent="0.35">
      <c r="B4" s="232" t="s">
        <v>5634</v>
      </c>
      <c r="C4" s="232"/>
      <c r="D4" s="232"/>
      <c r="E4" s="232"/>
      <c r="F4" s="232"/>
    </row>
    <row r="6" spans="2:8" ht="21" customHeight="1" x14ac:dyDescent="0.35">
      <c r="B6" s="69" t="s">
        <v>5187</v>
      </c>
      <c r="C6" s="69" t="s">
        <v>5225</v>
      </c>
      <c r="D6" s="69" t="s">
        <v>5226</v>
      </c>
      <c r="E6" s="69" t="s">
        <v>5227</v>
      </c>
      <c r="F6" s="69" t="s">
        <v>5228</v>
      </c>
      <c r="G6" s="69" t="s">
        <v>4219</v>
      </c>
    </row>
    <row r="7" spans="2:8" x14ac:dyDescent="0.35">
      <c r="B7" s="83">
        <v>2020</v>
      </c>
      <c r="C7" s="15">
        <f>(SUMIFS('MAIN DATA, Orders'!$S:$S,'MAIN DATA, Orders'!$D:$D,"Germany",'MAIN DATA, Orders'!$F:$F,$B7,'MAIN DATA, Orders'!$AF:$AF,"0",'MAIN DATA, Orders'!$AH:$AH,"Germany")/1000000000)</f>
        <v>8.1259999999999994</v>
      </c>
      <c r="D7" s="15">
        <f>(SUMIFS('MAIN DATA, Orders'!$S:$S,'MAIN DATA, Orders'!$D:$D,"Germany",'MAIN DATA, Orders'!$F:$F,$B7,'MAIN DATA, Orders'!$AF:$AF,"1")/1000000000)</f>
        <v>17.134</v>
      </c>
      <c r="E7" s="15">
        <f>SUM(SUMIFS('MAIN DATA, Orders'!$S:$S,'MAIN DATA, Orders'!$D:$D,"Germany",'MAIN DATA, Orders'!$F:$F,$B7,'MAIN DATA, Orders'!$AC:$AC,"1",'MAIN DATA, Orders'!$AF:$AF,"0",'MAIN DATA, Orders'!$AH:$AH,"&lt;&gt;Germany")/1000000000)</f>
        <v>0</v>
      </c>
      <c r="F7" s="15">
        <f>SUM(SUMIFS('MAIN DATA, Orders'!$S:$S,'MAIN DATA, Orders'!$D:$D,"Germany",'MAIN DATA, Orders'!$F:$F,$B7,'MAIN DATA, Orders'!$AC:$AC,"0",'MAIN DATA, Orders'!$AF:$AF,"0")/1000000000)</f>
        <v>0</v>
      </c>
      <c r="G7" s="15">
        <f>(SUMIFS('MAIN DATA, Orders'!$S:$S,'MAIN DATA, Orders'!$F:$F,$B7,'MAIN DATA, Orders'!$AH:$AH,"&lt;&gt;.",'MAIN DATA, Orders'!$D:$D,"Germany")/1000000000)</f>
        <v>25.26</v>
      </c>
    </row>
    <row r="8" spans="2:8" x14ac:dyDescent="0.35">
      <c r="B8" s="83">
        <v>2021</v>
      </c>
      <c r="C8" s="15">
        <f>(SUMIFS('MAIN DATA, Orders'!$S:$S,'MAIN DATA, Orders'!$D:$D,"Germany",'MAIN DATA, Orders'!$F:$F,$B8,'MAIN DATA, Orders'!$AF:$AF,"0",'MAIN DATA, Orders'!$AH:$AH,"Germany")/1000000000)</f>
        <v>8.4480000000000004</v>
      </c>
      <c r="D8" s="15">
        <f>(SUMIFS('MAIN DATA, Orders'!$S:$S,'MAIN DATA, Orders'!$D:$D,"Germany",'MAIN DATA, Orders'!$F:$F,$B8,'MAIN DATA, Orders'!$AF:$AF,"1")/1000000000)</f>
        <v>12.613899999999999</v>
      </c>
      <c r="E8" s="15">
        <f>SUM(SUMIFS('MAIN DATA, Orders'!$S:$S,'MAIN DATA, Orders'!$D:$D,"Germany",'MAIN DATA, Orders'!$F:$F,$B8,'MAIN DATA, Orders'!$AC:$AC,"1",'MAIN DATA, Orders'!$AF:$AF,"0",'MAIN DATA, Orders'!$AH:$AH,"&lt;&gt;Germany")/1000000000)</f>
        <v>2.4E-2</v>
      </c>
      <c r="F8" s="15">
        <f>SUM(SUMIFS('MAIN DATA, Orders'!$S:$S,'MAIN DATA, Orders'!$D:$D,"Germany",'MAIN DATA, Orders'!$F:$F,$B8,'MAIN DATA, Orders'!$AC:$AC,"0",'MAIN DATA, Orders'!$AF:$AF,"0")/1000000000)</f>
        <v>1.1000000000000001</v>
      </c>
      <c r="G8" s="15">
        <f>(SUMIFS('MAIN DATA, Orders'!$S:$S,'MAIN DATA, Orders'!$F:$F,$B8,'MAIN DATA, Orders'!$AH:$AH,"&lt;&gt;.",'MAIN DATA, Orders'!$D:$D,"Germany")/1000000000)</f>
        <v>22.1859</v>
      </c>
    </row>
    <row r="9" spans="2:8" x14ac:dyDescent="0.35">
      <c r="B9" s="83">
        <v>2022</v>
      </c>
      <c r="C9" s="15">
        <f>(SUMIFS('MAIN DATA, Orders'!$S:$S,'MAIN DATA, Orders'!$D:$D,"Germany",'MAIN DATA, Orders'!$F:$F,$B9,'MAIN DATA, Orders'!$AF:$AF,"0",'MAIN DATA, Orders'!$AH:$AH,"Germany")/1000000000)</f>
        <v>10.7799</v>
      </c>
      <c r="D9" s="15">
        <f>(SUMIFS('MAIN DATA, Orders'!$S:$S,'MAIN DATA, Orders'!$D:$D,"Germany",'MAIN DATA, Orders'!$F:$F,$B9,'MAIN DATA, Orders'!$AF:$AF,"1")/1000000000)</f>
        <v>0.93720000000000003</v>
      </c>
      <c r="E9" s="15">
        <f>SUM(SUMIFS('MAIN DATA, Orders'!$S:$S,'MAIN DATA, Orders'!$D:$D,"Germany",'MAIN DATA, Orders'!$F:$F,$B9,'MAIN DATA, Orders'!$AC:$AC,"1",'MAIN DATA, Orders'!$AF:$AF,"0",'MAIN DATA, Orders'!$AH:$AH,"&lt;&gt;Germany")/1000000000)</f>
        <v>0.40500000000000003</v>
      </c>
      <c r="F9" s="15">
        <f>SUM(SUMIFS('MAIN DATA, Orders'!$S:$S,'MAIN DATA, Orders'!$D:$D,"Germany",'MAIN DATA, Orders'!$F:$F,$B9,'MAIN DATA, Orders'!$AC:$AC,"0",'MAIN DATA, Orders'!$AF:$AF,"0")/1000000000)</f>
        <v>8.8927999999999994</v>
      </c>
      <c r="G9" s="15">
        <f>(SUMIFS('MAIN DATA, Orders'!$S:$S,'MAIN DATA, Orders'!$F:$F,$B9,'MAIN DATA, Orders'!$AH:$AH,"&lt;&gt;.",'MAIN DATA, Orders'!$D:$D,"Germany")/1000000000)</f>
        <v>21.014900000000001</v>
      </c>
    </row>
    <row r="10" spans="2:8" x14ac:dyDescent="0.35">
      <c r="B10" s="83">
        <v>2023</v>
      </c>
      <c r="C10" s="15">
        <f>(SUMIFS('MAIN DATA, Orders'!$S:$S,'MAIN DATA, Orders'!$D:$D,"Germany",'MAIN DATA, Orders'!$F:$F,$B10,'MAIN DATA, Orders'!$AF:$AF,"0",'MAIN DATA, Orders'!$AH:$AH,"Germany")/1000000000)</f>
        <v>21.254380000000001</v>
      </c>
      <c r="D10" s="15">
        <f>(SUMIFS('MAIN DATA, Orders'!$S:$S,'MAIN DATA, Orders'!$D:$D,"Germany",'MAIN DATA, Orders'!$F:$F,$B10,'MAIN DATA, Orders'!$AF:$AF,"1")/1000000000)</f>
        <v>11.5403</v>
      </c>
      <c r="E10" s="15">
        <f>SUM(SUMIFS('MAIN DATA, Orders'!$S:$S,'MAIN DATA, Orders'!$D:$D,"Germany",'MAIN DATA, Orders'!$F:$F,$B10,'MAIN DATA, Orders'!$AC:$AC,"1",'MAIN DATA, Orders'!$AF:$AF,"0",'MAIN DATA, Orders'!$AH:$AH,"&lt;&gt;Germany")/1000000000)</f>
        <v>0.27800000000000002</v>
      </c>
      <c r="F10" s="15">
        <f>SUM(SUMIFS('MAIN DATA, Orders'!$S:$S,'MAIN DATA, Orders'!$D:$D,"Germany",'MAIN DATA, Orders'!$F:$F,$B10,'MAIN DATA, Orders'!$AC:$AC,"0",'MAIN DATA, Orders'!$AF:$AF,"0")/1000000000)</f>
        <v>8.3520000000000003</v>
      </c>
      <c r="G10" s="15">
        <f>(SUMIFS('MAIN DATA, Orders'!$S:$S,'MAIN DATA, Orders'!$F:$F,$B10,'MAIN DATA, Orders'!$AH:$AH,"&lt;&gt;.",'MAIN DATA, Orders'!$D:$D,"Germany")/1000000000)</f>
        <v>41.424680000000002</v>
      </c>
    </row>
    <row r="11" spans="2:8" x14ac:dyDescent="0.35">
      <c r="B11" s="83">
        <v>2024</v>
      </c>
      <c r="C11" s="15">
        <f>(SUMIFS('MAIN DATA, Orders'!$S:$S,'MAIN DATA, Orders'!$D:$D,"Germany",'MAIN DATA, Orders'!$F:$F,$B11,'MAIN DATA, Orders'!$AF:$AF,"0",'MAIN DATA, Orders'!$AH:$AH,"Germany")/1000000000)</f>
        <v>24.986160000000002</v>
      </c>
      <c r="D11" s="15">
        <f>(SUMIFS('MAIN DATA, Orders'!$S:$S,'MAIN DATA, Orders'!$D:$D,"Germany",'MAIN DATA, Orders'!$F:$F,$B11,'MAIN DATA, Orders'!$AF:$AF,"1")/1000000000)</f>
        <v>10.991358999999999</v>
      </c>
      <c r="E11" s="15">
        <f>SUM(SUMIFS('MAIN DATA, Orders'!$S:$S,'MAIN DATA, Orders'!$D:$D,"Germany",'MAIN DATA, Orders'!$F:$F,$B11,'MAIN DATA, Orders'!$AC:$AC,"1",'MAIN DATA, Orders'!$AF:$AF,"0",'MAIN DATA, Orders'!$AH:$AH,"&lt;&gt;Germany")/1000000000)</f>
        <v>0</v>
      </c>
      <c r="F11" s="15">
        <f>SUM(SUMIFS('MAIN DATA, Orders'!$S:$S,'MAIN DATA, Orders'!$D:$D,"Germany",'MAIN DATA, Orders'!$F:$F,$B11,'MAIN DATA, Orders'!$AC:$AC,"0",'MAIN DATA, Orders'!$AF:$AF,"0")/1000000000)</f>
        <v>4.3364000000000003</v>
      </c>
      <c r="G11" s="15">
        <f>(SUMIFS('MAIN DATA, Orders'!$S:$S,'MAIN DATA, Orders'!$F:$F,$B11,'MAIN DATA, Orders'!$AH:$AH,"&lt;&gt;.",'MAIN DATA, Orders'!$D:$D,"Germany")/1000000000)</f>
        <v>40.313918999999999</v>
      </c>
    </row>
    <row r="12" spans="2:8" x14ac:dyDescent="0.35">
      <c r="B12" s="83">
        <v>2025</v>
      </c>
      <c r="C12" s="15">
        <f>(SUMIFS('MAIN DATA, Orders'!$S:$S,'MAIN DATA, Orders'!$D:$D,"Germany",'MAIN DATA, Orders'!$F:$F,$B12,'MAIN DATA, Orders'!$AF:$AF,"0",'MAIN DATA, Orders'!$AH:$AH,"Germany")/1000000000)</f>
        <v>41.651388191000002</v>
      </c>
      <c r="D12" s="15">
        <f>(SUMIFS('MAIN DATA, Orders'!$S:$S,'MAIN DATA, Orders'!$D:$D,"Germany",'MAIN DATA, Orders'!$F:$F,$B12,'MAIN DATA, Orders'!$AF:$AF,"1")/1000000000)</f>
        <v>26.0274</v>
      </c>
      <c r="E12" s="15">
        <f>SUM(SUMIFS('MAIN DATA, Orders'!$S:$S,'MAIN DATA, Orders'!$D:$D,"Germany",'MAIN DATA, Orders'!$F:$F,$B12,'MAIN DATA, Orders'!$AC:$AC,"1",'MAIN DATA, Orders'!$AF:$AF,"0",'MAIN DATA, Orders'!$AH:$AH,"&lt;&gt;Germany")/1000000000)</f>
        <v>1.7070000000000001</v>
      </c>
      <c r="F12" s="15">
        <f>SUM(SUMIFS('MAIN DATA, Orders'!$S:$S,'MAIN DATA, Orders'!$D:$D,"Germany",'MAIN DATA, Orders'!$F:$F,$B12,'MAIN DATA, Orders'!$AC:$AC,"0",'MAIN DATA, Orders'!$AF:$AF,"0")/1000000000)</f>
        <v>2.92191</v>
      </c>
      <c r="G12" s="15">
        <f>(SUMIFS('MAIN DATA, Orders'!$S:$S,'MAIN DATA, Orders'!$F:$F,$B12,'MAIN DATA, Orders'!$AH:$AH,"&lt;&gt;.",'MAIN DATA, Orders'!$D:$D,"Germany")/1000000000)</f>
        <v>72.135698191000003</v>
      </c>
      <c r="H12" s="88"/>
    </row>
    <row r="13" spans="2:8" x14ac:dyDescent="0.35">
      <c r="B13" s="83">
        <v>2026</v>
      </c>
      <c r="C13" s="15">
        <f>(SUMIFS('MAIN DATA, Orders'!$S:$S,'MAIN DATA, Orders'!$D:$D,"Germany",'MAIN DATA, Orders'!$F:$F,$B13,'MAIN DATA, Orders'!$AF:$AF,"0",'MAIN DATA, Orders'!$AH:$AH,"Germany")/1000000000)</f>
        <v>0</v>
      </c>
      <c r="D13" s="15">
        <f>(SUMIFS('MAIN DATA, Orders'!$S:$S,'MAIN DATA, Orders'!$D:$D,"Germany",'MAIN DATA, Orders'!$F:$F,$B13,'MAIN DATA, Orders'!$AF:$AF,"1")/1000000000)</f>
        <v>0</v>
      </c>
      <c r="E13" s="15">
        <f>SUM(SUMIFS('MAIN DATA, Orders'!$S:$S,'MAIN DATA, Orders'!$D:$D,"Germany",'MAIN DATA, Orders'!$F:$F,$B13,'MAIN DATA, Orders'!$AC:$AC,"1",'MAIN DATA, Orders'!$AF:$AF,"0",'MAIN DATA, Orders'!$AH:$AH,"&lt;&gt;Germany")/1000000000)</f>
        <v>0</v>
      </c>
      <c r="F13" s="15">
        <f>SUM(SUMIFS('MAIN DATA, Orders'!$S:$S,'MAIN DATA, Orders'!$D:$D,"Germany",'MAIN DATA, Orders'!$F:$F,$B13,'MAIN DATA, Orders'!$AC:$AC,"0",'MAIN DATA, Orders'!$AF:$AF,"0")/1000000000)</f>
        <v>0</v>
      </c>
      <c r="G13" s="15">
        <f>(SUMIFS('MAIN DATA, Orders'!$S:$S,'MAIN DATA, Orders'!$F:$F,$B13,'MAIN DATA, Orders'!$AH:$AH,"&lt;&gt;.",'MAIN DATA, Orders'!$D:$D,"Germany")/1000000000)</f>
        <v>0</v>
      </c>
    </row>
    <row r="14" spans="2:8" x14ac:dyDescent="0.35">
      <c r="B14" s="85"/>
      <c r="C14" s="85"/>
      <c r="D14" s="85"/>
      <c r="E14" s="85"/>
      <c r="F14" s="85"/>
      <c r="G14" s="85"/>
    </row>
    <row r="15" spans="2:8" x14ac:dyDescent="0.35">
      <c r="B15" s="18" t="s">
        <v>4219</v>
      </c>
      <c r="C15" s="18">
        <f>SUM(C7:C13)</f>
        <v>115.24582819099999</v>
      </c>
      <c r="D15" s="18">
        <f>SUM(D7:D13)</f>
        <v>79.244158999999996</v>
      </c>
      <c r="E15" s="18">
        <f>SUM(E7:E13)</f>
        <v>2.4140000000000001</v>
      </c>
      <c r="F15" s="18">
        <f>SUM(F7:F13)</f>
        <v>25.603110000000001</v>
      </c>
      <c r="G15" s="18">
        <f>SUM(G7:G13)</f>
        <v>222.33509719099999</v>
      </c>
    </row>
    <row r="16" spans="2:8" x14ac:dyDescent="0.35">
      <c r="B16" s="19"/>
      <c r="C16" s="19"/>
      <c r="D16" s="19"/>
      <c r="E16" s="19"/>
      <c r="F16" s="83"/>
      <c r="G16" s="83"/>
    </row>
    <row r="19" spans="1:8" x14ac:dyDescent="0.35">
      <c r="A19" s="20">
        <v>202001</v>
      </c>
      <c r="B19" s="20">
        <v>202001</v>
      </c>
      <c r="C19" s="20">
        <v>202001</v>
      </c>
      <c r="D19" s="20">
        <v>202001</v>
      </c>
      <c r="E19" s="20">
        <v>202001</v>
      </c>
      <c r="F19" s="20">
        <v>202001</v>
      </c>
      <c r="G19" s="20">
        <v>202001</v>
      </c>
      <c r="H19" s="20">
        <v>202001</v>
      </c>
    </row>
    <row r="20" spans="1:8" x14ac:dyDescent="0.35">
      <c r="A20" s="20">
        <v>202007</v>
      </c>
      <c r="B20" s="20">
        <v>202007</v>
      </c>
      <c r="C20" s="20">
        <v>202007</v>
      </c>
      <c r="D20" s="20">
        <v>202007</v>
      </c>
      <c r="E20" s="20">
        <v>202007</v>
      </c>
      <c r="F20" s="20">
        <v>202007</v>
      </c>
      <c r="G20" s="20">
        <v>202007</v>
      </c>
      <c r="H20" s="20">
        <v>202007</v>
      </c>
    </row>
    <row r="21" spans="1:8" x14ac:dyDescent="0.35">
      <c r="A21" s="20">
        <v>202101</v>
      </c>
      <c r="B21" s="20">
        <v>202101</v>
      </c>
      <c r="C21" s="20">
        <v>202101</v>
      </c>
      <c r="D21" s="20">
        <v>202101</v>
      </c>
      <c r="E21" s="20">
        <v>202101</v>
      </c>
      <c r="F21" s="20">
        <v>202101</v>
      </c>
      <c r="G21" s="20">
        <v>202101</v>
      </c>
      <c r="H21" s="20">
        <v>202101</v>
      </c>
    </row>
    <row r="22" spans="1:8" x14ac:dyDescent="0.35">
      <c r="A22" s="20">
        <v>202107</v>
      </c>
      <c r="B22" s="20">
        <v>202107</v>
      </c>
      <c r="C22" s="20">
        <v>202107</v>
      </c>
      <c r="D22" s="20">
        <v>202107</v>
      </c>
      <c r="E22" s="20">
        <v>202107</v>
      </c>
      <c r="F22" s="20">
        <v>202107</v>
      </c>
      <c r="G22" s="20">
        <v>202107</v>
      </c>
      <c r="H22" s="20">
        <v>202107</v>
      </c>
    </row>
    <row r="23" spans="1:8" x14ac:dyDescent="0.35">
      <c r="A23" s="20">
        <v>202201</v>
      </c>
      <c r="B23" s="20">
        <v>202201</v>
      </c>
      <c r="C23" s="20">
        <v>202201</v>
      </c>
      <c r="D23" s="20">
        <v>202201</v>
      </c>
      <c r="E23" s="20">
        <v>202201</v>
      </c>
      <c r="F23" s="20">
        <v>202201</v>
      </c>
      <c r="G23" s="20">
        <v>202201</v>
      </c>
      <c r="H23" s="20">
        <v>202201</v>
      </c>
    </row>
    <row r="24" spans="1:8" x14ac:dyDescent="0.35">
      <c r="A24" s="20">
        <v>202207</v>
      </c>
      <c r="B24" s="20">
        <v>202207</v>
      </c>
      <c r="C24" s="20">
        <v>202207</v>
      </c>
      <c r="D24" s="20">
        <v>202207</v>
      </c>
      <c r="E24" s="20">
        <v>202207</v>
      </c>
      <c r="F24" s="20">
        <v>202207</v>
      </c>
      <c r="G24" s="20">
        <v>202207</v>
      </c>
      <c r="H24" s="20">
        <v>202207</v>
      </c>
    </row>
    <row r="25" spans="1:8" x14ac:dyDescent="0.35">
      <c r="A25" s="20">
        <v>202301</v>
      </c>
      <c r="B25" s="20">
        <v>202301</v>
      </c>
      <c r="C25" s="20">
        <v>202301</v>
      </c>
      <c r="D25" s="20">
        <v>202301</v>
      </c>
      <c r="E25" s="20">
        <v>202301</v>
      </c>
      <c r="F25" s="20">
        <v>202301</v>
      </c>
      <c r="G25" s="20">
        <v>202301</v>
      </c>
      <c r="H25" s="20">
        <v>202301</v>
      </c>
    </row>
    <row r="26" spans="1:8" x14ac:dyDescent="0.35">
      <c r="A26" s="20">
        <v>202307</v>
      </c>
      <c r="B26" s="20">
        <v>202307</v>
      </c>
      <c r="C26" s="20">
        <v>202307</v>
      </c>
      <c r="D26" s="20">
        <v>202307</v>
      </c>
      <c r="E26" s="20">
        <v>202307</v>
      </c>
      <c r="F26" s="20">
        <v>202307</v>
      </c>
      <c r="G26" s="20">
        <v>202307</v>
      </c>
      <c r="H26" s="20">
        <v>202307</v>
      </c>
    </row>
    <row r="27" spans="1:8" x14ac:dyDescent="0.35">
      <c r="A27" s="20">
        <v>202401</v>
      </c>
      <c r="B27" s="20">
        <v>202401</v>
      </c>
      <c r="C27" s="20">
        <v>202401</v>
      </c>
      <c r="D27" s="20">
        <v>202401</v>
      </c>
      <c r="E27" s="20">
        <v>202401</v>
      </c>
      <c r="F27" s="20">
        <v>202401</v>
      </c>
      <c r="G27" s="20">
        <v>202401</v>
      </c>
      <c r="H27" s="20">
        <v>202401</v>
      </c>
    </row>
    <row r="28" spans="1:8" x14ac:dyDescent="0.35">
      <c r="A28" s="20">
        <v>202407</v>
      </c>
      <c r="B28" s="20">
        <v>202407</v>
      </c>
      <c r="C28" s="20">
        <v>202407</v>
      </c>
      <c r="D28" s="20">
        <v>202407</v>
      </c>
      <c r="E28" s="20">
        <v>202407</v>
      </c>
      <c r="F28" s="20">
        <v>202407</v>
      </c>
      <c r="G28" s="20">
        <v>202407</v>
      </c>
      <c r="H28" s="20">
        <v>202407</v>
      </c>
    </row>
    <row r="29" spans="1:8" x14ac:dyDescent="0.35">
      <c r="A29" s="20">
        <v>202501</v>
      </c>
      <c r="B29" s="20">
        <v>202501</v>
      </c>
      <c r="C29" s="20">
        <v>202501</v>
      </c>
      <c r="D29" s="20">
        <v>202501</v>
      </c>
      <c r="E29" s="20">
        <v>202501</v>
      </c>
      <c r="F29" s="20">
        <v>202501</v>
      </c>
      <c r="G29" s="20">
        <v>202501</v>
      </c>
      <c r="H29" s="20">
        <v>202501</v>
      </c>
    </row>
    <row r="30" spans="1:8" x14ac:dyDescent="0.35">
      <c r="A30" s="20">
        <v>202507</v>
      </c>
      <c r="B30" s="20">
        <v>202507</v>
      </c>
      <c r="C30" s="20">
        <v>202507</v>
      </c>
      <c r="D30" s="20">
        <v>202507</v>
      </c>
      <c r="E30" s="20">
        <v>202507</v>
      </c>
      <c r="F30" s="20">
        <v>202507</v>
      </c>
      <c r="G30" s="20">
        <v>202507</v>
      </c>
      <c r="H30" s="20">
        <v>202507</v>
      </c>
    </row>
    <row r="31" spans="1:8" x14ac:dyDescent="0.35">
      <c r="A31" s="20">
        <v>202601</v>
      </c>
      <c r="B31" s="20">
        <v>202601</v>
      </c>
      <c r="C31" s="20">
        <v>202601</v>
      </c>
      <c r="D31" s="20">
        <v>202601</v>
      </c>
      <c r="E31" s="20">
        <v>202601</v>
      </c>
      <c r="F31" s="20">
        <v>202601</v>
      </c>
      <c r="G31" s="20">
        <v>202601</v>
      </c>
      <c r="H31" s="20">
        <v>202601</v>
      </c>
    </row>
    <row r="91" spans="2:7" x14ac:dyDescent="0.35">
      <c r="B91" s="17"/>
      <c r="C91" s="15"/>
      <c r="D91" s="15"/>
      <c r="E91" s="15"/>
      <c r="F91" s="15"/>
      <c r="G91" s="15"/>
    </row>
    <row r="92" spans="2:7" x14ac:dyDescent="0.35">
      <c r="B92" s="17"/>
      <c r="C92" s="15"/>
      <c r="D92" s="15"/>
      <c r="E92" s="15"/>
      <c r="F92" s="15"/>
      <c r="G92" s="15"/>
    </row>
    <row r="93" spans="2:7" x14ac:dyDescent="0.35">
      <c r="B93" s="85"/>
      <c r="C93" s="85"/>
      <c r="D93" s="85"/>
      <c r="E93" s="85"/>
      <c r="F93" s="85"/>
      <c r="G93" s="85"/>
    </row>
    <row r="94" spans="2:7" x14ac:dyDescent="0.35">
      <c r="B94" s="18"/>
      <c r="C94" s="18"/>
      <c r="D94" s="18"/>
      <c r="E94" s="18"/>
      <c r="F94" s="18"/>
      <c r="G94" s="18"/>
    </row>
  </sheetData>
  <mergeCells count="1">
    <mergeCell ref="B4:F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6">
    <tabColor theme="8" tint="0.59999389629810485"/>
  </sheetPr>
  <dimension ref="B2:N176"/>
  <sheetViews>
    <sheetView zoomScaleNormal="100" workbookViewId="0"/>
  </sheetViews>
  <sheetFormatPr baseColWidth="10" defaultColWidth="8.75" defaultRowHeight="15.5" x14ac:dyDescent="0.35"/>
  <cols>
    <col min="1" max="1" width="8.75" style="1"/>
    <col min="2" max="2" width="9.75" style="1" customWidth="1"/>
    <col min="3" max="3" width="19.5" style="1" bestFit="1" customWidth="1"/>
    <col min="4" max="4" width="13.25" style="1" bestFit="1" customWidth="1"/>
    <col min="5" max="5" width="23.75" style="1" bestFit="1" customWidth="1"/>
    <col min="6" max="6" width="21.25" style="1" bestFit="1" customWidth="1"/>
    <col min="7" max="7" width="14.58203125" style="1" bestFit="1" customWidth="1"/>
    <col min="8" max="8" width="12.83203125" style="1" bestFit="1" customWidth="1"/>
    <col min="9" max="9" width="15.5" style="1" bestFit="1" customWidth="1"/>
    <col min="10" max="10" width="8.75" style="1"/>
    <col min="11" max="11" width="12.75" style="208" customWidth="1"/>
    <col min="12" max="12" width="22.58203125" style="1" bestFit="1" customWidth="1"/>
    <col min="13" max="13" width="20.83203125" style="1" bestFit="1" customWidth="1"/>
    <col min="14" max="14" width="15.5" style="1" bestFit="1" customWidth="1"/>
    <col min="15" max="16" width="8.75" style="1"/>
    <col min="17" max="17" width="10" style="1" customWidth="1"/>
    <col min="18" max="22" width="8.75" style="1"/>
    <col min="23" max="23" width="9.08203125" style="1" bestFit="1" customWidth="1"/>
    <col min="24" max="26" width="8.75" style="1"/>
    <col min="27" max="27" width="9.5" style="1" customWidth="1"/>
    <col min="28" max="38" width="8.75" style="1"/>
    <col min="39" max="39" width="10.75" style="1" customWidth="1"/>
    <col min="40" max="45" width="8.75" style="1"/>
    <col min="46" max="46" width="9.08203125" style="1" bestFit="1" customWidth="1"/>
    <col min="47" max="50" width="8.75" style="1"/>
    <col min="51" max="51" width="9.5" style="1" customWidth="1"/>
    <col min="52" max="68" width="8.75" style="1"/>
    <col min="69" max="69" width="11" style="1" customWidth="1"/>
    <col min="70" max="75" width="8.75" style="1"/>
    <col min="76" max="76" width="9.75" style="1" customWidth="1"/>
    <col min="77" max="80" width="8.75" style="1"/>
    <col min="81" max="81" width="9.33203125" style="1" customWidth="1"/>
    <col min="82" max="16384" width="8.75" style="1"/>
  </cols>
  <sheetData>
    <row r="2" spans="2:14" ht="24.5" x14ac:dyDescent="0.7">
      <c r="B2" s="181" t="s">
        <v>5622</v>
      </c>
    </row>
    <row r="4" spans="2:14" ht="130.15" customHeight="1" x14ac:dyDescent="0.35">
      <c r="B4" s="232" t="s">
        <v>5628</v>
      </c>
      <c r="C4" s="232"/>
      <c r="D4" s="232"/>
      <c r="E4" s="232"/>
      <c r="F4" s="232"/>
      <c r="G4" s="232"/>
      <c r="H4" s="232"/>
      <c r="I4" s="232"/>
    </row>
    <row r="6" spans="2:14" ht="21" customHeight="1" x14ac:dyDescent="0.35">
      <c r="B6" s="68" t="s">
        <v>4226</v>
      </c>
      <c r="C6" s="72" t="s">
        <v>5240</v>
      </c>
      <c r="D6" s="68" t="s">
        <v>5241</v>
      </c>
      <c r="E6" s="73" t="s">
        <v>5242</v>
      </c>
      <c r="F6" s="73" t="s">
        <v>5243</v>
      </c>
      <c r="G6" s="68" t="s">
        <v>5244</v>
      </c>
      <c r="H6" s="68" t="s">
        <v>5245</v>
      </c>
      <c r="I6" s="68" t="s">
        <v>5246</v>
      </c>
      <c r="K6" s="204" t="s">
        <v>5231</v>
      </c>
      <c r="L6" s="68" t="s">
        <v>5247</v>
      </c>
      <c r="M6" s="68" t="s">
        <v>5248</v>
      </c>
      <c r="N6" s="68" t="s">
        <v>5246</v>
      </c>
    </row>
    <row r="7" spans="2:14" x14ac:dyDescent="0.35">
      <c r="B7" s="27" t="s">
        <v>126</v>
      </c>
      <c r="C7" s="14">
        <f>VLOOKUP($B7,'MAIN DATA, Orders'!$B:$R,4,0)</f>
        <v>43964</v>
      </c>
      <c r="D7" s="83">
        <f>VLOOKUP($B7,'MAIN DATA, Orders'!$B:$R,5,0)</f>
        <v>2020</v>
      </c>
      <c r="E7" s="83">
        <f>VLOOKUP($B7,'MAIN DATA, Orders'!$B:$R,16,0)</f>
        <v>2020</v>
      </c>
      <c r="F7" s="83">
        <f>VLOOKUP($B7,'MAIN DATA, Orders'!$B:$R,17,0)</f>
        <v>2021</v>
      </c>
      <c r="G7" s="83">
        <f>E7-D7</f>
        <v>0</v>
      </c>
      <c r="H7" s="83">
        <f t="shared" ref="H7:H38" si="0">F7-D7</f>
        <v>1</v>
      </c>
      <c r="I7" s="83">
        <f>AVERAGE(G7:H7)</f>
        <v>0.5</v>
      </c>
      <c r="J7" s="83"/>
      <c r="K7" s="209">
        <v>43983</v>
      </c>
      <c r="L7" s="199">
        <f t="shared" ref="L7:L27" si="1">IFERROR(AVERAGEIFS($G:$G, $C:$C, "&gt;"&amp;EDATE($K7-DAY($K7)+1, -2), $C:$C, "&lt;="&amp;EOMONTH($K7, 0)), "")</f>
        <v>3.6666666666666665</v>
      </c>
      <c r="M7" s="199">
        <f t="shared" ref="M7:M27" si="2">IFERROR(AVERAGEIFS($H:$H, $C:$C, "&gt;"&amp;EDATE($K7-DAY($K7)+1, -2), $C:$C, "&lt;="&amp;EOMONTH($K7, 0)), "")</f>
        <v>6.333333333333333</v>
      </c>
      <c r="N7" s="199">
        <f t="shared" ref="N7:N27" si="3">IFERROR(AVERAGEIFS($I:$I, $C:$C, "&gt;"&amp;EDATE($K7-DAY($K7)+1, -2), $C:$C, "&lt;="&amp;EOMONTH($K7, 0)), "")</f>
        <v>5</v>
      </c>
    </row>
    <row r="8" spans="2:14" x14ac:dyDescent="0.35">
      <c r="B8" s="27" t="s">
        <v>140</v>
      </c>
      <c r="C8" s="14">
        <f>VLOOKUP($B8,'MAIN DATA, Orders'!$B:$R,4,0)</f>
        <v>44000</v>
      </c>
      <c r="D8" s="83">
        <f>VLOOKUP($B8,'MAIN DATA, Orders'!$B:$R,5,0)</f>
        <v>2020</v>
      </c>
      <c r="E8" s="83">
        <f>VLOOKUP($B8,'MAIN DATA, Orders'!$B:$R,16,0)</f>
        <v>2027</v>
      </c>
      <c r="F8" s="83">
        <f>VLOOKUP($B8,'MAIN DATA, Orders'!$B:$R,17,0)</f>
        <v>2031</v>
      </c>
      <c r="G8" s="83">
        <f t="shared" ref="G8:G38" si="4">E8-D8</f>
        <v>7</v>
      </c>
      <c r="H8" s="83">
        <f t="shared" si="0"/>
        <v>11</v>
      </c>
      <c r="I8" s="83">
        <f>AVERAGE(G8:H8)</f>
        <v>9</v>
      </c>
      <c r="J8" s="83"/>
      <c r="K8" s="209">
        <v>44075</v>
      </c>
      <c r="L8" s="199">
        <f t="shared" si="1"/>
        <v>1.5</v>
      </c>
      <c r="M8" s="199">
        <f t="shared" si="2"/>
        <v>5.5</v>
      </c>
      <c r="N8" s="199">
        <f t="shared" si="3"/>
        <v>3.5</v>
      </c>
    </row>
    <row r="9" spans="2:14" x14ac:dyDescent="0.35">
      <c r="B9" s="27" t="s">
        <v>165</v>
      </c>
      <c r="C9" s="14">
        <f>VLOOKUP($B9,'MAIN DATA, Orders'!$B:$R,4,0)</f>
        <v>44000</v>
      </c>
      <c r="D9" s="83">
        <f>VLOOKUP($B9,'MAIN DATA, Orders'!$B:$R,5,0)</f>
        <v>2020</v>
      </c>
      <c r="E9" s="83">
        <f>VLOOKUP($B9,'MAIN DATA, Orders'!$B:$R,16,0)</f>
        <v>2024</v>
      </c>
      <c r="F9" s="83">
        <f>VLOOKUP($B9,'MAIN DATA, Orders'!$B:$R,17,0)</f>
        <v>2027</v>
      </c>
      <c r="G9" s="83">
        <f t="shared" si="4"/>
        <v>4</v>
      </c>
      <c r="H9" s="83">
        <f t="shared" si="0"/>
        <v>7</v>
      </c>
      <c r="I9" s="83">
        <f t="shared" ref="I9:I71" si="5">AVERAGE(G9:H9)</f>
        <v>5.5</v>
      </c>
      <c r="J9" s="14"/>
      <c r="K9" s="209">
        <v>44166</v>
      </c>
      <c r="L9" s="199">
        <f t="shared" si="1"/>
        <v>1.375</v>
      </c>
      <c r="M9" s="199">
        <f t="shared" si="2"/>
        <v>2.75</v>
      </c>
      <c r="N9" s="199">
        <f t="shared" si="3"/>
        <v>2.0625</v>
      </c>
    </row>
    <row r="10" spans="2:14" x14ac:dyDescent="0.35">
      <c r="B10" s="27" t="s">
        <v>180</v>
      </c>
      <c r="C10" s="14">
        <f>VLOOKUP($B10,'MAIN DATA, Orders'!$B:$R,4,0)</f>
        <v>44084</v>
      </c>
      <c r="D10" s="83">
        <f>VLOOKUP($B10,'MAIN DATA, Orders'!$B:$R,5,0)</f>
        <v>2020</v>
      </c>
      <c r="E10" s="83">
        <f>VLOOKUP($B10,'MAIN DATA, Orders'!$B:$R,16,0)</f>
        <v>2021</v>
      </c>
      <c r="F10" s="83">
        <f>VLOOKUP($B10,'MAIN DATA, Orders'!$B:$R,17,0)</f>
        <v>2027</v>
      </c>
      <c r="G10" s="83">
        <f t="shared" si="4"/>
        <v>1</v>
      </c>
      <c r="H10" s="83">
        <f t="shared" si="0"/>
        <v>7</v>
      </c>
      <c r="I10" s="83">
        <f t="shared" si="5"/>
        <v>4</v>
      </c>
      <c r="J10" s="14"/>
      <c r="K10" s="209">
        <v>44256</v>
      </c>
      <c r="L10" s="199">
        <f t="shared" si="1"/>
        <v>1</v>
      </c>
      <c r="M10" s="199">
        <f t="shared" si="2"/>
        <v>3</v>
      </c>
      <c r="N10" s="199">
        <f t="shared" si="3"/>
        <v>2</v>
      </c>
    </row>
    <row r="11" spans="2:14" x14ac:dyDescent="0.35">
      <c r="B11" s="27" t="s">
        <v>208</v>
      </c>
      <c r="C11" s="14">
        <f>VLOOKUP($B11,'MAIN DATA, Orders'!$B:$R,4,0)</f>
        <v>44084</v>
      </c>
      <c r="D11" s="83">
        <f>VLOOKUP($B11,'MAIN DATA, Orders'!$B:$R,5,0)</f>
        <v>2020</v>
      </c>
      <c r="E11" s="83">
        <f>VLOOKUP($B11,'MAIN DATA, Orders'!$B:$R,16,0)</f>
        <v>2022</v>
      </c>
      <c r="F11" s="83">
        <f>VLOOKUP($B11,'MAIN DATA, Orders'!$B:$R,17,0)</f>
        <v>2026</v>
      </c>
      <c r="G11" s="83">
        <f t="shared" si="4"/>
        <v>2</v>
      </c>
      <c r="H11" s="83">
        <f t="shared" si="0"/>
        <v>6</v>
      </c>
      <c r="I11" s="83">
        <f t="shared" si="5"/>
        <v>4</v>
      </c>
      <c r="J11" s="83"/>
      <c r="K11" s="209">
        <v>44348</v>
      </c>
      <c r="L11" s="199">
        <f t="shared" si="1"/>
        <v>1.4285714285714286</v>
      </c>
      <c r="M11" s="199">
        <f t="shared" si="2"/>
        <v>4.9523809523809526</v>
      </c>
      <c r="N11" s="199">
        <f t="shared" si="3"/>
        <v>3.1904761904761907</v>
      </c>
    </row>
    <row r="12" spans="2:14" x14ac:dyDescent="0.35">
      <c r="B12" s="27" t="s">
        <v>216</v>
      </c>
      <c r="C12" s="14">
        <f>VLOOKUP($B12,'MAIN DATA, Orders'!$B:$R,4,0)</f>
        <v>44084</v>
      </c>
      <c r="D12" s="83">
        <f>VLOOKUP($B12,'MAIN DATA, Orders'!$B:$R,5,0)</f>
        <v>2020</v>
      </c>
      <c r="E12" s="83">
        <f>VLOOKUP($B12,'MAIN DATA, Orders'!$B:$R,16,0)</f>
        <v>2022</v>
      </c>
      <c r="F12" s="83">
        <f>VLOOKUP($B12,'MAIN DATA, Orders'!$B:$R,17,0)</f>
        <v>2026</v>
      </c>
      <c r="G12" s="83">
        <f t="shared" si="4"/>
        <v>2</v>
      </c>
      <c r="H12" s="83">
        <f t="shared" si="0"/>
        <v>6</v>
      </c>
      <c r="I12" s="83">
        <f t="shared" si="5"/>
        <v>4</v>
      </c>
      <c r="J12" s="83"/>
      <c r="K12" s="209">
        <v>44713</v>
      </c>
      <c r="L12" s="199">
        <f t="shared" si="1"/>
        <v>2</v>
      </c>
      <c r="M12" s="199">
        <f t="shared" si="2"/>
        <v>4.25</v>
      </c>
      <c r="N12" s="199">
        <f t="shared" si="3"/>
        <v>3.125</v>
      </c>
    </row>
    <row r="13" spans="2:14" x14ac:dyDescent="0.35">
      <c r="B13" s="27" t="s">
        <v>219</v>
      </c>
      <c r="C13" s="14">
        <f>VLOOKUP($B13,'MAIN DATA, Orders'!$B:$R,4,0)</f>
        <v>44090</v>
      </c>
      <c r="D13" s="83">
        <f>VLOOKUP($B13,'MAIN DATA, Orders'!$B:$R,5,0)</f>
        <v>2020</v>
      </c>
      <c r="E13" s="83">
        <f>VLOOKUP($B13,'MAIN DATA, Orders'!$B:$R,16,0)</f>
        <v>2021</v>
      </c>
      <c r="F13" s="83">
        <f>VLOOKUP($B13,'MAIN DATA, Orders'!$B:$R,17,0)</f>
        <v>2023</v>
      </c>
      <c r="G13" s="83">
        <f t="shared" si="4"/>
        <v>1</v>
      </c>
      <c r="H13" s="83">
        <f t="shared" si="0"/>
        <v>3</v>
      </c>
      <c r="I13" s="83">
        <f t="shared" si="5"/>
        <v>2</v>
      </c>
      <c r="J13" s="14"/>
      <c r="K13" s="209">
        <v>44805</v>
      </c>
      <c r="L13" s="199">
        <f t="shared" si="1"/>
        <v>1.5</v>
      </c>
      <c r="M13" s="199">
        <f t="shared" si="2"/>
        <v>4.25</v>
      </c>
      <c r="N13" s="199">
        <f t="shared" si="3"/>
        <v>2.875</v>
      </c>
    </row>
    <row r="14" spans="2:14" x14ac:dyDescent="0.35">
      <c r="B14" s="27" t="s">
        <v>227</v>
      </c>
      <c r="C14" s="14">
        <f>VLOOKUP($B14,'MAIN DATA, Orders'!$B:$R,4,0)</f>
        <v>44111</v>
      </c>
      <c r="D14" s="83">
        <f>VLOOKUP($B14,'MAIN DATA, Orders'!$B:$R,5,0)</f>
        <v>2020</v>
      </c>
      <c r="E14" s="83">
        <f>VLOOKUP($B14,'MAIN DATA, Orders'!$B:$R,16,0)</f>
        <v>2021</v>
      </c>
      <c r="F14" s="83">
        <f>VLOOKUP($B14,'MAIN DATA, Orders'!$B:$R,17,0)</f>
        <v>2021</v>
      </c>
      <c r="G14" s="83">
        <f t="shared" si="4"/>
        <v>1</v>
      </c>
      <c r="H14" s="83">
        <f t="shared" si="0"/>
        <v>1</v>
      </c>
      <c r="I14" s="83">
        <f t="shared" si="5"/>
        <v>1</v>
      </c>
      <c r="J14" s="83"/>
      <c r="K14" s="209">
        <v>44896</v>
      </c>
      <c r="L14" s="199">
        <f t="shared" si="1"/>
        <v>1.25</v>
      </c>
      <c r="M14" s="199">
        <f t="shared" si="2"/>
        <v>4.375</v>
      </c>
      <c r="N14" s="199">
        <f t="shared" si="3"/>
        <v>2.8125</v>
      </c>
    </row>
    <row r="15" spans="2:14" x14ac:dyDescent="0.35">
      <c r="B15" s="27" t="s">
        <v>235</v>
      </c>
      <c r="C15" s="14">
        <f>VLOOKUP($B15,'MAIN DATA, Orders'!$B:$R,4,0)</f>
        <v>44140</v>
      </c>
      <c r="D15" s="83">
        <f>VLOOKUP($B15,'MAIN DATA, Orders'!$B:$R,5,0)</f>
        <v>2020</v>
      </c>
      <c r="E15" s="83">
        <f>VLOOKUP($B15,'MAIN DATA, Orders'!$B:$R,16,0)</f>
        <v>2025</v>
      </c>
      <c r="F15" s="83">
        <f>VLOOKUP($B15,'MAIN DATA, Orders'!$B:$R,17,0)</f>
        <v>2030</v>
      </c>
      <c r="G15" s="83">
        <f t="shared" si="4"/>
        <v>5</v>
      </c>
      <c r="H15" s="83">
        <f t="shared" si="0"/>
        <v>10</v>
      </c>
      <c r="I15" s="83">
        <f t="shared" si="5"/>
        <v>7.5</v>
      </c>
      <c r="J15" s="83"/>
      <c r="K15" s="209">
        <v>44986</v>
      </c>
      <c r="L15" s="199">
        <f t="shared" si="1"/>
        <v>1</v>
      </c>
      <c r="M15" s="199">
        <f t="shared" si="2"/>
        <v>3</v>
      </c>
      <c r="N15" s="199">
        <f t="shared" si="3"/>
        <v>2</v>
      </c>
    </row>
    <row r="16" spans="2:14" x14ac:dyDescent="0.35">
      <c r="B16" s="27" t="s">
        <v>252</v>
      </c>
      <c r="C16" s="14">
        <f>VLOOKUP($B16,'MAIN DATA, Orders'!$B:$R,4,0)</f>
        <v>44154</v>
      </c>
      <c r="D16" s="83">
        <f>VLOOKUP($B16,'MAIN DATA, Orders'!$B:$R,5,0)</f>
        <v>2020</v>
      </c>
      <c r="E16" s="83">
        <f>VLOOKUP($B16,'MAIN DATA, Orders'!$B:$R,16,0)</f>
        <v>2020</v>
      </c>
      <c r="F16" s="83">
        <f>VLOOKUP($B16,'MAIN DATA, Orders'!$B:$R,17,0)</f>
        <v>2020</v>
      </c>
      <c r="G16" s="83">
        <f t="shared" si="4"/>
        <v>0</v>
      </c>
      <c r="H16" s="83">
        <f t="shared" si="0"/>
        <v>0</v>
      </c>
      <c r="I16" s="83">
        <f t="shared" si="5"/>
        <v>0</v>
      </c>
      <c r="J16" s="83"/>
      <c r="K16" s="209">
        <v>45078</v>
      </c>
      <c r="L16" s="199">
        <f t="shared" si="1"/>
        <v>1.5</v>
      </c>
      <c r="M16" s="199">
        <f t="shared" si="2"/>
        <v>2.8333333333333335</v>
      </c>
      <c r="N16" s="199">
        <f t="shared" si="3"/>
        <v>2.1666666666666665</v>
      </c>
    </row>
    <row r="17" spans="2:14" x14ac:dyDescent="0.35">
      <c r="B17" s="27" t="s">
        <v>272</v>
      </c>
      <c r="C17" s="14">
        <f>VLOOKUP($B17,'MAIN DATA, Orders'!$B:$R,4,0)</f>
        <v>44161</v>
      </c>
      <c r="D17" s="83">
        <f>VLOOKUP($B17,'MAIN DATA, Orders'!$B:$R,5,0)</f>
        <v>2020</v>
      </c>
      <c r="E17" s="83">
        <f>VLOOKUP($B17,'MAIN DATA, Orders'!$B:$R,16,0)</f>
        <v>2021</v>
      </c>
      <c r="F17" s="83">
        <f>VLOOKUP($B17,'MAIN DATA, Orders'!$B:$R,17,0)</f>
        <v>2025</v>
      </c>
      <c r="G17" s="83">
        <f t="shared" si="4"/>
        <v>1</v>
      </c>
      <c r="H17" s="83">
        <f t="shared" si="0"/>
        <v>5</v>
      </c>
      <c r="I17" s="83">
        <f t="shared" si="5"/>
        <v>3</v>
      </c>
      <c r="J17" s="83"/>
      <c r="K17" s="209">
        <v>45170</v>
      </c>
      <c r="L17" s="199">
        <f t="shared" si="1"/>
        <v>3</v>
      </c>
      <c r="M17" s="199">
        <f t="shared" si="2"/>
        <v>6.25</v>
      </c>
      <c r="N17" s="199">
        <f t="shared" si="3"/>
        <v>4.625</v>
      </c>
    </row>
    <row r="18" spans="2:14" x14ac:dyDescent="0.35">
      <c r="B18" s="27" t="s">
        <v>289</v>
      </c>
      <c r="C18" s="14">
        <f>VLOOKUP($B18,'MAIN DATA, Orders'!$B:$R,4,0)</f>
        <v>44161</v>
      </c>
      <c r="D18" s="83">
        <f>VLOOKUP($B18,'MAIN DATA, Orders'!$B:$R,5,0)</f>
        <v>2020</v>
      </c>
      <c r="E18" s="83">
        <f>VLOOKUP($B18,'MAIN DATA, Orders'!$B:$R,16,0)</f>
        <v>2021</v>
      </c>
      <c r="F18" s="83">
        <f>VLOOKUP($B18,'MAIN DATA, Orders'!$B:$R,17,0)</f>
        <v>2021</v>
      </c>
      <c r="G18" s="83">
        <f t="shared" si="4"/>
        <v>1</v>
      </c>
      <c r="H18" s="83">
        <f t="shared" si="0"/>
        <v>1</v>
      </c>
      <c r="I18" s="83">
        <f t="shared" si="5"/>
        <v>1</v>
      </c>
      <c r="J18" s="83"/>
      <c r="K18" s="209">
        <v>45261</v>
      </c>
      <c r="L18" s="199">
        <f t="shared" si="1"/>
        <v>2</v>
      </c>
      <c r="M18" s="199">
        <f t="shared" si="2"/>
        <v>5.375</v>
      </c>
      <c r="N18" s="199">
        <f t="shared" si="3"/>
        <v>3.6875</v>
      </c>
    </row>
    <row r="19" spans="2:14" x14ac:dyDescent="0.35">
      <c r="B19" s="27" t="s">
        <v>292</v>
      </c>
      <c r="C19" s="14">
        <f>VLOOKUP($B19,'MAIN DATA, Orders'!$B:$R,4,0)</f>
        <v>44161</v>
      </c>
      <c r="D19" s="83">
        <f>VLOOKUP($B19,'MAIN DATA, Orders'!$B:$R,5,0)</f>
        <v>2020</v>
      </c>
      <c r="E19" s="83">
        <f>VLOOKUP($B19,'MAIN DATA, Orders'!$B:$R,16,0)</f>
        <v>2021</v>
      </c>
      <c r="F19" s="83">
        <f>VLOOKUP($B19,'MAIN DATA, Orders'!$B:$R,17,0)</f>
        <v>2021</v>
      </c>
      <c r="G19" s="83">
        <f t="shared" si="4"/>
        <v>1</v>
      </c>
      <c r="H19" s="83">
        <f t="shared" si="0"/>
        <v>1</v>
      </c>
      <c r="I19" s="83">
        <f t="shared" si="5"/>
        <v>1</v>
      </c>
      <c r="J19" s="83"/>
      <c r="K19" s="209">
        <v>45352</v>
      </c>
      <c r="L19" s="199">
        <f t="shared" si="1"/>
        <v>1</v>
      </c>
      <c r="M19" s="199">
        <f t="shared" si="2"/>
        <v>4</v>
      </c>
      <c r="N19" s="199">
        <f t="shared" si="3"/>
        <v>2.5</v>
      </c>
    </row>
    <row r="20" spans="2:14" x14ac:dyDescent="0.35">
      <c r="B20" s="27" t="s">
        <v>296</v>
      </c>
      <c r="C20" s="14">
        <f>VLOOKUP($B20,'MAIN DATA, Orders'!$B:$R,4,0)</f>
        <v>44161</v>
      </c>
      <c r="D20" s="83">
        <f>VLOOKUP($B20,'MAIN DATA, Orders'!$B:$R,5,0)</f>
        <v>2020</v>
      </c>
      <c r="E20" s="83">
        <f>VLOOKUP($B20,'MAIN DATA, Orders'!$B:$R,16,0)</f>
        <v>2021</v>
      </c>
      <c r="F20" s="83">
        <f>VLOOKUP($B20,'MAIN DATA, Orders'!$B:$R,17,0)</f>
        <v>2022</v>
      </c>
      <c r="G20" s="83">
        <f t="shared" si="4"/>
        <v>1</v>
      </c>
      <c r="H20" s="83">
        <f t="shared" si="0"/>
        <v>2</v>
      </c>
      <c r="I20" s="83">
        <f t="shared" si="5"/>
        <v>1.5</v>
      </c>
      <c r="J20" s="83"/>
      <c r="K20" s="209">
        <v>45444</v>
      </c>
      <c r="L20" s="199">
        <f t="shared" si="1"/>
        <v>1.9090909090909092</v>
      </c>
      <c r="M20" s="199">
        <f t="shared" si="2"/>
        <v>3.0909090909090908</v>
      </c>
      <c r="N20" s="199">
        <f t="shared" si="3"/>
        <v>2.5</v>
      </c>
    </row>
    <row r="21" spans="2:14" x14ac:dyDescent="0.35">
      <c r="B21" s="27" t="s">
        <v>297</v>
      </c>
      <c r="C21" s="14">
        <f>VLOOKUP($B21,'MAIN DATA, Orders'!$B:$R,4,0)</f>
        <v>44161</v>
      </c>
      <c r="D21" s="83">
        <f>VLOOKUP($B21,'MAIN DATA, Orders'!$B:$R,5,0)</f>
        <v>2020</v>
      </c>
      <c r="E21" s="83">
        <f>VLOOKUP($B21,'MAIN DATA, Orders'!$B:$R,16,0)</f>
        <v>2021</v>
      </c>
      <c r="F21" s="83">
        <f>VLOOKUP($B21,'MAIN DATA, Orders'!$B:$R,17,0)</f>
        <v>2022</v>
      </c>
      <c r="G21" s="83">
        <f t="shared" si="4"/>
        <v>1</v>
      </c>
      <c r="H21" s="83">
        <f t="shared" si="0"/>
        <v>2</v>
      </c>
      <c r="I21" s="83">
        <f t="shared" si="5"/>
        <v>1.5</v>
      </c>
      <c r="J21" s="14"/>
      <c r="K21" s="209">
        <v>45536</v>
      </c>
      <c r="L21" s="199">
        <f t="shared" si="1"/>
        <v>2.75</v>
      </c>
      <c r="M21" s="199">
        <f t="shared" si="2"/>
        <v>5.125</v>
      </c>
      <c r="N21" s="199">
        <f t="shared" si="3"/>
        <v>3.9375</v>
      </c>
    </row>
    <row r="22" spans="2:14" x14ac:dyDescent="0.35">
      <c r="B22" s="27" t="s">
        <v>322</v>
      </c>
      <c r="C22" s="14">
        <f>VLOOKUP($B22,'MAIN DATA, Orders'!$B:$R,4,0)</f>
        <v>44237</v>
      </c>
      <c r="D22" s="83">
        <f>VLOOKUP($B22,'MAIN DATA, Orders'!$B:$R,5,0)</f>
        <v>2021</v>
      </c>
      <c r="E22" s="83">
        <f>VLOOKUP($B22,'MAIN DATA, Orders'!$B:$R,16,0)</f>
        <v>2022</v>
      </c>
      <c r="F22" s="83">
        <f>VLOOKUP($B22,'MAIN DATA, Orders'!$B:$R,17,0)</f>
        <v>2024</v>
      </c>
      <c r="G22" s="83">
        <f t="shared" si="4"/>
        <v>1</v>
      </c>
      <c r="H22" s="83">
        <f t="shared" si="0"/>
        <v>3</v>
      </c>
      <c r="I22" s="83">
        <f t="shared" si="5"/>
        <v>2</v>
      </c>
      <c r="J22" s="83"/>
      <c r="K22" s="209">
        <v>45627</v>
      </c>
      <c r="L22" s="199">
        <f t="shared" si="1"/>
        <v>0.77777777777777779</v>
      </c>
      <c r="M22" s="199">
        <f t="shared" si="2"/>
        <v>4.4444444444444446</v>
      </c>
      <c r="N22" s="199">
        <f t="shared" si="3"/>
        <v>2.6111111111111112</v>
      </c>
    </row>
    <row r="23" spans="2:14" x14ac:dyDescent="0.35">
      <c r="B23" s="27" t="s">
        <v>324</v>
      </c>
      <c r="C23" s="14">
        <f>VLOOKUP($B23,'MAIN DATA, Orders'!$B:$R,4,0)</f>
        <v>44237</v>
      </c>
      <c r="D23" s="83">
        <f>VLOOKUP($B23,'MAIN DATA, Orders'!$B:$R,5,0)</f>
        <v>2021</v>
      </c>
      <c r="E23" s="83">
        <f>VLOOKUP($B23,'MAIN DATA, Orders'!$B:$R,16,0)</f>
        <v>2022</v>
      </c>
      <c r="F23" s="83">
        <f>VLOOKUP($B23,'MAIN DATA, Orders'!$B:$R,17,0)</f>
        <v>2024</v>
      </c>
      <c r="G23" s="83">
        <f t="shared" si="4"/>
        <v>1</v>
      </c>
      <c r="H23" s="83">
        <f t="shared" si="0"/>
        <v>3</v>
      </c>
      <c r="I23" s="83">
        <f t="shared" si="5"/>
        <v>2</v>
      </c>
      <c r="J23" s="14"/>
      <c r="K23" s="209">
        <v>45717</v>
      </c>
      <c r="L23" s="199">
        <f t="shared" si="1"/>
        <v>0.5</v>
      </c>
      <c r="M23" s="199">
        <f t="shared" si="2"/>
        <v>1.75</v>
      </c>
      <c r="N23" s="199">
        <f t="shared" si="3"/>
        <v>1.125</v>
      </c>
    </row>
    <row r="24" spans="2:14" x14ac:dyDescent="0.35">
      <c r="B24" s="27" t="s">
        <v>327</v>
      </c>
      <c r="C24" s="14">
        <f>VLOOKUP($B24,'MAIN DATA, Orders'!$B:$R,4,0)</f>
        <v>44300</v>
      </c>
      <c r="D24" s="83">
        <f>VLOOKUP($B24,'MAIN DATA, Orders'!$B:$R,5,0)</f>
        <v>2021</v>
      </c>
      <c r="E24" s="83">
        <f>VLOOKUP($B24,'MAIN DATA, Orders'!$B:$R,16,0)</f>
        <v>2023</v>
      </c>
      <c r="F24" s="83">
        <f>VLOOKUP($B24,'MAIN DATA, Orders'!$B:$R,17,0)</f>
        <v>2029</v>
      </c>
      <c r="G24" s="83">
        <f t="shared" si="4"/>
        <v>2</v>
      </c>
      <c r="H24" s="83">
        <f t="shared" si="0"/>
        <v>8</v>
      </c>
      <c r="I24" s="83">
        <f t="shared" si="5"/>
        <v>5</v>
      </c>
      <c r="J24" s="83"/>
      <c r="K24" s="209">
        <v>45809</v>
      </c>
      <c r="L24" s="199">
        <f t="shared" si="1"/>
        <v>0</v>
      </c>
      <c r="M24" s="199">
        <f t="shared" si="2"/>
        <v>4.8</v>
      </c>
      <c r="N24" s="199">
        <f t="shared" si="3"/>
        <v>2.4</v>
      </c>
    </row>
    <row r="25" spans="2:14" x14ac:dyDescent="0.35">
      <c r="B25" s="27" t="s">
        <v>334</v>
      </c>
      <c r="C25" s="14">
        <f>VLOOKUP($B25,'MAIN DATA, Orders'!$B:$R,4,0)</f>
        <v>44300</v>
      </c>
      <c r="D25" s="83">
        <f>VLOOKUP($B25,'MAIN DATA, Orders'!$B:$R,5,0)</f>
        <v>2021</v>
      </c>
      <c r="E25" s="83">
        <f>VLOOKUP($B25,'MAIN DATA, Orders'!$B:$R,16,0)</f>
        <v>2021</v>
      </c>
      <c r="F25" s="83">
        <f>VLOOKUP($B25,'MAIN DATA, Orders'!$B:$R,17,0)</f>
        <v>2025</v>
      </c>
      <c r="G25" s="83">
        <f t="shared" si="4"/>
        <v>0</v>
      </c>
      <c r="H25" s="83">
        <f t="shared" si="0"/>
        <v>4</v>
      </c>
      <c r="I25" s="83">
        <f t="shared" si="5"/>
        <v>2</v>
      </c>
      <c r="J25" s="83"/>
      <c r="K25" s="209">
        <v>45901</v>
      </c>
      <c r="L25" s="199">
        <f t="shared" si="1"/>
        <v>0.8</v>
      </c>
      <c r="M25" s="199">
        <f t="shared" si="2"/>
        <v>2.4</v>
      </c>
      <c r="N25" s="199">
        <f t="shared" si="3"/>
        <v>1.6</v>
      </c>
    </row>
    <row r="26" spans="2:14" x14ac:dyDescent="0.35">
      <c r="B26" s="27" t="s">
        <v>342</v>
      </c>
      <c r="C26" s="14">
        <f>VLOOKUP($B26,'MAIN DATA, Orders'!$B:$R,4,0)</f>
        <v>44300</v>
      </c>
      <c r="D26" s="83">
        <f>VLOOKUP($B26,'MAIN DATA, Orders'!$B:$R,5,0)</f>
        <v>2021</v>
      </c>
      <c r="E26" s="83">
        <f>VLOOKUP($B26,'MAIN DATA, Orders'!$B:$R,16,0)</f>
        <v>2021</v>
      </c>
      <c r="F26" s="83">
        <f>VLOOKUP($B26,'MAIN DATA, Orders'!$B:$R,17,0)</f>
        <v>2024</v>
      </c>
      <c r="G26" s="83">
        <f t="shared" si="4"/>
        <v>0</v>
      </c>
      <c r="H26" s="83">
        <f t="shared" si="0"/>
        <v>3</v>
      </c>
      <c r="I26" s="83">
        <f t="shared" si="5"/>
        <v>1.5</v>
      </c>
      <c r="J26" s="83"/>
      <c r="K26" s="209">
        <v>45992</v>
      </c>
      <c r="L26" s="199">
        <f t="shared" si="1"/>
        <v>2.2352941176470589</v>
      </c>
      <c r="M26" s="199">
        <f t="shared" si="2"/>
        <v>5.7647058823529411</v>
      </c>
      <c r="N26" s="199">
        <f t="shared" si="3"/>
        <v>4</v>
      </c>
    </row>
    <row r="27" spans="2:14" x14ac:dyDescent="0.35">
      <c r="B27" s="27" t="s">
        <v>347</v>
      </c>
      <c r="C27" s="14">
        <f>VLOOKUP($B27,'MAIN DATA, Orders'!$B:$R,4,0)</f>
        <v>44300</v>
      </c>
      <c r="D27" s="83">
        <f>VLOOKUP($B27,'MAIN DATA, Orders'!$B:$R,5,0)</f>
        <v>2021</v>
      </c>
      <c r="E27" s="83">
        <f>VLOOKUP($B27,'MAIN DATA, Orders'!$B:$R,16,0)</f>
        <v>2021</v>
      </c>
      <c r="F27" s="83">
        <f>VLOOKUP($B27,'MAIN DATA, Orders'!$B:$R,17,0)</f>
        <v>2025</v>
      </c>
      <c r="G27" s="83">
        <f t="shared" si="4"/>
        <v>0</v>
      </c>
      <c r="H27" s="83">
        <f t="shared" si="0"/>
        <v>4</v>
      </c>
      <c r="I27" s="83">
        <f t="shared" si="5"/>
        <v>2</v>
      </c>
      <c r="J27" s="83"/>
      <c r="K27" s="209">
        <v>46082</v>
      </c>
      <c r="L27" s="199">
        <f t="shared" si="1"/>
        <v>0</v>
      </c>
      <c r="M27" s="199">
        <f t="shared" si="2"/>
        <v>0</v>
      </c>
      <c r="N27" s="199">
        <f t="shared" si="3"/>
        <v>0</v>
      </c>
    </row>
    <row r="28" spans="2:14" x14ac:dyDescent="0.35">
      <c r="B28" s="27" t="s">
        <v>367</v>
      </c>
      <c r="C28" s="14">
        <f>VLOOKUP($B28,'MAIN DATA, Orders'!$B:$R,4,0)</f>
        <v>44307</v>
      </c>
      <c r="D28" s="83">
        <f>VLOOKUP($B28,'MAIN DATA, Orders'!$B:$R,5,0)</f>
        <v>2021</v>
      </c>
      <c r="E28" s="83">
        <f>VLOOKUP($B28,'MAIN DATA, Orders'!$B:$R,16,0)</f>
        <v>2022</v>
      </c>
      <c r="F28" s="83">
        <f>VLOOKUP($B28,'MAIN DATA, Orders'!$B:$R,17,0)</f>
        <v>2024</v>
      </c>
      <c r="G28" s="83">
        <f t="shared" si="4"/>
        <v>1</v>
      </c>
      <c r="H28" s="83">
        <f t="shared" si="0"/>
        <v>3</v>
      </c>
      <c r="I28" s="83">
        <f t="shared" si="5"/>
        <v>2</v>
      </c>
      <c r="J28" s="83"/>
      <c r="K28" s="209"/>
      <c r="L28" s="83"/>
      <c r="M28" s="83"/>
      <c r="N28" s="83"/>
    </row>
    <row r="29" spans="2:14" x14ac:dyDescent="0.35">
      <c r="B29" s="27" t="s">
        <v>384</v>
      </c>
      <c r="C29" s="14">
        <f>VLOOKUP($B29,'MAIN DATA, Orders'!$B:$R,4,0)</f>
        <v>44330</v>
      </c>
      <c r="D29" s="83">
        <f>VLOOKUP($B29,'MAIN DATA, Orders'!$B:$R,5,0)</f>
        <v>2021</v>
      </c>
      <c r="E29" s="83">
        <f>VLOOKUP($B29,'MAIN DATA, Orders'!$B:$R,16,0)</f>
        <v>2021</v>
      </c>
      <c r="F29" s="83">
        <f>VLOOKUP($B29,'MAIN DATA, Orders'!$B:$R,17,0)</f>
        <v>2031</v>
      </c>
      <c r="G29" s="83">
        <f t="shared" si="4"/>
        <v>0</v>
      </c>
      <c r="H29" s="83">
        <f t="shared" si="0"/>
        <v>10</v>
      </c>
      <c r="I29" s="83">
        <f t="shared" si="5"/>
        <v>5</v>
      </c>
      <c r="J29" s="83"/>
      <c r="K29" s="209"/>
      <c r="L29" s="83"/>
      <c r="M29" s="83"/>
      <c r="N29" s="83"/>
    </row>
    <row r="30" spans="2:14" x14ac:dyDescent="0.35">
      <c r="B30" s="27" t="s">
        <v>397</v>
      </c>
      <c r="C30" s="14">
        <f>VLOOKUP($B30,'MAIN DATA, Orders'!$B:$R,4,0)</f>
        <v>44335</v>
      </c>
      <c r="D30" s="83">
        <f>VLOOKUP($B30,'MAIN DATA, Orders'!$B:$R,5,0)</f>
        <v>2021</v>
      </c>
      <c r="E30" s="83">
        <f>VLOOKUP($B30,'MAIN DATA, Orders'!$B:$R,16,0)</f>
        <v>2022</v>
      </c>
      <c r="F30" s="83">
        <f>VLOOKUP($B30,'MAIN DATA, Orders'!$B:$R,17,0)</f>
        <v>2024</v>
      </c>
      <c r="G30" s="83">
        <f t="shared" si="4"/>
        <v>1</v>
      </c>
      <c r="H30" s="83">
        <f t="shared" si="0"/>
        <v>3</v>
      </c>
      <c r="I30" s="83">
        <f t="shared" si="5"/>
        <v>2</v>
      </c>
      <c r="J30" s="83"/>
      <c r="K30" s="209"/>
      <c r="L30" s="83"/>
      <c r="M30" s="83"/>
      <c r="N30" s="83"/>
    </row>
    <row r="31" spans="2:14" x14ac:dyDescent="0.35">
      <c r="B31" s="27" t="s">
        <v>403</v>
      </c>
      <c r="C31" s="14">
        <f>VLOOKUP($B31,'MAIN DATA, Orders'!$B:$R,4,0)</f>
        <v>44335</v>
      </c>
      <c r="D31" s="83">
        <f>VLOOKUP($B31,'MAIN DATA, Orders'!$B:$R,5,0)</f>
        <v>2021</v>
      </c>
      <c r="E31" s="83">
        <f>VLOOKUP($B31,'MAIN DATA, Orders'!$B:$R,16,0)</f>
        <v>2021</v>
      </c>
      <c r="F31" s="83">
        <f>VLOOKUP($B31,'MAIN DATA, Orders'!$B:$R,17,0)</f>
        <v>2023</v>
      </c>
      <c r="G31" s="83">
        <f t="shared" si="4"/>
        <v>0</v>
      </c>
      <c r="H31" s="83">
        <f t="shared" si="0"/>
        <v>2</v>
      </c>
      <c r="I31" s="83">
        <f t="shared" si="5"/>
        <v>1</v>
      </c>
      <c r="J31" s="83"/>
      <c r="K31" s="209"/>
      <c r="L31" s="83"/>
      <c r="M31" s="83"/>
      <c r="N31" s="83"/>
    </row>
    <row r="32" spans="2:14" x14ac:dyDescent="0.35">
      <c r="B32" s="27" t="s">
        <v>408</v>
      </c>
      <c r="C32" s="14">
        <f>VLOOKUP($B32,'MAIN DATA, Orders'!$B:$R,4,0)</f>
        <v>44335</v>
      </c>
      <c r="D32" s="83">
        <f>VLOOKUP($B32,'MAIN DATA, Orders'!$B:$R,5,0)</f>
        <v>2021</v>
      </c>
      <c r="E32" s="83">
        <f>VLOOKUP($B32,'MAIN DATA, Orders'!$B:$R,16,0)</f>
        <v>2021</v>
      </c>
      <c r="F32" s="83">
        <f>VLOOKUP($B32,'MAIN DATA, Orders'!$B:$R,17,0)</f>
        <v>2027</v>
      </c>
      <c r="G32" s="83">
        <f t="shared" si="4"/>
        <v>0</v>
      </c>
      <c r="H32" s="83">
        <f t="shared" si="0"/>
        <v>6</v>
      </c>
      <c r="I32" s="83">
        <f t="shared" si="5"/>
        <v>3</v>
      </c>
      <c r="J32" s="83"/>
      <c r="K32" s="209"/>
      <c r="L32" s="83"/>
      <c r="M32" s="83"/>
      <c r="N32" s="83"/>
    </row>
    <row r="33" spans="2:11" x14ac:dyDescent="0.35">
      <c r="B33" s="27" t="s">
        <v>414</v>
      </c>
      <c r="C33" s="14">
        <f>VLOOKUP($B33,'MAIN DATA, Orders'!$B:$R,4,0)</f>
        <v>44370</v>
      </c>
      <c r="D33" s="83">
        <f>VLOOKUP($B33,'MAIN DATA, Orders'!$B:$R,5,0)</f>
        <v>2021</v>
      </c>
      <c r="E33" s="83">
        <f>VLOOKUP($B33,'MAIN DATA, Orders'!$B:$R,16,0)</f>
        <v>2024</v>
      </c>
      <c r="F33" s="83">
        <f>VLOOKUP($B33,'MAIN DATA, Orders'!$B:$R,17,0)</f>
        <v>2025</v>
      </c>
      <c r="G33" s="83">
        <f t="shared" si="4"/>
        <v>3</v>
      </c>
      <c r="H33" s="83">
        <f t="shared" si="0"/>
        <v>4</v>
      </c>
      <c r="I33" s="83">
        <f t="shared" si="5"/>
        <v>3.5</v>
      </c>
      <c r="K33" s="209"/>
    </row>
    <row r="34" spans="2:11" x14ac:dyDescent="0.35">
      <c r="B34" s="27" t="s">
        <v>421</v>
      </c>
      <c r="C34" s="14">
        <f>VLOOKUP($B34,'MAIN DATA, Orders'!$B:$R,4,0)</f>
        <v>44370</v>
      </c>
      <c r="D34" s="83">
        <f>VLOOKUP($B34,'MAIN DATA, Orders'!$B:$R,5,0)</f>
        <v>2021</v>
      </c>
      <c r="E34" s="83">
        <f>VLOOKUP($B34,'MAIN DATA, Orders'!$B:$R,16,0)</f>
        <v>2021</v>
      </c>
      <c r="F34" s="83">
        <f>VLOOKUP($B34,'MAIN DATA, Orders'!$B:$R,17,0)</f>
        <v>2027</v>
      </c>
      <c r="G34" s="83">
        <f t="shared" si="4"/>
        <v>0</v>
      </c>
      <c r="H34" s="83">
        <f t="shared" si="0"/>
        <v>6</v>
      </c>
      <c r="I34" s="83">
        <f t="shared" si="5"/>
        <v>3</v>
      </c>
      <c r="K34" s="209"/>
    </row>
    <row r="35" spans="2:11" x14ac:dyDescent="0.35">
      <c r="B35" s="27" t="s">
        <v>427</v>
      </c>
      <c r="C35" s="14">
        <f>VLOOKUP($B35,'MAIN DATA, Orders'!$B:$R,4,0)</f>
        <v>44370</v>
      </c>
      <c r="D35" s="83">
        <f>VLOOKUP($B35,'MAIN DATA, Orders'!$B:$R,5,0)</f>
        <v>2021</v>
      </c>
      <c r="E35" s="83">
        <f>VLOOKUP($B35,'MAIN DATA, Orders'!$B:$R,16,0)</f>
        <v>2026</v>
      </c>
      <c r="F35" s="83">
        <f>VLOOKUP($B35,'MAIN DATA, Orders'!$B:$R,17,0)</f>
        <v>2028</v>
      </c>
      <c r="G35" s="83">
        <f t="shared" si="4"/>
        <v>5</v>
      </c>
      <c r="H35" s="83">
        <f t="shared" si="0"/>
        <v>7</v>
      </c>
      <c r="I35" s="83">
        <f t="shared" si="5"/>
        <v>6</v>
      </c>
      <c r="K35" s="209"/>
    </row>
    <row r="36" spans="2:11" x14ac:dyDescent="0.35">
      <c r="B36" s="27" t="s">
        <v>441</v>
      </c>
      <c r="C36" s="14">
        <f>VLOOKUP($B36,'MAIN DATA, Orders'!$B:$R,4,0)</f>
        <v>44370</v>
      </c>
      <c r="D36" s="83">
        <f>VLOOKUP($B36,'MAIN DATA, Orders'!$B:$R,5,0)</f>
        <v>2021</v>
      </c>
      <c r="E36" s="83">
        <f>VLOOKUP($B36,'MAIN DATA, Orders'!$B:$R,16,0)</f>
        <v>2023</v>
      </c>
      <c r="F36" s="83">
        <f>VLOOKUP($B36,'MAIN DATA, Orders'!$B:$R,17,0)</f>
        <v>2026</v>
      </c>
      <c r="G36" s="83">
        <f t="shared" si="4"/>
        <v>2</v>
      </c>
      <c r="H36" s="83">
        <f t="shared" si="0"/>
        <v>5</v>
      </c>
      <c r="I36" s="83">
        <f t="shared" si="5"/>
        <v>3.5</v>
      </c>
      <c r="K36" s="209"/>
    </row>
    <row r="37" spans="2:11" x14ac:dyDescent="0.35">
      <c r="B37" s="27" t="s">
        <v>505</v>
      </c>
      <c r="C37" s="14">
        <f>VLOOKUP($B37,'MAIN DATA, Orders'!$B:$R,4,0)</f>
        <v>44370</v>
      </c>
      <c r="D37" s="83">
        <f>VLOOKUP($B37,'MAIN DATA, Orders'!$B:$R,5,0)</f>
        <v>2021</v>
      </c>
      <c r="E37" s="83">
        <f>VLOOKUP($B37,'MAIN DATA, Orders'!$B:$R,16,0)</f>
        <v>2022</v>
      </c>
      <c r="F37" s="83">
        <f>VLOOKUP($B37,'MAIN DATA, Orders'!$B:$R,17,0)</f>
        <v>2025</v>
      </c>
      <c r="G37" s="83">
        <f t="shared" si="4"/>
        <v>1</v>
      </c>
      <c r="H37" s="83">
        <f t="shared" si="0"/>
        <v>4</v>
      </c>
      <c r="I37" s="83">
        <f t="shared" si="5"/>
        <v>2.5</v>
      </c>
      <c r="K37" s="209"/>
    </row>
    <row r="38" spans="2:11" x14ac:dyDescent="0.35">
      <c r="B38" s="27" t="s">
        <v>511</v>
      </c>
      <c r="C38" s="14">
        <f>VLOOKUP($B38,'MAIN DATA, Orders'!$B:$R,4,0)</f>
        <v>44370</v>
      </c>
      <c r="D38" s="83">
        <f>VLOOKUP($B38,'MAIN DATA, Orders'!$B:$R,5,0)</f>
        <v>2021</v>
      </c>
      <c r="E38" s="83">
        <f>VLOOKUP($B38,'MAIN DATA, Orders'!$B:$R,16,0)</f>
        <v>2024</v>
      </c>
      <c r="F38" s="83">
        <f>VLOOKUP($B38,'MAIN DATA, Orders'!$B:$R,17,0)</f>
        <v>2026</v>
      </c>
      <c r="G38" s="83">
        <f t="shared" si="4"/>
        <v>3</v>
      </c>
      <c r="H38" s="83">
        <f t="shared" si="0"/>
        <v>5</v>
      </c>
      <c r="I38" s="83">
        <f t="shared" si="5"/>
        <v>4</v>
      </c>
      <c r="K38" s="209"/>
    </row>
    <row r="39" spans="2:11" x14ac:dyDescent="0.35">
      <c r="B39" s="27" t="s">
        <v>519</v>
      </c>
      <c r="C39" s="14">
        <f>VLOOKUP($B39,'MAIN DATA, Orders'!$B:$R,4,0)</f>
        <v>44370</v>
      </c>
      <c r="D39" s="83">
        <f>VLOOKUP($B39,'MAIN DATA, Orders'!$B:$R,5,0)</f>
        <v>2021</v>
      </c>
      <c r="E39" s="83">
        <f>VLOOKUP($B39,'MAIN DATA, Orders'!$B:$R,16,0)</f>
        <v>2023</v>
      </c>
      <c r="F39" s="83">
        <f>VLOOKUP($B39,'MAIN DATA, Orders'!$B:$R,17,0)</f>
        <v>2027</v>
      </c>
      <c r="G39" s="83">
        <f t="shared" ref="G39:G69" si="6">E39-D39</f>
        <v>2</v>
      </c>
      <c r="H39" s="83">
        <f t="shared" ref="H39:H69" si="7">F39-D39</f>
        <v>6</v>
      </c>
      <c r="I39" s="83">
        <f t="shared" si="5"/>
        <v>4</v>
      </c>
      <c r="K39" s="209"/>
    </row>
    <row r="40" spans="2:11" x14ac:dyDescent="0.35">
      <c r="B40" s="27" t="s">
        <v>527</v>
      </c>
      <c r="C40" s="14">
        <f>VLOOKUP($B40,'MAIN DATA, Orders'!$B:$R,4,0)</f>
        <v>44370</v>
      </c>
      <c r="D40" s="83">
        <f>VLOOKUP($B40,'MAIN DATA, Orders'!$B:$R,5,0)</f>
        <v>2021</v>
      </c>
      <c r="E40" s="83">
        <f>VLOOKUP($B40,'MAIN DATA, Orders'!$B:$R,16,0)</f>
        <v>2024</v>
      </c>
      <c r="F40" s="83">
        <f>VLOOKUP($B40,'MAIN DATA, Orders'!$B:$R,17,0)</f>
        <v>2027</v>
      </c>
      <c r="G40" s="83">
        <f t="shared" si="6"/>
        <v>3</v>
      </c>
      <c r="H40" s="83">
        <f t="shared" si="7"/>
        <v>6</v>
      </c>
      <c r="I40" s="83">
        <f t="shared" si="5"/>
        <v>4.5</v>
      </c>
      <c r="K40" s="209"/>
    </row>
    <row r="41" spans="2:11" x14ac:dyDescent="0.35">
      <c r="B41" s="27" t="s">
        <v>545</v>
      </c>
      <c r="C41" s="14">
        <f>VLOOKUP($B41,'MAIN DATA, Orders'!$B:$R,4,0)</f>
        <v>44370</v>
      </c>
      <c r="D41" s="83">
        <f>VLOOKUP($B41,'MAIN DATA, Orders'!$B:$R,5,0)</f>
        <v>2021</v>
      </c>
      <c r="E41" s="83">
        <f>VLOOKUP($B41,'MAIN DATA, Orders'!$B:$R,16,0)</f>
        <v>2024</v>
      </c>
      <c r="F41" s="83">
        <f>VLOOKUP($B41,'MAIN DATA, Orders'!$B:$R,17,0)</f>
        <v>2028</v>
      </c>
      <c r="G41" s="83">
        <f t="shared" si="6"/>
        <v>3</v>
      </c>
      <c r="H41" s="83">
        <f t="shared" si="7"/>
        <v>7</v>
      </c>
      <c r="I41" s="83">
        <f t="shared" si="5"/>
        <v>5</v>
      </c>
      <c r="K41" s="209"/>
    </row>
    <row r="42" spans="2:11" x14ac:dyDescent="0.35">
      <c r="B42" s="27" t="s">
        <v>551</v>
      </c>
      <c r="C42" s="14">
        <f>VLOOKUP($B42,'MAIN DATA, Orders'!$B:$R,4,0)</f>
        <v>44370</v>
      </c>
      <c r="D42" s="83">
        <f>VLOOKUP($B42,'MAIN DATA, Orders'!$B:$R,5,0)</f>
        <v>2021</v>
      </c>
      <c r="E42" s="83">
        <f>VLOOKUP($B42,'MAIN DATA, Orders'!$B:$R,16,0)</f>
        <v>2023</v>
      </c>
      <c r="F42" s="83">
        <f>VLOOKUP($B42,'MAIN DATA, Orders'!$B:$R,17,0)</f>
        <v>2023</v>
      </c>
      <c r="G42" s="83">
        <f t="shared" si="6"/>
        <v>2</v>
      </c>
      <c r="H42" s="83">
        <f t="shared" si="7"/>
        <v>2</v>
      </c>
      <c r="I42" s="83">
        <f t="shared" si="5"/>
        <v>2</v>
      </c>
      <c r="K42" s="209"/>
    </row>
    <row r="43" spans="2:11" x14ac:dyDescent="0.35">
      <c r="B43" s="27" t="s">
        <v>560</v>
      </c>
      <c r="C43" s="14">
        <f>VLOOKUP($B43,'MAIN DATA, Orders'!$B:$R,4,0)</f>
        <v>44370</v>
      </c>
      <c r="D43" s="83">
        <f>VLOOKUP($B43,'MAIN DATA, Orders'!$B:$R,5,0)</f>
        <v>2021</v>
      </c>
      <c r="E43" s="83">
        <f>VLOOKUP($B43,'MAIN DATA, Orders'!$B:$R,16,0)</f>
        <v>2022</v>
      </c>
      <c r="F43" s="83">
        <f>VLOOKUP($B43,'MAIN DATA, Orders'!$B:$R,17,0)</f>
        <v>2025</v>
      </c>
      <c r="G43" s="83">
        <f t="shared" si="6"/>
        <v>1</v>
      </c>
      <c r="H43" s="83">
        <f t="shared" si="7"/>
        <v>4</v>
      </c>
      <c r="I43" s="83">
        <f t="shared" si="5"/>
        <v>2.5</v>
      </c>
      <c r="K43" s="209"/>
    </row>
    <row r="44" spans="2:11" x14ac:dyDescent="0.35">
      <c r="B44" s="27" t="s">
        <v>599</v>
      </c>
      <c r="C44" s="14">
        <f>VLOOKUP($B44,'MAIN DATA, Orders'!$B:$R,4,0)</f>
        <v>44370</v>
      </c>
      <c r="D44" s="83">
        <f>VLOOKUP($B44,'MAIN DATA, Orders'!$B:$R,5,0)</f>
        <v>2021</v>
      </c>
      <c r="E44" s="83">
        <f>VLOOKUP($B44,'MAIN DATA, Orders'!$B:$R,16,0)</f>
        <v>2022</v>
      </c>
      <c r="F44" s="83">
        <f>VLOOKUP($B44,'MAIN DATA, Orders'!$B:$R,17,0)</f>
        <v>2026</v>
      </c>
      <c r="G44" s="83">
        <f t="shared" si="6"/>
        <v>1</v>
      </c>
      <c r="H44" s="83">
        <f t="shared" si="7"/>
        <v>5</v>
      </c>
      <c r="I44" s="83">
        <f t="shared" si="5"/>
        <v>3</v>
      </c>
      <c r="K44" s="209"/>
    </row>
    <row r="45" spans="2:11" x14ac:dyDescent="0.35">
      <c r="B45" s="27" t="s">
        <v>651</v>
      </c>
      <c r="C45" s="14">
        <f>VLOOKUP($B45,'MAIN DATA, Orders'!$B:$R,4,0)</f>
        <v>44693</v>
      </c>
      <c r="D45" s="83">
        <f>VLOOKUP($B45,'MAIN DATA, Orders'!$B:$R,5,0)</f>
        <v>2022</v>
      </c>
      <c r="E45" s="83">
        <f>VLOOKUP($B45,'MAIN DATA, Orders'!$B:$R,16,0)</f>
        <v>2024</v>
      </c>
      <c r="F45" s="83">
        <f>VLOOKUP($B45,'MAIN DATA, Orders'!$B:$R,17,0)</f>
        <v>2026</v>
      </c>
      <c r="G45" s="83">
        <f t="shared" si="6"/>
        <v>2</v>
      </c>
      <c r="H45" s="83">
        <f t="shared" si="7"/>
        <v>4</v>
      </c>
      <c r="I45" s="83">
        <f t="shared" si="5"/>
        <v>3</v>
      </c>
      <c r="K45" s="209"/>
    </row>
    <row r="46" spans="2:11" x14ac:dyDescent="0.35">
      <c r="B46" s="27" t="s">
        <v>674</v>
      </c>
      <c r="C46" s="14">
        <f>VLOOKUP($B46,'MAIN DATA, Orders'!$B:$R,4,0)</f>
        <v>44710</v>
      </c>
      <c r="D46" s="83">
        <f>VLOOKUP($B46,'MAIN DATA, Orders'!$B:$R,5,0)</f>
        <v>2022</v>
      </c>
      <c r="E46" s="83">
        <f>VLOOKUP($B46,'MAIN DATA, Orders'!$B:$R,16,0)</f>
        <v>2024</v>
      </c>
      <c r="F46" s="83">
        <f>VLOOKUP($B46,'MAIN DATA, Orders'!$B:$R,17,0)</f>
        <v>2028</v>
      </c>
      <c r="G46" s="83">
        <f t="shared" si="6"/>
        <v>2</v>
      </c>
      <c r="H46" s="83">
        <f t="shared" si="7"/>
        <v>6</v>
      </c>
      <c r="I46" s="83">
        <f t="shared" si="5"/>
        <v>4</v>
      </c>
      <c r="K46" s="209"/>
    </row>
    <row r="47" spans="2:11" x14ac:dyDescent="0.35">
      <c r="B47" s="27" t="s">
        <v>679</v>
      </c>
      <c r="C47" s="14">
        <f>VLOOKUP($B47,'MAIN DATA, Orders'!$B:$R,4,0)</f>
        <v>44735</v>
      </c>
      <c r="D47" s="83">
        <f>VLOOKUP($B47,'MAIN DATA, Orders'!$B:$R,5,0)</f>
        <v>2022</v>
      </c>
      <c r="E47" s="83">
        <f>VLOOKUP($B47,'MAIN DATA, Orders'!$B:$R,16,0)</f>
        <v>2024</v>
      </c>
      <c r="F47" s="83">
        <f>VLOOKUP($B47,'MAIN DATA, Orders'!$B:$R,17,0)</f>
        <v>2025</v>
      </c>
      <c r="G47" s="83">
        <f t="shared" si="6"/>
        <v>2</v>
      </c>
      <c r="H47" s="83">
        <f t="shared" si="7"/>
        <v>3</v>
      </c>
      <c r="I47" s="83">
        <f t="shared" si="5"/>
        <v>2.5</v>
      </c>
      <c r="K47" s="209"/>
    </row>
    <row r="48" spans="2:11" x14ac:dyDescent="0.35">
      <c r="B48" s="27" t="s">
        <v>691</v>
      </c>
      <c r="C48" s="14">
        <f>VLOOKUP($B48,'MAIN DATA, Orders'!$B:$R,4,0)</f>
        <v>44735</v>
      </c>
      <c r="D48" s="83">
        <f>VLOOKUP($B48,'MAIN DATA, Orders'!$B:$R,5,0)</f>
        <v>2022</v>
      </c>
      <c r="E48" s="83">
        <f>VLOOKUP($B48,'MAIN DATA, Orders'!$B:$R,16,0)</f>
        <v>2024</v>
      </c>
      <c r="F48" s="83">
        <f>VLOOKUP($B48,'MAIN DATA, Orders'!$B:$R,17,0)</f>
        <v>2026</v>
      </c>
      <c r="G48" s="83">
        <f t="shared" si="6"/>
        <v>2</v>
      </c>
      <c r="H48" s="83">
        <f t="shared" si="7"/>
        <v>4</v>
      </c>
      <c r="I48" s="83">
        <f t="shared" si="5"/>
        <v>3</v>
      </c>
      <c r="K48" s="209"/>
    </row>
    <row r="49" spans="2:11" x14ac:dyDescent="0.35">
      <c r="B49" s="27" t="s">
        <v>697</v>
      </c>
      <c r="C49" s="14">
        <f>VLOOKUP($B49,'MAIN DATA, Orders'!$B:$R,4,0)</f>
        <v>44749</v>
      </c>
      <c r="D49" s="83">
        <f>VLOOKUP($B49,'MAIN DATA, Orders'!$B:$R,5,0)</f>
        <v>2022</v>
      </c>
      <c r="E49" s="83">
        <f>VLOOKUP($B49,'MAIN DATA, Orders'!$B:$R,16,0)</f>
        <v>2024</v>
      </c>
      <c r="F49" s="83">
        <f>VLOOKUP($B49,'MAIN DATA, Orders'!$B:$R,17,0)</f>
        <v>2025</v>
      </c>
      <c r="G49" s="83">
        <f t="shared" si="6"/>
        <v>2</v>
      </c>
      <c r="H49" s="83">
        <f t="shared" si="7"/>
        <v>3</v>
      </c>
      <c r="I49" s="83">
        <f t="shared" si="5"/>
        <v>2.5</v>
      </c>
      <c r="K49" s="209"/>
    </row>
    <row r="50" spans="2:11" x14ac:dyDescent="0.35">
      <c r="B50" s="27" t="s">
        <v>709</v>
      </c>
      <c r="C50" s="14">
        <f>VLOOKUP($B50,'MAIN DATA, Orders'!$B:$R,4,0)</f>
        <v>44749</v>
      </c>
      <c r="D50" s="83">
        <f>VLOOKUP($B50,'MAIN DATA, Orders'!$B:$R,5,0)</f>
        <v>2022</v>
      </c>
      <c r="E50" s="83">
        <f>VLOOKUP($B50,'MAIN DATA, Orders'!$B:$R,16,0)</f>
        <v>2022</v>
      </c>
      <c r="F50" s="83">
        <f>VLOOKUP($B50,'MAIN DATA, Orders'!$B:$R,17,0)</f>
        <v>2022</v>
      </c>
      <c r="G50" s="83">
        <f t="shared" si="6"/>
        <v>0</v>
      </c>
      <c r="H50" s="83">
        <f t="shared" si="7"/>
        <v>0</v>
      </c>
      <c r="I50" s="83">
        <f t="shared" si="5"/>
        <v>0</v>
      </c>
      <c r="K50" s="209"/>
    </row>
    <row r="51" spans="2:11" x14ac:dyDescent="0.35">
      <c r="B51" s="27" t="s">
        <v>713</v>
      </c>
      <c r="C51" s="14">
        <f>VLOOKUP($B51,'MAIN DATA, Orders'!$B:$R,4,0)</f>
        <v>44825</v>
      </c>
      <c r="D51" s="83">
        <f>VLOOKUP($B51,'MAIN DATA, Orders'!$B:$R,5,0)</f>
        <v>2022</v>
      </c>
      <c r="E51" s="83">
        <f>VLOOKUP($B51,'MAIN DATA, Orders'!$B:$R,16,0)</f>
        <v>2024</v>
      </c>
      <c r="F51" s="83">
        <f>VLOOKUP($B51,'MAIN DATA, Orders'!$B:$R,17,0)</f>
        <v>2029</v>
      </c>
      <c r="G51" s="83">
        <f t="shared" si="6"/>
        <v>2</v>
      </c>
      <c r="H51" s="83">
        <f t="shared" si="7"/>
        <v>7</v>
      </c>
      <c r="I51" s="83">
        <f t="shared" si="5"/>
        <v>4.5</v>
      </c>
      <c r="K51" s="209"/>
    </row>
    <row r="52" spans="2:11" x14ac:dyDescent="0.35">
      <c r="B52" s="27" t="s">
        <v>723</v>
      </c>
      <c r="C52" s="14">
        <f>VLOOKUP($B52,'MAIN DATA, Orders'!$B:$R,4,0)</f>
        <v>44825</v>
      </c>
      <c r="D52" s="83">
        <f>VLOOKUP($B52,'MAIN DATA, Orders'!$B:$R,5,0)</f>
        <v>2022</v>
      </c>
      <c r="E52" s="83">
        <f>VLOOKUP($B52,'MAIN DATA, Orders'!$B:$R,16,0)</f>
        <v>2024</v>
      </c>
      <c r="F52" s="83">
        <f>VLOOKUP($B52,'MAIN DATA, Orders'!$B:$R,17,0)</f>
        <v>2029</v>
      </c>
      <c r="G52" s="83">
        <f t="shared" si="6"/>
        <v>2</v>
      </c>
      <c r="H52" s="83">
        <f t="shared" si="7"/>
        <v>7</v>
      </c>
      <c r="I52" s="83">
        <f t="shared" si="5"/>
        <v>4.5</v>
      </c>
      <c r="K52" s="209"/>
    </row>
    <row r="53" spans="2:11" x14ac:dyDescent="0.35">
      <c r="B53" s="27" t="s">
        <v>725</v>
      </c>
      <c r="C53" s="14">
        <f>VLOOKUP($B53,'MAIN DATA, Orders'!$B:$R,4,0)</f>
        <v>44854</v>
      </c>
      <c r="D53" s="83">
        <f>VLOOKUP($B53,'MAIN DATA, Orders'!$B:$R,5,0)</f>
        <v>2022</v>
      </c>
      <c r="E53" s="83">
        <f>VLOOKUP($B53,'MAIN DATA, Orders'!$B:$R,16,0)</f>
        <v>2022</v>
      </c>
      <c r="F53" s="83">
        <f>VLOOKUP($B53,'MAIN DATA, Orders'!$B:$R,17,0)</f>
        <v>2022</v>
      </c>
      <c r="G53" s="83">
        <f t="shared" si="6"/>
        <v>0</v>
      </c>
      <c r="H53" s="83">
        <f t="shared" si="7"/>
        <v>0</v>
      </c>
      <c r="I53" s="83">
        <f t="shared" si="5"/>
        <v>0</v>
      </c>
      <c r="K53" s="209"/>
    </row>
    <row r="54" spans="2:11" x14ac:dyDescent="0.35">
      <c r="B54" s="27" t="s">
        <v>731</v>
      </c>
      <c r="C54" s="14">
        <f>VLOOKUP($B54,'MAIN DATA, Orders'!$B:$R,4,0)</f>
        <v>44854</v>
      </c>
      <c r="D54" s="83">
        <f>VLOOKUP($B54,'MAIN DATA, Orders'!$B:$R,5,0)</f>
        <v>2022</v>
      </c>
      <c r="E54" s="83">
        <f>VLOOKUP($B54,'MAIN DATA, Orders'!$B:$R,16,0)</f>
        <v>2022</v>
      </c>
      <c r="F54" s="83">
        <f>VLOOKUP($B54,'MAIN DATA, Orders'!$B:$R,17,0)</f>
        <v>2027</v>
      </c>
      <c r="G54" s="83">
        <f t="shared" si="6"/>
        <v>0</v>
      </c>
      <c r="H54" s="83">
        <f t="shared" si="7"/>
        <v>5</v>
      </c>
      <c r="I54" s="83">
        <f t="shared" si="5"/>
        <v>2.5</v>
      </c>
      <c r="K54" s="209"/>
    </row>
    <row r="55" spans="2:11" x14ac:dyDescent="0.35">
      <c r="B55" s="27" t="s">
        <v>745</v>
      </c>
      <c r="C55" s="14">
        <f>VLOOKUP($B55,'MAIN DATA, Orders'!$B:$R,4,0)</f>
        <v>44895</v>
      </c>
      <c r="D55" s="83">
        <f>VLOOKUP($B55,'MAIN DATA, Orders'!$B:$R,5,0)</f>
        <v>2022</v>
      </c>
      <c r="E55" s="83">
        <f>VLOOKUP($B55,'MAIN DATA, Orders'!$B:$R,16,0)</f>
        <v>2022</v>
      </c>
      <c r="F55" s="83">
        <f>VLOOKUP($B55,'MAIN DATA, Orders'!$B:$R,17,0)</f>
        <v>2030</v>
      </c>
      <c r="G55" s="83">
        <f t="shared" si="6"/>
        <v>0</v>
      </c>
      <c r="H55" s="83">
        <f t="shared" si="7"/>
        <v>8</v>
      </c>
      <c r="I55" s="83">
        <f t="shared" si="5"/>
        <v>4</v>
      </c>
      <c r="K55" s="209"/>
    </row>
    <row r="56" spans="2:11" x14ac:dyDescent="0.35">
      <c r="B56" s="27" t="s">
        <v>754</v>
      </c>
      <c r="C56" s="14">
        <f>VLOOKUP($B56,'MAIN DATA, Orders'!$B:$R,4,0)</f>
        <v>44895</v>
      </c>
      <c r="D56" s="83">
        <f>VLOOKUP($B56,'MAIN DATA, Orders'!$B:$R,5,0)</f>
        <v>2022</v>
      </c>
      <c r="E56" s="83">
        <f>VLOOKUP($B56,'MAIN DATA, Orders'!$B:$R,16,0)</f>
        <v>2023</v>
      </c>
      <c r="F56" s="83">
        <f>VLOOKUP($B56,'MAIN DATA, Orders'!$B:$R,17,0)</f>
        <v>2027</v>
      </c>
      <c r="G56" s="83">
        <f t="shared" si="6"/>
        <v>1</v>
      </c>
      <c r="H56" s="83">
        <f t="shared" si="7"/>
        <v>5</v>
      </c>
      <c r="I56" s="83">
        <f t="shared" si="5"/>
        <v>3</v>
      </c>
      <c r="K56" s="209"/>
    </row>
    <row r="57" spans="2:11" x14ac:dyDescent="0.35">
      <c r="B57" s="27" t="s">
        <v>773</v>
      </c>
      <c r="C57" s="14">
        <f>VLOOKUP($B57,'MAIN DATA, Orders'!$B:$R,4,0)</f>
        <v>44909</v>
      </c>
      <c r="D57" s="83">
        <f>VLOOKUP($B57,'MAIN DATA, Orders'!$B:$R,5,0)</f>
        <v>2022</v>
      </c>
      <c r="E57" s="83">
        <f>VLOOKUP($B57,'MAIN DATA, Orders'!$B:$R,16,0)</f>
        <v>2025</v>
      </c>
      <c r="F57" s="83">
        <f>VLOOKUP($B57,'MAIN DATA, Orders'!$B:$R,17,0)</f>
        <v>2028</v>
      </c>
      <c r="G57" s="83">
        <f t="shared" si="6"/>
        <v>3</v>
      </c>
      <c r="H57" s="83">
        <f t="shared" si="7"/>
        <v>6</v>
      </c>
      <c r="I57" s="83">
        <f t="shared" si="5"/>
        <v>4.5</v>
      </c>
      <c r="K57" s="209"/>
    </row>
    <row r="58" spans="2:11" x14ac:dyDescent="0.35">
      <c r="B58" s="27" t="s">
        <v>784</v>
      </c>
      <c r="C58" s="14">
        <f>VLOOKUP($B58,'MAIN DATA, Orders'!$B:$R,4,0)</f>
        <v>44909</v>
      </c>
      <c r="D58" s="83">
        <f>VLOOKUP($B58,'MAIN DATA, Orders'!$B:$R,5,0)</f>
        <v>2022</v>
      </c>
      <c r="E58" s="83">
        <f>VLOOKUP($B58,'MAIN DATA, Orders'!$B:$R,16,0)</f>
        <v>2023</v>
      </c>
      <c r="F58" s="83">
        <f>VLOOKUP($B58,'MAIN DATA, Orders'!$B:$R,17,0)</f>
        <v>2025</v>
      </c>
      <c r="G58" s="83">
        <f t="shared" si="6"/>
        <v>1</v>
      </c>
      <c r="H58" s="83">
        <f t="shared" si="7"/>
        <v>3</v>
      </c>
      <c r="I58" s="83">
        <f t="shared" si="5"/>
        <v>2</v>
      </c>
      <c r="K58" s="209"/>
    </row>
    <row r="59" spans="2:11" x14ac:dyDescent="0.35">
      <c r="B59" s="27" t="s">
        <v>789</v>
      </c>
      <c r="C59" s="14">
        <f>VLOOKUP($B59,'MAIN DATA, Orders'!$B:$R,4,0)</f>
        <v>44909</v>
      </c>
      <c r="D59" s="83">
        <f>VLOOKUP($B59,'MAIN DATA, Orders'!$B:$R,5,0)</f>
        <v>2022</v>
      </c>
      <c r="E59" s="83">
        <f>VLOOKUP($B59,'MAIN DATA, Orders'!$B:$R,16,0)</f>
        <v>2023</v>
      </c>
      <c r="F59" s="83">
        <f>VLOOKUP($B59,'MAIN DATA, Orders'!$B:$R,17,0)</f>
        <v>2023</v>
      </c>
      <c r="G59" s="83">
        <f t="shared" si="6"/>
        <v>1</v>
      </c>
      <c r="H59" s="83">
        <f t="shared" si="7"/>
        <v>1</v>
      </c>
      <c r="I59" s="83">
        <f t="shared" si="5"/>
        <v>1</v>
      </c>
      <c r="K59" s="209"/>
    </row>
    <row r="60" spans="2:11" x14ac:dyDescent="0.35">
      <c r="B60" s="27" t="s">
        <v>793</v>
      </c>
      <c r="C60" s="14">
        <f>VLOOKUP($B60,'MAIN DATA, Orders'!$B:$R,4,0)</f>
        <v>44909</v>
      </c>
      <c r="D60" s="83">
        <f>VLOOKUP($B60,'MAIN DATA, Orders'!$B:$R,5,0)</f>
        <v>2022</v>
      </c>
      <c r="E60" s="83">
        <f>VLOOKUP($B60,'MAIN DATA, Orders'!$B:$R,16,0)</f>
        <v>2026</v>
      </c>
      <c r="F60" s="83">
        <f>VLOOKUP($B60,'MAIN DATA, Orders'!$B:$R,17,0)</f>
        <v>2029</v>
      </c>
      <c r="G60" s="83">
        <f t="shared" si="6"/>
        <v>4</v>
      </c>
      <c r="H60" s="83">
        <f t="shared" si="7"/>
        <v>7</v>
      </c>
      <c r="I60" s="83">
        <f t="shared" si="5"/>
        <v>5.5</v>
      </c>
      <c r="K60" s="209"/>
    </row>
    <row r="61" spans="2:11" x14ac:dyDescent="0.35">
      <c r="B61" s="27" t="s">
        <v>800</v>
      </c>
      <c r="C61" s="14">
        <f>VLOOKUP($B61,'MAIN DATA, Orders'!$B:$R,4,0)</f>
        <v>44965</v>
      </c>
      <c r="D61" s="83">
        <f>VLOOKUP($B61,'MAIN DATA, Orders'!$B:$R,5,0)</f>
        <v>2023</v>
      </c>
      <c r="E61" s="83">
        <f>VLOOKUP($B61,'MAIN DATA, Orders'!$B:$R,16,0)</f>
        <v>2024</v>
      </c>
      <c r="F61" s="83">
        <f>VLOOKUP($B61,'MAIN DATA, Orders'!$B:$R,17,0)</f>
        <v>2028</v>
      </c>
      <c r="G61" s="83">
        <f t="shared" si="6"/>
        <v>1</v>
      </c>
      <c r="H61" s="83">
        <f t="shared" si="7"/>
        <v>5</v>
      </c>
      <c r="I61" s="83">
        <f t="shared" si="5"/>
        <v>3</v>
      </c>
      <c r="K61" s="209"/>
    </row>
    <row r="62" spans="2:11" x14ac:dyDescent="0.35">
      <c r="B62" s="27" t="s">
        <v>805</v>
      </c>
      <c r="C62" s="14">
        <f>VLOOKUP($B62,'MAIN DATA, Orders'!$B:$R,4,0)</f>
        <v>44972</v>
      </c>
      <c r="D62" s="83">
        <f>VLOOKUP($B62,'MAIN DATA, Orders'!$B:$R,5,0)</f>
        <v>2023</v>
      </c>
      <c r="E62" s="83">
        <f>VLOOKUP($B62,'MAIN DATA, Orders'!$B:$R,16,0)</f>
        <v>2023</v>
      </c>
      <c r="F62" s="83">
        <f>VLOOKUP($B62,'MAIN DATA, Orders'!$B:$R,17,0)</f>
        <v>2023</v>
      </c>
      <c r="G62" s="83">
        <f t="shared" si="6"/>
        <v>0</v>
      </c>
      <c r="H62" s="83">
        <f t="shared" si="7"/>
        <v>0</v>
      </c>
      <c r="I62" s="83">
        <f t="shared" si="5"/>
        <v>0</v>
      </c>
      <c r="K62" s="209"/>
    </row>
    <row r="63" spans="2:11" x14ac:dyDescent="0.35">
      <c r="B63" s="27" t="s">
        <v>820</v>
      </c>
      <c r="C63" s="14">
        <f>VLOOKUP($B63,'MAIN DATA, Orders'!$B:$R,4,0)</f>
        <v>44987</v>
      </c>
      <c r="D63" s="83">
        <f>VLOOKUP($B63,'MAIN DATA, Orders'!$B:$R,5,0)</f>
        <v>2023</v>
      </c>
      <c r="E63" s="83">
        <f>VLOOKUP($B63,'MAIN DATA, Orders'!$B:$R,16,0)</f>
        <v>2023</v>
      </c>
      <c r="F63" s="83">
        <f>VLOOKUP($B63,'MAIN DATA, Orders'!$B:$R,17,0)</f>
        <v>2024</v>
      </c>
      <c r="G63" s="83">
        <f t="shared" si="6"/>
        <v>0</v>
      </c>
      <c r="H63" s="83">
        <f t="shared" si="7"/>
        <v>1</v>
      </c>
      <c r="I63" s="83">
        <f t="shared" si="5"/>
        <v>0.5</v>
      </c>
      <c r="K63" s="209"/>
    </row>
    <row r="64" spans="2:11" x14ac:dyDescent="0.35">
      <c r="B64" s="27" t="s">
        <v>822</v>
      </c>
      <c r="C64" s="14">
        <f>VLOOKUP($B64,'MAIN DATA, Orders'!$B:$R,4,0)</f>
        <v>44987</v>
      </c>
      <c r="D64" s="83">
        <f>VLOOKUP($B64,'MAIN DATA, Orders'!$B:$R,5,0)</f>
        <v>2023</v>
      </c>
      <c r="E64" s="83">
        <f>VLOOKUP($B64,'MAIN DATA, Orders'!$B:$R,16,0)</f>
        <v>2023</v>
      </c>
      <c r="F64" s="83">
        <f>VLOOKUP($B64,'MAIN DATA, Orders'!$B:$R,17,0)</f>
        <v>2024</v>
      </c>
      <c r="G64" s="83">
        <f t="shared" si="6"/>
        <v>0</v>
      </c>
      <c r="H64" s="83">
        <f t="shared" si="7"/>
        <v>1</v>
      </c>
      <c r="I64" s="83">
        <f t="shared" si="5"/>
        <v>0.5</v>
      </c>
      <c r="K64" s="209"/>
    </row>
    <row r="65" spans="2:11" x14ac:dyDescent="0.35">
      <c r="B65" s="27" t="s">
        <v>824</v>
      </c>
      <c r="C65" s="14">
        <f>VLOOKUP($B65,'MAIN DATA, Orders'!$B:$R,4,0)</f>
        <v>45001</v>
      </c>
      <c r="D65" s="83">
        <f>VLOOKUP($B65,'MAIN DATA, Orders'!$B:$R,5,0)</f>
        <v>2023</v>
      </c>
      <c r="E65" s="83">
        <f>VLOOKUP($B65,'MAIN DATA, Orders'!$B:$R,16,0)</f>
        <v>2025</v>
      </c>
      <c r="F65" s="83">
        <f>VLOOKUP($B65,'MAIN DATA, Orders'!$B:$R,17,0)</f>
        <v>2027</v>
      </c>
      <c r="G65" s="83">
        <f t="shared" si="6"/>
        <v>2</v>
      </c>
      <c r="H65" s="83">
        <f t="shared" si="7"/>
        <v>4</v>
      </c>
      <c r="I65" s="83">
        <f t="shared" si="5"/>
        <v>3</v>
      </c>
      <c r="K65" s="209"/>
    </row>
    <row r="66" spans="2:11" x14ac:dyDescent="0.35">
      <c r="B66" s="27" t="s">
        <v>834</v>
      </c>
      <c r="C66" s="14">
        <f>VLOOKUP($B66,'MAIN DATA, Orders'!$B:$R,4,0)</f>
        <v>45014</v>
      </c>
      <c r="D66" s="83">
        <f>VLOOKUP($B66,'MAIN DATA, Orders'!$B:$R,5,0)</f>
        <v>2023</v>
      </c>
      <c r="E66" s="83">
        <f>VLOOKUP($B66,'MAIN DATA, Orders'!$B:$R,16,0)</f>
        <v>2025</v>
      </c>
      <c r="F66" s="83">
        <f>VLOOKUP($B66,'MAIN DATA, Orders'!$B:$R,17,0)</f>
        <v>2026</v>
      </c>
      <c r="G66" s="83">
        <f t="shared" si="6"/>
        <v>2</v>
      </c>
      <c r="H66" s="83">
        <f t="shared" si="7"/>
        <v>3</v>
      </c>
      <c r="I66" s="83">
        <f t="shared" si="5"/>
        <v>2.5</v>
      </c>
      <c r="K66" s="209"/>
    </row>
    <row r="67" spans="2:11" x14ac:dyDescent="0.35">
      <c r="B67" s="27" t="s">
        <v>849</v>
      </c>
      <c r="C67" s="14">
        <f>VLOOKUP($B67,'MAIN DATA, Orders'!$B:$R,4,0)</f>
        <v>45014</v>
      </c>
      <c r="D67" s="83">
        <f>VLOOKUP($B67,'MAIN DATA, Orders'!$B:$R,5,0)</f>
        <v>2023</v>
      </c>
      <c r="E67" s="83">
        <f>VLOOKUP($B67,'MAIN DATA, Orders'!$B:$R,16,0)</f>
        <v>2025</v>
      </c>
      <c r="F67" s="83">
        <f>VLOOKUP($B67,'MAIN DATA, Orders'!$B:$R,17,0)</f>
        <v>2030</v>
      </c>
      <c r="G67" s="83">
        <f t="shared" si="6"/>
        <v>2</v>
      </c>
      <c r="H67" s="83">
        <f t="shared" si="7"/>
        <v>7</v>
      </c>
      <c r="I67" s="83">
        <f t="shared" si="5"/>
        <v>4.5</v>
      </c>
      <c r="K67" s="209"/>
    </row>
    <row r="68" spans="2:11" x14ac:dyDescent="0.35">
      <c r="B68" s="27" t="s">
        <v>910</v>
      </c>
      <c r="C68" s="14">
        <f>VLOOKUP($B68,'MAIN DATA, Orders'!$B:$R,4,0)</f>
        <v>45035</v>
      </c>
      <c r="D68" s="83">
        <f>VLOOKUP($B68,'MAIN DATA, Orders'!$B:$R,5,0)</f>
        <v>2023</v>
      </c>
      <c r="E68" s="83">
        <f>VLOOKUP($B68,'MAIN DATA, Orders'!$B:$R,16,0)</f>
        <v>2023</v>
      </c>
      <c r="F68" s="83">
        <f>VLOOKUP($B68,'MAIN DATA, Orders'!$B:$R,17,0)</f>
        <v>2024</v>
      </c>
      <c r="G68" s="83">
        <f t="shared" si="6"/>
        <v>0</v>
      </c>
      <c r="H68" s="83">
        <f t="shared" si="7"/>
        <v>1</v>
      </c>
      <c r="I68" s="83">
        <f t="shared" si="5"/>
        <v>0.5</v>
      </c>
      <c r="K68" s="209"/>
    </row>
    <row r="69" spans="2:11" x14ac:dyDescent="0.35">
      <c r="B69" s="27" t="s">
        <v>916</v>
      </c>
      <c r="C69" s="14">
        <f>VLOOKUP($B69,'MAIN DATA, Orders'!$B:$R,4,0)</f>
        <v>45057</v>
      </c>
      <c r="D69" s="83">
        <f>VLOOKUP($B69,'MAIN DATA, Orders'!$B:$R,5,0)</f>
        <v>2023</v>
      </c>
      <c r="E69" s="83">
        <f>VLOOKUP($B69,'MAIN DATA, Orders'!$B:$R,16,0)</f>
        <v>2025</v>
      </c>
      <c r="F69" s="83">
        <f>VLOOKUP($B69,'MAIN DATA, Orders'!$B:$R,17,0)</f>
        <v>2027</v>
      </c>
      <c r="G69" s="83">
        <f t="shared" si="6"/>
        <v>2</v>
      </c>
      <c r="H69" s="83">
        <f t="shared" si="7"/>
        <v>4</v>
      </c>
      <c r="I69" s="83">
        <f t="shared" si="5"/>
        <v>3</v>
      </c>
      <c r="K69" s="209"/>
    </row>
    <row r="70" spans="2:11" x14ac:dyDescent="0.35">
      <c r="B70" s="27" t="s">
        <v>923</v>
      </c>
      <c r="C70" s="14">
        <f>VLOOKUP($B70,'MAIN DATA, Orders'!$B:$R,4,0)</f>
        <v>45057</v>
      </c>
      <c r="D70" s="83">
        <f>VLOOKUP($B70,'MAIN DATA, Orders'!$B:$R,5,0)</f>
        <v>2023</v>
      </c>
      <c r="E70" s="83">
        <f>VLOOKUP($B70,'MAIN DATA, Orders'!$B:$R,16,0)</f>
        <v>2025</v>
      </c>
      <c r="F70" s="83">
        <f>VLOOKUP($B70,'MAIN DATA, Orders'!$B:$R,17,0)</f>
        <v>2027</v>
      </c>
      <c r="G70" s="83">
        <f t="shared" ref="G70:G100" si="8">E70-D70</f>
        <v>2</v>
      </c>
      <c r="H70" s="83">
        <f t="shared" ref="H70:H100" si="9">F70-D70</f>
        <v>4</v>
      </c>
      <c r="I70" s="83">
        <f t="shared" si="5"/>
        <v>3</v>
      </c>
      <c r="K70" s="209"/>
    </row>
    <row r="71" spans="2:11" x14ac:dyDescent="0.35">
      <c r="B71" s="27" t="s">
        <v>928</v>
      </c>
      <c r="C71" s="14">
        <f>VLOOKUP($B71,'MAIN DATA, Orders'!$B:$R,4,0)</f>
        <v>45070</v>
      </c>
      <c r="D71" s="83">
        <f>VLOOKUP($B71,'MAIN DATA, Orders'!$B:$R,5,0)</f>
        <v>2023</v>
      </c>
      <c r="E71" s="83">
        <f>VLOOKUP($B71,'MAIN DATA, Orders'!$B:$R,16,0)</f>
        <v>2025</v>
      </c>
      <c r="F71" s="83">
        <f>VLOOKUP($B71,'MAIN DATA, Orders'!$B:$R,17,0)</f>
        <v>2026</v>
      </c>
      <c r="G71" s="83">
        <f t="shared" si="8"/>
        <v>2</v>
      </c>
      <c r="H71" s="83">
        <f t="shared" si="9"/>
        <v>3</v>
      </c>
      <c r="I71" s="83">
        <f t="shared" si="5"/>
        <v>2.5</v>
      </c>
      <c r="K71" s="209"/>
    </row>
    <row r="72" spans="2:11" x14ac:dyDescent="0.35">
      <c r="B72" s="27" t="s">
        <v>935</v>
      </c>
      <c r="C72" s="14">
        <f>VLOOKUP($B72,'MAIN DATA, Orders'!$B:$R,4,0)</f>
        <v>45070</v>
      </c>
      <c r="D72" s="83">
        <f>VLOOKUP($B72,'MAIN DATA, Orders'!$B:$R,5,0)</f>
        <v>2023</v>
      </c>
      <c r="E72" s="83">
        <f>VLOOKUP($B72,'MAIN DATA, Orders'!$B:$R,16,0)</f>
        <v>2026</v>
      </c>
      <c r="F72" s="83">
        <f>VLOOKUP($B72,'MAIN DATA, Orders'!$B:$R,17,0)</f>
        <v>2026</v>
      </c>
      <c r="G72" s="83">
        <f t="shared" si="8"/>
        <v>3</v>
      </c>
      <c r="H72" s="83">
        <f t="shared" si="9"/>
        <v>3</v>
      </c>
      <c r="I72" s="83">
        <f t="shared" ref="I72:I104" si="10">AVERAGE(G72:H72)</f>
        <v>3</v>
      </c>
      <c r="K72" s="209"/>
    </row>
    <row r="73" spans="2:11" x14ac:dyDescent="0.35">
      <c r="B73" s="27" t="s">
        <v>963</v>
      </c>
      <c r="C73" s="14">
        <f>VLOOKUP($B73,'MAIN DATA, Orders'!$B:$R,4,0)</f>
        <v>45091</v>
      </c>
      <c r="D73" s="83">
        <f>VLOOKUP($B73,'MAIN DATA, Orders'!$B:$R,5,0)</f>
        <v>2023</v>
      </c>
      <c r="E73" s="83">
        <f>VLOOKUP($B73,'MAIN DATA, Orders'!$B:$R,16,0)</f>
        <v>2023</v>
      </c>
      <c r="F73" s="83">
        <f>VLOOKUP($B73,'MAIN DATA, Orders'!$B:$R,17,0)</f>
        <v>2025</v>
      </c>
      <c r="G73" s="83">
        <f t="shared" si="8"/>
        <v>0</v>
      </c>
      <c r="H73" s="83">
        <f t="shared" si="9"/>
        <v>2</v>
      </c>
      <c r="I73" s="83">
        <f t="shared" si="10"/>
        <v>1</v>
      </c>
      <c r="K73" s="209"/>
    </row>
    <row r="74" spans="2:11" x14ac:dyDescent="0.35">
      <c r="B74" s="27" t="s">
        <v>970</v>
      </c>
      <c r="C74" s="14">
        <f>VLOOKUP($B74,'MAIN DATA, Orders'!$B:$R,4,0)</f>
        <v>45112</v>
      </c>
      <c r="D74" s="83">
        <f>VLOOKUP($B74,'MAIN DATA, Orders'!$B:$R,5,0)</f>
        <v>2023</v>
      </c>
      <c r="E74" s="83">
        <f>VLOOKUP($B74,'MAIN DATA, Orders'!$B:$R,16,0)</f>
        <v>2027</v>
      </c>
      <c r="F74" s="83">
        <f>VLOOKUP($B74,'MAIN DATA, Orders'!$B:$R,17,0)</f>
        <v>2033</v>
      </c>
      <c r="G74" s="83">
        <f t="shared" si="8"/>
        <v>4</v>
      </c>
      <c r="H74" s="83">
        <f t="shared" si="9"/>
        <v>10</v>
      </c>
      <c r="I74" s="83">
        <f t="shared" si="10"/>
        <v>7</v>
      </c>
      <c r="K74" s="209"/>
    </row>
    <row r="75" spans="2:11" x14ac:dyDescent="0.35">
      <c r="B75" s="27" t="s">
        <v>975</v>
      </c>
      <c r="C75" s="14">
        <f>VLOOKUP($B75,'MAIN DATA, Orders'!$B:$R,4,0)</f>
        <v>45112</v>
      </c>
      <c r="D75" s="83">
        <f>VLOOKUP($B75,'MAIN DATA, Orders'!$B:$R,5,0)</f>
        <v>2023</v>
      </c>
      <c r="E75" s="83">
        <f>VLOOKUP($B75,'MAIN DATA, Orders'!$B:$R,16,0)</f>
        <v>2029</v>
      </c>
      <c r="F75" s="83">
        <f>VLOOKUP($B75,'MAIN DATA, Orders'!$B:$R,17,0)</f>
        <v>2031</v>
      </c>
      <c r="G75" s="83">
        <f t="shared" si="8"/>
        <v>6</v>
      </c>
      <c r="H75" s="83">
        <f t="shared" si="9"/>
        <v>8</v>
      </c>
      <c r="I75" s="83">
        <f t="shared" si="10"/>
        <v>7</v>
      </c>
      <c r="K75" s="209"/>
    </row>
    <row r="76" spans="2:11" x14ac:dyDescent="0.35">
      <c r="B76" s="27" t="s">
        <v>1004</v>
      </c>
      <c r="C76" s="14">
        <f>VLOOKUP($B76,'MAIN DATA, Orders'!$B:$R,4,0)</f>
        <v>45112</v>
      </c>
      <c r="D76" s="83">
        <f>VLOOKUP($B76,'MAIN DATA, Orders'!$B:$R,5,0)</f>
        <v>2023</v>
      </c>
      <c r="E76" s="83">
        <f>VLOOKUP($B76,'MAIN DATA, Orders'!$B:$R,16,0)</f>
        <v>2023</v>
      </c>
      <c r="F76" s="83">
        <f>VLOOKUP($B76,'MAIN DATA, Orders'!$B:$R,17,0)</f>
        <v>2025</v>
      </c>
      <c r="G76" s="83">
        <f t="shared" si="8"/>
        <v>0</v>
      </c>
      <c r="H76" s="83">
        <f t="shared" si="9"/>
        <v>2</v>
      </c>
      <c r="I76" s="83">
        <f t="shared" si="10"/>
        <v>1</v>
      </c>
      <c r="K76" s="209"/>
    </row>
    <row r="77" spans="2:11" x14ac:dyDescent="0.35">
      <c r="B77" s="27" t="s">
        <v>1037</v>
      </c>
      <c r="C77" s="14">
        <f>VLOOKUP($B77,'MAIN DATA, Orders'!$B:$R,4,0)</f>
        <v>45189</v>
      </c>
      <c r="D77" s="83">
        <f>VLOOKUP($B77,'MAIN DATA, Orders'!$B:$R,5,0)</f>
        <v>2023</v>
      </c>
      <c r="E77" s="83">
        <f>VLOOKUP($B77,'MAIN DATA, Orders'!$B:$R,16,0)</f>
        <v>2025</v>
      </c>
      <c r="F77" s="83">
        <f>VLOOKUP($B77,'MAIN DATA, Orders'!$B:$R,17,0)</f>
        <v>2028</v>
      </c>
      <c r="G77" s="83">
        <f t="shared" si="8"/>
        <v>2</v>
      </c>
      <c r="H77" s="83">
        <f t="shared" si="9"/>
        <v>5</v>
      </c>
      <c r="I77" s="83">
        <f t="shared" si="10"/>
        <v>3.5</v>
      </c>
      <c r="K77" s="209"/>
    </row>
    <row r="78" spans="2:11" x14ac:dyDescent="0.35">
      <c r="B78" s="27" t="s">
        <v>1043</v>
      </c>
      <c r="C78" s="14">
        <f>VLOOKUP($B78,'MAIN DATA, Orders'!$B:$R,4,0)</f>
        <v>45218</v>
      </c>
      <c r="D78" s="83">
        <f>VLOOKUP($B78,'MAIN DATA, Orders'!$B:$R,5,0)</f>
        <v>2023</v>
      </c>
      <c r="E78" s="83">
        <f>VLOOKUP($B78,'MAIN DATA, Orders'!$B:$R,16,0)</f>
        <v>2025</v>
      </c>
      <c r="F78" s="83">
        <f>VLOOKUP($B78,'MAIN DATA, Orders'!$B:$R,17,0)</f>
        <v>2030</v>
      </c>
      <c r="G78" s="83">
        <f t="shared" si="8"/>
        <v>2</v>
      </c>
      <c r="H78" s="83">
        <f t="shared" si="9"/>
        <v>7</v>
      </c>
      <c r="I78" s="83">
        <f t="shared" si="10"/>
        <v>4.5</v>
      </c>
      <c r="K78" s="209"/>
    </row>
    <row r="79" spans="2:11" x14ac:dyDescent="0.35">
      <c r="B79" s="27" t="s">
        <v>1050</v>
      </c>
      <c r="C79" s="14">
        <f>VLOOKUP($B79,'MAIN DATA, Orders'!$B:$R,4,0)</f>
        <v>45218</v>
      </c>
      <c r="D79" s="83">
        <f>VLOOKUP($B79,'MAIN DATA, Orders'!$B:$R,5,0)</f>
        <v>2023</v>
      </c>
      <c r="E79" s="83">
        <f>VLOOKUP($B79,'MAIN DATA, Orders'!$B:$R,16,0)</f>
        <v>2024</v>
      </c>
      <c r="F79" s="83">
        <f>VLOOKUP($B79,'MAIN DATA, Orders'!$B:$R,17,0)</f>
        <v>2025</v>
      </c>
      <c r="G79" s="83">
        <f t="shared" si="8"/>
        <v>1</v>
      </c>
      <c r="H79" s="83">
        <f t="shared" si="9"/>
        <v>2</v>
      </c>
      <c r="I79" s="83">
        <f t="shared" si="10"/>
        <v>1.5</v>
      </c>
      <c r="K79" s="209"/>
    </row>
    <row r="80" spans="2:11" x14ac:dyDescent="0.35">
      <c r="B80" s="27" t="s">
        <v>1062</v>
      </c>
      <c r="C80" s="14">
        <f>VLOOKUP($B80,'MAIN DATA, Orders'!$B:$R,4,0)</f>
        <v>45218</v>
      </c>
      <c r="D80" s="83">
        <f>VLOOKUP($B80,'MAIN DATA, Orders'!$B:$R,5,0)</f>
        <v>2023</v>
      </c>
      <c r="E80" s="83">
        <f>VLOOKUP($B80,'MAIN DATA, Orders'!$B:$R,16,0)</f>
        <v>2023</v>
      </c>
      <c r="F80" s="83">
        <f>VLOOKUP($B80,'MAIN DATA, Orders'!$B:$R,17,0)</f>
        <v>2025</v>
      </c>
      <c r="G80" s="83">
        <f t="shared" si="8"/>
        <v>0</v>
      </c>
      <c r="H80" s="83">
        <f t="shared" si="9"/>
        <v>2</v>
      </c>
      <c r="I80" s="83">
        <f t="shared" si="10"/>
        <v>1</v>
      </c>
      <c r="K80" s="209"/>
    </row>
    <row r="81" spans="2:11" x14ac:dyDescent="0.35">
      <c r="B81" s="27" t="s">
        <v>1064</v>
      </c>
      <c r="C81" s="14">
        <f>VLOOKUP($B81,'MAIN DATA, Orders'!$B:$R,4,0)</f>
        <v>45218</v>
      </c>
      <c r="D81" s="83">
        <f>VLOOKUP($B81,'MAIN DATA, Orders'!$B:$R,5,0)</f>
        <v>2023</v>
      </c>
      <c r="E81" s="83">
        <f>VLOOKUP($B81,'MAIN DATA, Orders'!$B:$R,16,0)</f>
        <v>2024</v>
      </c>
      <c r="F81" s="83">
        <f>VLOOKUP($B81,'MAIN DATA, Orders'!$B:$R,17,0)</f>
        <v>2026</v>
      </c>
      <c r="G81" s="83">
        <f t="shared" si="8"/>
        <v>1</v>
      </c>
      <c r="H81" s="83">
        <f t="shared" si="9"/>
        <v>3</v>
      </c>
      <c r="I81" s="83">
        <f t="shared" si="10"/>
        <v>2</v>
      </c>
      <c r="K81" s="209"/>
    </row>
    <row r="82" spans="2:11" x14ac:dyDescent="0.35">
      <c r="B82" s="27" t="s">
        <v>1067</v>
      </c>
      <c r="C82" s="14">
        <f>VLOOKUP($B82,'MAIN DATA, Orders'!$B:$R,4,0)</f>
        <v>45218</v>
      </c>
      <c r="D82" s="83">
        <f>VLOOKUP($B82,'MAIN DATA, Orders'!$B:$R,5,0)</f>
        <v>2023</v>
      </c>
      <c r="E82" s="83">
        <f>VLOOKUP($B82,'MAIN DATA, Orders'!$B:$R,16,0)</f>
        <v>2025</v>
      </c>
      <c r="F82" s="83">
        <f>VLOOKUP($B82,'MAIN DATA, Orders'!$B:$R,17,0)</f>
        <v>2027</v>
      </c>
      <c r="G82" s="83">
        <f t="shared" si="8"/>
        <v>2</v>
      </c>
      <c r="H82" s="83">
        <f t="shared" si="9"/>
        <v>4</v>
      </c>
      <c r="I82" s="83">
        <f t="shared" si="10"/>
        <v>3</v>
      </c>
      <c r="K82" s="209"/>
    </row>
    <row r="83" spans="2:11" x14ac:dyDescent="0.35">
      <c r="B83" s="27" t="s">
        <v>1070</v>
      </c>
      <c r="C83" s="14">
        <f>VLOOKUP($B83,'MAIN DATA, Orders'!$B:$R,4,0)</f>
        <v>45218</v>
      </c>
      <c r="D83" s="83">
        <f>VLOOKUP($B83,'MAIN DATA, Orders'!$B:$R,5,0)</f>
        <v>2023</v>
      </c>
      <c r="E83" s="83">
        <f>VLOOKUP($B83,'MAIN DATA, Orders'!$B:$R,16,0)</f>
        <v>2025</v>
      </c>
      <c r="F83" s="83">
        <f>VLOOKUP($B83,'MAIN DATA, Orders'!$B:$R,17,0)</f>
        <v>2028</v>
      </c>
      <c r="G83" s="83">
        <f t="shared" si="8"/>
        <v>2</v>
      </c>
      <c r="H83" s="83">
        <f t="shared" si="9"/>
        <v>5</v>
      </c>
      <c r="I83" s="83">
        <f t="shared" si="10"/>
        <v>3.5</v>
      </c>
      <c r="K83" s="209"/>
    </row>
    <row r="84" spans="2:11" x14ac:dyDescent="0.35">
      <c r="B84" s="27" t="s">
        <v>1079</v>
      </c>
      <c r="C84" s="14">
        <f>VLOOKUP($B84,'MAIN DATA, Orders'!$B:$R,4,0)</f>
        <v>45238</v>
      </c>
      <c r="D84" s="83">
        <f>VLOOKUP($B84,'MAIN DATA, Orders'!$B:$R,5,0)</f>
        <v>2023</v>
      </c>
      <c r="E84" s="83">
        <f>VLOOKUP($B84,'MAIN DATA, Orders'!$B:$R,16,0)</f>
        <v>2024</v>
      </c>
      <c r="F84" s="83">
        <f>VLOOKUP($B84,'MAIN DATA, Orders'!$B:$R,17,0)</f>
        <v>2034</v>
      </c>
      <c r="G84" s="83">
        <f t="shared" si="8"/>
        <v>1</v>
      </c>
      <c r="H84" s="83">
        <f t="shared" si="9"/>
        <v>11</v>
      </c>
      <c r="I84" s="83">
        <f t="shared" si="10"/>
        <v>6</v>
      </c>
      <c r="K84" s="209"/>
    </row>
    <row r="85" spans="2:11" x14ac:dyDescent="0.35">
      <c r="B85" s="27" t="s">
        <v>1083</v>
      </c>
      <c r="C85" s="14">
        <f>VLOOKUP($B85,'MAIN DATA, Orders'!$B:$R,4,0)</f>
        <v>45246</v>
      </c>
      <c r="D85" s="83">
        <f>VLOOKUP($B85,'MAIN DATA, Orders'!$B:$R,5,0)</f>
        <v>2023</v>
      </c>
      <c r="E85" s="83">
        <f>VLOOKUP($B85,'MAIN DATA, Orders'!$B:$R,16,0)</f>
        <v>2026</v>
      </c>
      <c r="F85" s="83">
        <f>VLOOKUP($B85,'MAIN DATA, Orders'!$B:$R,17,0)</f>
        <v>2026</v>
      </c>
      <c r="G85" s="83">
        <f t="shared" si="8"/>
        <v>3</v>
      </c>
      <c r="H85" s="83">
        <f t="shared" si="9"/>
        <v>3</v>
      </c>
      <c r="I85" s="83">
        <f t="shared" si="10"/>
        <v>3</v>
      </c>
      <c r="K85" s="209"/>
    </row>
    <row r="86" spans="2:11" x14ac:dyDescent="0.35">
      <c r="B86" s="27" t="s">
        <v>1095</v>
      </c>
      <c r="C86" s="14">
        <f>VLOOKUP($B86,'MAIN DATA, Orders'!$B:$R,4,0)</f>
        <v>45260</v>
      </c>
      <c r="D86" s="83">
        <f>VLOOKUP($B86,'MAIN DATA, Orders'!$B:$R,5,0)</f>
        <v>2023</v>
      </c>
      <c r="E86" s="83">
        <f>VLOOKUP($B86,'MAIN DATA, Orders'!$B:$R,16,0)</f>
        <v>2024</v>
      </c>
      <c r="F86" s="83">
        <f>VLOOKUP($B86,'MAIN DATA, Orders'!$B:$R,17,0)</f>
        <v>2029</v>
      </c>
      <c r="G86" s="83">
        <f t="shared" si="8"/>
        <v>1</v>
      </c>
      <c r="H86" s="83">
        <f t="shared" si="9"/>
        <v>6</v>
      </c>
      <c r="I86" s="83">
        <f t="shared" si="10"/>
        <v>3.5</v>
      </c>
      <c r="K86" s="209"/>
    </row>
    <row r="87" spans="2:11" x14ac:dyDescent="0.35">
      <c r="B87" s="27" t="s">
        <v>1108</v>
      </c>
      <c r="C87" s="14">
        <f>VLOOKUP($B87,'MAIN DATA, Orders'!$B:$R,4,0)</f>
        <v>45260</v>
      </c>
      <c r="D87" s="83">
        <f>VLOOKUP($B87,'MAIN DATA, Orders'!$B:$R,5,0)</f>
        <v>2023</v>
      </c>
      <c r="E87" s="83">
        <f>VLOOKUP($B87,'MAIN DATA, Orders'!$B:$R,16,0)</f>
        <v>2026</v>
      </c>
      <c r="F87" s="83">
        <f>VLOOKUP($B87,'MAIN DATA, Orders'!$B:$R,17,0)</f>
        <v>2029</v>
      </c>
      <c r="G87" s="83">
        <f t="shared" si="8"/>
        <v>3</v>
      </c>
      <c r="H87" s="83">
        <f t="shared" si="9"/>
        <v>6</v>
      </c>
      <c r="I87" s="83">
        <f t="shared" si="10"/>
        <v>4.5</v>
      </c>
      <c r="K87" s="209"/>
    </row>
    <row r="88" spans="2:11" x14ac:dyDescent="0.35">
      <c r="B88" s="27" t="s">
        <v>1110</v>
      </c>
      <c r="C88" s="14">
        <f>VLOOKUP($B88,'MAIN DATA, Orders'!$B:$R,4,0)</f>
        <v>45260</v>
      </c>
      <c r="D88" s="83">
        <f>VLOOKUP($B88,'MAIN DATA, Orders'!$B:$R,5,0)</f>
        <v>2023</v>
      </c>
      <c r="E88" s="83">
        <f>VLOOKUP($B88,'MAIN DATA, Orders'!$B:$R,16,0)</f>
        <v>2026</v>
      </c>
      <c r="F88" s="83">
        <f>VLOOKUP($B88,'MAIN DATA, Orders'!$B:$R,17,0)</f>
        <v>2029</v>
      </c>
      <c r="G88" s="83">
        <f t="shared" si="8"/>
        <v>3</v>
      </c>
      <c r="H88" s="83">
        <f t="shared" si="9"/>
        <v>6</v>
      </c>
      <c r="I88" s="83">
        <f t="shared" si="10"/>
        <v>4.5</v>
      </c>
      <c r="K88" s="209"/>
    </row>
    <row r="89" spans="2:11" x14ac:dyDescent="0.35">
      <c r="B89" s="27" t="s">
        <v>1120</v>
      </c>
      <c r="C89" s="14">
        <f>VLOOKUP($B89,'MAIN DATA, Orders'!$B:$R,4,0)</f>
        <v>45274</v>
      </c>
      <c r="D89" s="83">
        <f>VLOOKUP($B89,'MAIN DATA, Orders'!$B:$R,5,0)</f>
        <v>2023</v>
      </c>
      <c r="E89" s="83">
        <f>VLOOKUP($B89,'MAIN DATA, Orders'!$B:$R,16,0)</f>
        <v>2024</v>
      </c>
      <c r="F89" s="83">
        <f>VLOOKUP($B89,'MAIN DATA, Orders'!$B:$R,17,0)</f>
        <v>2028</v>
      </c>
      <c r="G89" s="83">
        <f t="shared" si="8"/>
        <v>1</v>
      </c>
      <c r="H89" s="83">
        <f t="shared" si="9"/>
        <v>5</v>
      </c>
      <c r="I89" s="83">
        <f t="shared" si="10"/>
        <v>3</v>
      </c>
      <c r="K89" s="209"/>
    </row>
    <row r="90" spans="2:11" x14ac:dyDescent="0.35">
      <c r="B90" s="27" t="s">
        <v>1133</v>
      </c>
      <c r="C90" s="14">
        <f>VLOOKUP($B90,'MAIN DATA, Orders'!$B:$R,4,0)</f>
        <v>45274</v>
      </c>
      <c r="D90" s="83">
        <f>VLOOKUP($B90,'MAIN DATA, Orders'!$B:$R,5,0)</f>
        <v>2023</v>
      </c>
      <c r="E90" s="83">
        <f>VLOOKUP($B90,'MAIN DATA, Orders'!$B:$R,16,0)</f>
        <v>2024</v>
      </c>
      <c r="F90" s="83">
        <f>VLOOKUP($B90,'MAIN DATA, Orders'!$B:$R,17,0)</f>
        <v>2026</v>
      </c>
      <c r="G90" s="83">
        <f t="shared" si="8"/>
        <v>1</v>
      </c>
      <c r="H90" s="83">
        <f t="shared" si="9"/>
        <v>3</v>
      </c>
      <c r="I90" s="83">
        <f t="shared" si="10"/>
        <v>2</v>
      </c>
      <c r="K90" s="209"/>
    </row>
    <row r="91" spans="2:11" x14ac:dyDescent="0.35">
      <c r="B91" s="27" t="s">
        <v>1143</v>
      </c>
      <c r="C91" s="14">
        <f>VLOOKUP($B91,'MAIN DATA, Orders'!$B:$R,4,0)</f>
        <v>45274</v>
      </c>
      <c r="D91" s="83">
        <f>VLOOKUP($B91,'MAIN DATA, Orders'!$B:$R,5,0)</f>
        <v>2023</v>
      </c>
      <c r="E91" s="83">
        <f>VLOOKUP($B91,'MAIN DATA, Orders'!$B:$R,16,0)</f>
        <v>2026</v>
      </c>
      <c r="F91" s="83">
        <f>VLOOKUP($B91,'MAIN DATA, Orders'!$B:$R,17,0)</f>
        <v>2026</v>
      </c>
      <c r="G91" s="83">
        <f t="shared" si="8"/>
        <v>3</v>
      </c>
      <c r="H91" s="83">
        <f t="shared" si="9"/>
        <v>3</v>
      </c>
      <c r="I91" s="83">
        <f t="shared" si="10"/>
        <v>3</v>
      </c>
      <c r="K91" s="209"/>
    </row>
    <row r="92" spans="2:11" x14ac:dyDescent="0.35">
      <c r="B92" s="27" t="s">
        <v>1150</v>
      </c>
      <c r="C92" s="14">
        <f>VLOOKUP($B92,'MAIN DATA, Orders'!$B:$R,4,0)</f>
        <v>45274</v>
      </c>
      <c r="D92" s="83">
        <f>VLOOKUP($B92,'MAIN DATA, Orders'!$B:$R,5,0)</f>
        <v>2023</v>
      </c>
      <c r="E92" s="83">
        <f>VLOOKUP($B92,'MAIN DATA, Orders'!$B:$R,16,0)</f>
        <v>2027</v>
      </c>
      <c r="F92" s="83">
        <f>VLOOKUP($B92,'MAIN DATA, Orders'!$B:$R,17,0)</f>
        <v>2033</v>
      </c>
      <c r="G92" s="83">
        <f t="shared" si="8"/>
        <v>4</v>
      </c>
      <c r="H92" s="83">
        <f t="shared" si="9"/>
        <v>10</v>
      </c>
      <c r="I92" s="83">
        <f t="shared" si="10"/>
        <v>7</v>
      </c>
      <c r="K92" s="209"/>
    </row>
    <row r="93" spans="2:11" x14ac:dyDescent="0.35">
      <c r="B93" s="27" t="s">
        <v>1155</v>
      </c>
      <c r="C93" s="14">
        <f>VLOOKUP($B93,'MAIN DATA, Orders'!$B:$R,4,0)</f>
        <v>45274</v>
      </c>
      <c r="D93" s="83">
        <f>VLOOKUP($B93,'MAIN DATA, Orders'!$B:$R,5,0)</f>
        <v>2023</v>
      </c>
      <c r="E93" s="83">
        <f>VLOOKUP($B93,'MAIN DATA, Orders'!$B:$R,16,0)</f>
        <v>2027</v>
      </c>
      <c r="F93" s="83">
        <f>VLOOKUP($B93,'MAIN DATA, Orders'!$B:$R,17,0)</f>
        <v>2033</v>
      </c>
      <c r="G93" s="83">
        <f t="shared" si="8"/>
        <v>4</v>
      </c>
      <c r="H93" s="83">
        <f t="shared" si="9"/>
        <v>10</v>
      </c>
      <c r="I93" s="83">
        <f t="shared" si="10"/>
        <v>7</v>
      </c>
      <c r="K93" s="209"/>
    </row>
    <row r="94" spans="2:11" x14ac:dyDescent="0.35">
      <c r="B94" s="27" t="s">
        <v>1171</v>
      </c>
      <c r="C94" s="14">
        <f>VLOOKUP($B94,'MAIN DATA, Orders'!$B:$R,4,0)</f>
        <v>45343</v>
      </c>
      <c r="D94" s="83">
        <f>VLOOKUP($B94,'MAIN DATA, Orders'!$B:$R,5,0)</f>
        <v>2024</v>
      </c>
      <c r="E94" s="83">
        <f>VLOOKUP($B94,'MAIN DATA, Orders'!$B:$R,16,0)</f>
        <v>2026</v>
      </c>
      <c r="F94" s="83">
        <f>VLOOKUP($B94,'MAIN DATA, Orders'!$B:$R,17,0)</f>
        <v>2028</v>
      </c>
      <c r="G94" s="83">
        <f t="shared" si="8"/>
        <v>2</v>
      </c>
      <c r="H94" s="83">
        <f t="shared" si="9"/>
        <v>4</v>
      </c>
      <c r="I94" s="83">
        <f t="shared" si="10"/>
        <v>3</v>
      </c>
      <c r="K94" s="209"/>
    </row>
    <row r="95" spans="2:11" x14ac:dyDescent="0.35">
      <c r="B95" s="27" t="s">
        <v>1197</v>
      </c>
      <c r="C95" s="14">
        <f>VLOOKUP($B95,'MAIN DATA, Orders'!$B:$R,4,0)</f>
        <v>45371</v>
      </c>
      <c r="D95" s="83">
        <f>VLOOKUP($B95,'MAIN DATA, Orders'!$B:$R,5,0)</f>
        <v>2024</v>
      </c>
      <c r="E95" s="83">
        <f>VLOOKUP($B95,'MAIN DATA, Orders'!$B:$R,16,0)</f>
        <v>2024</v>
      </c>
      <c r="F95" s="83">
        <f>VLOOKUP($B95,'MAIN DATA, Orders'!$B:$R,17,0)</f>
        <v>2024</v>
      </c>
      <c r="G95" s="83">
        <f t="shared" si="8"/>
        <v>0</v>
      </c>
      <c r="H95" s="83">
        <f t="shared" si="9"/>
        <v>0</v>
      </c>
      <c r="I95" s="83">
        <f t="shared" si="10"/>
        <v>0</v>
      </c>
      <c r="K95" s="209"/>
    </row>
    <row r="96" spans="2:11" x14ac:dyDescent="0.35">
      <c r="B96" s="27" t="s">
        <v>1202</v>
      </c>
      <c r="C96" s="14">
        <f>VLOOKUP($B96,'MAIN DATA, Orders'!$B:$R,4,0)</f>
        <v>45371</v>
      </c>
      <c r="D96" s="83">
        <f>VLOOKUP($B96,'MAIN DATA, Orders'!$B:$R,5,0)</f>
        <v>2024</v>
      </c>
      <c r="E96" s="83">
        <f>VLOOKUP($B96,'MAIN DATA, Orders'!$B:$R,16,0)</f>
        <v>2025</v>
      </c>
      <c r="F96" s="83">
        <f>VLOOKUP($B96,'MAIN DATA, Orders'!$B:$R,17,0)</f>
        <v>2030</v>
      </c>
      <c r="G96" s="83">
        <f t="shared" si="8"/>
        <v>1</v>
      </c>
      <c r="H96" s="83">
        <f t="shared" si="9"/>
        <v>6</v>
      </c>
      <c r="I96" s="83">
        <f t="shared" si="10"/>
        <v>3.5</v>
      </c>
      <c r="K96" s="209"/>
    </row>
    <row r="97" spans="2:11" x14ac:dyDescent="0.35">
      <c r="B97" s="27" t="s">
        <v>1209</v>
      </c>
      <c r="C97" s="14">
        <f>VLOOKUP($B97,'MAIN DATA, Orders'!$B:$R,4,0)</f>
        <v>45371</v>
      </c>
      <c r="D97" s="83">
        <f>VLOOKUP($B97,'MAIN DATA, Orders'!$B:$R,5,0)</f>
        <v>2024</v>
      </c>
      <c r="E97" s="83">
        <f>VLOOKUP($B97,'MAIN DATA, Orders'!$B:$R,16,0)</f>
        <v>2025</v>
      </c>
      <c r="F97" s="83">
        <f>VLOOKUP($B97,'MAIN DATA, Orders'!$B:$R,17,0)</f>
        <v>2030</v>
      </c>
      <c r="G97" s="83">
        <f t="shared" si="8"/>
        <v>1</v>
      </c>
      <c r="H97" s="83">
        <f t="shared" si="9"/>
        <v>6</v>
      </c>
      <c r="I97" s="83">
        <f t="shared" si="10"/>
        <v>3.5</v>
      </c>
      <c r="K97" s="209"/>
    </row>
    <row r="98" spans="2:11" x14ac:dyDescent="0.35">
      <c r="B98" s="27" t="s">
        <v>1218</v>
      </c>
      <c r="C98" s="14">
        <f>VLOOKUP($B98,'MAIN DATA, Orders'!$B:$R,4,0)</f>
        <v>45392</v>
      </c>
      <c r="D98" s="83">
        <f>VLOOKUP($B98,'MAIN DATA, Orders'!$B:$R,5,0)</f>
        <v>2024</v>
      </c>
      <c r="E98" s="83">
        <f>VLOOKUP($B98,'MAIN DATA, Orders'!$B:$R,16,0)</f>
        <v>2024</v>
      </c>
      <c r="F98" s="83">
        <f>VLOOKUP($B98,'MAIN DATA, Orders'!$B:$R,17,0)</f>
        <v>2026</v>
      </c>
      <c r="G98" s="83">
        <f t="shared" si="8"/>
        <v>0</v>
      </c>
      <c r="H98" s="83">
        <f t="shared" si="9"/>
        <v>2</v>
      </c>
      <c r="I98" s="83">
        <f t="shared" si="10"/>
        <v>1</v>
      </c>
      <c r="K98" s="209"/>
    </row>
    <row r="99" spans="2:11" x14ac:dyDescent="0.35">
      <c r="B99" s="27" t="s">
        <v>1265</v>
      </c>
      <c r="C99" s="14">
        <f>VLOOKUP($B99,'MAIN DATA, Orders'!$B:$R,4,0)</f>
        <v>45427</v>
      </c>
      <c r="D99" s="83">
        <f>VLOOKUP($B99,'MAIN DATA, Orders'!$B:$R,5,0)</f>
        <v>2024</v>
      </c>
      <c r="E99" s="83">
        <f>VLOOKUP($B99,'MAIN DATA, Orders'!$B:$R,16,0)</f>
        <v>2026</v>
      </c>
      <c r="F99" s="83">
        <f>VLOOKUP($B99,'MAIN DATA, Orders'!$B:$R,17,0)</f>
        <v>2029</v>
      </c>
      <c r="G99" s="83">
        <f t="shared" si="8"/>
        <v>2</v>
      </c>
      <c r="H99" s="83">
        <f t="shared" si="9"/>
        <v>5</v>
      </c>
      <c r="I99" s="83">
        <f t="shared" si="10"/>
        <v>3.5</v>
      </c>
      <c r="K99" s="209"/>
    </row>
    <row r="100" spans="2:11" x14ac:dyDescent="0.35">
      <c r="B100" s="27" t="s">
        <v>1274</v>
      </c>
      <c r="C100" s="14">
        <f>VLOOKUP($B100,'MAIN DATA, Orders'!$B:$R,4,0)</f>
        <v>45448</v>
      </c>
      <c r="D100" s="83">
        <f>VLOOKUP($B100,'MAIN DATA, Orders'!$B:$R,5,0)</f>
        <v>2024</v>
      </c>
      <c r="E100" s="83">
        <f>VLOOKUP($B100,'MAIN DATA, Orders'!$B:$R,16,0)</f>
        <v>2024</v>
      </c>
      <c r="F100" s="83">
        <f>VLOOKUP($B100,'MAIN DATA, Orders'!$B:$R,17,0)</f>
        <v>2024</v>
      </c>
      <c r="G100" s="83">
        <f t="shared" si="8"/>
        <v>0</v>
      </c>
      <c r="H100" s="83">
        <f t="shared" si="9"/>
        <v>0</v>
      </c>
      <c r="I100" s="83">
        <f t="shared" si="10"/>
        <v>0</v>
      </c>
      <c r="K100" s="209"/>
    </row>
    <row r="101" spans="2:11" x14ac:dyDescent="0.35">
      <c r="B101" s="27" t="s">
        <v>1275</v>
      </c>
      <c r="C101" s="14">
        <f>VLOOKUP($B101,'MAIN DATA, Orders'!$B:$R,4,0)</f>
        <v>45448</v>
      </c>
      <c r="D101" s="83">
        <f>VLOOKUP($B101,'MAIN DATA, Orders'!$B:$R,5,0)</f>
        <v>2024</v>
      </c>
      <c r="E101" s="83">
        <f>VLOOKUP($B101,'MAIN DATA, Orders'!$B:$R,16,0)</f>
        <v>2024</v>
      </c>
      <c r="F101" s="83">
        <f>VLOOKUP($B101,'MAIN DATA, Orders'!$B:$R,17,0)</f>
        <v>2024</v>
      </c>
      <c r="G101" s="83">
        <f t="shared" ref="G101:G106" si="11">E101-D101</f>
        <v>0</v>
      </c>
      <c r="H101" s="83">
        <f t="shared" ref="H101:H106" si="12">F101-D101</f>
        <v>0</v>
      </c>
      <c r="I101" s="83">
        <f t="shared" si="10"/>
        <v>0</v>
      </c>
      <c r="K101" s="209"/>
    </row>
    <row r="102" spans="2:11" x14ac:dyDescent="0.35">
      <c r="B102" s="27" t="s">
        <v>1276</v>
      </c>
      <c r="C102" s="14">
        <f>VLOOKUP($B102,'MAIN DATA, Orders'!$B:$R,4,0)</f>
        <v>45448</v>
      </c>
      <c r="D102" s="83">
        <f>VLOOKUP($B102,'MAIN DATA, Orders'!$B:$R,5,0)</f>
        <v>2024</v>
      </c>
      <c r="E102" s="83">
        <f>VLOOKUP($B102,'MAIN DATA, Orders'!$B:$R,16,0)</f>
        <v>2024</v>
      </c>
      <c r="F102" s="83">
        <f>VLOOKUP($B102,'MAIN DATA, Orders'!$B:$R,17,0)</f>
        <v>2024</v>
      </c>
      <c r="G102" s="83">
        <f t="shared" si="11"/>
        <v>0</v>
      </c>
      <c r="H102" s="83">
        <f t="shared" si="12"/>
        <v>0</v>
      </c>
      <c r="I102" s="83">
        <f t="shared" si="10"/>
        <v>0</v>
      </c>
      <c r="K102" s="209"/>
    </row>
    <row r="103" spans="2:11" x14ac:dyDescent="0.35">
      <c r="B103" s="27" t="s">
        <v>1278</v>
      </c>
      <c r="C103" s="14">
        <f>VLOOKUP($B103,'MAIN DATA, Orders'!$B:$R,4,0)</f>
        <v>45448</v>
      </c>
      <c r="D103" s="83">
        <f>VLOOKUP($B103,'MAIN DATA, Orders'!$B:$R,5,0)</f>
        <v>2024</v>
      </c>
      <c r="E103" s="83">
        <f>VLOOKUP($B103,'MAIN DATA, Orders'!$B:$R,16,0)</f>
        <v>2024</v>
      </c>
      <c r="F103" s="83">
        <f>VLOOKUP($B103,'MAIN DATA, Orders'!$B:$R,17,0)</f>
        <v>2024</v>
      </c>
      <c r="G103" s="83">
        <f t="shared" si="11"/>
        <v>0</v>
      </c>
      <c r="H103" s="83">
        <f t="shared" si="12"/>
        <v>0</v>
      </c>
      <c r="I103" s="83">
        <f t="shared" si="10"/>
        <v>0</v>
      </c>
      <c r="K103" s="209"/>
    </row>
    <row r="104" spans="2:11" x14ac:dyDescent="0.35">
      <c r="B104" s="27" t="s">
        <v>1288</v>
      </c>
      <c r="C104" s="14">
        <f>VLOOKUP($B104,'MAIN DATA, Orders'!$B:$R,4,0)</f>
        <v>45448</v>
      </c>
      <c r="D104" s="83">
        <f>VLOOKUP($B104,'MAIN DATA, Orders'!$B:$R,5,0)</f>
        <v>2024</v>
      </c>
      <c r="E104" s="83">
        <f>VLOOKUP($B104,'MAIN DATA, Orders'!$B:$R,16,0)</f>
        <v>2025</v>
      </c>
      <c r="F104" s="83">
        <f>VLOOKUP($B104,'MAIN DATA, Orders'!$B:$R,17,0)</f>
        <v>2026</v>
      </c>
      <c r="G104" s="83">
        <f t="shared" si="11"/>
        <v>1</v>
      </c>
      <c r="H104" s="83">
        <f t="shared" si="12"/>
        <v>2</v>
      </c>
      <c r="I104" s="83">
        <f t="shared" si="10"/>
        <v>1.5</v>
      </c>
      <c r="K104" s="209"/>
    </row>
    <row r="105" spans="2:11" x14ac:dyDescent="0.35">
      <c r="B105" s="27" t="s">
        <v>1306</v>
      </c>
      <c r="C105" s="14">
        <f>VLOOKUP($B105,'MAIN DATA, Orders'!$B:$R,4,0)</f>
        <v>45455</v>
      </c>
      <c r="D105" s="83">
        <f>VLOOKUP($B105,'MAIN DATA, Orders'!$B:$R,5,0)</f>
        <v>2024</v>
      </c>
      <c r="E105" s="83">
        <f>VLOOKUP($B105,'MAIN DATA, Orders'!$B:$R,16,0)</f>
        <v>2033</v>
      </c>
      <c r="F105" s="83">
        <f>VLOOKUP($B105,'MAIN DATA, Orders'!$B:$R,17,0)</f>
        <v>2034</v>
      </c>
      <c r="G105" s="83">
        <f t="shared" si="11"/>
        <v>9</v>
      </c>
      <c r="H105" s="83">
        <f t="shared" si="12"/>
        <v>10</v>
      </c>
      <c r="I105" s="83">
        <f t="shared" ref="I105:I107" si="13">AVERAGE(G105:H105)</f>
        <v>9.5</v>
      </c>
      <c r="K105" s="209"/>
    </row>
    <row r="106" spans="2:11" x14ac:dyDescent="0.35">
      <c r="B106" s="27" t="s">
        <v>1337</v>
      </c>
      <c r="C106" s="14">
        <f>VLOOKUP($B106,'MAIN DATA, Orders'!$B:$R,4,0)</f>
        <v>45469</v>
      </c>
      <c r="D106" s="83">
        <f>VLOOKUP($B106,'MAIN DATA, Orders'!$B:$R,5,0)</f>
        <v>2024</v>
      </c>
      <c r="E106" s="83">
        <f>VLOOKUP($B106,'MAIN DATA, Orders'!$B:$R,16,0)</f>
        <v>2026</v>
      </c>
      <c r="F106" s="83">
        <f>VLOOKUP($B106,'MAIN DATA, Orders'!$B:$R,17,0)</f>
        <v>2029</v>
      </c>
      <c r="G106" s="83">
        <f t="shared" si="11"/>
        <v>2</v>
      </c>
      <c r="H106" s="83">
        <f t="shared" si="12"/>
        <v>5</v>
      </c>
      <c r="I106" s="83">
        <f t="shared" si="13"/>
        <v>3.5</v>
      </c>
      <c r="K106" s="209"/>
    </row>
    <row r="107" spans="2:11" x14ac:dyDescent="0.35">
      <c r="B107" s="27" t="s">
        <v>1341</v>
      </c>
      <c r="C107" s="14">
        <f>VLOOKUP($B107,'MAIN DATA, Orders'!$B:$R,4,0)</f>
        <v>45469</v>
      </c>
      <c r="D107" s="83">
        <f>VLOOKUP($B107,'MAIN DATA, Orders'!$B:$R,5,0)</f>
        <v>2024</v>
      </c>
      <c r="E107" s="83">
        <f>VLOOKUP($B107,'MAIN DATA, Orders'!$B:$R,16,0)</f>
        <v>2027</v>
      </c>
      <c r="F107" s="83">
        <f>VLOOKUP($B107,'MAIN DATA, Orders'!$B:$R,17,0)</f>
        <v>2029</v>
      </c>
      <c r="G107" s="83">
        <f t="shared" ref="G107:G117" si="14">E107-D107</f>
        <v>3</v>
      </c>
      <c r="H107" s="83">
        <f t="shared" ref="H107:H117" si="15">F107-D107</f>
        <v>5</v>
      </c>
      <c r="I107" s="83">
        <f t="shared" si="13"/>
        <v>4</v>
      </c>
      <c r="K107" s="209"/>
    </row>
    <row r="108" spans="2:11" x14ac:dyDescent="0.35">
      <c r="B108" s="27" t="s">
        <v>1368</v>
      </c>
      <c r="C108" s="14">
        <f>VLOOKUP($B108,'MAIN DATA, Orders'!$B:$R,4,0)</f>
        <v>45469</v>
      </c>
      <c r="D108" s="83">
        <f>VLOOKUP($B108,'MAIN DATA, Orders'!$B:$R,5,0)</f>
        <v>2024</v>
      </c>
      <c r="E108" s="83">
        <f>VLOOKUP($B108,'MAIN DATA, Orders'!$B:$R,16,0)</f>
        <v>2028</v>
      </c>
      <c r="F108" s="83">
        <f>VLOOKUP($B108,'MAIN DATA, Orders'!$B:$R,17,0)</f>
        <v>2029</v>
      </c>
      <c r="G108" s="83">
        <f t="shared" si="14"/>
        <v>4</v>
      </c>
      <c r="H108" s="83">
        <f t="shared" si="15"/>
        <v>5</v>
      </c>
      <c r="I108" s="83">
        <f t="shared" ref="I108:I117" si="16">AVERAGE(G108:H108)</f>
        <v>4.5</v>
      </c>
      <c r="K108" s="209"/>
    </row>
    <row r="109" spans="2:11" x14ac:dyDescent="0.35">
      <c r="B109" s="27" t="s">
        <v>1373</v>
      </c>
      <c r="C109" s="14">
        <f>VLOOKUP($B109,'MAIN DATA, Orders'!$B:$R,4,0)</f>
        <v>45476</v>
      </c>
      <c r="D109" s="83">
        <f>VLOOKUP($B109,'MAIN DATA, Orders'!$B:$R,5,0)</f>
        <v>2024</v>
      </c>
      <c r="E109" s="83">
        <f>VLOOKUP($B109,'MAIN DATA, Orders'!$B:$R,16,0)</f>
        <v>2027</v>
      </c>
      <c r="F109" s="83">
        <f>VLOOKUP($B109,'MAIN DATA, Orders'!$B:$R,17,0)</f>
        <v>2030</v>
      </c>
      <c r="G109" s="83">
        <f t="shared" si="14"/>
        <v>3</v>
      </c>
      <c r="H109" s="83">
        <f t="shared" si="15"/>
        <v>6</v>
      </c>
      <c r="I109" s="83">
        <f t="shared" si="16"/>
        <v>4.5</v>
      </c>
      <c r="K109" s="209"/>
    </row>
    <row r="110" spans="2:11" x14ac:dyDescent="0.35">
      <c r="B110" s="27" t="s">
        <v>1378</v>
      </c>
      <c r="C110" s="14">
        <f>VLOOKUP($B110,'MAIN DATA, Orders'!$B:$R,4,0)</f>
        <v>45476</v>
      </c>
      <c r="D110" s="83">
        <f>VLOOKUP($B110,'MAIN DATA, Orders'!$B:$R,5,0)</f>
        <v>2024</v>
      </c>
      <c r="E110" s="83">
        <f>VLOOKUP($B110,'MAIN DATA, Orders'!$B:$R,16,0)</f>
        <v>2024</v>
      </c>
      <c r="F110" s="83">
        <f>VLOOKUP($B110,'MAIN DATA, Orders'!$B:$R,17,0)</f>
        <v>2027</v>
      </c>
      <c r="G110" s="83">
        <f t="shared" si="14"/>
        <v>0</v>
      </c>
      <c r="H110" s="83">
        <f t="shared" si="15"/>
        <v>3</v>
      </c>
      <c r="I110" s="83">
        <f t="shared" si="16"/>
        <v>1.5</v>
      </c>
      <c r="K110" s="209"/>
    </row>
    <row r="111" spans="2:11" x14ac:dyDescent="0.35">
      <c r="B111" s="27" t="s">
        <v>1385</v>
      </c>
      <c r="C111" s="14">
        <f>VLOOKUP($B111,'MAIN DATA, Orders'!$B:$R,4,0)</f>
        <v>45476</v>
      </c>
      <c r="D111" s="83">
        <f>VLOOKUP($B111,'MAIN DATA, Orders'!$B:$R,5,0)</f>
        <v>2024</v>
      </c>
      <c r="E111" s="83">
        <f>VLOOKUP($B111,'MAIN DATA, Orders'!$B:$R,16,0)</f>
        <v>2027</v>
      </c>
      <c r="F111" s="83">
        <f>VLOOKUP($B111,'MAIN DATA, Orders'!$B:$R,17,0)</f>
        <v>2031</v>
      </c>
      <c r="G111" s="83">
        <f t="shared" si="14"/>
        <v>3</v>
      </c>
      <c r="H111" s="83">
        <f t="shared" si="15"/>
        <v>7</v>
      </c>
      <c r="I111" s="83">
        <f t="shared" si="16"/>
        <v>5</v>
      </c>
      <c r="K111" s="209"/>
    </row>
    <row r="112" spans="2:11" x14ac:dyDescent="0.35">
      <c r="B112" s="27" t="s">
        <v>1389</v>
      </c>
      <c r="C112" s="14">
        <f>VLOOKUP($B112,'MAIN DATA, Orders'!$B:$R,4,0)</f>
        <v>45476</v>
      </c>
      <c r="D112" s="83">
        <f>VLOOKUP($B112,'MAIN DATA, Orders'!$B:$R,5,0)</f>
        <v>2024</v>
      </c>
      <c r="E112" s="83">
        <f>VLOOKUP($B112,'MAIN DATA, Orders'!$B:$R,16,0)</f>
        <v>2025</v>
      </c>
      <c r="F112" s="83">
        <f>VLOOKUP($B112,'MAIN DATA, Orders'!$B:$R,17,0)</f>
        <v>2025</v>
      </c>
      <c r="G112" s="83">
        <f t="shared" si="14"/>
        <v>1</v>
      </c>
      <c r="H112" s="83">
        <f t="shared" si="15"/>
        <v>1</v>
      </c>
      <c r="I112" s="83">
        <f t="shared" si="16"/>
        <v>1</v>
      </c>
      <c r="K112" s="209"/>
    </row>
    <row r="113" spans="2:11" x14ac:dyDescent="0.35">
      <c r="B113" s="27" t="s">
        <v>1398</v>
      </c>
      <c r="C113" s="14">
        <f>VLOOKUP($B113,'MAIN DATA, Orders'!$B:$R,4,0)</f>
        <v>45476</v>
      </c>
      <c r="D113" s="83">
        <f>VLOOKUP($B113,'MAIN DATA, Orders'!$B:$R,5,0)</f>
        <v>2024</v>
      </c>
      <c r="E113" s="83">
        <f>VLOOKUP($B113,'MAIN DATA, Orders'!$B:$R,16,0)</f>
        <v>2024</v>
      </c>
      <c r="F113" s="83">
        <f>VLOOKUP($B113,'MAIN DATA, Orders'!$B:$R,17,0)</f>
        <v>2026</v>
      </c>
      <c r="G113" s="83">
        <f t="shared" si="14"/>
        <v>0</v>
      </c>
      <c r="H113" s="83">
        <f t="shared" si="15"/>
        <v>2</v>
      </c>
      <c r="I113" s="83">
        <f t="shared" si="16"/>
        <v>1</v>
      </c>
      <c r="K113" s="209"/>
    </row>
    <row r="114" spans="2:11" x14ac:dyDescent="0.35">
      <c r="B114" s="27" t="s">
        <v>1403</v>
      </c>
      <c r="C114" s="14">
        <f>VLOOKUP($B114,'MAIN DATA, Orders'!$B:$R,4,0)</f>
        <v>45560</v>
      </c>
      <c r="D114" s="83">
        <f>VLOOKUP($B114,'MAIN DATA, Orders'!$B:$R,5,0)</f>
        <v>2024</v>
      </c>
      <c r="E114" s="83">
        <f>VLOOKUP($B114,'MAIN DATA, Orders'!$B:$R,16,0)</f>
        <v>2029</v>
      </c>
      <c r="F114" s="83">
        <f>VLOOKUP($B114,'MAIN DATA, Orders'!$B:$R,17,0)</f>
        <v>2031</v>
      </c>
      <c r="G114" s="83">
        <f t="shared" si="14"/>
        <v>5</v>
      </c>
      <c r="H114" s="83">
        <f t="shared" si="15"/>
        <v>7</v>
      </c>
      <c r="I114" s="83">
        <f t="shared" si="16"/>
        <v>6</v>
      </c>
      <c r="K114" s="209"/>
    </row>
    <row r="115" spans="2:11" x14ac:dyDescent="0.35">
      <c r="B115" s="27" t="s">
        <v>1410</v>
      </c>
      <c r="C115" s="14">
        <f>VLOOKUP($B115,'MAIN DATA, Orders'!$B:$R,4,0)</f>
        <v>45560</v>
      </c>
      <c r="D115" s="83">
        <f>VLOOKUP($B115,'MAIN DATA, Orders'!$B:$R,5,0)</f>
        <v>2024</v>
      </c>
      <c r="E115" s="83">
        <f>VLOOKUP($B115,'MAIN DATA, Orders'!$B:$R,16,0)</f>
        <v>2029</v>
      </c>
      <c r="F115" s="83">
        <f>VLOOKUP($B115,'MAIN DATA, Orders'!$B:$R,17,0)</f>
        <v>2031</v>
      </c>
      <c r="G115" s="83">
        <f t="shared" si="14"/>
        <v>5</v>
      </c>
      <c r="H115" s="83">
        <f t="shared" si="15"/>
        <v>7</v>
      </c>
      <c r="I115" s="83">
        <f t="shared" si="16"/>
        <v>6</v>
      </c>
      <c r="K115" s="209"/>
    </row>
    <row r="116" spans="2:11" x14ac:dyDescent="0.35">
      <c r="B116" s="27" t="s">
        <v>1412</v>
      </c>
      <c r="C116" s="14">
        <f>VLOOKUP($B116,'MAIN DATA, Orders'!$B:$R,4,0)</f>
        <v>45560</v>
      </c>
      <c r="D116" s="83">
        <f>VLOOKUP($B116,'MAIN DATA, Orders'!$B:$R,5,0)</f>
        <v>2024</v>
      </c>
      <c r="E116" s="83">
        <f>VLOOKUP($B116,'MAIN DATA, Orders'!$B:$R,16,0)</f>
        <v>2029</v>
      </c>
      <c r="F116" s="83">
        <f>VLOOKUP($B116,'MAIN DATA, Orders'!$B:$R,17,0)</f>
        <v>2032</v>
      </c>
      <c r="G116" s="83">
        <f t="shared" si="14"/>
        <v>5</v>
      </c>
      <c r="H116" s="83">
        <f t="shared" si="15"/>
        <v>8</v>
      </c>
      <c r="I116" s="83">
        <f t="shared" si="16"/>
        <v>6.5</v>
      </c>
      <c r="K116" s="209"/>
    </row>
    <row r="117" spans="2:11" x14ac:dyDescent="0.35">
      <c r="B117" s="27" t="s">
        <v>1428</v>
      </c>
      <c r="C117" s="14">
        <f>VLOOKUP($B117,'MAIN DATA, Orders'!$B:$R,4,0)</f>
        <v>45581</v>
      </c>
      <c r="D117" s="83">
        <f>VLOOKUP($B117,'MAIN DATA, Orders'!$B:$R,5,0)</f>
        <v>2024</v>
      </c>
      <c r="E117" s="83">
        <f>VLOOKUP($B117,'MAIN DATA, Orders'!$B:$R,16,0)</f>
        <v>2025</v>
      </c>
      <c r="F117" s="83">
        <f>VLOOKUP($B117,'MAIN DATA, Orders'!$B:$R,17,0)</f>
        <v>2027</v>
      </c>
      <c r="G117" s="83">
        <f t="shared" si="14"/>
        <v>1</v>
      </c>
      <c r="H117" s="83">
        <f t="shared" si="15"/>
        <v>3</v>
      </c>
      <c r="I117" s="83">
        <f t="shared" si="16"/>
        <v>2</v>
      </c>
      <c r="K117" s="209"/>
    </row>
    <row r="118" spans="2:11" x14ac:dyDescent="0.35">
      <c r="B118" s="27" t="s">
        <v>1436</v>
      </c>
      <c r="C118" s="14">
        <f>VLOOKUP($B118,'MAIN DATA, Orders'!$B:$R,4,0)</f>
        <v>45581</v>
      </c>
      <c r="D118" s="83">
        <f>VLOOKUP($B118,'MAIN DATA, Orders'!$B:$R,5,0)</f>
        <v>2024</v>
      </c>
      <c r="E118" s="83">
        <f>VLOOKUP($B118,'MAIN DATA, Orders'!$B:$R,16,0)</f>
        <v>2024</v>
      </c>
      <c r="F118" s="83">
        <f>VLOOKUP($B118,'MAIN DATA, Orders'!$B:$R,17,0)</f>
        <v>2031</v>
      </c>
      <c r="G118" s="83">
        <f t="shared" ref="G118:G157" si="17">E118-D118</f>
        <v>0</v>
      </c>
      <c r="H118" s="83">
        <f t="shared" ref="H118:H157" si="18">F118-D118</f>
        <v>7</v>
      </c>
      <c r="I118" s="83">
        <f t="shared" ref="I118:I157" si="19">AVERAGE(G118:H118)</f>
        <v>3.5</v>
      </c>
      <c r="K118" s="209"/>
    </row>
    <row r="119" spans="2:11" x14ac:dyDescent="0.35">
      <c r="B119" s="27" t="s">
        <v>1438</v>
      </c>
      <c r="C119" s="14">
        <f>VLOOKUP($B119,'MAIN DATA, Orders'!$B:$R,4,0)</f>
        <v>45581</v>
      </c>
      <c r="D119" s="83">
        <f>VLOOKUP($B119,'MAIN DATA, Orders'!$B:$R,5,0)</f>
        <v>2024</v>
      </c>
      <c r="E119" s="83">
        <f>VLOOKUP($B119,'MAIN DATA, Orders'!$B:$R,16,0)</f>
        <v>2024</v>
      </c>
      <c r="F119" s="83">
        <f>VLOOKUP($B119,'MAIN DATA, Orders'!$B:$R,17,0)</f>
        <v>2031</v>
      </c>
      <c r="G119" s="83">
        <f t="shared" si="17"/>
        <v>0</v>
      </c>
      <c r="H119" s="83">
        <f t="shared" si="18"/>
        <v>7</v>
      </c>
      <c r="I119" s="83">
        <f t="shared" si="19"/>
        <v>3.5</v>
      </c>
      <c r="K119" s="209"/>
    </row>
    <row r="120" spans="2:11" x14ac:dyDescent="0.35">
      <c r="B120" s="27" t="s">
        <v>1440</v>
      </c>
      <c r="C120" s="14">
        <f>VLOOKUP($B120,'MAIN DATA, Orders'!$B:$R,4,0)</f>
        <v>45581</v>
      </c>
      <c r="D120" s="83">
        <f>VLOOKUP($B120,'MAIN DATA, Orders'!$B:$R,5,0)</f>
        <v>2024</v>
      </c>
      <c r="E120" s="83">
        <f>VLOOKUP($B120,'MAIN DATA, Orders'!$B:$R,16,0)</f>
        <v>2025</v>
      </c>
      <c r="F120" s="83">
        <f>VLOOKUP($B120,'MAIN DATA, Orders'!$B:$R,17,0)</f>
        <v>2031</v>
      </c>
      <c r="G120" s="83">
        <f t="shared" si="17"/>
        <v>1</v>
      </c>
      <c r="H120" s="83">
        <f t="shared" si="18"/>
        <v>7</v>
      </c>
      <c r="I120" s="83">
        <f t="shared" si="19"/>
        <v>4</v>
      </c>
      <c r="K120" s="209"/>
    </row>
    <row r="121" spans="2:11" x14ac:dyDescent="0.35">
      <c r="B121" s="27" t="s">
        <v>1453</v>
      </c>
      <c r="C121" s="14">
        <f>VLOOKUP($B121,'MAIN DATA, Orders'!$B:$R,4,0)</f>
        <v>45581</v>
      </c>
      <c r="D121" s="83">
        <f>VLOOKUP($B121,'MAIN DATA, Orders'!$B:$R,5,0)</f>
        <v>2024</v>
      </c>
      <c r="E121" s="83">
        <f>VLOOKUP($B121,'MAIN DATA, Orders'!$B:$R,16,0)</f>
        <v>2025</v>
      </c>
      <c r="F121" s="83">
        <f>VLOOKUP($B121,'MAIN DATA, Orders'!$B:$R,17,0)</f>
        <v>2026</v>
      </c>
      <c r="G121" s="83">
        <f t="shared" si="17"/>
        <v>1</v>
      </c>
      <c r="H121" s="83">
        <f t="shared" si="18"/>
        <v>2</v>
      </c>
      <c r="I121" s="83">
        <f t="shared" si="19"/>
        <v>1.5</v>
      </c>
      <c r="K121" s="209"/>
    </row>
    <row r="122" spans="2:11" x14ac:dyDescent="0.35">
      <c r="B122" s="27" t="s">
        <v>1459</v>
      </c>
      <c r="C122" s="14">
        <f>VLOOKUP($B122,'MAIN DATA, Orders'!$B:$R,4,0)</f>
        <v>45581</v>
      </c>
      <c r="D122" s="83">
        <f>VLOOKUP($B122,'MAIN DATA, Orders'!$B:$R,5,0)</f>
        <v>2024</v>
      </c>
      <c r="E122" s="83">
        <f>VLOOKUP($B122,'MAIN DATA, Orders'!$B:$R,16,0)</f>
        <v>2027</v>
      </c>
      <c r="F122" s="83">
        <f>VLOOKUP($B122,'MAIN DATA, Orders'!$B:$R,17,0)</f>
        <v>2030</v>
      </c>
      <c r="G122" s="83">
        <f t="shared" si="17"/>
        <v>3</v>
      </c>
      <c r="H122" s="83">
        <f t="shared" si="18"/>
        <v>6</v>
      </c>
      <c r="I122" s="83">
        <f t="shared" si="19"/>
        <v>4.5</v>
      </c>
      <c r="K122" s="209"/>
    </row>
    <row r="123" spans="2:11" x14ac:dyDescent="0.35">
      <c r="B123" s="27" t="s">
        <v>1467</v>
      </c>
      <c r="C123" s="14">
        <f>VLOOKUP($B123,'MAIN DATA, Orders'!$B:$R,4,0)</f>
        <v>45602</v>
      </c>
      <c r="D123" s="83">
        <f>VLOOKUP($B123,'MAIN DATA, Orders'!$B:$R,5,0)</f>
        <v>2024</v>
      </c>
      <c r="E123" s="83">
        <f>VLOOKUP($B123,'MAIN DATA, Orders'!$B:$R,16,0)</f>
        <v>2024</v>
      </c>
      <c r="F123" s="83">
        <f>VLOOKUP($B123,'MAIN DATA, Orders'!$B:$R,17,0)</f>
        <v>2024</v>
      </c>
      <c r="G123" s="83">
        <f t="shared" si="17"/>
        <v>0</v>
      </c>
      <c r="H123" s="83">
        <f t="shared" si="18"/>
        <v>0</v>
      </c>
      <c r="I123" s="83">
        <f t="shared" si="19"/>
        <v>0</v>
      </c>
      <c r="K123" s="209"/>
    </row>
    <row r="124" spans="2:11" x14ac:dyDescent="0.35">
      <c r="B124" s="27" t="s">
        <v>1468</v>
      </c>
      <c r="C124" s="14">
        <f>VLOOKUP($B124,'MAIN DATA, Orders'!$B:$R,4,0)</f>
        <v>45602</v>
      </c>
      <c r="D124" s="83">
        <f>VLOOKUP($B124,'MAIN DATA, Orders'!$B:$R,5,0)</f>
        <v>2024</v>
      </c>
      <c r="E124" s="83">
        <f>VLOOKUP($B124,'MAIN DATA, Orders'!$B:$R,16,0)</f>
        <v>2024</v>
      </c>
      <c r="F124" s="83">
        <f>VLOOKUP($B124,'MAIN DATA, Orders'!$B:$R,17,0)</f>
        <v>2024</v>
      </c>
      <c r="G124" s="83">
        <f t="shared" si="17"/>
        <v>0</v>
      </c>
      <c r="H124" s="83">
        <f t="shared" si="18"/>
        <v>0</v>
      </c>
      <c r="I124" s="83">
        <f t="shared" si="19"/>
        <v>0</v>
      </c>
      <c r="K124" s="209"/>
    </row>
    <row r="125" spans="2:11" x14ac:dyDescent="0.35">
      <c r="B125" s="27" t="s">
        <v>1583</v>
      </c>
      <c r="C125" s="14">
        <f>VLOOKUP($B125,'MAIN DATA, Orders'!$B:$R,4,0)</f>
        <v>45644</v>
      </c>
      <c r="D125" s="83">
        <f>VLOOKUP($B125,'MAIN DATA, Orders'!$B:$R,5,0)</f>
        <v>2024</v>
      </c>
      <c r="E125" s="83">
        <f>VLOOKUP($B125,'MAIN DATA, Orders'!$B:$R,16,0)</f>
        <v>2025</v>
      </c>
      <c r="F125" s="83">
        <f>VLOOKUP($B125,'MAIN DATA, Orders'!$B:$R,17,0)</f>
        <v>2032</v>
      </c>
      <c r="G125" s="83">
        <f t="shared" si="17"/>
        <v>1</v>
      </c>
      <c r="H125" s="83">
        <f t="shared" si="18"/>
        <v>8</v>
      </c>
      <c r="I125" s="83">
        <f t="shared" si="19"/>
        <v>4.5</v>
      </c>
      <c r="K125" s="209"/>
    </row>
    <row r="126" spans="2:11" x14ac:dyDescent="0.35">
      <c r="B126" s="27" t="s">
        <v>1590</v>
      </c>
      <c r="C126" s="14">
        <f>VLOOKUP($B126,'MAIN DATA, Orders'!$B:$R,4,0)</f>
        <v>45686</v>
      </c>
      <c r="D126" s="83">
        <f>VLOOKUP($B126,'MAIN DATA, Orders'!$B:$R,5,0)</f>
        <v>2025</v>
      </c>
      <c r="E126" s="83">
        <f>VLOOKUP($B126,'MAIN DATA, Orders'!$B:$R,16,0)</f>
        <v>2025</v>
      </c>
      <c r="F126" s="83">
        <f>VLOOKUP($B126,'MAIN DATA, Orders'!$B:$R,17,0)</f>
        <v>2026</v>
      </c>
      <c r="G126" s="83">
        <f t="shared" si="17"/>
        <v>0</v>
      </c>
      <c r="H126" s="83">
        <f t="shared" si="18"/>
        <v>1</v>
      </c>
      <c r="I126" s="83">
        <f t="shared" si="19"/>
        <v>0.5</v>
      </c>
      <c r="K126" s="209"/>
    </row>
    <row r="127" spans="2:11" x14ac:dyDescent="0.35">
      <c r="B127" s="27" t="s">
        <v>1608</v>
      </c>
      <c r="C127" s="14">
        <f>VLOOKUP($B127,'MAIN DATA, Orders'!$B:$R,4,0)</f>
        <v>45686</v>
      </c>
      <c r="D127" s="83">
        <f>VLOOKUP($B127,'MAIN DATA, Orders'!$B:$R,5,0)</f>
        <v>2025</v>
      </c>
      <c r="E127" s="83">
        <f>VLOOKUP($B127,'MAIN DATA, Orders'!$B:$R,16,0)</f>
        <v>2026</v>
      </c>
      <c r="F127" s="83">
        <f>VLOOKUP($B127,'MAIN DATA, Orders'!$B:$R,17,0)</f>
        <v>2027</v>
      </c>
      <c r="G127" s="83">
        <f t="shared" si="17"/>
        <v>1</v>
      </c>
      <c r="H127" s="83">
        <f t="shared" si="18"/>
        <v>2</v>
      </c>
      <c r="I127" s="83">
        <f t="shared" si="19"/>
        <v>1.5</v>
      </c>
      <c r="K127" s="209"/>
    </row>
    <row r="128" spans="2:11" x14ac:dyDescent="0.35">
      <c r="B128" s="27" t="s">
        <v>1610</v>
      </c>
      <c r="C128" s="14">
        <f>VLOOKUP($B128,'MAIN DATA, Orders'!$B:$R,4,0)</f>
        <v>45686</v>
      </c>
      <c r="D128" s="83">
        <f>VLOOKUP($B128,'MAIN DATA, Orders'!$B:$R,5,0)</f>
        <v>2025</v>
      </c>
      <c r="E128" s="83">
        <f>VLOOKUP($B128,'MAIN DATA, Orders'!$B:$R,16,0)</f>
        <v>2026</v>
      </c>
      <c r="F128" s="83">
        <f>VLOOKUP($B128,'MAIN DATA, Orders'!$B:$R,17,0)</f>
        <v>2027</v>
      </c>
      <c r="G128" s="83">
        <f t="shared" si="17"/>
        <v>1</v>
      </c>
      <c r="H128" s="83">
        <f t="shared" si="18"/>
        <v>2</v>
      </c>
      <c r="I128" s="83">
        <f t="shared" si="19"/>
        <v>1.5</v>
      </c>
      <c r="K128" s="209"/>
    </row>
    <row r="129" spans="2:11" x14ac:dyDescent="0.35">
      <c r="B129" s="27" t="s">
        <v>1625</v>
      </c>
      <c r="C129" s="14">
        <f>VLOOKUP($B129,'MAIN DATA, Orders'!$B:$R,4,0)</f>
        <v>45686</v>
      </c>
      <c r="D129" s="83">
        <f>VLOOKUP($B129,'MAIN DATA, Orders'!$B:$R,5,0)</f>
        <v>2025</v>
      </c>
      <c r="E129" s="83">
        <f>VLOOKUP($B129,'MAIN DATA, Orders'!$B:$R,16,0)</f>
        <v>2025</v>
      </c>
      <c r="F129" s="83">
        <f>VLOOKUP($B129,'MAIN DATA, Orders'!$B:$R,17,0)</f>
        <v>2027</v>
      </c>
      <c r="G129" s="83">
        <f t="shared" si="17"/>
        <v>0</v>
      </c>
      <c r="H129" s="83">
        <f t="shared" si="18"/>
        <v>2</v>
      </c>
      <c r="I129" s="83">
        <f t="shared" si="19"/>
        <v>1</v>
      </c>
      <c r="K129" s="209"/>
    </row>
    <row r="130" spans="2:11" x14ac:dyDescent="0.35">
      <c r="B130" s="27" t="s">
        <v>1646</v>
      </c>
      <c r="C130" s="14">
        <f>VLOOKUP($B130,'MAIN DATA, Orders'!$B:$R,4,0)</f>
        <v>45812</v>
      </c>
      <c r="D130" s="83">
        <f>VLOOKUP($B130,'MAIN DATA, Orders'!$B:$R,5,0)</f>
        <v>2025</v>
      </c>
      <c r="E130" s="83">
        <f>VLOOKUP($B130,'MAIN DATA, Orders'!$B:$R,16,0)</f>
        <v>2025</v>
      </c>
      <c r="F130" s="83">
        <f>VLOOKUP($B130,'MAIN DATA, Orders'!$B:$R,17,0)</f>
        <v>2032</v>
      </c>
      <c r="G130" s="83">
        <f t="shared" si="17"/>
        <v>0</v>
      </c>
      <c r="H130" s="83">
        <f t="shared" si="18"/>
        <v>7</v>
      </c>
      <c r="I130" s="83">
        <f t="shared" si="19"/>
        <v>3.5</v>
      </c>
      <c r="K130" s="209"/>
    </row>
    <row r="131" spans="2:11" x14ac:dyDescent="0.35">
      <c r="B131" s="27" t="s">
        <v>1667</v>
      </c>
      <c r="C131" s="14">
        <f>VLOOKUP($B131,'MAIN DATA, Orders'!$B:$R,4,0)</f>
        <v>45833</v>
      </c>
      <c r="D131" s="83">
        <f>VLOOKUP($B131,'MAIN DATA, Orders'!$B:$R,5,0)</f>
        <v>2025</v>
      </c>
      <c r="E131" s="83">
        <f>VLOOKUP($B131,'MAIN DATA, Orders'!$B:$R,16,0)</f>
        <v>2025</v>
      </c>
      <c r="F131" s="83">
        <f>VLOOKUP($B131,'MAIN DATA, Orders'!$B:$R,17,0)</f>
        <v>2027</v>
      </c>
      <c r="G131" s="83">
        <f t="shared" si="17"/>
        <v>0</v>
      </c>
      <c r="H131" s="83">
        <f t="shared" si="18"/>
        <v>2</v>
      </c>
      <c r="I131" s="83">
        <f t="shared" si="19"/>
        <v>1</v>
      </c>
      <c r="K131" s="209"/>
    </row>
    <row r="132" spans="2:11" x14ac:dyDescent="0.35">
      <c r="B132" s="27" t="s">
        <v>1675</v>
      </c>
      <c r="C132" s="14">
        <f>VLOOKUP($B132,'MAIN DATA, Orders'!$B:$R,4,0)</f>
        <v>45833</v>
      </c>
      <c r="D132" s="83">
        <f>VLOOKUP($B132,'MAIN DATA, Orders'!$B:$R,5,0)</f>
        <v>2025</v>
      </c>
      <c r="E132" s="83">
        <f>VLOOKUP($B132,'MAIN DATA, Orders'!$B:$R,16,0)</f>
        <v>2025</v>
      </c>
      <c r="F132" s="83">
        <f>VLOOKUP($B132,'MAIN DATA, Orders'!$B:$R,17,0)</f>
        <v>2035</v>
      </c>
      <c r="G132" s="83">
        <f t="shared" si="17"/>
        <v>0</v>
      </c>
      <c r="H132" s="83">
        <f t="shared" si="18"/>
        <v>10</v>
      </c>
      <c r="I132" s="83">
        <f t="shared" si="19"/>
        <v>5</v>
      </c>
      <c r="K132" s="209"/>
    </row>
    <row r="133" spans="2:11" x14ac:dyDescent="0.35">
      <c r="B133" s="27" t="s">
        <v>1682</v>
      </c>
      <c r="C133" s="14">
        <f>VLOOKUP($B133,'MAIN DATA, Orders'!$B:$R,4,0)</f>
        <v>45833</v>
      </c>
      <c r="D133" s="83">
        <f>VLOOKUP($B133,'MAIN DATA, Orders'!$B:$R,5,0)</f>
        <v>2025</v>
      </c>
      <c r="E133" s="83">
        <f>VLOOKUP($B133,'MAIN DATA, Orders'!$B:$R,16,0)</f>
        <v>2025</v>
      </c>
      <c r="F133" s="83">
        <f>VLOOKUP($B133,'MAIN DATA, Orders'!$B:$R,17,0)</f>
        <v>2025</v>
      </c>
      <c r="G133" s="83">
        <f t="shared" si="17"/>
        <v>0</v>
      </c>
      <c r="H133" s="83">
        <f t="shared" si="18"/>
        <v>0</v>
      </c>
      <c r="I133" s="83">
        <f t="shared" si="19"/>
        <v>0</v>
      </c>
      <c r="K133" s="209"/>
    </row>
    <row r="134" spans="2:11" x14ac:dyDescent="0.35">
      <c r="B134" s="27" t="s">
        <v>1696</v>
      </c>
      <c r="C134" s="14">
        <f>VLOOKUP($B134,'MAIN DATA, Orders'!$B:$R,4,0)</f>
        <v>45833</v>
      </c>
      <c r="D134" s="83">
        <f>VLOOKUP($B134,'MAIN DATA, Orders'!$B:$R,5,0)</f>
        <v>2025</v>
      </c>
      <c r="E134" s="83">
        <f>VLOOKUP($B134,'MAIN DATA, Orders'!$B:$R,16,0)</f>
        <v>2025</v>
      </c>
      <c r="F134" s="83">
        <f>VLOOKUP($B134,'MAIN DATA, Orders'!$B:$R,17,0)</f>
        <v>2030</v>
      </c>
      <c r="G134" s="83">
        <f t="shared" si="17"/>
        <v>0</v>
      </c>
      <c r="H134" s="83">
        <f t="shared" si="18"/>
        <v>5</v>
      </c>
      <c r="I134" s="83">
        <f t="shared" si="19"/>
        <v>2.5</v>
      </c>
      <c r="K134" s="209"/>
    </row>
    <row r="135" spans="2:11" x14ac:dyDescent="0.35">
      <c r="B135" s="27" t="s">
        <v>1701</v>
      </c>
      <c r="C135" s="14">
        <f>VLOOKUP($B135,'MAIN DATA, Orders'!$B:$R,4,0)</f>
        <v>45868</v>
      </c>
      <c r="D135" s="83">
        <f>VLOOKUP($B135,'MAIN DATA, Orders'!$B:$R,5,0)</f>
        <v>2025</v>
      </c>
      <c r="E135" s="83">
        <f>VLOOKUP($B135,'MAIN DATA, Orders'!$B:$R,16,0)</f>
        <v>2025</v>
      </c>
      <c r="F135" s="83">
        <f>VLOOKUP($B135,'MAIN DATA, Orders'!$B:$R,17,0)</f>
        <v>2025</v>
      </c>
      <c r="G135" s="83">
        <f t="shared" si="17"/>
        <v>0</v>
      </c>
      <c r="H135" s="83">
        <f t="shared" si="18"/>
        <v>0</v>
      </c>
      <c r="I135" s="83">
        <f t="shared" si="19"/>
        <v>0</v>
      </c>
      <c r="K135" s="209"/>
    </row>
    <row r="136" spans="2:11" x14ac:dyDescent="0.35">
      <c r="B136" s="27" t="s">
        <v>1709</v>
      </c>
      <c r="C136" s="14">
        <f>VLOOKUP($B136,'MAIN DATA, Orders'!$B:$R,4,0)</f>
        <v>45868</v>
      </c>
      <c r="D136" s="83">
        <f>VLOOKUP($B136,'MAIN DATA, Orders'!$B:$R,5,0)</f>
        <v>2025</v>
      </c>
      <c r="E136" s="83">
        <f>VLOOKUP($B136,'MAIN DATA, Orders'!$B:$R,16,0)</f>
        <v>2025</v>
      </c>
      <c r="F136" s="83">
        <f>VLOOKUP($B136,'MAIN DATA, Orders'!$B:$R,17,0)</f>
        <v>2025</v>
      </c>
      <c r="G136" s="83">
        <f t="shared" si="17"/>
        <v>0</v>
      </c>
      <c r="H136" s="83">
        <f t="shared" si="18"/>
        <v>0</v>
      </c>
      <c r="I136" s="83">
        <f t="shared" si="19"/>
        <v>0</v>
      </c>
      <c r="K136" s="209"/>
    </row>
    <row r="137" spans="2:11" x14ac:dyDescent="0.35">
      <c r="B137" s="27" t="s">
        <v>1712</v>
      </c>
      <c r="C137" s="14">
        <f>VLOOKUP($B137,'MAIN DATA, Orders'!$B:$R,4,0)</f>
        <v>45910</v>
      </c>
      <c r="D137" s="83">
        <f>VLOOKUP($B137,'MAIN DATA, Orders'!$B:$R,5,0)</f>
        <v>2025</v>
      </c>
      <c r="E137" s="83">
        <f>VLOOKUP($B137,'MAIN DATA, Orders'!$B:$R,16,0)</f>
        <v>2026</v>
      </c>
      <c r="F137" s="83">
        <f>VLOOKUP($B137,'MAIN DATA, Orders'!$B:$R,17,0)</f>
        <v>2028</v>
      </c>
      <c r="G137" s="83">
        <f t="shared" si="17"/>
        <v>1</v>
      </c>
      <c r="H137" s="83">
        <f t="shared" si="18"/>
        <v>3</v>
      </c>
      <c r="I137" s="83">
        <f t="shared" si="19"/>
        <v>2</v>
      </c>
      <c r="K137" s="209"/>
    </row>
    <row r="138" spans="2:11" x14ac:dyDescent="0.35">
      <c r="B138" s="27" t="s">
        <v>1736</v>
      </c>
      <c r="C138" s="14">
        <f>VLOOKUP($B138,'MAIN DATA, Orders'!$B:$R,4,0)</f>
        <v>45910</v>
      </c>
      <c r="D138" s="83">
        <f>VLOOKUP($B138,'MAIN DATA, Orders'!$B:$R,5,0)</f>
        <v>2025</v>
      </c>
      <c r="E138" s="83">
        <f>VLOOKUP($B138,'MAIN DATA, Orders'!$B:$R,16,0)</f>
        <v>2027</v>
      </c>
      <c r="F138" s="83">
        <f>VLOOKUP($B138,'MAIN DATA, Orders'!$B:$R,17,0)</f>
        <v>2033</v>
      </c>
      <c r="G138" s="83">
        <f t="shared" si="17"/>
        <v>2</v>
      </c>
      <c r="H138" s="83">
        <f t="shared" si="18"/>
        <v>8</v>
      </c>
      <c r="I138" s="83">
        <f t="shared" si="19"/>
        <v>5</v>
      </c>
      <c r="K138" s="209"/>
    </row>
    <row r="139" spans="2:11" x14ac:dyDescent="0.35">
      <c r="B139" s="27" t="s">
        <v>1746</v>
      </c>
      <c r="C139" s="14">
        <f>VLOOKUP($B139,'MAIN DATA, Orders'!$B:$R,4,0)</f>
        <v>45910</v>
      </c>
      <c r="D139" s="83">
        <f>VLOOKUP($B139,'MAIN DATA, Orders'!$B:$R,5,0)</f>
        <v>2025</v>
      </c>
      <c r="E139" s="83">
        <f>VLOOKUP($B139,'MAIN DATA, Orders'!$B:$R,16,0)</f>
        <v>2026</v>
      </c>
      <c r="F139" s="83">
        <f>VLOOKUP($B139,'MAIN DATA, Orders'!$B:$R,17,0)</f>
        <v>2026</v>
      </c>
      <c r="G139" s="83">
        <f t="shared" si="17"/>
        <v>1</v>
      </c>
      <c r="H139" s="83">
        <f t="shared" si="18"/>
        <v>1</v>
      </c>
      <c r="I139" s="83">
        <f t="shared" si="19"/>
        <v>1</v>
      </c>
      <c r="K139" s="209"/>
    </row>
    <row r="140" spans="2:11" x14ac:dyDescent="0.35">
      <c r="B140" s="27" t="s">
        <v>1788</v>
      </c>
      <c r="C140" s="14">
        <f>VLOOKUP($B140,'MAIN DATA, Orders'!$B:$R,4,0)</f>
        <v>45938</v>
      </c>
      <c r="D140" s="83">
        <f>VLOOKUP($B140,'MAIN DATA, Orders'!$B:$R,5,0)</f>
        <v>2025</v>
      </c>
      <c r="E140" s="83">
        <f>VLOOKUP($B140,'MAIN DATA, Orders'!$B:$R,16,0)</f>
        <v>2029</v>
      </c>
      <c r="F140" s="83">
        <f>VLOOKUP($B140,'MAIN DATA, Orders'!$B:$R,17,0)</f>
        <v>2029</v>
      </c>
      <c r="G140" s="83">
        <f t="shared" si="17"/>
        <v>4</v>
      </c>
      <c r="H140" s="83">
        <f t="shared" si="18"/>
        <v>4</v>
      </c>
      <c r="I140" s="83">
        <f t="shared" si="19"/>
        <v>4</v>
      </c>
      <c r="K140" s="209"/>
    </row>
    <row r="141" spans="2:11" x14ac:dyDescent="0.35">
      <c r="B141" s="27" t="s">
        <v>1795</v>
      </c>
      <c r="C141" s="14">
        <f>VLOOKUP($B141,'MAIN DATA, Orders'!$B:$R,4,0)</f>
        <v>45960</v>
      </c>
      <c r="D141" s="83">
        <f>VLOOKUP($B141,'MAIN DATA, Orders'!$B:$R,5,0)</f>
        <v>2025</v>
      </c>
      <c r="E141" s="83">
        <f>VLOOKUP($B141,'MAIN DATA, Orders'!$B:$R,16,0)</f>
        <v>2030</v>
      </c>
      <c r="F141" s="83">
        <f>VLOOKUP($B141,'MAIN DATA, Orders'!$B:$R,17,0)</f>
        <v>2036</v>
      </c>
      <c r="G141" s="83">
        <f t="shared" si="17"/>
        <v>5</v>
      </c>
      <c r="H141" s="83">
        <f t="shared" si="18"/>
        <v>11</v>
      </c>
      <c r="I141" s="83">
        <f t="shared" si="19"/>
        <v>8</v>
      </c>
      <c r="K141" s="209"/>
    </row>
    <row r="142" spans="2:11" x14ac:dyDescent="0.35">
      <c r="B142" s="27" t="s">
        <v>1802</v>
      </c>
      <c r="C142" s="14">
        <f>VLOOKUP($B142,'MAIN DATA, Orders'!$B:$R,4,0)</f>
        <v>45938</v>
      </c>
      <c r="D142" s="83">
        <f>VLOOKUP($B142,'MAIN DATA, Orders'!$B:$R,5,0)</f>
        <v>2025</v>
      </c>
      <c r="E142" s="83">
        <f>VLOOKUP($B142,'MAIN DATA, Orders'!$B:$R,16,0)</f>
        <v>2031</v>
      </c>
      <c r="F142" s="83">
        <f>VLOOKUP($B142,'MAIN DATA, Orders'!$B:$R,17,0)</f>
        <v>2034</v>
      </c>
      <c r="G142" s="83">
        <f t="shared" si="17"/>
        <v>6</v>
      </c>
      <c r="H142" s="83">
        <f t="shared" si="18"/>
        <v>9</v>
      </c>
      <c r="I142" s="83">
        <f t="shared" si="19"/>
        <v>7.5</v>
      </c>
      <c r="K142" s="209"/>
    </row>
    <row r="143" spans="2:11" x14ac:dyDescent="0.35">
      <c r="B143" s="27" t="s">
        <v>1824</v>
      </c>
      <c r="C143" s="14">
        <f>VLOOKUP($B143,'MAIN DATA, Orders'!$B:$R,4,0)</f>
        <v>45938</v>
      </c>
      <c r="D143" s="83">
        <f>VLOOKUP($B143,'MAIN DATA, Orders'!$B:$R,5,0)</f>
        <v>2025</v>
      </c>
      <c r="E143" s="83">
        <f>VLOOKUP($B143,'MAIN DATA, Orders'!$B:$R,16,0)</f>
        <v>2027</v>
      </c>
      <c r="F143" s="83">
        <f>VLOOKUP($B143,'MAIN DATA, Orders'!$B:$R,17,0)</f>
        <v>2030</v>
      </c>
      <c r="G143" s="83">
        <f t="shared" si="17"/>
        <v>2</v>
      </c>
      <c r="H143" s="83">
        <f t="shared" si="18"/>
        <v>5</v>
      </c>
      <c r="I143" s="83">
        <f t="shared" si="19"/>
        <v>3.5</v>
      </c>
      <c r="K143" s="209"/>
    </row>
    <row r="144" spans="2:11" x14ac:dyDescent="0.35">
      <c r="B144" s="27" t="s">
        <v>1858</v>
      </c>
      <c r="C144" s="14">
        <f>VLOOKUP($B144,'MAIN DATA, Orders'!$B:$R,4,0)</f>
        <v>45938</v>
      </c>
      <c r="D144" s="83">
        <f>VLOOKUP($B144,'MAIN DATA, Orders'!$B:$R,5,0)</f>
        <v>2025</v>
      </c>
      <c r="E144" s="83">
        <f>VLOOKUP($B144,'MAIN DATA, Orders'!$B:$R,16,0)</f>
        <v>2027</v>
      </c>
      <c r="F144" s="83">
        <f>VLOOKUP($B144,'MAIN DATA, Orders'!$B:$R,17,0)</f>
        <v>2031</v>
      </c>
      <c r="G144" s="83">
        <f t="shared" si="17"/>
        <v>2</v>
      </c>
      <c r="H144" s="83">
        <f t="shared" si="18"/>
        <v>6</v>
      </c>
      <c r="I144" s="83">
        <f t="shared" si="19"/>
        <v>4</v>
      </c>
      <c r="K144" s="209"/>
    </row>
    <row r="145" spans="2:11" x14ac:dyDescent="0.35">
      <c r="B145" s="27" t="s">
        <v>1927</v>
      </c>
      <c r="C145" s="14">
        <f>VLOOKUP($B145,'MAIN DATA, Orders'!$B:$R,4,0)</f>
        <v>45966</v>
      </c>
      <c r="D145" s="83">
        <f>VLOOKUP($B145,'MAIN DATA, Orders'!$B:$R,5,0)</f>
        <v>2025</v>
      </c>
      <c r="E145" s="83">
        <f>VLOOKUP($B145,'MAIN DATA, Orders'!$B:$R,16,0)</f>
        <v>2027</v>
      </c>
      <c r="F145" s="83">
        <f>VLOOKUP($B145,'MAIN DATA, Orders'!$B:$R,17,0)</f>
        <v>2031</v>
      </c>
      <c r="G145" s="83">
        <f t="shared" si="17"/>
        <v>2</v>
      </c>
      <c r="H145" s="83">
        <f t="shared" si="18"/>
        <v>6</v>
      </c>
      <c r="I145" s="83">
        <f t="shared" si="19"/>
        <v>4</v>
      </c>
      <c r="K145" s="209"/>
    </row>
    <row r="146" spans="2:11" x14ac:dyDescent="0.35">
      <c r="B146" s="27" t="s">
        <v>1937</v>
      </c>
      <c r="C146" s="14">
        <f>VLOOKUP($B146,'MAIN DATA, Orders'!$B:$R,4,0)</f>
        <v>45974</v>
      </c>
      <c r="D146" s="83">
        <f>VLOOKUP($B146,'MAIN DATA, Orders'!$B:$R,5,0)</f>
        <v>2025</v>
      </c>
      <c r="E146" s="83">
        <f>VLOOKUP($B146,'MAIN DATA, Orders'!$B:$R,16,0)</f>
        <v>2027</v>
      </c>
      <c r="F146" s="83">
        <f>VLOOKUP($B146,'MAIN DATA, Orders'!$B:$R,17,0)</f>
        <v>2029</v>
      </c>
      <c r="G146" s="83">
        <f t="shared" si="17"/>
        <v>2</v>
      </c>
      <c r="H146" s="83">
        <f t="shared" si="18"/>
        <v>4</v>
      </c>
      <c r="I146" s="83">
        <f t="shared" si="19"/>
        <v>3</v>
      </c>
      <c r="K146" s="209"/>
    </row>
    <row r="147" spans="2:11" x14ac:dyDescent="0.35">
      <c r="B147" s="27" t="s">
        <v>1980</v>
      </c>
      <c r="C147" s="14">
        <f>VLOOKUP($B147,'MAIN DATA, Orders'!$B:$R,4,0)</f>
        <v>45994</v>
      </c>
      <c r="D147" s="83">
        <f>VLOOKUP($B147,'MAIN DATA, Orders'!$B:$R,5,0)</f>
        <v>2025</v>
      </c>
      <c r="E147" s="83">
        <f>VLOOKUP($B147,'MAIN DATA, Orders'!$B:$R,16,0)</f>
        <v>2026</v>
      </c>
      <c r="F147" s="83">
        <f>VLOOKUP($B147,'MAIN DATA, Orders'!$B:$R,17,0)</f>
        <v>2028</v>
      </c>
      <c r="G147" s="83">
        <f t="shared" si="17"/>
        <v>1</v>
      </c>
      <c r="H147" s="83">
        <f t="shared" si="18"/>
        <v>3</v>
      </c>
      <c r="I147" s="83">
        <f t="shared" si="19"/>
        <v>2</v>
      </c>
      <c r="K147" s="209"/>
    </row>
    <row r="148" spans="2:11" x14ac:dyDescent="0.35">
      <c r="B148" s="27" t="s">
        <v>1990</v>
      </c>
      <c r="C148" s="14">
        <f>VLOOKUP($B148,'MAIN DATA, Orders'!$B:$R,4,0)</f>
        <v>45994</v>
      </c>
      <c r="D148" s="83">
        <f>VLOOKUP($B148,'MAIN DATA, Orders'!$B:$R,5,0)</f>
        <v>2025</v>
      </c>
      <c r="E148" s="83">
        <f>VLOOKUP($B148,'MAIN DATA, Orders'!$B:$R,16,0)</f>
        <v>2026</v>
      </c>
      <c r="F148" s="83">
        <f>VLOOKUP($B148,'MAIN DATA, Orders'!$B:$R,17,0)</f>
        <v>2029</v>
      </c>
      <c r="G148" s="83">
        <f t="shared" si="17"/>
        <v>1</v>
      </c>
      <c r="H148" s="83">
        <f t="shared" si="18"/>
        <v>4</v>
      </c>
      <c r="I148" s="83">
        <f t="shared" si="19"/>
        <v>2.5</v>
      </c>
      <c r="K148" s="209"/>
    </row>
    <row r="149" spans="2:11" x14ac:dyDescent="0.35">
      <c r="B149" s="27" t="s">
        <v>1995</v>
      </c>
      <c r="C149" s="14">
        <f>VLOOKUP($B149,'MAIN DATA, Orders'!$B:$R,4,0)</f>
        <v>45994</v>
      </c>
      <c r="D149" s="83">
        <f>VLOOKUP($B149,'MAIN DATA, Orders'!$B:$R,5,0)</f>
        <v>2025</v>
      </c>
      <c r="E149" s="83">
        <f>VLOOKUP($B149,'MAIN DATA, Orders'!$B:$R,16,0)</f>
        <v>2026</v>
      </c>
      <c r="F149" s="83">
        <f>VLOOKUP($B149,'MAIN DATA, Orders'!$B:$R,17,0)</f>
        <v>2032</v>
      </c>
      <c r="G149" s="83">
        <f t="shared" si="17"/>
        <v>1</v>
      </c>
      <c r="H149" s="83">
        <f t="shared" si="18"/>
        <v>7</v>
      </c>
      <c r="I149" s="83">
        <f t="shared" si="19"/>
        <v>4</v>
      </c>
      <c r="K149" s="209"/>
    </row>
    <row r="150" spans="2:11" x14ac:dyDescent="0.35">
      <c r="B150" s="27" t="s">
        <v>2000</v>
      </c>
      <c r="C150" s="14">
        <f>VLOOKUP($B150,'MAIN DATA, Orders'!$B:$R,4,0)</f>
        <v>45994</v>
      </c>
      <c r="D150" s="83">
        <f>VLOOKUP($B150,'MAIN DATA, Orders'!$B:$R,5,0)</f>
        <v>2025</v>
      </c>
      <c r="E150" s="83">
        <f>VLOOKUP($B150,'MAIN DATA, Orders'!$B:$R,16,0)</f>
        <v>2026</v>
      </c>
      <c r="F150" s="83">
        <f>VLOOKUP($B150,'MAIN DATA, Orders'!$B:$R,17,0)</f>
        <v>2032</v>
      </c>
      <c r="G150" s="83">
        <f t="shared" si="17"/>
        <v>1</v>
      </c>
      <c r="H150" s="83">
        <f t="shared" si="18"/>
        <v>7</v>
      </c>
      <c r="I150" s="83">
        <f t="shared" si="19"/>
        <v>4</v>
      </c>
      <c r="K150" s="209"/>
    </row>
    <row r="151" spans="2:11" x14ac:dyDescent="0.35">
      <c r="B151" s="27" t="s">
        <v>2010</v>
      </c>
      <c r="C151" s="14">
        <f>VLOOKUP($B151,'MAIN DATA, Orders'!$B:$R,4,0)</f>
        <v>45994</v>
      </c>
      <c r="D151" s="83">
        <f>VLOOKUP($B151,'MAIN DATA, Orders'!$B:$R,5,0)</f>
        <v>2025</v>
      </c>
      <c r="E151" s="83">
        <f>VLOOKUP($B151,'MAIN DATA, Orders'!$B:$R,16,0)</f>
        <v>2026</v>
      </c>
      <c r="F151" s="83">
        <f>VLOOKUP($B151,'MAIN DATA, Orders'!$B:$R,17,0)</f>
        <v>2027</v>
      </c>
      <c r="G151" s="83">
        <f t="shared" si="17"/>
        <v>1</v>
      </c>
      <c r="H151" s="83">
        <f t="shared" si="18"/>
        <v>2</v>
      </c>
      <c r="I151" s="83">
        <f t="shared" si="19"/>
        <v>1.5</v>
      </c>
      <c r="K151" s="209"/>
    </row>
    <row r="152" spans="2:11" x14ac:dyDescent="0.35">
      <c r="B152" s="27" t="s">
        <v>2026</v>
      </c>
      <c r="C152" s="14">
        <f>VLOOKUP($B152,'MAIN DATA, Orders'!$B:$R,4,0)</f>
        <v>46008</v>
      </c>
      <c r="D152" s="83">
        <f>VLOOKUP($B152,'MAIN DATA, Orders'!$B:$R,5,0)</f>
        <v>2025</v>
      </c>
      <c r="E152" s="83">
        <f>VLOOKUP($B152,'MAIN DATA, Orders'!$B:$R,16,0)</f>
        <v>2028</v>
      </c>
      <c r="F152" s="83">
        <f>VLOOKUP($B152,'MAIN DATA, Orders'!$B:$R,17,0)</f>
        <v>2031</v>
      </c>
      <c r="G152" s="83">
        <f t="shared" si="17"/>
        <v>3</v>
      </c>
      <c r="H152" s="83">
        <f t="shared" si="18"/>
        <v>6</v>
      </c>
      <c r="I152" s="83">
        <f t="shared" si="19"/>
        <v>4.5</v>
      </c>
      <c r="K152" s="209"/>
    </row>
    <row r="153" spans="2:11" x14ac:dyDescent="0.35">
      <c r="B153" s="27" t="s">
        <v>2042</v>
      </c>
      <c r="C153" s="14">
        <f>VLOOKUP($B153,'MAIN DATA, Orders'!$B:$R,4,0)</f>
        <v>46008</v>
      </c>
      <c r="D153" s="83">
        <f>VLOOKUP($B153,'MAIN DATA, Orders'!$B:$R,5,0)</f>
        <v>2025</v>
      </c>
      <c r="E153" s="83">
        <f>VLOOKUP($B153,'MAIN DATA, Orders'!$B:$R,16,0)</f>
        <v>2026</v>
      </c>
      <c r="F153" s="83">
        <f>VLOOKUP($B153,'MAIN DATA, Orders'!$B:$R,17,0)</f>
        <v>2034</v>
      </c>
      <c r="G153" s="83">
        <f t="shared" si="17"/>
        <v>1</v>
      </c>
      <c r="H153" s="83">
        <f t="shared" si="18"/>
        <v>9</v>
      </c>
      <c r="I153" s="83">
        <f t="shared" si="19"/>
        <v>5</v>
      </c>
      <c r="K153" s="209"/>
    </row>
    <row r="154" spans="2:11" x14ac:dyDescent="0.35">
      <c r="B154" s="27" t="s">
        <v>2059</v>
      </c>
      <c r="C154" s="14">
        <f>VLOOKUP($B154,'MAIN DATA, Orders'!$B:$R,4,0)</f>
        <v>46008</v>
      </c>
      <c r="D154" s="83">
        <f>VLOOKUP($B154,'MAIN DATA, Orders'!$B:$R,5,0)</f>
        <v>2025</v>
      </c>
      <c r="E154" s="83">
        <f>VLOOKUP($B154,'MAIN DATA, Orders'!$B:$R,16,0)</f>
        <v>2027</v>
      </c>
      <c r="F154" s="83">
        <f>VLOOKUP($B154,'MAIN DATA, Orders'!$B:$R,17,0)</f>
        <v>2031</v>
      </c>
      <c r="G154" s="83">
        <f t="shared" si="17"/>
        <v>2</v>
      </c>
      <c r="H154" s="83">
        <f t="shared" si="18"/>
        <v>6</v>
      </c>
      <c r="I154" s="83">
        <f t="shared" si="19"/>
        <v>4</v>
      </c>
      <c r="K154" s="209"/>
    </row>
    <row r="155" spans="2:11" x14ac:dyDescent="0.35">
      <c r="B155" s="27" t="s">
        <v>2070</v>
      </c>
      <c r="C155" s="14">
        <f>VLOOKUP($B155,'MAIN DATA, Orders'!$B:$R,4,0)</f>
        <v>46008</v>
      </c>
      <c r="D155" s="83">
        <f>VLOOKUP($B155,'MAIN DATA, Orders'!$B:$R,5,0)</f>
        <v>2025</v>
      </c>
      <c r="E155" s="83">
        <f>VLOOKUP($B155,'MAIN DATA, Orders'!$B:$R,16,0)</f>
        <v>2026</v>
      </c>
      <c r="F155" s="83">
        <f>VLOOKUP($B155,'MAIN DATA, Orders'!$B:$R,17,0)</f>
        <v>2029</v>
      </c>
      <c r="G155" s="83">
        <f t="shared" si="17"/>
        <v>1</v>
      </c>
      <c r="H155" s="83">
        <f t="shared" si="18"/>
        <v>4</v>
      </c>
      <c r="I155" s="83">
        <f t="shared" si="19"/>
        <v>2.5</v>
      </c>
      <c r="K155" s="209"/>
    </row>
    <row r="156" spans="2:11" x14ac:dyDescent="0.35">
      <c r="B156" s="27" t="s">
        <v>2081</v>
      </c>
      <c r="C156" s="14">
        <f>VLOOKUP($B156,'MAIN DATA, Orders'!$B:$R,4,0)</f>
        <v>46008</v>
      </c>
      <c r="D156" s="83">
        <f>VLOOKUP($B156,'MAIN DATA, Orders'!$B:$R,5,0)</f>
        <v>2025</v>
      </c>
      <c r="E156" s="83">
        <f>VLOOKUP($B156,'MAIN DATA, Orders'!$B:$R,16,0)</f>
        <v>2028</v>
      </c>
      <c r="F156" s="83">
        <f>VLOOKUP($B156,'MAIN DATA, Orders'!$B:$R,17,0)</f>
        <v>2030</v>
      </c>
      <c r="G156" s="83">
        <f t="shared" si="17"/>
        <v>3</v>
      </c>
      <c r="H156" s="83">
        <f t="shared" si="18"/>
        <v>5</v>
      </c>
      <c r="I156" s="83">
        <f t="shared" si="19"/>
        <v>4</v>
      </c>
      <c r="K156" s="209"/>
    </row>
    <row r="157" spans="2:11" x14ac:dyDescent="0.35">
      <c r="B157" s="27" t="s">
        <v>2131</v>
      </c>
      <c r="C157" s="14">
        <f>VLOOKUP($B157,'MAIN DATA, Orders'!$B:$R,4,0)</f>
        <v>46052</v>
      </c>
      <c r="D157" s="83">
        <f>VLOOKUP($B157,'MAIN DATA, Orders'!$B:$R,5,0)</f>
        <v>2026</v>
      </c>
      <c r="E157" s="83">
        <f>VLOOKUP($B157,'MAIN DATA, Orders'!$B:$R,16,0)</f>
        <v>2026</v>
      </c>
      <c r="F157" s="83">
        <f>VLOOKUP($B157,'MAIN DATA, Orders'!$B:$R,17,0)</f>
        <v>2026</v>
      </c>
      <c r="G157" s="83">
        <f t="shared" si="17"/>
        <v>0</v>
      </c>
      <c r="H157" s="83">
        <f t="shared" si="18"/>
        <v>0</v>
      </c>
      <c r="I157" s="83">
        <f t="shared" si="19"/>
        <v>0</v>
      </c>
      <c r="K157" s="209"/>
    </row>
    <row r="158" spans="2:11" x14ac:dyDescent="0.35">
      <c r="B158" s="168"/>
      <c r="C158" s="168"/>
      <c r="D158" s="168"/>
      <c r="E158" s="168"/>
      <c r="F158" s="168"/>
      <c r="G158" s="168"/>
      <c r="H158" s="168"/>
      <c r="I158" s="168"/>
      <c r="K158" s="209"/>
    </row>
    <row r="159" spans="2:11" x14ac:dyDescent="0.35">
      <c r="K159" s="209"/>
    </row>
    <row r="160" spans="2:11" x14ac:dyDescent="0.35">
      <c r="K160" s="209"/>
    </row>
    <row r="161" spans="11:11" x14ac:dyDescent="0.35">
      <c r="K161" s="209"/>
    </row>
    <row r="162" spans="11:11" x14ac:dyDescent="0.35">
      <c r="K162" s="209"/>
    </row>
    <row r="163" spans="11:11" x14ac:dyDescent="0.35">
      <c r="K163" s="209"/>
    </row>
    <row r="164" spans="11:11" x14ac:dyDescent="0.35">
      <c r="K164" s="209"/>
    </row>
    <row r="165" spans="11:11" x14ac:dyDescent="0.35">
      <c r="K165" s="209"/>
    </row>
    <row r="166" spans="11:11" x14ac:dyDescent="0.35">
      <c r="K166" s="209"/>
    </row>
    <row r="167" spans="11:11" x14ac:dyDescent="0.35">
      <c r="K167" s="209"/>
    </row>
    <row r="168" spans="11:11" x14ac:dyDescent="0.35">
      <c r="K168" s="209"/>
    </row>
    <row r="169" spans="11:11" x14ac:dyDescent="0.35">
      <c r="K169" s="209"/>
    </row>
    <row r="170" spans="11:11" x14ac:dyDescent="0.35">
      <c r="K170" s="209"/>
    </row>
    <row r="171" spans="11:11" x14ac:dyDescent="0.35">
      <c r="K171" s="209"/>
    </row>
    <row r="172" spans="11:11" x14ac:dyDescent="0.35">
      <c r="K172" s="209"/>
    </row>
    <row r="173" spans="11:11" x14ac:dyDescent="0.35">
      <c r="K173" s="209"/>
    </row>
    <row r="174" spans="11:11" x14ac:dyDescent="0.35">
      <c r="K174" s="209"/>
    </row>
    <row r="175" spans="11:11" x14ac:dyDescent="0.35">
      <c r="K175" s="209"/>
    </row>
    <row r="176" spans="11:11" x14ac:dyDescent="0.35">
      <c r="K176" s="209"/>
    </row>
  </sheetData>
  <mergeCells count="1">
    <mergeCell ref="B4:I4"/>
  </mergeCells>
  <phoneticPr fontId="1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311DB-EE99-42DD-90A5-9BFE58BEDF4F}">
  <sheetPr codeName="Sheet37">
    <tabColor theme="8" tint="0.59999389629810485"/>
  </sheetPr>
  <dimension ref="A2:I80"/>
  <sheetViews>
    <sheetView workbookViewId="0"/>
  </sheetViews>
  <sheetFormatPr baseColWidth="10" defaultColWidth="8.75" defaultRowHeight="15.5" x14ac:dyDescent="0.35"/>
  <cols>
    <col min="1" max="1" width="8.75" style="1" customWidth="1"/>
    <col min="2" max="2" width="9.75" style="1" customWidth="1"/>
    <col min="3" max="3" width="14.08203125" style="1" bestFit="1" customWidth="1"/>
    <col min="4" max="4" width="28.58203125" style="1" bestFit="1" customWidth="1"/>
    <col min="5" max="5" width="30.75" style="1" bestFit="1" customWidth="1"/>
    <col min="6" max="6" width="17.5" style="1" bestFit="1" customWidth="1"/>
    <col min="7" max="7" width="10.5" style="208" customWidth="1"/>
    <col min="8" max="8" width="25.75" style="1" customWidth="1"/>
    <col min="9" max="9" width="8.75" style="1"/>
    <col min="10" max="10" width="9.08203125" style="1" bestFit="1" customWidth="1"/>
    <col min="11" max="13" width="8.75" style="1"/>
    <col min="14" max="14" width="9.25" style="1" customWidth="1"/>
    <col min="15" max="18" width="8.75" style="1"/>
    <col min="19" max="19" width="9.25" style="1" customWidth="1"/>
    <col min="20" max="16384" width="8.75" style="1"/>
  </cols>
  <sheetData>
    <row r="2" spans="1:9" ht="25.9" customHeight="1" x14ac:dyDescent="0.7">
      <c r="B2" s="181" t="s">
        <v>5630</v>
      </c>
    </row>
    <row r="3" spans="1:9" x14ac:dyDescent="0.35">
      <c r="B3" s="29"/>
    </row>
    <row r="4" spans="1:9" ht="130.15" customHeight="1" x14ac:dyDescent="0.35">
      <c r="B4" s="236" t="s">
        <v>5623</v>
      </c>
      <c r="C4" s="236"/>
      <c r="D4" s="236"/>
      <c r="E4" s="236"/>
    </row>
    <row r="6" spans="1:9" ht="21" customHeight="1" x14ac:dyDescent="0.35">
      <c r="B6" s="68" t="s">
        <v>4197</v>
      </c>
      <c r="C6" s="68" t="s">
        <v>5249</v>
      </c>
      <c r="D6" s="68" t="s">
        <v>5250</v>
      </c>
      <c r="E6" s="68" t="s">
        <v>5251</v>
      </c>
      <c r="G6" s="204" t="s">
        <v>4197</v>
      </c>
      <c r="H6" s="69" t="s">
        <v>5252</v>
      </c>
    </row>
    <row r="7" spans="1:9" x14ac:dyDescent="0.35">
      <c r="A7" s="20">
        <v>202001</v>
      </c>
      <c r="B7" s="17">
        <v>43831</v>
      </c>
      <c r="C7" s="30">
        <f>COUNTIFS('MAIN DATA, Orders'!$G:$G,"&lt;&gt;.",'MAIN DATA, Orders'!$Y:$Y,$A7,'MAIN DATA, Orders'!$D:$D,"Germany")</f>
        <v>0</v>
      </c>
      <c r="D7" s="30">
        <f>COUNTIFS('MAIN DATA, Orders'!$G:$G,"&lt;&gt;.",'MAIN DATA, Orders'!$Y:$Y,$A7,'MAIN DATA, Orders'!$D:$D,"Germany",'MAIN DATA, Orders'!$R:$R,"")</f>
        <v>0</v>
      </c>
      <c r="E7" s="7"/>
      <c r="G7" s="205">
        <v>43831</v>
      </c>
      <c r="H7" s="200"/>
      <c r="I7" s="188"/>
    </row>
    <row r="8" spans="1:9" x14ac:dyDescent="0.35">
      <c r="A8" s="20">
        <v>202002</v>
      </c>
      <c r="B8" s="17">
        <v>43862</v>
      </c>
      <c r="C8" s="30">
        <f>COUNTIFS('MAIN DATA, Orders'!$G:$G,"&lt;&gt;.",'MAIN DATA, Orders'!$Y:$Y,$A8,'MAIN DATA, Orders'!$D:$D,"Germany")</f>
        <v>0</v>
      </c>
      <c r="D8" s="30">
        <f>COUNTIFS('MAIN DATA, Orders'!$G:$G,"&lt;&gt;.",'MAIN DATA, Orders'!$Y:$Y,$A8,'MAIN DATA, Orders'!$D:$D,"Germany",'MAIN DATA, Orders'!$R:$R,"")</f>
        <v>0</v>
      </c>
      <c r="E8" s="7"/>
      <c r="G8" s="205">
        <v>43862</v>
      </c>
      <c r="H8" s="201"/>
      <c r="I8" s="188"/>
    </row>
    <row r="9" spans="1:9" x14ac:dyDescent="0.35">
      <c r="A9" s="20">
        <v>202003</v>
      </c>
      <c r="B9" s="17">
        <v>43891</v>
      </c>
      <c r="C9" s="30">
        <f>COUNTIFS('MAIN DATA, Orders'!$G:$G,"&lt;&gt;.",'MAIN DATA, Orders'!$Y:$Y,$A9,'MAIN DATA, Orders'!$D:$D,"Germany")</f>
        <v>0</v>
      </c>
      <c r="D9" s="30">
        <f>COUNTIFS('MAIN DATA, Orders'!$G:$G,"&lt;&gt;.",'MAIN DATA, Orders'!$Y:$Y,$A9,'MAIN DATA, Orders'!$D:$D,"Germany",'MAIN DATA, Orders'!$R:$R,"")</f>
        <v>0</v>
      </c>
      <c r="E9" s="7"/>
      <c r="G9" s="205">
        <v>43891</v>
      </c>
      <c r="H9" s="200"/>
      <c r="I9" s="188"/>
    </row>
    <row r="10" spans="1:9" x14ac:dyDescent="0.35">
      <c r="A10" s="20">
        <v>202004</v>
      </c>
      <c r="B10" s="17">
        <v>43922</v>
      </c>
      <c r="C10" s="30">
        <f>COUNTIFS('MAIN DATA, Orders'!$G:$G,"&lt;&gt;.",'MAIN DATA, Orders'!$Y:$Y,$A10,'MAIN DATA, Orders'!$D:$D,"Germany")</f>
        <v>0</v>
      </c>
      <c r="D10" s="30">
        <f>COUNTIFS('MAIN DATA, Orders'!$G:$G,"&lt;&gt;.",'MAIN DATA, Orders'!$Y:$Y,$A10,'MAIN DATA, Orders'!$D:$D,"Germany",'MAIN DATA, Orders'!$R:$R,"")</f>
        <v>0</v>
      </c>
      <c r="E10" s="7"/>
      <c r="G10" s="205">
        <v>43922</v>
      </c>
      <c r="H10" s="200"/>
      <c r="I10" s="188"/>
    </row>
    <row r="11" spans="1:9" x14ac:dyDescent="0.35">
      <c r="A11" s="20">
        <v>202005</v>
      </c>
      <c r="B11" s="17">
        <v>43952</v>
      </c>
      <c r="C11" s="30">
        <f>COUNTIFS('MAIN DATA, Orders'!$G:$G,"&lt;&gt;.",'MAIN DATA, Orders'!$Y:$Y,$A11,'MAIN DATA, Orders'!$D:$D,"Germany")</f>
        <v>1</v>
      </c>
      <c r="D11" s="30">
        <f>COUNTIFS('MAIN DATA, Orders'!$G:$G,"&lt;&gt;.",'MAIN DATA, Orders'!$Y:$Y,$A11,'MAIN DATA, Orders'!$D:$D,"Germany",'MAIN DATA, Orders'!$R:$R,"")</f>
        <v>0</v>
      </c>
      <c r="E11" s="7">
        <f t="shared" ref="E11:E73" si="0">D11/C11</f>
        <v>0</v>
      </c>
      <c r="G11" s="205">
        <v>43952</v>
      </c>
      <c r="H11" s="200" cm="1">
        <f t="array" ref="H11">SUM(D9:D11/SUM(C9:C11))</f>
        <v>0</v>
      </c>
      <c r="I11" s="188"/>
    </row>
    <row r="12" spans="1:9" x14ac:dyDescent="0.35">
      <c r="A12" s="20">
        <v>202006</v>
      </c>
      <c r="B12" s="17">
        <v>43983</v>
      </c>
      <c r="C12" s="30">
        <f>COUNTIFS('MAIN DATA, Orders'!$G:$G,"&lt;&gt;.",'MAIN DATA, Orders'!$Y:$Y,$A12,'MAIN DATA, Orders'!$D:$D,"Germany")</f>
        <v>3</v>
      </c>
      <c r="D12" s="30">
        <f>COUNTIFS('MAIN DATA, Orders'!$G:$G,"&lt;&gt;.",'MAIN DATA, Orders'!$Y:$Y,$A12,'MAIN DATA, Orders'!$D:$D,"Germany",'MAIN DATA, Orders'!$R:$R,"")</f>
        <v>1</v>
      </c>
      <c r="E12" s="7">
        <f t="shared" si="0"/>
        <v>0.33333333333333331</v>
      </c>
      <c r="G12" s="205">
        <v>43983</v>
      </c>
      <c r="H12" s="200" cm="1">
        <f t="array" ref="H12">SUM(D10:D12/SUM(C10:C12))</f>
        <v>0.25</v>
      </c>
      <c r="I12" s="188"/>
    </row>
    <row r="13" spans="1:9" x14ac:dyDescent="0.35">
      <c r="A13" s="20">
        <v>202007</v>
      </c>
      <c r="B13" s="17">
        <v>44013</v>
      </c>
      <c r="C13" s="30">
        <f>COUNTIFS('MAIN DATA, Orders'!$G:$G,"&lt;&gt;.",'MAIN DATA, Orders'!$Y:$Y,$A13,'MAIN DATA, Orders'!$D:$D,"Germany")</f>
        <v>0</v>
      </c>
      <c r="D13" s="30">
        <f>COUNTIFS('MAIN DATA, Orders'!$G:$G,"&lt;&gt;.",'MAIN DATA, Orders'!$Y:$Y,$A13,'MAIN DATA, Orders'!$D:$D,"Germany",'MAIN DATA, Orders'!$R:$R,"")</f>
        <v>0</v>
      </c>
      <c r="E13" s="7"/>
      <c r="G13" s="205">
        <v>44013</v>
      </c>
      <c r="H13" s="200" cm="1">
        <f t="array" ref="H13">SUM(D11:D13/SUM(C11:C13))</f>
        <v>0.25</v>
      </c>
      <c r="I13" s="188"/>
    </row>
    <row r="14" spans="1:9" x14ac:dyDescent="0.35">
      <c r="A14" s="20">
        <v>202008</v>
      </c>
      <c r="B14" s="17">
        <v>44044</v>
      </c>
      <c r="C14" s="30">
        <f>COUNTIFS('MAIN DATA, Orders'!$G:$G,"&lt;&gt;.",'MAIN DATA, Orders'!$Y:$Y,$A14,'MAIN DATA, Orders'!$D:$D,"Germany")</f>
        <v>1</v>
      </c>
      <c r="D14" s="30">
        <f>COUNTIFS('MAIN DATA, Orders'!$G:$G,"&lt;&gt;.",'MAIN DATA, Orders'!$Y:$Y,$A14,'MAIN DATA, Orders'!$D:$D,"Germany",'MAIN DATA, Orders'!$R:$R,"")</f>
        <v>0</v>
      </c>
      <c r="E14" s="7">
        <f t="shared" si="0"/>
        <v>0</v>
      </c>
      <c r="F14" s="89"/>
      <c r="G14" s="205">
        <v>44044</v>
      </c>
      <c r="H14" s="200" cm="1">
        <f t="array" ref="H14">SUM(D12:D14/SUM(C12:C14))</f>
        <v>0.25</v>
      </c>
      <c r="I14" s="188"/>
    </row>
    <row r="15" spans="1:9" x14ac:dyDescent="0.35">
      <c r="A15" s="20">
        <v>202009</v>
      </c>
      <c r="B15" s="17">
        <v>44075</v>
      </c>
      <c r="C15" s="30">
        <f>COUNTIFS('MAIN DATA, Orders'!$G:$G,"&lt;&gt;.",'MAIN DATA, Orders'!$Y:$Y,$A15,'MAIN DATA, Orders'!$D:$D,"Germany")</f>
        <v>7</v>
      </c>
      <c r="D15" s="30">
        <f>COUNTIFS('MAIN DATA, Orders'!$G:$G,"&lt;&gt;.",'MAIN DATA, Orders'!$Y:$Y,$A15,'MAIN DATA, Orders'!$D:$D,"Germany",'MAIN DATA, Orders'!$R:$R,"")</f>
        <v>3</v>
      </c>
      <c r="E15" s="7">
        <f t="shared" ref="E15:E60" si="1">D15/C15</f>
        <v>0.42857142857142855</v>
      </c>
      <c r="G15" s="205">
        <v>44075</v>
      </c>
      <c r="H15" s="200" cm="1">
        <f t="array" ref="H15">SUM(D13:D15/SUM(C13:C15))</f>
        <v>0.375</v>
      </c>
      <c r="I15" s="188"/>
    </row>
    <row r="16" spans="1:9" x14ac:dyDescent="0.35">
      <c r="A16" s="20">
        <v>202010</v>
      </c>
      <c r="B16" s="17">
        <v>44105</v>
      </c>
      <c r="C16" s="30">
        <f>COUNTIFS('MAIN DATA, Orders'!$G:$G,"&lt;&gt;.",'MAIN DATA, Orders'!$Y:$Y,$A16,'MAIN DATA, Orders'!$D:$D,"Germany")</f>
        <v>1</v>
      </c>
      <c r="D16" s="30">
        <f>COUNTIFS('MAIN DATA, Orders'!$G:$G,"&lt;&gt;.",'MAIN DATA, Orders'!$Y:$Y,$A16,'MAIN DATA, Orders'!$D:$D,"Germany",'MAIN DATA, Orders'!$R:$R,"")</f>
        <v>0</v>
      </c>
      <c r="E16" s="7">
        <f t="shared" si="0"/>
        <v>0</v>
      </c>
      <c r="G16" s="205">
        <v>44105</v>
      </c>
      <c r="H16" s="200" cm="1">
        <f t="array" ref="H16">SUM(D14:D16/SUM(C14:C16))</f>
        <v>0.33333333333333331</v>
      </c>
      <c r="I16" s="188"/>
    </row>
    <row r="17" spans="1:9" x14ac:dyDescent="0.35">
      <c r="A17" s="20">
        <v>202011</v>
      </c>
      <c r="B17" s="17">
        <v>44136</v>
      </c>
      <c r="C17" s="30">
        <f>COUNTIFS('MAIN DATA, Orders'!$G:$G,"&lt;&gt;.",'MAIN DATA, Orders'!$Y:$Y,$A17,'MAIN DATA, Orders'!$D:$D,"Germany")</f>
        <v>13</v>
      </c>
      <c r="D17" s="30">
        <f>COUNTIFS('MAIN DATA, Orders'!$G:$G,"&lt;&gt;.",'MAIN DATA, Orders'!$Y:$Y,$A17,'MAIN DATA, Orders'!$D:$D,"Germany",'MAIN DATA, Orders'!$R:$R,"")</f>
        <v>5</v>
      </c>
      <c r="E17" s="7">
        <f t="shared" si="0"/>
        <v>0.38461538461538464</v>
      </c>
      <c r="G17" s="205">
        <v>44136</v>
      </c>
      <c r="H17" s="200" cm="1">
        <f t="array" ref="H17">SUM(D15:D17/SUM(C15:C17))</f>
        <v>0.38095238095238093</v>
      </c>
      <c r="I17" s="188"/>
    </row>
    <row r="18" spans="1:9" x14ac:dyDescent="0.35">
      <c r="A18" s="20">
        <v>202012</v>
      </c>
      <c r="B18" s="17">
        <v>44166</v>
      </c>
      <c r="C18" s="30">
        <f>COUNTIFS('MAIN DATA, Orders'!$G:$G,"&lt;&gt;.",'MAIN DATA, Orders'!$Y:$Y,$A18,'MAIN DATA, Orders'!$D:$D,"Germany")</f>
        <v>1</v>
      </c>
      <c r="D18" s="30">
        <f>COUNTIFS('MAIN DATA, Orders'!$G:$G,"&lt;&gt;.",'MAIN DATA, Orders'!$Y:$Y,$A18,'MAIN DATA, Orders'!$D:$D,"Germany",'MAIN DATA, Orders'!$R:$R,"")</f>
        <v>1</v>
      </c>
      <c r="E18" s="7">
        <f t="shared" si="0"/>
        <v>1</v>
      </c>
      <c r="G18" s="205">
        <v>44166</v>
      </c>
      <c r="H18" s="200" cm="1">
        <f t="array" ref="H18">SUM(D16:D18/SUM(C16:C18))</f>
        <v>0.39999999999999997</v>
      </c>
      <c r="I18" s="188"/>
    </row>
    <row r="19" spans="1:9" x14ac:dyDescent="0.35">
      <c r="A19" s="20">
        <v>202101</v>
      </c>
      <c r="B19" s="17">
        <v>44197</v>
      </c>
      <c r="C19" s="30">
        <f>COUNTIFS('MAIN DATA, Orders'!$G:$G,"&lt;&gt;.",'MAIN DATA, Orders'!$Y:$Y,$A19,'MAIN DATA, Orders'!$D:$D,"Germany")</f>
        <v>0</v>
      </c>
      <c r="D19" s="30">
        <f>COUNTIFS('MAIN DATA, Orders'!$G:$G,"&lt;&gt;.",'MAIN DATA, Orders'!$Y:$Y,$A19,'MAIN DATA, Orders'!$D:$D,"Germany",'MAIN DATA, Orders'!$R:$R,"")</f>
        <v>0</v>
      </c>
      <c r="E19" s="7"/>
      <c r="G19" s="205">
        <v>44197</v>
      </c>
      <c r="H19" s="200" cm="1">
        <f t="array" ref="H19">SUM(D17:D19/SUM(C17:C19))</f>
        <v>0.4285714285714286</v>
      </c>
      <c r="I19" s="188"/>
    </row>
    <row r="20" spans="1:9" x14ac:dyDescent="0.35">
      <c r="A20" s="20">
        <v>202102</v>
      </c>
      <c r="B20" s="17">
        <v>44228</v>
      </c>
      <c r="C20" s="30">
        <f>COUNTIFS('MAIN DATA, Orders'!$G:$G,"&lt;&gt;.",'MAIN DATA, Orders'!$Y:$Y,$A20,'MAIN DATA, Orders'!$D:$D,"Germany")</f>
        <v>2</v>
      </c>
      <c r="D20" s="30">
        <f>COUNTIFS('MAIN DATA, Orders'!$G:$G,"&lt;&gt;.",'MAIN DATA, Orders'!$Y:$Y,$A20,'MAIN DATA, Orders'!$D:$D,"Germany",'MAIN DATA, Orders'!$R:$R,"")</f>
        <v>0</v>
      </c>
      <c r="E20" s="7">
        <f t="shared" si="0"/>
        <v>0</v>
      </c>
      <c r="G20" s="205">
        <v>44228</v>
      </c>
      <c r="H20" s="200" cm="1">
        <f t="array" ref="H20">SUM(D18:D20/SUM(C18:C20))</f>
        <v>0.33333333333333331</v>
      </c>
      <c r="I20" s="188"/>
    </row>
    <row r="21" spans="1:9" x14ac:dyDescent="0.35">
      <c r="A21" s="20">
        <v>202103</v>
      </c>
      <c r="B21" s="17">
        <v>44256</v>
      </c>
      <c r="C21" s="30">
        <f>COUNTIFS('MAIN DATA, Orders'!$G:$G,"&lt;&gt;.",'MAIN DATA, Orders'!$Y:$Y,$A21,'MAIN DATA, Orders'!$D:$D,"Germany")</f>
        <v>0</v>
      </c>
      <c r="D21" s="30">
        <f>COUNTIFS('MAIN DATA, Orders'!$G:$G,"&lt;&gt;.",'MAIN DATA, Orders'!$Y:$Y,$A21,'MAIN DATA, Orders'!$D:$D,"Germany",'MAIN DATA, Orders'!$R:$R,"")</f>
        <v>0</v>
      </c>
      <c r="E21" s="7"/>
      <c r="G21" s="205">
        <v>44256</v>
      </c>
      <c r="H21" s="200" cm="1">
        <f t="array" ref="H21">SUM(D19:D21/SUM(C19:C21))</f>
        <v>0</v>
      </c>
      <c r="I21" s="188"/>
    </row>
    <row r="22" spans="1:9" x14ac:dyDescent="0.35">
      <c r="A22" s="20">
        <v>202104</v>
      </c>
      <c r="B22" s="17">
        <v>44287</v>
      </c>
      <c r="C22" s="30">
        <f>COUNTIFS('MAIN DATA, Orders'!$G:$G,"&lt;&gt;.",'MAIN DATA, Orders'!$Y:$Y,$A22,'MAIN DATA, Orders'!$D:$D,"Germany")</f>
        <v>8</v>
      </c>
      <c r="D22" s="30">
        <f>COUNTIFS('MAIN DATA, Orders'!$G:$G,"&lt;&gt;.",'MAIN DATA, Orders'!$Y:$Y,$A22,'MAIN DATA, Orders'!$D:$D,"Germany",'MAIN DATA, Orders'!$R:$R,"")</f>
        <v>3</v>
      </c>
      <c r="E22" s="7">
        <f t="shared" si="0"/>
        <v>0.375</v>
      </c>
      <c r="G22" s="205">
        <v>44287</v>
      </c>
      <c r="H22" s="200" cm="1">
        <f t="array" ref="H22">SUM(D20:D22/SUM(C20:C22))</f>
        <v>0.3</v>
      </c>
      <c r="I22" s="188"/>
    </row>
    <row r="23" spans="1:9" x14ac:dyDescent="0.35">
      <c r="A23" s="20">
        <v>202105</v>
      </c>
      <c r="B23" s="17">
        <v>44317</v>
      </c>
      <c r="C23" s="30">
        <f>COUNTIFS('MAIN DATA, Orders'!$G:$G,"&lt;&gt;.",'MAIN DATA, Orders'!$Y:$Y,$A23,'MAIN DATA, Orders'!$D:$D,"Germany")</f>
        <v>5</v>
      </c>
      <c r="D23" s="30">
        <f>COUNTIFS('MAIN DATA, Orders'!$G:$G,"&lt;&gt;.",'MAIN DATA, Orders'!$Y:$Y,$A23,'MAIN DATA, Orders'!$D:$D,"Germany",'MAIN DATA, Orders'!$R:$R,"")</f>
        <v>1</v>
      </c>
      <c r="E23" s="7">
        <f t="shared" si="0"/>
        <v>0.2</v>
      </c>
      <c r="G23" s="205">
        <v>44317</v>
      </c>
      <c r="H23" s="200" cm="1">
        <f t="array" ref="H23">SUM(D21:D23/SUM(C21:C23))</f>
        <v>0.30769230769230771</v>
      </c>
      <c r="I23" s="188"/>
    </row>
    <row r="24" spans="1:9" x14ac:dyDescent="0.35">
      <c r="A24" s="20">
        <v>202106</v>
      </c>
      <c r="B24" s="17">
        <v>44348</v>
      </c>
      <c r="C24" s="30">
        <f>COUNTIFS('MAIN DATA, Orders'!$G:$G,"&lt;&gt;.",'MAIN DATA, Orders'!$Y:$Y,$A24,'MAIN DATA, Orders'!$D:$D,"Germany")</f>
        <v>31</v>
      </c>
      <c r="D24" s="30">
        <f>COUNTIFS('MAIN DATA, Orders'!$G:$G,"&lt;&gt;.",'MAIN DATA, Orders'!$Y:$Y,$A24,'MAIN DATA, Orders'!$D:$D,"Germany",'MAIN DATA, Orders'!$R:$R,"")</f>
        <v>18</v>
      </c>
      <c r="E24" s="7">
        <f>D24/C24</f>
        <v>0.58064516129032262</v>
      </c>
      <c r="G24" s="205">
        <v>44348</v>
      </c>
      <c r="H24" s="200" cm="1">
        <f t="array" ref="H24">SUM(D22:D24/SUM(C22:C24))</f>
        <v>0.5</v>
      </c>
      <c r="I24" s="188"/>
    </row>
    <row r="25" spans="1:9" x14ac:dyDescent="0.35">
      <c r="A25" s="20">
        <v>202107</v>
      </c>
      <c r="B25" s="17">
        <v>44378</v>
      </c>
      <c r="C25" s="30">
        <f>COUNTIFS('MAIN DATA, Orders'!$G:$G,"&lt;&gt;.",'MAIN DATA, Orders'!$Y:$Y,$A25,'MAIN DATA, Orders'!$D:$D,"Germany")</f>
        <v>0</v>
      </c>
      <c r="D25" s="30">
        <f>COUNTIFS('MAIN DATA, Orders'!$G:$G,"&lt;&gt;.",'MAIN DATA, Orders'!$Y:$Y,$A25,'MAIN DATA, Orders'!$D:$D,"Germany",'MAIN DATA, Orders'!$R:$R,"")</f>
        <v>0</v>
      </c>
      <c r="E25" s="7"/>
      <c r="G25" s="205">
        <v>44378</v>
      </c>
      <c r="H25" s="200" cm="1">
        <f t="array" ref="H25">SUM(D23:D25/SUM(C23:C25))</f>
        <v>0.52777777777777779</v>
      </c>
      <c r="I25" s="188"/>
    </row>
    <row r="26" spans="1:9" x14ac:dyDescent="0.35">
      <c r="A26" s="20">
        <v>202108</v>
      </c>
      <c r="B26" s="17">
        <v>44409</v>
      </c>
      <c r="C26" s="30">
        <f>COUNTIFS('MAIN DATA, Orders'!$G:$G,"&lt;&gt;.",'MAIN DATA, Orders'!$Y:$Y,$A26,'MAIN DATA, Orders'!$D:$D,"Germany")</f>
        <v>0</v>
      </c>
      <c r="D26" s="30">
        <f>COUNTIFS('MAIN DATA, Orders'!$G:$G,"&lt;&gt;.",'MAIN DATA, Orders'!$Y:$Y,$A26,'MAIN DATA, Orders'!$D:$D,"Germany",'MAIN DATA, Orders'!$R:$R,"")</f>
        <v>0</v>
      </c>
      <c r="E26" s="7"/>
      <c r="G26" s="205">
        <v>44409</v>
      </c>
      <c r="H26" s="200" cm="1">
        <f t="array" ref="H26">SUM(D24:D26/SUM(C24:C26))</f>
        <v>0.58064516129032262</v>
      </c>
      <c r="I26" s="188"/>
    </row>
    <row r="27" spans="1:9" x14ac:dyDescent="0.35">
      <c r="A27" s="20">
        <v>202109</v>
      </c>
      <c r="B27" s="17">
        <v>44440</v>
      </c>
      <c r="C27" s="30">
        <f>COUNTIFS('MAIN DATA, Orders'!$G:$G,"&lt;&gt;.",'MAIN DATA, Orders'!$Y:$Y,$A27,'MAIN DATA, Orders'!$D:$D,"Germany")</f>
        <v>0</v>
      </c>
      <c r="D27" s="30">
        <f>COUNTIFS('MAIN DATA, Orders'!$G:$G,"&lt;&gt;.",'MAIN DATA, Orders'!$Y:$Y,$A27,'MAIN DATA, Orders'!$D:$D,"Germany",'MAIN DATA, Orders'!$R:$R,"")</f>
        <v>0</v>
      </c>
      <c r="E27" s="7"/>
      <c r="G27" s="205">
        <v>44440</v>
      </c>
      <c r="H27" s="200"/>
      <c r="I27" s="188"/>
    </row>
    <row r="28" spans="1:9" x14ac:dyDescent="0.35">
      <c r="A28" s="20">
        <v>202110</v>
      </c>
      <c r="B28" s="17">
        <v>44470</v>
      </c>
      <c r="C28" s="30">
        <f>COUNTIFS('MAIN DATA, Orders'!$G:$G,"&lt;&gt;.",'MAIN DATA, Orders'!$Y:$Y,$A28,'MAIN DATA, Orders'!$D:$D,"Germany")</f>
        <v>0</v>
      </c>
      <c r="D28" s="30">
        <f>COUNTIFS('MAIN DATA, Orders'!$G:$G,"&lt;&gt;.",'MAIN DATA, Orders'!$Y:$Y,$A28,'MAIN DATA, Orders'!$D:$D,"Germany",'MAIN DATA, Orders'!$R:$R,"")</f>
        <v>0</v>
      </c>
      <c r="E28" s="7"/>
      <c r="G28" s="205">
        <v>44470</v>
      </c>
      <c r="H28" s="200"/>
      <c r="I28" s="188"/>
    </row>
    <row r="29" spans="1:9" x14ac:dyDescent="0.35">
      <c r="A29" s="20">
        <v>202111</v>
      </c>
      <c r="B29" s="17">
        <v>44501</v>
      </c>
      <c r="C29" s="30">
        <f>COUNTIFS('MAIN DATA, Orders'!$G:$G,"&lt;&gt;.",'MAIN DATA, Orders'!$Y:$Y,$A29,'MAIN DATA, Orders'!$D:$D,"Germany")</f>
        <v>0</v>
      </c>
      <c r="D29" s="30">
        <f>COUNTIFS('MAIN DATA, Orders'!$G:$G,"&lt;&gt;.",'MAIN DATA, Orders'!$Y:$Y,$A29,'MAIN DATA, Orders'!$D:$D,"Germany",'MAIN DATA, Orders'!$R:$R,"")</f>
        <v>0</v>
      </c>
      <c r="E29" s="7"/>
      <c r="G29" s="205">
        <v>44501</v>
      </c>
      <c r="H29" s="200"/>
      <c r="I29" s="188"/>
    </row>
    <row r="30" spans="1:9" x14ac:dyDescent="0.35">
      <c r="A30" s="20">
        <v>202112</v>
      </c>
      <c r="B30" s="17">
        <v>44531</v>
      </c>
      <c r="C30" s="30">
        <f>COUNTIFS('MAIN DATA, Orders'!$G:$G,"&lt;&gt;.",'MAIN DATA, Orders'!$Y:$Y,$A30,'MAIN DATA, Orders'!$D:$D,"Germany")</f>
        <v>0</v>
      </c>
      <c r="D30" s="30">
        <f>COUNTIFS('MAIN DATA, Orders'!$G:$G,"&lt;&gt;.",'MAIN DATA, Orders'!$Y:$Y,$A30,'MAIN DATA, Orders'!$D:$D,"Germany",'MAIN DATA, Orders'!$R:$R,"")</f>
        <v>0</v>
      </c>
      <c r="E30" s="7"/>
      <c r="G30" s="205">
        <v>44531</v>
      </c>
      <c r="H30" s="200"/>
      <c r="I30" s="188"/>
    </row>
    <row r="31" spans="1:9" x14ac:dyDescent="0.35">
      <c r="A31" s="20">
        <v>202201</v>
      </c>
      <c r="B31" s="17">
        <v>44562</v>
      </c>
      <c r="C31" s="30">
        <f>COUNTIFS('MAIN DATA, Orders'!$G:$G,"&lt;&gt;.",'MAIN DATA, Orders'!$Y:$Y,$A31,'MAIN DATA, Orders'!$D:$D,"Germany")</f>
        <v>0</v>
      </c>
      <c r="D31" s="30">
        <f>COUNTIFS('MAIN DATA, Orders'!$G:$G,"&lt;&gt;.",'MAIN DATA, Orders'!$Y:$Y,$A31,'MAIN DATA, Orders'!$D:$D,"Germany",'MAIN DATA, Orders'!$R:$R,"")</f>
        <v>0</v>
      </c>
      <c r="E31" s="7"/>
      <c r="G31" s="205">
        <v>44562</v>
      </c>
      <c r="H31" s="200"/>
      <c r="I31" s="188"/>
    </row>
    <row r="32" spans="1:9" x14ac:dyDescent="0.35">
      <c r="A32" s="20">
        <v>202202</v>
      </c>
      <c r="B32" s="17">
        <v>44593</v>
      </c>
      <c r="C32" s="30">
        <f>COUNTIFS('MAIN DATA, Orders'!$G:$G,"&lt;&gt;.",'MAIN DATA, Orders'!$Y:$Y,$A32,'MAIN DATA, Orders'!$D:$D,"Germany")</f>
        <v>0</v>
      </c>
      <c r="D32" s="30">
        <f>COUNTIFS('MAIN DATA, Orders'!$G:$G,"&lt;&gt;.",'MAIN DATA, Orders'!$Y:$Y,$A32,'MAIN DATA, Orders'!$D:$D,"Germany",'MAIN DATA, Orders'!$R:$R,"")</f>
        <v>0</v>
      </c>
      <c r="E32" s="7"/>
      <c r="G32" s="205">
        <v>44593</v>
      </c>
      <c r="H32" s="200"/>
      <c r="I32" s="188"/>
    </row>
    <row r="33" spans="1:9" x14ac:dyDescent="0.35">
      <c r="A33" s="20">
        <v>202203</v>
      </c>
      <c r="B33" s="17">
        <v>44621</v>
      </c>
      <c r="C33" s="30">
        <f>COUNTIFS('MAIN DATA, Orders'!$G:$G,"&lt;&gt;.",'MAIN DATA, Orders'!$Y:$Y,$A33,'MAIN DATA, Orders'!$D:$D,"Germany")</f>
        <v>0</v>
      </c>
      <c r="D33" s="30">
        <f>COUNTIFS('MAIN DATA, Orders'!$G:$G,"&lt;&gt;.",'MAIN DATA, Orders'!$Y:$Y,$A33,'MAIN DATA, Orders'!$D:$D,"Germany",'MAIN DATA, Orders'!$R:$R,"")</f>
        <v>0</v>
      </c>
      <c r="E33" s="7"/>
      <c r="G33" s="205">
        <v>44621</v>
      </c>
      <c r="H33" s="200"/>
      <c r="I33" s="188"/>
    </row>
    <row r="34" spans="1:9" x14ac:dyDescent="0.35">
      <c r="A34" s="20">
        <v>202204</v>
      </c>
      <c r="B34" s="17">
        <v>44652</v>
      </c>
      <c r="C34" s="30">
        <f>COUNTIFS('MAIN DATA, Orders'!$G:$G,"&lt;&gt;.",'MAIN DATA, Orders'!$Y:$Y,$A34,'MAIN DATA, Orders'!$D:$D,"Germany")</f>
        <v>1</v>
      </c>
      <c r="D34" s="30">
        <f>COUNTIFS('MAIN DATA, Orders'!$G:$G,"&lt;&gt;.",'MAIN DATA, Orders'!$Y:$Y,$A34,'MAIN DATA, Orders'!$D:$D,"Germany",'MAIN DATA, Orders'!$R:$R,"")</f>
        <v>1</v>
      </c>
      <c r="E34" s="7">
        <f t="shared" si="0"/>
        <v>1</v>
      </c>
      <c r="G34" s="205">
        <v>44652</v>
      </c>
      <c r="H34" s="200" cm="1">
        <f t="array" ref="H34">SUM(D32:D34/SUM(C32:C34))</f>
        <v>1</v>
      </c>
      <c r="I34" s="188"/>
    </row>
    <row r="35" spans="1:9" x14ac:dyDescent="0.35">
      <c r="A35" s="20">
        <v>202205</v>
      </c>
      <c r="B35" s="17">
        <v>44682</v>
      </c>
      <c r="C35" s="30">
        <f>COUNTIFS('MAIN DATA, Orders'!$G:$G,"&lt;&gt;.",'MAIN DATA, Orders'!$Y:$Y,$A35,'MAIN DATA, Orders'!$D:$D,"Germany")</f>
        <v>7</v>
      </c>
      <c r="D35" s="30">
        <f>COUNTIFS('MAIN DATA, Orders'!$G:$G,"&lt;&gt;.",'MAIN DATA, Orders'!$Y:$Y,$A35,'MAIN DATA, Orders'!$D:$D,"Germany",'MAIN DATA, Orders'!$R:$R,"")</f>
        <v>1</v>
      </c>
      <c r="E35" s="7">
        <f t="shared" si="0"/>
        <v>0.14285714285714285</v>
      </c>
      <c r="G35" s="205">
        <v>44682</v>
      </c>
      <c r="H35" s="200" cm="1">
        <f t="array" ref="H35">SUM(D33:D35/SUM(C33:C35))</f>
        <v>0.25</v>
      </c>
    </row>
    <row r="36" spans="1:9" x14ac:dyDescent="0.35">
      <c r="A36" s="20">
        <v>202206</v>
      </c>
      <c r="B36" s="17">
        <v>44713</v>
      </c>
      <c r="C36" s="30">
        <f>COUNTIFS('MAIN DATA, Orders'!$G:$G,"&lt;&gt;.",'MAIN DATA, Orders'!$Y:$Y,$A36,'MAIN DATA, Orders'!$D:$D,"Germany")</f>
        <v>2</v>
      </c>
      <c r="D36" s="30">
        <f>COUNTIFS('MAIN DATA, Orders'!$G:$G,"&lt;&gt;.",'MAIN DATA, Orders'!$Y:$Y,$A36,'MAIN DATA, Orders'!$D:$D,"Germany",'MAIN DATA, Orders'!$R:$R,"")</f>
        <v>0</v>
      </c>
      <c r="E36" s="7">
        <f t="shared" si="0"/>
        <v>0</v>
      </c>
      <c r="G36" s="205">
        <v>44713</v>
      </c>
      <c r="H36" s="200" cm="1">
        <f t="array" ref="H36">SUM(D34:D36/SUM(C34:C36))</f>
        <v>0.2</v>
      </c>
    </row>
    <row r="37" spans="1:9" x14ac:dyDescent="0.35">
      <c r="A37" s="20">
        <v>202207</v>
      </c>
      <c r="B37" s="17">
        <v>44743</v>
      </c>
      <c r="C37" s="30">
        <f>COUNTIFS('MAIN DATA, Orders'!$G:$G,"&lt;&gt;.",'MAIN DATA, Orders'!$Y:$Y,$A37,'MAIN DATA, Orders'!$D:$D,"Germany")</f>
        <v>4</v>
      </c>
      <c r="D37" s="30">
        <f>COUNTIFS('MAIN DATA, Orders'!$G:$G,"&lt;&gt;.",'MAIN DATA, Orders'!$Y:$Y,$A37,'MAIN DATA, Orders'!$D:$D,"Germany",'MAIN DATA, Orders'!$R:$R,"")</f>
        <v>1</v>
      </c>
      <c r="E37" s="7">
        <f t="shared" si="0"/>
        <v>0.25</v>
      </c>
      <c r="G37" s="205">
        <v>44743</v>
      </c>
      <c r="H37" s="200" cm="1">
        <f t="array" ref="H37">SUM(D35:D37/SUM(C35:C37))</f>
        <v>0.15384615384615385</v>
      </c>
    </row>
    <row r="38" spans="1:9" x14ac:dyDescent="0.35">
      <c r="A38" s="20">
        <v>202208</v>
      </c>
      <c r="B38" s="17">
        <v>44774</v>
      </c>
      <c r="C38" s="30">
        <f>COUNTIFS('MAIN DATA, Orders'!$G:$G,"&lt;&gt;.",'MAIN DATA, Orders'!$Y:$Y,$A38,'MAIN DATA, Orders'!$D:$D,"Germany")</f>
        <v>0</v>
      </c>
      <c r="D38" s="30">
        <f>COUNTIFS('MAIN DATA, Orders'!$G:$G,"&lt;&gt;.",'MAIN DATA, Orders'!$Y:$Y,$A38,'MAIN DATA, Orders'!$D:$D,"Germany",'MAIN DATA, Orders'!$R:$R,"")</f>
        <v>0</v>
      </c>
      <c r="E38" s="7"/>
      <c r="G38" s="205">
        <v>44774</v>
      </c>
      <c r="H38" s="200" cm="1">
        <f t="array" ref="H38">SUM(D36:D38/SUM(C36:C38))</f>
        <v>0.16666666666666666</v>
      </c>
    </row>
    <row r="39" spans="1:9" x14ac:dyDescent="0.35">
      <c r="A39" s="20">
        <v>202209</v>
      </c>
      <c r="B39" s="17">
        <v>44805</v>
      </c>
      <c r="C39" s="30">
        <f>COUNTIFS('MAIN DATA, Orders'!$G:$G,"&lt;&gt;.",'MAIN DATA, Orders'!$Y:$Y,$A39,'MAIN DATA, Orders'!$D:$D,"Germany")</f>
        <v>2</v>
      </c>
      <c r="D39" s="30">
        <f>COUNTIFS('MAIN DATA, Orders'!$G:$G,"&lt;&gt;.",'MAIN DATA, Orders'!$Y:$Y,$A39,'MAIN DATA, Orders'!$D:$D,"Germany",'MAIN DATA, Orders'!$R:$R,"")</f>
        <v>0</v>
      </c>
      <c r="E39" s="7">
        <f t="shared" si="0"/>
        <v>0</v>
      </c>
      <c r="G39" s="205">
        <v>44805</v>
      </c>
      <c r="H39" s="200" cm="1">
        <f t="array" ref="H39">SUM(D37:D39/SUM(C37:C39))</f>
        <v>0.16666666666666666</v>
      </c>
    </row>
    <row r="40" spans="1:9" x14ac:dyDescent="0.35">
      <c r="A40" s="20">
        <v>202210</v>
      </c>
      <c r="B40" s="17">
        <v>44835</v>
      </c>
      <c r="C40" s="30">
        <f>COUNTIFS('MAIN DATA, Orders'!$G:$G,"&lt;&gt;.",'MAIN DATA, Orders'!$Y:$Y,$A40,'MAIN DATA, Orders'!$D:$D,"Germany")</f>
        <v>2</v>
      </c>
      <c r="D40" s="30">
        <f>COUNTIFS('MAIN DATA, Orders'!$G:$G,"&lt;&gt;.",'MAIN DATA, Orders'!$Y:$Y,$A40,'MAIN DATA, Orders'!$D:$D,"Germany",'MAIN DATA, Orders'!$R:$R,"")</f>
        <v>0</v>
      </c>
      <c r="E40" s="7">
        <f t="shared" si="0"/>
        <v>0</v>
      </c>
      <c r="G40" s="205">
        <v>44835</v>
      </c>
      <c r="H40" s="200" cm="1">
        <f t="array" ref="H40">SUM(D38:D40/SUM(C38:C40))</f>
        <v>0</v>
      </c>
    </row>
    <row r="41" spans="1:9" x14ac:dyDescent="0.35">
      <c r="A41" s="20">
        <v>202211</v>
      </c>
      <c r="B41" s="17">
        <v>44866</v>
      </c>
      <c r="C41" s="30">
        <f>COUNTIFS('MAIN DATA, Orders'!$G:$G,"&lt;&gt;.",'MAIN DATA, Orders'!$Y:$Y,$A41,'MAIN DATA, Orders'!$D:$D,"Germany")</f>
        <v>4</v>
      </c>
      <c r="D41" s="30">
        <f>COUNTIFS('MAIN DATA, Orders'!$G:$G,"&lt;&gt;.",'MAIN DATA, Orders'!$Y:$Y,$A41,'MAIN DATA, Orders'!$D:$D,"Germany",'MAIN DATA, Orders'!$R:$R,"")</f>
        <v>2</v>
      </c>
      <c r="E41" s="7">
        <f t="shared" si="0"/>
        <v>0.5</v>
      </c>
      <c r="G41" s="205">
        <v>44866</v>
      </c>
      <c r="H41" s="200" cm="1">
        <f t="array" ref="H41">SUM(D39:D41/SUM(C39:C41))</f>
        <v>0.25</v>
      </c>
    </row>
    <row r="42" spans="1:9" x14ac:dyDescent="0.35">
      <c r="A42" s="20">
        <v>202212</v>
      </c>
      <c r="B42" s="17">
        <v>44896</v>
      </c>
      <c r="C42" s="30">
        <f>COUNTIFS('MAIN DATA, Orders'!$G:$G,"&lt;&gt;.",'MAIN DATA, Orders'!$Y:$Y,$A42,'MAIN DATA, Orders'!$D:$D,"Germany")</f>
        <v>7</v>
      </c>
      <c r="D42" s="30">
        <f>COUNTIFS('MAIN DATA, Orders'!$G:$G,"&lt;&gt;.",'MAIN DATA, Orders'!$Y:$Y,$A42,'MAIN DATA, Orders'!$D:$D,"Germany",'MAIN DATA, Orders'!$R:$R,"")</f>
        <v>2</v>
      </c>
      <c r="E42" s="7">
        <f t="shared" si="1"/>
        <v>0.2857142857142857</v>
      </c>
      <c r="G42" s="205">
        <v>44896</v>
      </c>
      <c r="H42" s="200" cm="1">
        <f t="array" ref="H42">SUM(D40:D42/SUM(C40:C42))</f>
        <v>0.30769230769230771</v>
      </c>
    </row>
    <row r="43" spans="1:9" x14ac:dyDescent="0.35">
      <c r="A43" s="20">
        <v>202301</v>
      </c>
      <c r="B43" s="17">
        <v>44927</v>
      </c>
      <c r="C43" s="30">
        <f>COUNTIFS('MAIN DATA, Orders'!$G:$G,"&lt;&gt;.",'MAIN DATA, Orders'!$Y:$Y,$A43,'MAIN DATA, Orders'!$D:$D,"Germany")</f>
        <v>0</v>
      </c>
      <c r="D43" s="30">
        <f>COUNTIFS('MAIN DATA, Orders'!$G:$G,"&lt;&gt;.",'MAIN DATA, Orders'!$Y:$Y,$A43,'MAIN DATA, Orders'!$D:$D,"Germany",'MAIN DATA, Orders'!$R:$R,"")</f>
        <v>0</v>
      </c>
      <c r="E43" s="7"/>
      <c r="G43" s="205">
        <v>44927</v>
      </c>
      <c r="H43" s="200" cm="1">
        <f t="array" ref="H43">SUM(D41:D43/SUM(C41:C43))</f>
        <v>0.36363636363636365</v>
      </c>
    </row>
    <row r="44" spans="1:9" x14ac:dyDescent="0.35">
      <c r="A44" s="20">
        <v>202302</v>
      </c>
      <c r="B44" s="17">
        <v>44958</v>
      </c>
      <c r="C44" s="30">
        <f>COUNTIFS('MAIN DATA, Orders'!$G:$G,"&lt;&gt;.",'MAIN DATA, Orders'!$Y:$Y,$A44,'MAIN DATA, Orders'!$D:$D,"Germany")</f>
        <v>2</v>
      </c>
      <c r="D44" s="30">
        <f>COUNTIFS('MAIN DATA, Orders'!$G:$G,"&lt;&gt;.",'MAIN DATA, Orders'!$Y:$Y,$A44,'MAIN DATA, Orders'!$D:$D,"Germany",'MAIN DATA, Orders'!$R:$R,"")</f>
        <v>0</v>
      </c>
      <c r="E44" s="7">
        <f t="shared" si="0"/>
        <v>0</v>
      </c>
      <c r="G44" s="205">
        <v>44958</v>
      </c>
      <c r="H44" s="200" cm="1">
        <f t="array" ref="H44">SUM(D42:D44/SUM(C42:C44))</f>
        <v>0.22222222222222221</v>
      </c>
    </row>
    <row r="45" spans="1:9" x14ac:dyDescent="0.35">
      <c r="A45" s="20">
        <v>202303</v>
      </c>
      <c r="B45" s="17">
        <v>44986</v>
      </c>
      <c r="C45" s="30">
        <f>COUNTIFS('MAIN DATA, Orders'!$G:$G,"&lt;&gt;.",'MAIN DATA, Orders'!$Y:$Y,$A45,'MAIN DATA, Orders'!$D:$D,"Germany")</f>
        <v>6</v>
      </c>
      <c r="D45" s="30">
        <f>COUNTIFS('MAIN DATA, Orders'!$G:$G,"&lt;&gt;.",'MAIN DATA, Orders'!$Y:$Y,$A45,'MAIN DATA, Orders'!$D:$D,"Germany",'MAIN DATA, Orders'!$R:$R,"")</f>
        <v>1</v>
      </c>
      <c r="E45" s="7">
        <f t="shared" si="0"/>
        <v>0.16666666666666666</v>
      </c>
      <c r="G45" s="205">
        <v>44986</v>
      </c>
      <c r="H45" s="200" cm="1">
        <f t="array" ref="H45">SUM(D43:D45/SUM(C43:C45))</f>
        <v>0.125</v>
      </c>
    </row>
    <row r="46" spans="1:9" x14ac:dyDescent="0.35">
      <c r="A46" s="20">
        <v>202304</v>
      </c>
      <c r="B46" s="17">
        <v>45017</v>
      </c>
      <c r="C46" s="30">
        <f>COUNTIFS('MAIN DATA, Orders'!$G:$G,"&lt;&gt;.",'MAIN DATA, Orders'!$Y:$Y,$A46,'MAIN DATA, Orders'!$D:$D,"Germany")</f>
        <v>15</v>
      </c>
      <c r="D46" s="30">
        <f>COUNTIFS('MAIN DATA, Orders'!$G:$G,"&lt;&gt;.",'MAIN DATA, Orders'!$Y:$Y,$A46,'MAIN DATA, Orders'!$D:$D,"Germany",'MAIN DATA, Orders'!$R:$R,"")</f>
        <v>14</v>
      </c>
      <c r="E46" s="7">
        <f t="shared" si="0"/>
        <v>0.93333333333333335</v>
      </c>
      <c r="G46" s="205">
        <v>45017</v>
      </c>
      <c r="H46" s="200" cm="1">
        <f t="array" ref="H46">SUM(D44:D46/SUM(C44:C46))</f>
        <v>0.65217391304347827</v>
      </c>
    </row>
    <row r="47" spans="1:9" x14ac:dyDescent="0.35">
      <c r="A47" s="20">
        <v>202305</v>
      </c>
      <c r="B47" s="17">
        <v>45047</v>
      </c>
      <c r="C47" s="30">
        <f>COUNTIFS('MAIN DATA, Orders'!$G:$G,"&lt;&gt;.",'MAIN DATA, Orders'!$Y:$Y,$A47,'MAIN DATA, Orders'!$D:$D,"Germany")</f>
        <v>5</v>
      </c>
      <c r="D47" s="30">
        <f>COUNTIFS('MAIN DATA, Orders'!$G:$G,"&lt;&gt;.",'MAIN DATA, Orders'!$Y:$Y,$A47,'MAIN DATA, Orders'!$D:$D,"Germany",'MAIN DATA, Orders'!$R:$R,"")</f>
        <v>1</v>
      </c>
      <c r="E47" s="7">
        <f t="shared" si="0"/>
        <v>0.2</v>
      </c>
      <c r="G47" s="205">
        <v>45047</v>
      </c>
      <c r="H47" s="200" cm="1">
        <f t="array" ref="H47">SUM(D45:D47/SUM(C45:C47))</f>
        <v>0.61538461538461531</v>
      </c>
    </row>
    <row r="48" spans="1:9" x14ac:dyDescent="0.35">
      <c r="A48" s="20">
        <v>202306</v>
      </c>
      <c r="B48" s="17">
        <v>45078</v>
      </c>
      <c r="C48" s="30">
        <f>COUNTIFS('MAIN DATA, Orders'!$G:$G,"&lt;&gt;.",'MAIN DATA, Orders'!$Y:$Y,$A48,'MAIN DATA, Orders'!$D:$D,"Germany")</f>
        <v>5</v>
      </c>
      <c r="D48" s="30">
        <f>COUNTIFS('MAIN DATA, Orders'!$G:$G,"&lt;&gt;.",'MAIN DATA, Orders'!$Y:$Y,$A48,'MAIN DATA, Orders'!$D:$D,"Germany",'MAIN DATA, Orders'!$R:$R,"")</f>
        <v>2</v>
      </c>
      <c r="E48" s="7">
        <f t="shared" si="0"/>
        <v>0.4</v>
      </c>
      <c r="G48" s="205">
        <v>45078</v>
      </c>
      <c r="H48" s="200" cm="1">
        <f t="array" ref="H48">SUM(D46:D48/SUM(C46:C48))</f>
        <v>0.68</v>
      </c>
    </row>
    <row r="49" spans="1:8" x14ac:dyDescent="0.35">
      <c r="A49" s="20">
        <v>202307</v>
      </c>
      <c r="B49" s="17">
        <v>45108</v>
      </c>
      <c r="C49" s="30">
        <f>COUNTIFS('MAIN DATA, Orders'!$G:$G,"&lt;&gt;.",'MAIN DATA, Orders'!$Y:$Y,$A49,'MAIN DATA, Orders'!$D:$D,"Germany")</f>
        <v>11</v>
      </c>
      <c r="D49" s="30">
        <f>COUNTIFS('MAIN DATA, Orders'!$G:$G,"&lt;&gt;.",'MAIN DATA, Orders'!$Y:$Y,$A49,'MAIN DATA, Orders'!$D:$D,"Germany",'MAIN DATA, Orders'!$R:$R,"")</f>
        <v>5</v>
      </c>
      <c r="E49" s="7">
        <f t="shared" si="0"/>
        <v>0.45454545454545453</v>
      </c>
      <c r="G49" s="205">
        <v>45108</v>
      </c>
      <c r="H49" s="200" cm="1">
        <f t="array" ref="H49">SUM(D47:D49/SUM(C47:C49))</f>
        <v>0.38095238095238093</v>
      </c>
    </row>
    <row r="50" spans="1:8" x14ac:dyDescent="0.35">
      <c r="A50" s="20">
        <v>202308</v>
      </c>
      <c r="B50" s="17">
        <v>45139</v>
      </c>
      <c r="C50" s="30">
        <f>COUNTIFS('MAIN DATA, Orders'!$G:$G,"&lt;&gt;.",'MAIN DATA, Orders'!$Y:$Y,$A50,'MAIN DATA, Orders'!$D:$D,"Germany")</f>
        <v>0</v>
      </c>
      <c r="D50" s="30">
        <f>COUNTIFS('MAIN DATA, Orders'!$G:$G,"&lt;&gt;.",'MAIN DATA, Orders'!$Y:$Y,$A50,'MAIN DATA, Orders'!$D:$D,"Germany",'MAIN DATA, Orders'!$R:$R,"")</f>
        <v>0</v>
      </c>
      <c r="E50" s="7"/>
      <c r="G50" s="205">
        <v>45139</v>
      </c>
      <c r="H50" s="200" cm="1">
        <f t="array" ref="H50">SUM(D48:D50/SUM(C48:C50))</f>
        <v>0.4375</v>
      </c>
    </row>
    <row r="51" spans="1:8" x14ac:dyDescent="0.35">
      <c r="A51" s="20">
        <v>202309</v>
      </c>
      <c r="B51" s="17">
        <v>45170</v>
      </c>
      <c r="C51" s="30">
        <f>COUNTIFS('MAIN DATA, Orders'!$G:$G,"&lt;&gt;.",'MAIN DATA, Orders'!$Y:$Y,$A51,'MAIN DATA, Orders'!$D:$D,"Germany")</f>
        <v>2</v>
      </c>
      <c r="D51" s="30">
        <f>COUNTIFS('MAIN DATA, Orders'!$G:$G,"&lt;&gt;.",'MAIN DATA, Orders'!$Y:$Y,$A51,'MAIN DATA, Orders'!$D:$D,"Germany",'MAIN DATA, Orders'!$R:$R,"")</f>
        <v>1</v>
      </c>
      <c r="E51" s="7">
        <f t="shared" si="1"/>
        <v>0.5</v>
      </c>
      <c r="G51" s="205">
        <v>45170</v>
      </c>
      <c r="H51" s="200" cm="1">
        <f t="array" ref="H51">SUM(D49:D51/SUM(C49:C51))</f>
        <v>0.46153846153846156</v>
      </c>
    </row>
    <row r="52" spans="1:8" x14ac:dyDescent="0.35">
      <c r="A52" s="20">
        <v>202310</v>
      </c>
      <c r="B52" s="17">
        <v>45200</v>
      </c>
      <c r="C52" s="30">
        <f>COUNTIFS('MAIN DATA, Orders'!$G:$G,"&lt;&gt;.",'MAIN DATA, Orders'!$Y:$Y,$A52,'MAIN DATA, Orders'!$D:$D,"Germany")</f>
        <v>7</v>
      </c>
      <c r="D52" s="30">
        <f>COUNTIFS('MAIN DATA, Orders'!$G:$G,"&lt;&gt;.",'MAIN DATA, Orders'!$Y:$Y,$A52,'MAIN DATA, Orders'!$D:$D,"Germany",'MAIN DATA, Orders'!$R:$R,"")</f>
        <v>1</v>
      </c>
      <c r="E52" s="7">
        <f t="shared" si="0"/>
        <v>0.14285714285714285</v>
      </c>
      <c r="G52" s="205">
        <v>45200</v>
      </c>
      <c r="H52" s="200" cm="1">
        <f t="array" ref="H52">SUM(D50:D52/SUM(C50:C52))</f>
        <v>0.22222222222222221</v>
      </c>
    </row>
    <row r="53" spans="1:8" x14ac:dyDescent="0.35">
      <c r="A53" s="20">
        <v>202311</v>
      </c>
      <c r="B53" s="17">
        <v>45231</v>
      </c>
      <c r="C53" s="30">
        <f>COUNTIFS('MAIN DATA, Orders'!$G:$G,"&lt;&gt;.",'MAIN DATA, Orders'!$Y:$Y,$A53,'MAIN DATA, Orders'!$D:$D,"Germany")</f>
        <v>7</v>
      </c>
      <c r="D53" s="30">
        <f>COUNTIFS('MAIN DATA, Orders'!$G:$G,"&lt;&gt;.",'MAIN DATA, Orders'!$Y:$Y,$A53,'MAIN DATA, Orders'!$D:$D,"Germany",'MAIN DATA, Orders'!$R:$R,"")</f>
        <v>2</v>
      </c>
      <c r="E53" s="7">
        <f t="shared" si="0"/>
        <v>0.2857142857142857</v>
      </c>
      <c r="G53" s="205">
        <v>45231</v>
      </c>
      <c r="H53" s="200" cm="1">
        <f t="array" ref="H53">SUM(D51:D53/SUM(C51:C53))</f>
        <v>0.25</v>
      </c>
    </row>
    <row r="54" spans="1:8" x14ac:dyDescent="0.35">
      <c r="A54" s="20">
        <v>202312</v>
      </c>
      <c r="B54" s="17">
        <v>45261</v>
      </c>
      <c r="C54" s="30">
        <f>COUNTIFS('MAIN DATA, Orders'!$G:$G,"&lt;&gt;.",'MAIN DATA, Orders'!$Y:$Y,$A54,'MAIN DATA, Orders'!$D:$D,"Germany")</f>
        <v>9</v>
      </c>
      <c r="D54" s="30">
        <f>COUNTIFS('MAIN DATA, Orders'!$G:$G,"&lt;&gt;.",'MAIN DATA, Orders'!$Y:$Y,$A54,'MAIN DATA, Orders'!$D:$D,"Germany",'MAIN DATA, Orders'!$R:$R,"")</f>
        <v>4</v>
      </c>
      <c r="E54" s="7">
        <f t="shared" si="0"/>
        <v>0.44444444444444442</v>
      </c>
      <c r="G54" s="205">
        <v>45261</v>
      </c>
      <c r="H54" s="200" cm="1">
        <f t="array" ref="H54">SUM(D52:D54/SUM(C52:C54))</f>
        <v>0.30434782608695654</v>
      </c>
    </row>
    <row r="55" spans="1:8" x14ac:dyDescent="0.35">
      <c r="A55" s="20">
        <v>202401</v>
      </c>
      <c r="B55" s="17">
        <v>45292</v>
      </c>
      <c r="C55" s="30">
        <f>COUNTIFS('MAIN DATA, Orders'!$G:$G,"&lt;&gt;.",'MAIN DATA, Orders'!$Y:$Y,$A55,'MAIN DATA, Orders'!$D:$D,"Germany")</f>
        <v>1</v>
      </c>
      <c r="D55" s="30">
        <f>COUNTIFS('MAIN DATA, Orders'!$G:$G,"&lt;&gt;.",'MAIN DATA, Orders'!$Y:$Y,$A55,'MAIN DATA, Orders'!$D:$D,"Germany",'MAIN DATA, Orders'!$R:$R,"")</f>
        <v>1</v>
      </c>
      <c r="E55" s="7">
        <f t="shared" si="0"/>
        <v>1</v>
      </c>
      <c r="G55" s="205">
        <v>45292</v>
      </c>
      <c r="H55" s="200" cm="1">
        <f t="array" ref="H55">SUM(D53:D55/SUM(C53:C55))</f>
        <v>0.41176470588235292</v>
      </c>
    </row>
    <row r="56" spans="1:8" x14ac:dyDescent="0.35">
      <c r="A56" s="20">
        <v>202402</v>
      </c>
      <c r="B56" s="17">
        <v>45323</v>
      </c>
      <c r="C56" s="30">
        <f>COUNTIFS('MAIN DATA, Orders'!$G:$G,"&lt;&gt;.",'MAIN DATA, Orders'!$Y:$Y,$A56,'MAIN DATA, Orders'!$D:$D,"Germany")</f>
        <v>2</v>
      </c>
      <c r="D56" s="30">
        <f>COUNTIFS('MAIN DATA, Orders'!$G:$G,"&lt;&gt;.",'MAIN DATA, Orders'!$Y:$Y,$A56,'MAIN DATA, Orders'!$D:$D,"Germany",'MAIN DATA, Orders'!$R:$R,"")</f>
        <v>1</v>
      </c>
      <c r="E56" s="7">
        <f t="shared" si="0"/>
        <v>0.5</v>
      </c>
      <c r="G56" s="205">
        <v>45323</v>
      </c>
      <c r="H56" s="200" cm="1">
        <f t="array" ref="H56">SUM(D54:D56/SUM(C54:C56))</f>
        <v>0.49999999999999994</v>
      </c>
    </row>
    <row r="57" spans="1:8" x14ac:dyDescent="0.35">
      <c r="A57" s="20">
        <v>202403</v>
      </c>
      <c r="B57" s="17">
        <v>45352</v>
      </c>
      <c r="C57" s="30">
        <f>COUNTIFS('MAIN DATA, Orders'!$G:$G,"&lt;&gt;.",'MAIN DATA, Orders'!$Y:$Y,$A57,'MAIN DATA, Orders'!$D:$D,"Germany")</f>
        <v>8</v>
      </c>
      <c r="D57" s="30">
        <f>COUNTIFS('MAIN DATA, Orders'!$G:$G,"&lt;&gt;.",'MAIN DATA, Orders'!$Y:$Y,$A57,'MAIN DATA, Orders'!$D:$D,"Germany",'MAIN DATA, Orders'!$R:$R,"")</f>
        <v>3</v>
      </c>
      <c r="E57" s="7">
        <f t="shared" si="0"/>
        <v>0.375</v>
      </c>
      <c r="G57" s="205">
        <v>45352</v>
      </c>
      <c r="H57" s="200" cm="1">
        <f t="array" ref="H57">SUM(D55:D57/SUM(C55:C57))</f>
        <v>0.45454545454545453</v>
      </c>
    </row>
    <row r="58" spans="1:8" x14ac:dyDescent="0.35">
      <c r="A58" s="20">
        <v>202404</v>
      </c>
      <c r="B58" s="17">
        <v>45383</v>
      </c>
      <c r="C58" s="30">
        <f>COUNTIFS('MAIN DATA, Orders'!$G:$G,"&lt;&gt;.",'MAIN DATA, Orders'!$Y:$Y,$A58,'MAIN DATA, Orders'!$D:$D,"Germany")</f>
        <v>7</v>
      </c>
      <c r="D58" s="30">
        <f>COUNTIFS('MAIN DATA, Orders'!$G:$G,"&lt;&gt;.",'MAIN DATA, Orders'!$Y:$Y,$A58,'MAIN DATA, Orders'!$D:$D,"Germany",'MAIN DATA, Orders'!$R:$R,"")</f>
        <v>4</v>
      </c>
      <c r="E58" s="7">
        <f t="shared" si="0"/>
        <v>0.5714285714285714</v>
      </c>
      <c r="G58" s="205">
        <v>45383</v>
      </c>
      <c r="H58" s="200" cm="1">
        <f t="array" ref="H58">SUM(D56:D58/SUM(C56:C58))</f>
        <v>0.47058823529411764</v>
      </c>
    </row>
    <row r="59" spans="1:8" x14ac:dyDescent="0.35">
      <c r="A59" s="20">
        <v>202405</v>
      </c>
      <c r="B59" s="17">
        <v>45413</v>
      </c>
      <c r="C59" s="30">
        <f>COUNTIFS('MAIN DATA, Orders'!$G:$G,"&lt;&gt;.",'MAIN DATA, Orders'!$Y:$Y,$A59,'MAIN DATA, Orders'!$D:$D,"Germany")</f>
        <v>4</v>
      </c>
      <c r="D59" s="30">
        <f>COUNTIFS('MAIN DATA, Orders'!$G:$G,"&lt;&gt;.",'MAIN DATA, Orders'!$Y:$Y,$A59,'MAIN DATA, Orders'!$D:$D,"Germany",'MAIN DATA, Orders'!$R:$R,"")</f>
        <v>3</v>
      </c>
      <c r="E59" s="7">
        <f t="shared" si="0"/>
        <v>0.75</v>
      </c>
      <c r="G59" s="205">
        <v>45413</v>
      </c>
      <c r="H59" s="200" cm="1">
        <f t="array" ref="H59">SUM(D57:D59/SUM(C57:C59))</f>
        <v>0.52631578947368418</v>
      </c>
    </row>
    <row r="60" spans="1:8" x14ac:dyDescent="0.35">
      <c r="A60" s="20">
        <v>202406</v>
      </c>
      <c r="B60" s="17">
        <v>45444</v>
      </c>
      <c r="C60" s="30">
        <f>COUNTIFS('MAIN DATA, Orders'!$G:$G,"&lt;&gt;.",'MAIN DATA, Orders'!$Y:$Y,$A60,'MAIN DATA, Orders'!$D:$D,"Germany")</f>
        <v>20</v>
      </c>
      <c r="D60" s="30">
        <f>COUNTIFS('MAIN DATA, Orders'!$G:$G,"&lt;&gt;.",'MAIN DATA, Orders'!$Y:$Y,$A60,'MAIN DATA, Orders'!$D:$D,"Germany",'MAIN DATA, Orders'!$R:$R,"")</f>
        <v>11</v>
      </c>
      <c r="E60" s="7">
        <f t="shared" si="1"/>
        <v>0.55000000000000004</v>
      </c>
      <c r="G60" s="205">
        <v>45444</v>
      </c>
      <c r="H60" s="200" cm="1">
        <f t="array" ref="H60">SUM(D58:D60/SUM(C58:C60))</f>
        <v>0.58064516129032262</v>
      </c>
    </row>
    <row r="61" spans="1:8" x14ac:dyDescent="0.35">
      <c r="A61" s="20">
        <v>202407</v>
      </c>
      <c r="B61" s="17">
        <v>45474</v>
      </c>
      <c r="C61" s="30">
        <f>COUNTIFS('MAIN DATA, Orders'!$G:$G,"&lt;&gt;.",'MAIN DATA, Orders'!$Y:$Y,$A61,'MAIN DATA, Orders'!$D:$D,"Germany")</f>
        <v>8</v>
      </c>
      <c r="D61" s="30">
        <f>COUNTIFS('MAIN DATA, Orders'!$G:$G,"&lt;&gt;.",'MAIN DATA, Orders'!$Y:$Y,$A61,'MAIN DATA, Orders'!$D:$D,"Germany",'MAIN DATA, Orders'!$R:$R,"")</f>
        <v>1</v>
      </c>
      <c r="E61" s="7">
        <f t="shared" si="0"/>
        <v>0.125</v>
      </c>
      <c r="G61" s="205">
        <v>45474</v>
      </c>
      <c r="H61" s="200" cm="1">
        <f t="array" ref="H61">SUM(D59:D61/SUM(C59:C61))</f>
        <v>0.46875</v>
      </c>
    </row>
    <row r="62" spans="1:8" x14ac:dyDescent="0.35">
      <c r="A62" s="20">
        <v>202408</v>
      </c>
      <c r="B62" s="17">
        <v>45505</v>
      </c>
      <c r="C62" s="30">
        <f>COUNTIFS('MAIN DATA, Orders'!$G:$G,"&lt;&gt;.",'MAIN DATA, Orders'!$Y:$Y,$A62,'MAIN DATA, Orders'!$D:$D,"Germany")</f>
        <v>0</v>
      </c>
      <c r="D62" s="30">
        <f>COUNTIFS('MAIN DATA, Orders'!$G:$G,"&lt;&gt;.",'MAIN DATA, Orders'!$Y:$Y,$A62,'MAIN DATA, Orders'!$D:$D,"Germany",'MAIN DATA, Orders'!$R:$R,"")</f>
        <v>0</v>
      </c>
      <c r="E62" s="7"/>
      <c r="G62" s="205">
        <v>45505</v>
      </c>
      <c r="H62" s="200" cm="1">
        <f t="array" ref="H62">SUM(D60:D62/SUM(C60:C62))</f>
        <v>0.42857142857142855</v>
      </c>
    </row>
    <row r="63" spans="1:8" x14ac:dyDescent="0.35">
      <c r="A63" s="20">
        <v>202409</v>
      </c>
      <c r="B63" s="17">
        <v>45536</v>
      </c>
      <c r="C63" s="30">
        <f>COUNTIFS('MAIN DATA, Orders'!$G:$G,"&lt;&gt;.",'MAIN DATA, Orders'!$Y:$Y,$A63,'MAIN DATA, Orders'!$D:$D,"Germany")</f>
        <v>6</v>
      </c>
      <c r="D63" s="30">
        <f>COUNTIFS('MAIN DATA, Orders'!$G:$G,"&lt;&gt;.",'MAIN DATA, Orders'!$Y:$Y,$A63,'MAIN DATA, Orders'!$D:$D,"Germany",'MAIN DATA, Orders'!$R:$R,"")</f>
        <v>3</v>
      </c>
      <c r="E63" s="7">
        <f t="shared" si="0"/>
        <v>0.5</v>
      </c>
      <c r="G63" s="205">
        <v>45536</v>
      </c>
      <c r="H63" s="200" cm="1">
        <f t="array" ref="H63">SUM(D61:D63/SUM(C61:C63))</f>
        <v>0.2857142857142857</v>
      </c>
    </row>
    <row r="64" spans="1:8" x14ac:dyDescent="0.35">
      <c r="A64" s="20">
        <v>202410</v>
      </c>
      <c r="B64" s="17">
        <v>45566</v>
      </c>
      <c r="C64" s="30">
        <f>COUNTIFS('MAIN DATA, Orders'!$G:$G,"&lt;&gt;.",'MAIN DATA, Orders'!$Y:$Y,$A64,'MAIN DATA, Orders'!$D:$D,"Germany")</f>
        <v>8</v>
      </c>
      <c r="D64" s="30">
        <f>COUNTIFS('MAIN DATA, Orders'!$G:$G,"&lt;&gt;.",'MAIN DATA, Orders'!$Y:$Y,$A64,'MAIN DATA, Orders'!$D:$D,"Germany",'MAIN DATA, Orders'!$R:$R,"")</f>
        <v>2</v>
      </c>
      <c r="E64" s="7">
        <f t="shared" si="0"/>
        <v>0.25</v>
      </c>
      <c r="G64" s="205">
        <v>45566</v>
      </c>
      <c r="H64" s="200" cm="1">
        <f t="array" ref="H64">SUM(D62:D64/SUM(C62:C64))</f>
        <v>0.3571428571428571</v>
      </c>
    </row>
    <row r="65" spans="1:8" x14ac:dyDescent="0.35">
      <c r="A65" s="20">
        <v>202411</v>
      </c>
      <c r="B65" s="17">
        <v>45597</v>
      </c>
      <c r="C65" s="30">
        <f>COUNTIFS('MAIN DATA, Orders'!$G:$G,"&lt;&gt;.",'MAIN DATA, Orders'!$Y:$Y,$A65,'MAIN DATA, Orders'!$D:$D,"Germany")</f>
        <v>6</v>
      </c>
      <c r="D65" s="30">
        <f>COUNTIFS('MAIN DATA, Orders'!$G:$G,"&lt;&gt;.",'MAIN DATA, Orders'!$Y:$Y,$A65,'MAIN DATA, Orders'!$D:$D,"Germany",'MAIN DATA, Orders'!$R:$R,"")</f>
        <v>2</v>
      </c>
      <c r="E65" s="7">
        <f t="shared" si="0"/>
        <v>0.33333333333333331</v>
      </c>
      <c r="G65" s="205">
        <v>45597</v>
      </c>
      <c r="H65" s="200" cm="1">
        <f t="array" ref="H65">SUM(D63:D65/SUM(C63:C65))</f>
        <v>0.35</v>
      </c>
    </row>
    <row r="66" spans="1:8" x14ac:dyDescent="0.35">
      <c r="A66" s="20">
        <v>202412</v>
      </c>
      <c r="B66" s="17">
        <v>45627</v>
      </c>
      <c r="C66" s="30">
        <f>COUNTIFS('MAIN DATA, Orders'!$G:$G,"&lt;&gt;.",'MAIN DATA, Orders'!$Y:$Y,$A66,'MAIN DATA, Orders'!$D:$D,"Germany")</f>
        <v>41</v>
      </c>
      <c r="D66" s="30">
        <f>COUNTIFS('MAIN DATA, Orders'!$G:$G,"&lt;&gt;.",'MAIN DATA, Orders'!$Y:$Y,$A66,'MAIN DATA, Orders'!$D:$D,"Germany",'MAIN DATA, Orders'!$R:$R,"")</f>
        <v>40</v>
      </c>
      <c r="E66" s="7">
        <f t="shared" si="0"/>
        <v>0.97560975609756095</v>
      </c>
      <c r="G66" s="205">
        <v>45627</v>
      </c>
      <c r="H66" s="200" cm="1">
        <f t="array" ref="H66">SUM(D64:D66/SUM(C64:C66))</f>
        <v>0.8</v>
      </c>
    </row>
    <row r="67" spans="1:8" x14ac:dyDescent="0.35">
      <c r="A67" s="20">
        <v>202501</v>
      </c>
      <c r="B67" s="17">
        <v>45658</v>
      </c>
      <c r="C67" s="30">
        <f>COUNTIFS('MAIN DATA, Orders'!$G:$G,"&lt;&gt;.",'MAIN DATA, Orders'!$Y:$Y,$A67,'MAIN DATA, Orders'!$D:$D,"Germany")</f>
        <v>9</v>
      </c>
      <c r="D67" s="30">
        <f>COUNTIFS('MAIN DATA, Orders'!$G:$G,"&lt;&gt;.",'MAIN DATA, Orders'!$Y:$Y,$A67,'MAIN DATA, Orders'!$D:$D,"Germany",'MAIN DATA, Orders'!$R:$R,"")</f>
        <v>5</v>
      </c>
      <c r="E67" s="7">
        <f t="shared" si="0"/>
        <v>0.55555555555555558</v>
      </c>
      <c r="G67" s="205">
        <v>45658</v>
      </c>
      <c r="H67" s="200" cm="1">
        <f t="array" ref="H67">SUM(D65:D67/SUM(C65:C67))</f>
        <v>0.8392857142857143</v>
      </c>
    </row>
    <row r="68" spans="1:8" x14ac:dyDescent="0.35">
      <c r="A68" s="20">
        <v>202502</v>
      </c>
      <c r="B68" s="17">
        <v>45689</v>
      </c>
      <c r="C68" s="30">
        <f>COUNTIFS('MAIN DATA, Orders'!$G:$G,"&lt;&gt;.",'MAIN DATA, Orders'!$Y:$Y,$A68,'MAIN DATA, Orders'!$D:$D,"Germany")</f>
        <v>0</v>
      </c>
      <c r="D68" s="30">
        <f>COUNTIFS('MAIN DATA, Orders'!$G:$G,"&lt;&gt;.",'MAIN DATA, Orders'!$Y:$Y,$A68,'MAIN DATA, Orders'!$D:$D,"Germany",'MAIN DATA, Orders'!$R:$R,"")</f>
        <v>0</v>
      </c>
      <c r="E68" s="7"/>
      <c r="G68" s="205">
        <v>45689</v>
      </c>
      <c r="H68" s="200" cm="1">
        <f t="array" ref="H68">SUM(D66:D68/SUM(C66:C68))</f>
        <v>0.9</v>
      </c>
    </row>
    <row r="69" spans="1:8" x14ac:dyDescent="0.35">
      <c r="A69" s="20">
        <v>202503</v>
      </c>
      <c r="B69" s="17">
        <v>45717</v>
      </c>
      <c r="C69" s="30">
        <f>COUNTIFS('MAIN DATA, Orders'!$G:$G,"&lt;&gt;.",'MAIN DATA, Orders'!$Y:$Y,$A69,'MAIN DATA, Orders'!$D:$D,"Germany")</f>
        <v>0</v>
      </c>
      <c r="D69" s="30">
        <f>COUNTIFS('MAIN DATA, Orders'!$G:$G,"&lt;&gt;.",'MAIN DATA, Orders'!$Y:$Y,$A69,'MAIN DATA, Orders'!$D:$D,"Germany",'MAIN DATA, Orders'!$R:$R,"")</f>
        <v>0</v>
      </c>
      <c r="E69" s="7"/>
      <c r="G69" s="205">
        <v>45717</v>
      </c>
      <c r="H69" s="200" cm="1">
        <f t="array" ref="H69">SUM(D67:D69/SUM(C67:C69))</f>
        <v>0.55555555555555558</v>
      </c>
    </row>
    <row r="70" spans="1:8" x14ac:dyDescent="0.35">
      <c r="A70" s="20">
        <v>202504</v>
      </c>
      <c r="B70" s="17">
        <v>45748</v>
      </c>
      <c r="C70" s="30">
        <f>COUNTIFS('MAIN DATA, Orders'!$G:$G,"&lt;&gt;.",'MAIN DATA, Orders'!$Y:$Y,$A70,'MAIN DATA, Orders'!$D:$D,"Germany")</f>
        <v>0</v>
      </c>
      <c r="D70" s="30">
        <f>COUNTIFS('MAIN DATA, Orders'!$G:$G,"&lt;&gt;.",'MAIN DATA, Orders'!$Y:$Y,$A70,'MAIN DATA, Orders'!$D:$D,"Germany",'MAIN DATA, Orders'!$R:$R,"")</f>
        <v>0</v>
      </c>
      <c r="E70" s="7"/>
      <c r="G70" s="205">
        <v>45748</v>
      </c>
      <c r="H70" s="200"/>
    </row>
    <row r="71" spans="1:8" x14ac:dyDescent="0.35">
      <c r="A71" s="20">
        <v>202505</v>
      </c>
      <c r="B71" s="17">
        <v>45778</v>
      </c>
      <c r="C71" s="30">
        <f>COUNTIFS('MAIN DATA, Orders'!$G:$G,"&lt;&gt;.",'MAIN DATA, Orders'!$Y:$Y,$A71,'MAIN DATA, Orders'!$D:$D,"Germany")</f>
        <v>0</v>
      </c>
      <c r="D71" s="30">
        <f>COUNTIFS('MAIN DATA, Orders'!$G:$G,"&lt;&gt;.",'MAIN DATA, Orders'!$Y:$Y,$A71,'MAIN DATA, Orders'!$D:$D,"Germany",'MAIN DATA, Orders'!$R:$R,"")</f>
        <v>0</v>
      </c>
      <c r="E71" s="7"/>
      <c r="G71" s="205">
        <v>45778</v>
      </c>
      <c r="H71" s="200"/>
    </row>
    <row r="72" spans="1:8" x14ac:dyDescent="0.35">
      <c r="A72" s="20">
        <v>202506</v>
      </c>
      <c r="B72" s="17">
        <v>45809</v>
      </c>
      <c r="C72" s="30">
        <f>COUNTIFS('MAIN DATA, Orders'!$G:$G,"&lt;&gt;.",'MAIN DATA, Orders'!$Y:$Y,$A72,'MAIN DATA, Orders'!$D:$D,"Germany")</f>
        <v>13</v>
      </c>
      <c r="D72" s="30">
        <f>COUNTIFS('MAIN DATA, Orders'!$G:$G,"&lt;&gt;.",'MAIN DATA, Orders'!$Y:$Y,$A72,'MAIN DATA, Orders'!$D:$D,"Germany",'MAIN DATA, Orders'!$R:$R,"")</f>
        <v>8</v>
      </c>
      <c r="E72" s="7">
        <f t="shared" si="0"/>
        <v>0.61538461538461542</v>
      </c>
      <c r="G72" s="205">
        <v>45809</v>
      </c>
      <c r="H72" s="200" cm="1">
        <f t="array" ref="H72">SUM(D70:D72/SUM(C70:C72))</f>
        <v>0.61538461538461542</v>
      </c>
    </row>
    <row r="73" spans="1:8" x14ac:dyDescent="0.35">
      <c r="A73" s="20">
        <v>202507</v>
      </c>
      <c r="B73" s="17">
        <v>45839</v>
      </c>
      <c r="C73" s="30">
        <f>COUNTIFS('MAIN DATA, Orders'!$G:$G,"&lt;&gt;.",'MAIN DATA, Orders'!$Y:$Y,$A73,'MAIN DATA, Orders'!$D:$D,"Germany")</f>
        <v>2</v>
      </c>
      <c r="D73" s="30">
        <f>COUNTIFS('MAIN DATA, Orders'!$G:$G,"&lt;&gt;.",'MAIN DATA, Orders'!$Y:$Y,$A73,'MAIN DATA, Orders'!$D:$D,"Germany",'MAIN DATA, Orders'!$R:$R,"")</f>
        <v>0</v>
      </c>
      <c r="E73" s="7">
        <f t="shared" si="0"/>
        <v>0</v>
      </c>
      <c r="G73" s="205">
        <v>45839</v>
      </c>
      <c r="H73" s="200" cm="1">
        <f t="array" ref="H73">SUM(D71:D73/SUM(C71:C73))</f>
        <v>0.53333333333333333</v>
      </c>
    </row>
    <row r="74" spans="1:8" x14ac:dyDescent="0.35">
      <c r="A74" s="20">
        <v>202508</v>
      </c>
      <c r="B74" s="17">
        <v>45870</v>
      </c>
      <c r="C74" s="30">
        <f>COUNTIFS('MAIN DATA, Orders'!$G:$G,"&lt;&gt;.",'MAIN DATA, Orders'!$Y:$Y,$A74,'MAIN DATA, Orders'!$D:$D,"Germany")</f>
        <v>0</v>
      </c>
      <c r="D74" s="30">
        <f>COUNTIFS('MAIN DATA, Orders'!$G:$G,"&lt;&gt;.",'MAIN DATA, Orders'!$Y:$Y,$A74,'MAIN DATA, Orders'!$D:$D,"Germany",'MAIN DATA, Orders'!$R:$R,"")</f>
        <v>0</v>
      </c>
      <c r="E74" s="7"/>
      <c r="G74" s="205">
        <v>45870</v>
      </c>
      <c r="H74" s="200" cm="1">
        <f t="array" ref="H74">SUM(D72:D74/SUM(C72:C74))</f>
        <v>0.53333333333333333</v>
      </c>
    </row>
    <row r="75" spans="1:8" x14ac:dyDescent="0.35">
      <c r="A75" s="20">
        <v>202509</v>
      </c>
      <c r="B75" s="17">
        <v>45901</v>
      </c>
      <c r="C75" s="30">
        <f>COUNTIFS('MAIN DATA, Orders'!$G:$G,"&lt;&gt;.",'MAIN DATA, Orders'!$Y:$Y,$A75,'MAIN DATA, Orders'!$D:$D,"Germany")</f>
        <v>8</v>
      </c>
      <c r="D75" s="30">
        <f>COUNTIFS('MAIN DATA, Orders'!$G:$G,"&lt;&gt;.",'MAIN DATA, Orders'!$Y:$Y,$A75,'MAIN DATA, Orders'!$D:$D,"Germany",'MAIN DATA, Orders'!$R:$R,"")</f>
        <v>5</v>
      </c>
      <c r="E75" s="7">
        <f t="shared" ref="E75:E79" si="2">D75/C75</f>
        <v>0.625</v>
      </c>
      <c r="G75" s="205">
        <v>45901</v>
      </c>
      <c r="H75" s="200" cm="1">
        <f t="array" ref="H75">SUM(D73:D75/SUM(C73:C75))</f>
        <v>0.5</v>
      </c>
    </row>
    <row r="76" spans="1:8" x14ac:dyDescent="0.35">
      <c r="A76" s="20">
        <v>202510</v>
      </c>
      <c r="B76" s="17">
        <v>45931</v>
      </c>
      <c r="C76" s="30">
        <f>COUNTIFS('MAIN DATA, Orders'!$G:$G,"&lt;&gt;.",'MAIN DATA, Orders'!$Y:$Y,$A76,'MAIN DATA, Orders'!$D:$D,"Germany")</f>
        <v>21</v>
      </c>
      <c r="D76" s="30">
        <f>COUNTIFS('MAIN DATA, Orders'!$G:$G,"&lt;&gt;.",'MAIN DATA, Orders'!$Y:$Y,$A76,'MAIN DATA, Orders'!$D:$D,"Germany",'MAIN DATA, Orders'!$R:$R,"")</f>
        <v>15</v>
      </c>
      <c r="E76" s="7">
        <f t="shared" si="2"/>
        <v>0.7142857142857143</v>
      </c>
      <c r="G76" s="205">
        <v>45931</v>
      </c>
      <c r="H76" s="200" cm="1">
        <f t="array" ref="H76">SUM(D74:D76/SUM(C74:C76))</f>
        <v>0.68965517241379315</v>
      </c>
    </row>
    <row r="77" spans="1:8" x14ac:dyDescent="0.35">
      <c r="A77" s="20">
        <v>202511</v>
      </c>
      <c r="B77" s="17">
        <v>45962</v>
      </c>
      <c r="C77" s="30">
        <f>COUNTIFS('MAIN DATA, Orders'!$G:$G,"&lt;&gt;.",'MAIN DATA, Orders'!$Y:$Y,$A77,'MAIN DATA, Orders'!$D:$D,"Germany")</f>
        <v>18</v>
      </c>
      <c r="D77" s="30">
        <f>COUNTIFS('MAIN DATA, Orders'!$G:$G,"&lt;&gt;.",'MAIN DATA, Orders'!$Y:$Y,$A77,'MAIN DATA, Orders'!$D:$D,"Germany",'MAIN DATA, Orders'!$R:$R,"")</f>
        <v>15</v>
      </c>
      <c r="E77" s="7">
        <f t="shared" si="2"/>
        <v>0.83333333333333337</v>
      </c>
      <c r="G77" s="205">
        <v>45962</v>
      </c>
      <c r="H77" s="200" cm="1">
        <f t="array" ref="H77">SUM(D75:D77/SUM(C75:C77))</f>
        <v>0.74468085106382986</v>
      </c>
    </row>
    <row r="78" spans="1:8" x14ac:dyDescent="0.35">
      <c r="A78" s="20">
        <v>202512</v>
      </c>
      <c r="B78" s="17">
        <v>45992</v>
      </c>
      <c r="C78" s="30">
        <f>COUNTIFS('MAIN DATA, Orders'!$G:$G,"&lt;&gt;.",'MAIN DATA, Orders'!$Y:$Y,$A78,'MAIN DATA, Orders'!$D:$D,"Germany")</f>
        <v>41</v>
      </c>
      <c r="D78" s="30">
        <f>COUNTIFS('MAIN DATA, Orders'!$G:$G,"&lt;&gt;.",'MAIN DATA, Orders'!$Y:$Y,$A78,'MAIN DATA, Orders'!$D:$D,"Germany",'MAIN DATA, Orders'!$R:$R,"")</f>
        <v>30</v>
      </c>
      <c r="E78" s="7">
        <f t="shared" si="2"/>
        <v>0.73170731707317072</v>
      </c>
      <c r="G78" s="205">
        <v>45992</v>
      </c>
      <c r="H78" s="200" cm="1">
        <f t="array" ref="H78">SUM(D76:D78/SUM(C76:C78))</f>
        <v>0.75</v>
      </c>
    </row>
    <row r="79" spans="1:8" x14ac:dyDescent="0.35">
      <c r="A79" s="20">
        <v>202601</v>
      </c>
      <c r="B79" s="17">
        <v>46023</v>
      </c>
      <c r="C79" s="30">
        <f>COUNTIFS('MAIN DATA, Orders'!$G:$G,"&lt;&gt;.",'MAIN DATA, Orders'!$Y:$Y,$A79,'MAIN DATA, Orders'!$D:$D,"Germany")</f>
        <v>2</v>
      </c>
      <c r="D79" s="30">
        <f>COUNTIFS('MAIN DATA, Orders'!$G:$G,"&lt;&gt;.",'MAIN DATA, Orders'!$Y:$Y,$A79,'MAIN DATA, Orders'!$D:$D,"Germany",'MAIN DATA, Orders'!$R:$R,"")</f>
        <v>1</v>
      </c>
      <c r="E79" s="7">
        <f t="shared" si="2"/>
        <v>0.5</v>
      </c>
      <c r="G79" s="205">
        <v>46023</v>
      </c>
      <c r="H79" s="200" cm="1">
        <f t="array" ref="H79">SUM(D77:D79/SUM(C77:C79))</f>
        <v>0.75409836065573765</v>
      </c>
    </row>
    <row r="80" spans="1:8" x14ac:dyDescent="0.35">
      <c r="B80" s="85"/>
      <c r="C80" s="85"/>
      <c r="D80" s="85"/>
      <c r="E80" s="85"/>
      <c r="G80" s="210"/>
      <c r="H80" s="168"/>
    </row>
  </sheetData>
  <mergeCells count="1">
    <mergeCell ref="B4:E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0BC16-87DE-40F4-A24F-6ACA4133D374}">
  <sheetPr codeName="Sheet18">
    <tabColor theme="8" tint="0.59999389629810485"/>
  </sheetPr>
  <dimension ref="A2:J81"/>
  <sheetViews>
    <sheetView zoomScaleNormal="100" workbookViewId="0"/>
  </sheetViews>
  <sheetFormatPr baseColWidth="10" defaultColWidth="8.75" defaultRowHeight="15.5" x14ac:dyDescent="0.35"/>
  <cols>
    <col min="1" max="1" width="8.75" style="1" customWidth="1"/>
    <col min="2" max="2" width="13.5" style="208" customWidth="1"/>
    <col min="3" max="6" width="14.75" style="1" customWidth="1"/>
    <col min="7" max="16384" width="8.75" style="1"/>
  </cols>
  <sheetData>
    <row r="2" spans="1:10" ht="25.9" customHeight="1" x14ac:dyDescent="0.7">
      <c r="B2" s="202" t="s">
        <v>5624</v>
      </c>
    </row>
    <row r="4" spans="1:10" ht="130.15" customHeight="1" x14ac:dyDescent="0.35">
      <c r="B4" s="232" t="s">
        <v>5210</v>
      </c>
      <c r="C4" s="232"/>
      <c r="D4" s="232"/>
      <c r="E4" s="232"/>
      <c r="F4" s="232"/>
      <c r="G4" s="232"/>
      <c r="H4" s="232"/>
      <c r="I4" s="232"/>
      <c r="J4" s="232"/>
    </row>
    <row r="6" spans="1:10" ht="21" customHeight="1" x14ac:dyDescent="0.35">
      <c r="B6" s="204" t="s">
        <v>4197</v>
      </c>
      <c r="C6" s="69" t="s">
        <v>5199</v>
      </c>
      <c r="D6" s="69" t="s">
        <v>5200</v>
      </c>
      <c r="E6" s="69" t="s">
        <v>5201</v>
      </c>
      <c r="F6" s="69" t="s">
        <v>287</v>
      </c>
    </row>
    <row r="7" spans="1:10" x14ac:dyDescent="0.35">
      <c r="A7" s="20">
        <v>202001</v>
      </c>
      <c r="B7" s="205">
        <v>43831</v>
      </c>
      <c r="C7" s="15" cm="1">
        <f t="array" ref="C7">SUM(SUMIFS('MAIN DATA, Orders'!$S:$S,'MAIN DATA, Orders'!$D:$D,"United Kingdom",'MAIN DATA, Orders'!$I:$I,{"Aircraft","Development - Aircraft","Missile (Air)","Development - Missile (Air)"},'MAIN DATA, Orders'!$Y:$Y,$A7)/1000000000)</f>
        <v>0</v>
      </c>
      <c r="D7" s="15" cm="1">
        <f t="array" ref="D7">SUM(SUMIFS('MAIN DATA, Orders'!$S:$S,'MAIN DATA, Orders'!$D:$D,"United Kingdom",'MAIN DATA, Orders'!$I:$I,{"Naval","Development - Naval","Missile (Naval)","Development - Missile (Naval)"},'MAIN DATA, Orders'!$Y:$Y,$A7)/1000000000)</f>
        <v>0</v>
      </c>
      <c r="E7" s="15" cm="1">
        <f t="array" ref="E7">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Orders'!$Y:$Y,$A7)/1000000000)</f>
        <v>0</v>
      </c>
      <c r="F7" s="15" cm="1">
        <f t="array" ref="F7">SUM(SUMIFS('MAIN DATA, Orders'!$S:$S,'MAIN DATA, Orders'!$D:$D,"United Kingdom",'MAIN DATA, Orders'!$I:$I,{"Maintenance","Development - Maintenance","Modernisation","Development - Modernisation","Other","Development - Other"},'MAIN DATA, Orders'!$Y:$Y,$A7)/1000000000)</f>
        <v>0.183</v>
      </c>
    </row>
    <row r="8" spans="1:10" x14ac:dyDescent="0.35">
      <c r="A8" s="20">
        <v>202002</v>
      </c>
      <c r="B8" s="205">
        <v>43862</v>
      </c>
      <c r="C8" s="15" cm="1">
        <f t="array" ref="C8">SUM(SUMIFS('MAIN DATA, Orders'!$S:$S,'MAIN DATA, Orders'!$D:$D,"United Kingdom",'MAIN DATA, Orders'!$I:$I,{"Aircraft","Development - Aircraft","Missile (Air)","Development - Missile (Air)"},'MAIN DATA, Orders'!$Y:$Y,$A8)/1000000000)</f>
        <v>0</v>
      </c>
      <c r="D8" s="15" cm="1">
        <f t="array" ref="D8">SUM(SUMIFS('MAIN DATA, Orders'!$S:$S,'MAIN DATA, Orders'!$D:$D,"United Kingdom",'MAIN DATA, Orders'!$I:$I,{"Naval","Development - Naval","Missile (Naval)","Development - Missile (Naval)"},'MAIN DATA, Orders'!$Y:$Y,$A8)/1000000000)</f>
        <v>0.33</v>
      </c>
      <c r="E8" s="15" cm="1">
        <f t="array" ref="E8">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Orders'!$Y:$Y,$A8)/1000000000)</f>
        <v>0</v>
      </c>
      <c r="F8" s="15" cm="1">
        <f t="array" ref="F8">SUM(SUMIFS('MAIN DATA, Orders'!$S:$S,'MAIN DATA, Orders'!$D:$D,"United Kingdom",'MAIN DATA, Orders'!$I:$I,{"Maintenance","Development - Maintenance","Modernisation","Development - Modernisation","Other","Development - Other"},'MAIN DATA, Orders'!$Y:$Y,$A8)/1000000000)</f>
        <v>0</v>
      </c>
    </row>
    <row r="9" spans="1:10" x14ac:dyDescent="0.35">
      <c r="A9" s="20">
        <v>202003</v>
      </c>
      <c r="B9" s="205">
        <v>43891</v>
      </c>
      <c r="C9" s="15" cm="1">
        <f t="array" ref="C9">SUM(SUMIFS('MAIN DATA, Orders'!$S:$S,'MAIN DATA, Orders'!$D:$D,"United Kingdom",'MAIN DATA, Orders'!$I:$I,{"Aircraft","Development - Aircraft","Missile (Air)","Development - Missile (Air)"},'MAIN DATA, Orders'!$Y:$Y,$A9)/1000000000)</f>
        <v>0</v>
      </c>
      <c r="D9" s="15" cm="1">
        <f t="array" ref="D9">SUM(SUMIFS('MAIN DATA, Orders'!$S:$S,'MAIN DATA, Orders'!$D:$D,"United Kingdom",'MAIN DATA, Orders'!$I:$I,{"Naval","Development - Naval","Missile (Naval)","Development - Missile (Naval)"},'MAIN DATA, Orders'!$Y:$Y,$A9)/1000000000)</f>
        <v>0</v>
      </c>
      <c r="E9" s="15" cm="1">
        <f t="array" ref="E9">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Orders'!$Y:$Y,$A9)/1000000000)</f>
        <v>0</v>
      </c>
      <c r="F9" s="15" cm="1">
        <f t="array" ref="F9">SUM(SUMIFS('MAIN DATA, Orders'!$S:$S,'MAIN DATA, Orders'!$D:$D,"United Kingdom",'MAIN DATA, Orders'!$I:$I,{"Maintenance","Development - Maintenance","Modernisation","Development - Modernisation","Other","Development - Other"},'MAIN DATA, Orders'!$Y:$Y,$A9)/1000000000)</f>
        <v>0</v>
      </c>
    </row>
    <row r="10" spans="1:10" x14ac:dyDescent="0.35">
      <c r="A10" s="20">
        <v>202004</v>
      </c>
      <c r="B10" s="205">
        <v>43922</v>
      </c>
      <c r="C10" s="15" cm="1">
        <f t="array" ref="C10">SUM(SUMIFS('MAIN DATA, Orders'!$S:$S,'MAIN DATA, Orders'!$D:$D,"United Kingdom",'MAIN DATA, Orders'!$I:$I,{"Aircraft","Development - Aircraft","Missile (Air)","Development - Missile (Air)"},'MAIN DATA, Orders'!$Y:$Y,$A10)/1000000000)</f>
        <v>0</v>
      </c>
      <c r="D10" s="15" cm="1">
        <f t="array" ref="D10">SUM(SUMIFS('MAIN DATA, Orders'!$S:$S,'MAIN DATA, Orders'!$D:$D,"United Kingdom",'MAIN DATA, Orders'!$I:$I,{"Naval","Development - Naval","Missile (Naval)","Development - Missile (Naval)"},'MAIN DATA, Orders'!$Y:$Y,$A10)/1000000000)</f>
        <v>0</v>
      </c>
      <c r="E10" s="15" cm="1">
        <f t="array" ref="E10">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Orders'!$Y:$Y,$A10)/1000000000)</f>
        <v>0</v>
      </c>
      <c r="F10" s="15" cm="1">
        <f t="array" ref="F10">SUM(SUMIFS('MAIN DATA, Orders'!$S:$S,'MAIN DATA, Orders'!$D:$D,"United Kingdom",'MAIN DATA, Orders'!$I:$I,{"Maintenance","Development - Maintenance","Modernisation","Development - Modernisation","Other","Development - Other"},'MAIN DATA, Orders'!$Y:$Y,$A10)/1000000000)</f>
        <v>4.5999999999999999E-2</v>
      </c>
    </row>
    <row r="11" spans="1:10" x14ac:dyDescent="0.35">
      <c r="A11" s="20">
        <v>202005</v>
      </c>
      <c r="B11" s="205">
        <v>43952</v>
      </c>
      <c r="C11" s="15" cm="1">
        <f t="array" ref="C11">SUM(SUMIFS('MAIN DATA, Orders'!$S:$S,'MAIN DATA, Orders'!$D:$D,"United Kingdom",'MAIN DATA, Orders'!$I:$I,{"Aircraft","Development - Aircraft","Missile (Air)","Development - Missile (Air)"},'MAIN DATA, Orders'!$Y:$Y,$A11)/1000000000)</f>
        <v>0</v>
      </c>
      <c r="D11" s="15" cm="1">
        <f t="array" ref="D11">SUM(SUMIFS('MAIN DATA, Orders'!$S:$S,'MAIN DATA, Orders'!$D:$D,"United Kingdom",'MAIN DATA, Orders'!$I:$I,{"Naval","Development - Naval","Missile (Naval)","Development - Missile (Naval)"},'MAIN DATA, Orders'!$Y:$Y,$A11)/1000000000)</f>
        <v>0</v>
      </c>
      <c r="E11" s="15" cm="1">
        <f t="array" ref="E11">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Orders'!$Y:$Y,$A11)/1000000000)</f>
        <v>0</v>
      </c>
      <c r="F11" s="15" cm="1">
        <f t="array" ref="F11">SUM(SUMIFS('MAIN DATA, Orders'!$S:$S,'MAIN DATA, Orders'!$D:$D,"United Kingdom",'MAIN DATA, Orders'!$I:$I,{"Maintenance","Development - Maintenance","Modernisation","Development - Modernisation","Other","Development - Other"},'MAIN DATA, Orders'!$Y:$Y,$A11)/1000000000)</f>
        <v>0</v>
      </c>
    </row>
    <row r="12" spans="1:10" x14ac:dyDescent="0.35">
      <c r="A12" s="20">
        <v>202006</v>
      </c>
      <c r="B12" s="205">
        <v>43983</v>
      </c>
      <c r="C12" s="15" cm="1">
        <f t="array" ref="C12">SUM(SUMIFS('MAIN DATA, Orders'!$S:$S,'MAIN DATA, Orders'!$D:$D,"United Kingdom",'MAIN DATA, Orders'!$I:$I,{"Aircraft","Development - Aircraft","Missile (Air)","Development - Missile (Air)"},'MAIN DATA, Orders'!$Y:$Y,$A12)/1000000000)</f>
        <v>0</v>
      </c>
      <c r="D12" s="15" cm="1">
        <f t="array" ref="D12">SUM(SUMIFS('MAIN DATA, Orders'!$S:$S,'MAIN DATA, Orders'!$D:$D,"United Kingdom",'MAIN DATA, Orders'!$I:$I,{"Naval","Development - Naval","Missile (Naval)","Development - Missile (Naval)"},'MAIN DATA, Orders'!$Y:$Y,$A12)/1000000000)</f>
        <v>0</v>
      </c>
      <c r="E12" s="15" cm="1">
        <f t="array" ref="E12">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Orders'!$Y:$Y,$A12)/1000000000)</f>
        <v>0</v>
      </c>
      <c r="F12" s="15" cm="1">
        <f t="array" ref="F12">SUM(SUMIFS('MAIN DATA, Orders'!$S:$S,'MAIN DATA, Orders'!$D:$D,"United Kingdom",'MAIN DATA, Orders'!$I:$I,{"Maintenance","Development - Maintenance","Modernisation","Development - Modernisation","Other","Development - Other"},'MAIN DATA, Orders'!$Y:$Y,$A12)/1000000000)</f>
        <v>2.6700000000000002E-2</v>
      </c>
    </row>
    <row r="13" spans="1:10" x14ac:dyDescent="0.35">
      <c r="A13" s="20">
        <v>202007</v>
      </c>
      <c r="B13" s="205">
        <v>44013</v>
      </c>
      <c r="C13" s="15" cm="1">
        <f t="array" ref="C13">SUM(SUMIFS('MAIN DATA, Orders'!$S:$S,'MAIN DATA, Orders'!$D:$D,"United Kingdom",'MAIN DATA, Orders'!$I:$I,{"Aircraft","Development - Aircraft","Missile (Air)","Development - Missile (Air)"},'MAIN DATA, Orders'!$Y:$Y,$A13)/1000000000)</f>
        <v>0</v>
      </c>
      <c r="D13" s="15" cm="1">
        <f t="array" ref="D13">SUM(SUMIFS('MAIN DATA, Orders'!$S:$S,'MAIN DATA, Orders'!$D:$D,"United Kingdom",'MAIN DATA, Orders'!$I:$I,{"Naval","Development - Naval","Missile (Naval)","Development - Missile (Naval)"},'MAIN DATA, Orders'!$Y:$Y,$A13)/1000000000)</f>
        <v>9.9000000000000008E-3</v>
      </c>
      <c r="E13" s="15" cm="1">
        <f t="array" ref="E13">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Orders'!$Y:$Y,$A13)/1000000000)</f>
        <v>6.5000000000000002E-2</v>
      </c>
      <c r="F13" s="15" cm="1">
        <f t="array" ref="F13">SUM(SUMIFS('MAIN DATA, Orders'!$S:$S,'MAIN DATA, Orders'!$D:$D,"United Kingdom",'MAIN DATA, Orders'!$I:$I,{"Maintenance","Development - Maintenance","Modernisation","Development - Modernisation","Other","Development - Other"},'MAIN DATA, Orders'!$Y:$Y,$A13)/1000000000)</f>
        <v>0.3</v>
      </c>
    </row>
    <row r="14" spans="1:10" x14ac:dyDescent="0.35">
      <c r="A14" s="20">
        <v>202008</v>
      </c>
      <c r="B14" s="205">
        <v>44044</v>
      </c>
      <c r="C14" s="15" cm="1">
        <f t="array" ref="C14">SUM(SUMIFS('MAIN DATA, Orders'!$S:$S,'MAIN DATA, Orders'!$D:$D,"United Kingdom",'MAIN DATA, Orders'!$I:$I,{"Aircraft","Development - Aircraft","Missile (Air)","Development - Missile (Air)"},'MAIN DATA, Orders'!$Y:$Y,$A14)/1000000000)</f>
        <v>0</v>
      </c>
      <c r="D14" s="15" cm="1">
        <f t="array" ref="D14">SUM(SUMIFS('MAIN DATA, Orders'!$S:$S,'MAIN DATA, Orders'!$D:$D,"United Kingdom",'MAIN DATA, Orders'!$I:$I,{"Naval","Development - Naval","Missile (Naval)","Development - Missile (Naval)"},'MAIN DATA, Orders'!$Y:$Y,$A14)/1000000000)</f>
        <v>0</v>
      </c>
      <c r="E14" s="15" cm="1">
        <f t="array" ref="E14">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Orders'!$Y:$Y,$A14)/1000000000)</f>
        <v>1.1999999999999999E-3</v>
      </c>
      <c r="F14" s="15" cm="1">
        <f t="array" ref="F14">SUM(SUMIFS('MAIN DATA, Orders'!$S:$S,'MAIN DATA, Orders'!$D:$D,"United Kingdom",'MAIN DATA, Orders'!$I:$I,{"Maintenance","Development - Maintenance","Modernisation","Development - Modernisation","Other","Development - Other"},'MAIN DATA, Orders'!$Y:$Y,$A14)/1000000000)</f>
        <v>0.24</v>
      </c>
    </row>
    <row r="15" spans="1:10" x14ac:dyDescent="0.35">
      <c r="A15" s="20">
        <v>202009</v>
      </c>
      <c r="B15" s="205">
        <v>44075</v>
      </c>
      <c r="C15" s="15" cm="1">
        <f t="array" ref="C15">SUM(SUMIFS('MAIN DATA, Orders'!$S:$S,'MAIN DATA, Orders'!$D:$D,"United Kingdom",'MAIN DATA, Orders'!$I:$I,{"Aircraft","Development - Aircraft","Missile (Air)","Development - Missile (Air)"},'MAIN DATA, Orders'!$Y:$Y,$A15)/1000000000)</f>
        <v>0.317</v>
      </c>
      <c r="D15" s="15" cm="1">
        <f t="array" ref="D15">SUM(SUMIFS('MAIN DATA, Orders'!$S:$S,'MAIN DATA, Orders'!$D:$D,"United Kingdom",'MAIN DATA, Orders'!$I:$I,{"Naval","Development - Naval","Missile (Naval)","Development - Missile (Naval)"},'MAIN DATA, Orders'!$Y:$Y,$A15)/1000000000)</f>
        <v>7.0000000000000001E-3</v>
      </c>
      <c r="E15" s="15" cm="1">
        <f t="array" ref="E15">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Orders'!$Y:$Y,$A15)/1000000000)</f>
        <v>0</v>
      </c>
      <c r="F15" s="15" cm="1">
        <f t="array" ref="F15">SUM(SUMIFS('MAIN DATA, Orders'!$S:$S,'MAIN DATA, Orders'!$D:$D,"United Kingdom",'MAIN DATA, Orders'!$I:$I,{"Maintenance","Development - Maintenance","Modernisation","Development - Modernisation","Other","Development - Other"},'MAIN DATA, Orders'!$Y:$Y,$A15)/1000000000)</f>
        <v>0</v>
      </c>
    </row>
    <row r="16" spans="1:10" x14ac:dyDescent="0.35">
      <c r="A16" s="20">
        <v>202010</v>
      </c>
      <c r="B16" s="205">
        <v>44105</v>
      </c>
      <c r="C16" s="15" cm="1">
        <f t="array" ref="C16">SUM(SUMIFS('MAIN DATA, Orders'!$S:$S,'MAIN DATA, Orders'!$D:$D,"United Kingdom",'MAIN DATA, Orders'!$I:$I,{"Aircraft","Development - Aircraft","Missile (Air)","Development - Missile (Air)"},'MAIN DATA, Orders'!$Y:$Y,$A16)/1000000000)</f>
        <v>0</v>
      </c>
      <c r="D16" s="15" cm="1">
        <f t="array" ref="D16">SUM(SUMIFS('MAIN DATA, Orders'!$S:$S,'MAIN DATA, Orders'!$D:$D,"United Kingdom",'MAIN DATA, Orders'!$I:$I,{"Naval","Development - Naval","Missile (Naval)","Development - Missile (Naval)"},'MAIN DATA, Orders'!$Y:$Y,$A16)/1000000000)</f>
        <v>0</v>
      </c>
      <c r="E16" s="15" cm="1">
        <f t="array" ref="E16">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Orders'!$Y:$Y,$A16)/1000000000)</f>
        <v>0</v>
      </c>
      <c r="F16" s="15" cm="1">
        <f t="array" ref="F16">SUM(SUMIFS('MAIN DATA, Orders'!$S:$S,'MAIN DATA, Orders'!$D:$D,"United Kingdom",'MAIN DATA, Orders'!$I:$I,{"Maintenance","Development - Maintenance","Modernisation","Development - Modernisation","Other","Development - Other"},'MAIN DATA, Orders'!$Y:$Y,$A16)/1000000000)</f>
        <v>4.5999999999999999E-2</v>
      </c>
    </row>
    <row r="17" spans="1:6" x14ac:dyDescent="0.35">
      <c r="A17" s="20">
        <v>202011</v>
      </c>
      <c r="B17" s="205">
        <v>44136</v>
      </c>
      <c r="C17" s="15" cm="1">
        <f t="array" ref="C17">SUM(SUMIFS('MAIN DATA, Orders'!$S:$S,'MAIN DATA, Orders'!$D:$D,"United Kingdom",'MAIN DATA, Orders'!$I:$I,{"Aircraft","Development - Aircraft","Missile (Air)","Development - Missile (Air)"},'MAIN DATA, Orders'!$Y:$Y,$A17)/1000000000)</f>
        <v>0</v>
      </c>
      <c r="D17" s="15" cm="1">
        <f t="array" ref="D17">SUM(SUMIFS('MAIN DATA, Orders'!$S:$S,'MAIN DATA, Orders'!$D:$D,"United Kingdom",'MAIN DATA, Orders'!$I:$I,{"Naval","Development - Naval","Missile (Naval)","Development - Missile (Naval)"},'MAIN DATA, Orders'!$Y:$Y,$A17)/1000000000)</f>
        <v>0.184</v>
      </c>
      <c r="E17" s="15" cm="1">
        <f t="array" ref="E17">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Orders'!$Y:$Y,$A17)/1000000000)</f>
        <v>2.4</v>
      </c>
      <c r="F17" s="15" cm="1">
        <f t="array" ref="F17">SUM(SUMIFS('MAIN DATA, Orders'!$S:$S,'MAIN DATA, Orders'!$D:$D,"United Kingdom",'MAIN DATA, Orders'!$I:$I,{"Maintenance","Development - Maintenance","Modernisation","Development - Modernisation","Other","Development - Other"},'MAIN DATA, Orders'!$Y:$Y,$A17)/1000000000)</f>
        <v>0</v>
      </c>
    </row>
    <row r="18" spans="1:6" x14ac:dyDescent="0.35">
      <c r="A18" s="20">
        <v>202012</v>
      </c>
      <c r="B18" s="205">
        <v>44166</v>
      </c>
      <c r="C18" s="15" cm="1">
        <f t="array" ref="C18">SUM(SUMIFS('MAIN DATA, Orders'!$S:$S,'MAIN DATA, Orders'!$D:$D,"United Kingdom",'MAIN DATA, Orders'!$I:$I,{"Aircraft","Development - Aircraft","Missile (Air)","Development - Missile (Air)"},'MAIN DATA, Orders'!$Y:$Y,$A18)/1000000000)</f>
        <v>0</v>
      </c>
      <c r="D18" s="15" cm="1">
        <f t="array" ref="D18">SUM(SUMIFS('MAIN DATA, Orders'!$S:$S,'MAIN DATA, Orders'!$D:$D,"United Kingdom",'MAIN DATA, Orders'!$I:$I,{"Naval","Development - Naval","Missile (Naval)","Development - Missile (Naval)"},'MAIN DATA, Orders'!$Y:$Y,$A18)/1000000000)</f>
        <v>0</v>
      </c>
      <c r="E18" s="15" cm="1">
        <f t="array" ref="E18">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Orders'!$Y:$Y,$A18)/1000000000)</f>
        <v>0</v>
      </c>
      <c r="F18" s="15" cm="1">
        <f t="array" ref="F18">SUM(SUMIFS('MAIN DATA, Orders'!$S:$S,'MAIN DATA, Orders'!$D:$D,"United Kingdom",'MAIN DATA, Orders'!$I:$I,{"Maintenance","Development - Maintenance","Modernisation","Development - Modernisation","Other","Development - Other"},'MAIN DATA, Orders'!$Y:$Y,$A18)/1000000000)</f>
        <v>0</v>
      </c>
    </row>
    <row r="19" spans="1:6" x14ac:dyDescent="0.35">
      <c r="A19" s="20">
        <v>202101</v>
      </c>
      <c r="B19" s="205">
        <v>44197</v>
      </c>
      <c r="C19" s="15" cm="1">
        <f t="array" ref="C19">SUM(SUMIFS('MAIN DATA, Orders'!$S:$S,'MAIN DATA, Orders'!$D:$D,"United Kingdom",'MAIN DATA, Orders'!$I:$I,{"Aircraft","Development - Aircraft","Missile (Air)","Development - Missile (Air)"},'MAIN DATA, Orders'!$Y:$Y,$A19)/1000000000)</f>
        <v>0.55000000000000004</v>
      </c>
      <c r="D19" s="15" cm="1">
        <f t="array" ref="D19">SUM(SUMIFS('MAIN DATA, Orders'!$S:$S,'MAIN DATA, Orders'!$D:$D,"United Kingdom",'MAIN DATA, Orders'!$I:$I,{"Naval","Development - Naval","Missile (Naval)","Development - Missile (Naval)"},'MAIN DATA, Orders'!$Y:$Y,$A19)/1000000000)</f>
        <v>0</v>
      </c>
      <c r="E19" s="15" cm="1">
        <f t="array" ref="E19">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Orders'!$Y:$Y,$A19)/1000000000)</f>
        <v>5.5E-2</v>
      </c>
      <c r="F19" s="15" cm="1">
        <f t="array" ref="F19">SUM(SUMIFS('MAIN DATA, Orders'!$S:$S,'MAIN DATA, Orders'!$D:$D,"United Kingdom",'MAIN DATA, Orders'!$I:$I,{"Maintenance","Development - Maintenance","Modernisation","Development - Modernisation","Other","Development - Other"},'MAIN DATA, Orders'!$Y:$Y,$A19)/1000000000)</f>
        <v>0.40799999999999997</v>
      </c>
    </row>
    <row r="20" spans="1:6" x14ac:dyDescent="0.35">
      <c r="A20" s="20">
        <v>202102</v>
      </c>
      <c r="B20" s="205">
        <v>44228</v>
      </c>
      <c r="C20" s="15" cm="1">
        <f t="array" ref="C20">SUM(SUMIFS('MAIN DATA, Orders'!$S:$S,'MAIN DATA, Orders'!$D:$D,"United Kingdom",'MAIN DATA, Orders'!$I:$I,{"Aircraft","Development - Aircraft","Missile (Air)","Development - Missile (Air)"},'MAIN DATA, Orders'!$Y:$Y,$A20)/1000000000)</f>
        <v>0</v>
      </c>
      <c r="D20" s="15" cm="1">
        <f t="array" ref="D20">SUM(SUMIFS('MAIN DATA, Orders'!$S:$S,'MAIN DATA, Orders'!$D:$D,"United Kingdom",'MAIN DATA, Orders'!$I:$I,{"Naval","Development - Naval","Missile (Naval)","Development - Missile (Naval)"},'MAIN DATA, Orders'!$Y:$Y,$A20)/1000000000)</f>
        <v>0</v>
      </c>
      <c r="E20" s="15" cm="1">
        <f t="array" ref="E20">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Orders'!$Y:$Y,$A20)/1000000000)</f>
        <v>0</v>
      </c>
      <c r="F20" s="15" cm="1">
        <f t="array" ref="F20">SUM(SUMIFS('MAIN DATA, Orders'!$S:$S,'MAIN DATA, Orders'!$D:$D,"United Kingdom",'MAIN DATA, Orders'!$I:$I,{"Maintenance","Development - Maintenance","Modernisation","Development - Modernisation","Other","Development - Other"},'MAIN DATA, Orders'!$Y:$Y,$A20)/1000000000)</f>
        <v>0.18</v>
      </c>
    </row>
    <row r="21" spans="1:6" x14ac:dyDescent="0.35">
      <c r="A21" s="20">
        <v>202103</v>
      </c>
      <c r="B21" s="205">
        <v>44256</v>
      </c>
      <c r="C21" s="15" cm="1">
        <f t="array" ref="C21">SUM(SUMIFS('MAIN DATA, Orders'!$S:$S,'MAIN DATA, Orders'!$D:$D,"United Kingdom",'MAIN DATA, Orders'!$I:$I,{"Aircraft","Development - Aircraft","Missile (Air)","Development - Missile (Air)"},'MAIN DATA, Orders'!$Y:$Y,$A21)/1000000000)</f>
        <v>0</v>
      </c>
      <c r="D21" s="15" cm="1">
        <f t="array" ref="D21">SUM(SUMIFS('MAIN DATA, Orders'!$S:$S,'MAIN DATA, Orders'!$D:$D,"United Kingdom",'MAIN DATA, Orders'!$I:$I,{"Naval","Development - Naval","Missile (Naval)","Development - Missile (Naval)"},'MAIN DATA, Orders'!$Y:$Y,$A21)/1000000000)</f>
        <v>0</v>
      </c>
      <c r="E21" s="15" cm="1">
        <f t="array" ref="E21">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Orders'!$Y:$Y,$A21)/1000000000)</f>
        <v>9.8400000000000001E-2</v>
      </c>
      <c r="F21" s="15" cm="1">
        <f t="array" ref="F21">SUM(SUMIFS('MAIN DATA, Orders'!$S:$S,'MAIN DATA, Orders'!$D:$D,"United Kingdom",'MAIN DATA, Orders'!$I:$I,{"Maintenance","Development - Maintenance","Modernisation","Development - Modernisation","Other","Development - Other"},'MAIN DATA, Orders'!$Y:$Y,$A21)/1000000000)</f>
        <v>0</v>
      </c>
    </row>
    <row r="22" spans="1:6" x14ac:dyDescent="0.35">
      <c r="A22" s="20">
        <v>202104</v>
      </c>
      <c r="B22" s="205">
        <v>44287</v>
      </c>
      <c r="C22" s="15" cm="1">
        <f t="array" ref="C22">SUM(SUMIFS('MAIN DATA, Orders'!$S:$S,'MAIN DATA, Orders'!$D:$D,"United Kingdom",'MAIN DATA, Orders'!$I:$I,{"Aircraft","Development - Aircraft","Missile (Air)","Development - Missile (Air)"},'MAIN DATA, Orders'!$Y:$Y,$A22)/1000000000)</f>
        <v>0</v>
      </c>
      <c r="D22" s="15" cm="1">
        <f t="array" ref="D22">SUM(SUMIFS('MAIN DATA, Orders'!$S:$S,'MAIN DATA, Orders'!$D:$D,"United Kingdom",'MAIN DATA, Orders'!$I:$I,{"Naval","Development - Naval","Missile (Naval)","Development - Missile (Naval)"},'MAIN DATA, Orders'!$Y:$Y,$A22)/1000000000)</f>
        <v>0</v>
      </c>
      <c r="E22" s="15" cm="1">
        <f t="array" ref="E22">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Orders'!$Y:$Y,$A22)/1000000000)</f>
        <v>0</v>
      </c>
      <c r="F22" s="15" cm="1">
        <f t="array" ref="F22">SUM(SUMIFS('MAIN DATA, Orders'!$S:$S,'MAIN DATA, Orders'!$D:$D,"United Kingdom",'MAIN DATA, Orders'!$I:$I,{"Maintenance","Development - Maintenance","Modernisation","Development - Modernisation","Other","Development - Other"},'MAIN DATA, Orders'!$Y:$Y,$A22)/1000000000)</f>
        <v>0</v>
      </c>
    </row>
    <row r="23" spans="1:6" x14ac:dyDescent="0.35">
      <c r="A23" s="20">
        <v>202105</v>
      </c>
      <c r="B23" s="205">
        <v>44317</v>
      </c>
      <c r="C23" s="15" cm="1">
        <f t="array" ref="C23">SUM(SUMIFS('MAIN DATA, Orders'!$S:$S,'MAIN DATA, Orders'!$D:$D,"United Kingdom",'MAIN DATA, Orders'!$I:$I,{"Aircraft","Development - Aircraft","Missile (Air)","Development - Missile (Air)"},'MAIN DATA, Orders'!$Y:$Y,$A23)/1000000000)</f>
        <v>0</v>
      </c>
      <c r="D23" s="15" cm="1">
        <f t="array" ref="D23">SUM(SUMIFS('MAIN DATA, Orders'!$S:$S,'MAIN DATA, Orders'!$D:$D,"United Kingdom",'MAIN DATA, Orders'!$I:$I,{"Naval","Development - Naval","Missile (Naval)","Development - Missile (Naval)"},'MAIN DATA, Orders'!$Y:$Y,$A23)/1000000000)</f>
        <v>0</v>
      </c>
      <c r="E23" s="15" cm="1">
        <f t="array" ref="E23">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Orders'!$Y:$Y,$A23)/1000000000)</f>
        <v>0.8</v>
      </c>
      <c r="F23" s="15" cm="1">
        <f t="array" ref="F23">SUM(SUMIFS('MAIN DATA, Orders'!$S:$S,'MAIN DATA, Orders'!$D:$D,"United Kingdom",'MAIN DATA, Orders'!$I:$I,{"Maintenance","Development - Maintenance","Modernisation","Development - Modernisation","Other","Development - Other"},'MAIN DATA, Orders'!$Y:$Y,$A23)/1000000000)</f>
        <v>0.32100000000000001</v>
      </c>
    </row>
    <row r="24" spans="1:6" x14ac:dyDescent="0.35">
      <c r="A24" s="20">
        <v>202106</v>
      </c>
      <c r="B24" s="205">
        <v>44348</v>
      </c>
      <c r="C24" s="15" cm="1">
        <f t="array" ref="C24">SUM(SUMIFS('MAIN DATA, Orders'!$S:$S,'MAIN DATA, Orders'!$D:$D,"United Kingdom",'MAIN DATA, Orders'!$I:$I,{"Aircraft","Development - Aircraft","Missile (Air)","Development - Missile (Air)"},'MAIN DATA, Orders'!$Y:$Y,$A24)/1000000000)</f>
        <v>0</v>
      </c>
      <c r="D24" s="15" cm="1">
        <f t="array" ref="D24">SUM(SUMIFS('MAIN DATA, Orders'!$S:$S,'MAIN DATA, Orders'!$D:$D,"United Kingdom",'MAIN DATA, Orders'!$I:$I,{"Naval","Development - Naval","Missile (Naval)","Development - Missile (Naval)"},'MAIN DATA, Orders'!$Y:$Y,$A24)/1000000000)</f>
        <v>3.5999999999999997E-2</v>
      </c>
      <c r="E24" s="15" cm="1">
        <f t="array" ref="E24">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Orders'!$Y:$Y,$A24)/1000000000)</f>
        <v>0</v>
      </c>
      <c r="F24" s="15" cm="1">
        <f t="array" ref="F24">SUM(SUMIFS('MAIN DATA, Orders'!$S:$S,'MAIN DATA, Orders'!$D:$D,"United Kingdom",'MAIN DATA, Orders'!$I:$I,{"Maintenance","Development - Maintenance","Modernisation","Development - Modernisation","Other","Development - Other"},'MAIN DATA, Orders'!$Y:$Y,$A24)/1000000000)</f>
        <v>0</v>
      </c>
    </row>
    <row r="25" spans="1:6" x14ac:dyDescent="0.35">
      <c r="A25" s="20">
        <v>202107</v>
      </c>
      <c r="B25" s="205">
        <v>44378</v>
      </c>
      <c r="C25" s="15" cm="1">
        <f t="array" ref="C25">SUM(SUMIFS('MAIN DATA, Orders'!$S:$S,'MAIN DATA, Orders'!$D:$D,"United Kingdom",'MAIN DATA, Orders'!$I:$I,{"Aircraft","Development - Aircraft","Missile (Air)","Development - Missile (Air)"},'MAIN DATA, Orders'!$Y:$Y,$A25)/1000000000)</f>
        <v>0.27350000000000002</v>
      </c>
      <c r="D25" s="15" cm="1">
        <f t="array" ref="D25">SUM(SUMIFS('MAIN DATA, Orders'!$S:$S,'MAIN DATA, Orders'!$D:$D,"United Kingdom",'MAIN DATA, Orders'!$I:$I,{"Naval","Development - Naval","Missile (Naval)","Development - Missile (Naval)"},'MAIN DATA, Orders'!$Y:$Y,$A25)/1000000000)</f>
        <v>0.50044</v>
      </c>
      <c r="E25" s="15" cm="1">
        <f t="array" ref="E25">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Orders'!$Y:$Y,$A25)/1000000000)</f>
        <v>0.19700000000000001</v>
      </c>
      <c r="F25" s="15" cm="1">
        <f t="array" ref="F25">SUM(SUMIFS('MAIN DATA, Orders'!$S:$S,'MAIN DATA, Orders'!$D:$D,"United Kingdom",'MAIN DATA, Orders'!$I:$I,{"Maintenance","Development - Maintenance","Modernisation","Development - Modernisation","Other","Development - Other"},'MAIN DATA, Orders'!$Y:$Y,$A25)/1000000000)</f>
        <v>0.23</v>
      </c>
    </row>
    <row r="26" spans="1:6" x14ac:dyDescent="0.35">
      <c r="A26" s="20">
        <v>202108</v>
      </c>
      <c r="B26" s="205">
        <v>44409</v>
      </c>
      <c r="C26" s="15" cm="1">
        <f t="array" ref="C26">SUM(SUMIFS('MAIN DATA, Orders'!$S:$S,'MAIN DATA, Orders'!$D:$D,"United Kingdom",'MAIN DATA, Orders'!$I:$I,{"Aircraft","Development - Aircraft","Missile (Air)","Development - Missile (Air)"},'MAIN DATA, Orders'!$Y:$Y,$A26)/1000000000)</f>
        <v>0</v>
      </c>
      <c r="D26" s="15" cm="1">
        <f t="array" ref="D26">SUM(SUMIFS('MAIN DATA, Orders'!$S:$S,'MAIN DATA, Orders'!$D:$D,"United Kingdom",'MAIN DATA, Orders'!$I:$I,{"Naval","Development - Naval","Missile (Naval)","Development - Missile (Naval)"},'MAIN DATA, Orders'!$Y:$Y,$A26)/1000000000)</f>
        <v>0</v>
      </c>
      <c r="E26" s="15" cm="1">
        <f t="array" ref="E26">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Orders'!$Y:$Y,$A26)/1000000000)</f>
        <v>0</v>
      </c>
      <c r="F26" s="15" cm="1">
        <f t="array" ref="F26">SUM(SUMIFS('MAIN DATA, Orders'!$S:$S,'MAIN DATA, Orders'!$D:$D,"United Kingdom",'MAIN DATA, Orders'!$I:$I,{"Maintenance","Development - Maintenance","Modernisation","Development - Modernisation","Other","Development - Other"},'MAIN DATA, Orders'!$Y:$Y,$A26)/1000000000)</f>
        <v>0</v>
      </c>
    </row>
    <row r="27" spans="1:6" x14ac:dyDescent="0.35">
      <c r="A27" s="20">
        <v>202109</v>
      </c>
      <c r="B27" s="205">
        <v>44440</v>
      </c>
      <c r="C27" s="15" cm="1">
        <f t="array" ref="C27">SUM(SUMIFS('MAIN DATA, Orders'!$S:$S,'MAIN DATA, Orders'!$D:$D,"United Kingdom",'MAIN DATA, Orders'!$I:$I,{"Aircraft","Development - Aircraft","Missile (Air)","Development - Missile (Air)"},'MAIN DATA, Orders'!$Y:$Y,$A27)/1000000000)</f>
        <v>0.38800000000000001</v>
      </c>
      <c r="D27" s="15" cm="1">
        <f t="array" ref="D27">SUM(SUMIFS('MAIN DATA, Orders'!$S:$S,'MAIN DATA, Orders'!$D:$D,"United Kingdom",'MAIN DATA, Orders'!$I:$I,{"Naval","Development - Naval","Missile (Naval)","Development - Missile (Naval)"},'MAIN DATA, Orders'!$Y:$Y,$A27)/1000000000)</f>
        <v>0.17</v>
      </c>
      <c r="E27" s="15" cm="1">
        <f t="array" ref="E27">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Orders'!$Y:$Y,$A27)/1000000000)</f>
        <v>0</v>
      </c>
      <c r="F27" s="15" cm="1">
        <f t="array" ref="F27">SUM(SUMIFS('MAIN DATA, Orders'!$S:$S,'MAIN DATA, Orders'!$D:$D,"United Kingdom",'MAIN DATA, Orders'!$I:$I,{"Maintenance","Development - Maintenance","Modernisation","Development - Modernisation","Other","Development - Other"},'MAIN DATA, Orders'!$Y:$Y,$A27)/1000000000)</f>
        <v>7.2499999999999995E-2</v>
      </c>
    </row>
    <row r="28" spans="1:6" x14ac:dyDescent="0.35">
      <c r="A28" s="20">
        <v>202110</v>
      </c>
      <c r="B28" s="205">
        <v>44470</v>
      </c>
      <c r="C28" s="15" cm="1">
        <f t="array" ref="C28">SUM(SUMIFS('MAIN DATA, Orders'!$S:$S,'MAIN DATA, Orders'!$D:$D,"United Kingdom",'MAIN DATA, Orders'!$I:$I,{"Aircraft","Development - Aircraft","Missile (Air)","Development - Missile (Air)"},'MAIN DATA, Orders'!$Y:$Y,$A28)/1000000000)</f>
        <v>0</v>
      </c>
      <c r="D28" s="15" cm="1">
        <f t="array" ref="D28">SUM(SUMIFS('MAIN DATA, Orders'!$S:$S,'MAIN DATA, Orders'!$D:$D,"United Kingdom",'MAIN DATA, Orders'!$I:$I,{"Naval","Development - Naval","Missile (Naval)","Development - Missile (Naval)"},'MAIN DATA, Orders'!$Y:$Y,$A28)/1000000000)</f>
        <v>0</v>
      </c>
      <c r="E28" s="15" cm="1">
        <f t="array" ref="E28">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Orders'!$Y:$Y,$A28)/1000000000)</f>
        <v>0</v>
      </c>
      <c r="F28" s="15" cm="1">
        <f t="array" ref="F28">SUM(SUMIFS('MAIN DATA, Orders'!$S:$S,'MAIN DATA, Orders'!$D:$D,"United Kingdom",'MAIN DATA, Orders'!$I:$I,{"Maintenance","Development - Maintenance","Modernisation","Development - Modernisation","Other","Development - Other"},'MAIN DATA, Orders'!$Y:$Y,$A28)/1000000000)</f>
        <v>0.17499999999999999</v>
      </c>
    </row>
    <row r="29" spans="1:6" x14ac:dyDescent="0.35">
      <c r="A29" s="20">
        <v>202111</v>
      </c>
      <c r="B29" s="205">
        <v>44501</v>
      </c>
      <c r="C29" s="15" cm="1">
        <f t="array" ref="C29">SUM(SUMIFS('MAIN DATA, Orders'!$S:$S,'MAIN DATA, Orders'!$D:$D,"United Kingdom",'MAIN DATA, Orders'!$I:$I,{"Aircraft","Development - Aircraft","Missile (Air)","Development - Missile (Air)"},'MAIN DATA, Orders'!$Y:$Y,$A29)/1000000000)</f>
        <v>0.11</v>
      </c>
      <c r="D29" s="15" cm="1">
        <f t="array" ref="D29">SUM(SUMIFS('MAIN DATA, Orders'!$S:$S,'MAIN DATA, Orders'!$D:$D,"United Kingdom",'MAIN DATA, Orders'!$I:$I,{"Naval","Development - Naval","Missile (Naval)","Development - Missile (Naval)"},'MAIN DATA, Orders'!$Y:$Y,$A29)/1000000000)</f>
        <v>0.1</v>
      </c>
      <c r="E29" s="15" cm="1">
        <f t="array" ref="E29">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Orders'!$Y:$Y,$A29)/1000000000)</f>
        <v>0</v>
      </c>
      <c r="F29" s="15" cm="1">
        <f t="array" ref="F29">SUM(SUMIFS('MAIN DATA, Orders'!$S:$S,'MAIN DATA, Orders'!$D:$D,"United Kingdom",'MAIN DATA, Orders'!$I:$I,{"Maintenance","Development - Maintenance","Modernisation","Development - Modernisation","Other","Development - Other"},'MAIN DATA, Orders'!$Y:$Y,$A29)/1000000000)</f>
        <v>0</v>
      </c>
    </row>
    <row r="30" spans="1:6" x14ac:dyDescent="0.35">
      <c r="A30" s="20">
        <v>202112</v>
      </c>
      <c r="B30" s="205">
        <v>44531</v>
      </c>
      <c r="C30" s="15" cm="1">
        <f t="array" ref="C30">SUM(SUMIFS('MAIN DATA, Orders'!$S:$S,'MAIN DATA, Orders'!$D:$D,"United Kingdom",'MAIN DATA, Orders'!$I:$I,{"Aircraft","Development - Aircraft","Missile (Air)","Development - Missile (Air)"},'MAIN DATA, Orders'!$Y:$Y,$A30)/1000000000)</f>
        <v>0</v>
      </c>
      <c r="D30" s="15" cm="1">
        <f t="array" ref="D30">SUM(SUMIFS('MAIN DATA, Orders'!$S:$S,'MAIN DATA, Orders'!$D:$D,"United Kingdom",'MAIN DATA, Orders'!$I:$I,{"Naval","Development - Naval","Missile (Naval)","Development - Missile (Naval)"},'MAIN DATA, Orders'!$Y:$Y,$A30)/1000000000)</f>
        <v>0</v>
      </c>
      <c r="E30" s="15" cm="1">
        <f t="array" ref="E30">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Orders'!$Y:$Y,$A30)/1000000000)</f>
        <v>0</v>
      </c>
      <c r="F30" s="15" cm="1">
        <f t="array" ref="F30">SUM(SUMIFS('MAIN DATA, Orders'!$S:$S,'MAIN DATA, Orders'!$D:$D,"United Kingdom",'MAIN DATA, Orders'!$I:$I,{"Maintenance","Development - Maintenance","Modernisation","Development - Modernisation","Other","Development - Other"},'MAIN DATA, Orders'!$Y:$Y,$A30)/1000000000)</f>
        <v>1.0200000000000001E-3</v>
      </c>
    </row>
    <row r="31" spans="1:6" x14ac:dyDescent="0.35">
      <c r="A31" s="20">
        <v>202201</v>
      </c>
      <c r="B31" s="205">
        <v>44562</v>
      </c>
      <c r="C31" s="15" cm="1">
        <f t="array" ref="C31">SUM(SUMIFS('MAIN DATA, Orders'!$S:$S,'MAIN DATA, Orders'!$D:$D,"United Kingdom",'MAIN DATA, Orders'!$I:$I,{"Aircraft","Development - Aircraft","Missile (Air)","Development - Missile (Air)"},'MAIN DATA, Orders'!$Y:$Y,$A31)/1000000000)</f>
        <v>0</v>
      </c>
      <c r="D31" s="15" cm="1">
        <f t="array" ref="D31">SUM(SUMIFS('MAIN DATA, Orders'!$S:$S,'MAIN DATA, Orders'!$D:$D,"United Kingdom",'MAIN DATA, Orders'!$I:$I,{"Naval","Development - Naval","Missile (Naval)","Development - Missile (Naval)"},'MAIN DATA, Orders'!$Y:$Y,$A31)/1000000000)</f>
        <v>0</v>
      </c>
      <c r="E31" s="15" cm="1">
        <f t="array" ref="E31">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Orders'!$Y:$Y,$A31)/1000000000)</f>
        <v>0</v>
      </c>
      <c r="F31" s="15" cm="1">
        <f t="array" ref="F31">SUM(SUMIFS('MAIN DATA, Orders'!$S:$S,'MAIN DATA, Orders'!$D:$D,"United Kingdom",'MAIN DATA, Orders'!$I:$I,{"Maintenance","Development - Maintenance","Modernisation","Development - Modernisation","Other","Development - Other"},'MAIN DATA, Orders'!$Y:$Y,$A31)/1000000000)</f>
        <v>2.2703699999999998</v>
      </c>
    </row>
    <row r="32" spans="1:6" x14ac:dyDescent="0.35">
      <c r="A32" s="20">
        <v>202202</v>
      </c>
      <c r="B32" s="205">
        <v>44593</v>
      </c>
      <c r="C32" s="15" cm="1">
        <f t="array" ref="C32">SUM(SUMIFS('MAIN DATA, Orders'!$S:$S,'MAIN DATA, Orders'!$D:$D,"United Kingdom",'MAIN DATA, Orders'!$I:$I,{"Aircraft","Development - Aircraft","Missile (Air)","Development - Missile (Air)"},'MAIN DATA, Orders'!$Y:$Y,$A32)/1000000000)</f>
        <v>0.08</v>
      </c>
      <c r="D32" s="15" cm="1">
        <f t="array" ref="D32">SUM(SUMIFS('MAIN DATA, Orders'!$S:$S,'MAIN DATA, Orders'!$D:$D,"United Kingdom",'MAIN DATA, Orders'!$I:$I,{"Naval","Development - Naval","Missile (Naval)","Development - Missile (Naval)"},'MAIN DATA, Orders'!$Y:$Y,$A32)/1000000000)</f>
        <v>0</v>
      </c>
      <c r="E32" s="15" cm="1">
        <f t="array" ref="E32">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Orders'!$Y:$Y,$A32)/1000000000)</f>
        <v>0</v>
      </c>
      <c r="F32" s="15" cm="1">
        <f t="array" ref="F32">SUM(SUMIFS('MAIN DATA, Orders'!$S:$S,'MAIN DATA, Orders'!$D:$D,"United Kingdom",'MAIN DATA, Orders'!$I:$I,{"Maintenance","Development - Maintenance","Modernisation","Development - Modernisation","Other","Development - Other"},'MAIN DATA, Orders'!$Y:$Y,$A32)/1000000000)</f>
        <v>0</v>
      </c>
    </row>
    <row r="33" spans="1:6" x14ac:dyDescent="0.35">
      <c r="A33" s="20">
        <v>202203</v>
      </c>
      <c r="B33" s="205">
        <v>44621</v>
      </c>
      <c r="C33" s="15" cm="1">
        <f t="array" ref="C33">SUM(SUMIFS('MAIN DATA, Orders'!$S:$S,'MAIN DATA, Orders'!$D:$D,"United Kingdom",'MAIN DATA, Orders'!$I:$I,{"Aircraft","Development - Aircraft","Missile (Air)","Development - Missile (Air)"},'MAIN DATA, Orders'!$Y:$Y,$A33)/1000000000)</f>
        <v>0</v>
      </c>
      <c r="D33" s="15" cm="1">
        <f t="array" ref="D33">SUM(SUMIFS('MAIN DATA, Orders'!$S:$S,'MAIN DATA, Orders'!$D:$D,"United Kingdom",'MAIN DATA, Orders'!$I:$I,{"Naval","Development - Naval","Missile (Naval)","Development - Missile (Naval)"},'MAIN DATA, Orders'!$Y:$Y,$A33)/1000000000)</f>
        <v>0</v>
      </c>
      <c r="E33" s="15" cm="1">
        <f t="array" ref="E33">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Orders'!$Y:$Y,$A33)/1000000000)</f>
        <v>0</v>
      </c>
      <c r="F33" s="15" cm="1">
        <f t="array" ref="F33">SUM(SUMIFS('MAIN DATA, Orders'!$S:$S,'MAIN DATA, Orders'!$D:$D,"United Kingdom",'MAIN DATA, Orders'!$I:$I,{"Maintenance","Development - Maintenance","Modernisation","Development - Modernisation","Other","Development - Other"},'MAIN DATA, Orders'!$Y:$Y,$A33)/1000000000)</f>
        <v>0.69499999999999995</v>
      </c>
    </row>
    <row r="34" spans="1:6" x14ac:dyDescent="0.35">
      <c r="A34" s="20">
        <v>202204</v>
      </c>
      <c r="B34" s="205">
        <v>44652</v>
      </c>
      <c r="C34" s="15" cm="1">
        <f t="array" ref="C34">SUM(SUMIFS('MAIN DATA, Orders'!$S:$S,'MAIN DATA, Orders'!$D:$D,"United Kingdom",'MAIN DATA, Orders'!$I:$I,{"Aircraft","Development - Aircraft","Missile (Air)","Development - Missile (Air)"},'MAIN DATA, Orders'!$Y:$Y,$A34)/1000000000)</f>
        <v>0</v>
      </c>
      <c r="D34" s="15" cm="1">
        <f t="array" ref="D34">SUM(SUMIFS('MAIN DATA, Orders'!$S:$S,'MAIN DATA, Orders'!$D:$D,"United Kingdom",'MAIN DATA, Orders'!$I:$I,{"Naval","Development - Naval","Missile (Naval)","Development - Missile (Naval)"},'MAIN DATA, Orders'!$Y:$Y,$A34)/1000000000)</f>
        <v>0</v>
      </c>
      <c r="E34" s="15" cm="1">
        <f t="array" ref="E34">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Orders'!$Y:$Y,$A34)/1000000000)</f>
        <v>3.2000000000000001E-2</v>
      </c>
      <c r="F34" s="15" cm="1">
        <f t="array" ref="F34">SUM(SUMIFS('MAIN DATA, Orders'!$S:$S,'MAIN DATA, Orders'!$D:$D,"United Kingdom",'MAIN DATA, Orders'!$I:$I,{"Maintenance","Development - Maintenance","Modernisation","Development - Modernisation","Other","Development - Other"},'MAIN DATA, Orders'!$Y:$Y,$A34)/1000000000)</f>
        <v>0.38200000000000001</v>
      </c>
    </row>
    <row r="35" spans="1:6" x14ac:dyDescent="0.35">
      <c r="A35" s="20">
        <v>202205</v>
      </c>
      <c r="B35" s="205">
        <v>44682</v>
      </c>
      <c r="C35" s="15" cm="1">
        <f t="array" ref="C35">SUM(SUMIFS('MAIN DATA, Orders'!$S:$S,'MAIN DATA, Orders'!$D:$D,"United Kingdom",'MAIN DATA, Orders'!$I:$I,{"Aircraft","Development - Aircraft","Missile (Air)","Development - Missile (Air)"},'MAIN DATA, Orders'!$Y:$Y,$A35)/1000000000)</f>
        <v>0</v>
      </c>
      <c r="D35" s="15" cm="1">
        <f t="array" ref="D35">SUM(SUMIFS('MAIN DATA, Orders'!$S:$S,'MAIN DATA, Orders'!$D:$D,"United Kingdom",'MAIN DATA, Orders'!$I:$I,{"Naval","Development - Naval","Missile (Naval)","Development - Missile (Naval)"},'MAIN DATA, Orders'!$Y:$Y,$A35)/1000000000)</f>
        <v>2.5649999999999999</v>
      </c>
      <c r="E35" s="15" cm="1">
        <f t="array" ref="E35">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Orders'!$Y:$Y,$A35)/1000000000)</f>
        <v>0</v>
      </c>
      <c r="F35" s="15" cm="1">
        <f t="array" ref="F35">SUM(SUMIFS('MAIN DATA, Orders'!$S:$S,'MAIN DATA, Orders'!$D:$D,"United Kingdom",'MAIN DATA, Orders'!$I:$I,{"Maintenance","Development - Maintenance","Modernisation","Development - Modernisation","Other","Development - Other"},'MAIN DATA, Orders'!$Y:$Y,$A35)/1000000000)</f>
        <v>0</v>
      </c>
    </row>
    <row r="36" spans="1:6" x14ac:dyDescent="0.35">
      <c r="A36" s="20">
        <v>202206</v>
      </c>
      <c r="B36" s="205">
        <v>44713</v>
      </c>
      <c r="C36" s="15" cm="1">
        <f t="array" ref="C36">SUM(SUMIFS('MAIN DATA, Orders'!$S:$S,'MAIN DATA, Orders'!$D:$D,"United Kingdom",'MAIN DATA, Orders'!$I:$I,{"Aircraft","Development - Aircraft","Missile (Air)","Development - Missile (Air)"},'MAIN DATA, Orders'!$Y:$Y,$A36)/1000000000)</f>
        <v>0</v>
      </c>
      <c r="D36" s="15" cm="1">
        <f t="array" ref="D36">SUM(SUMIFS('MAIN DATA, Orders'!$S:$S,'MAIN DATA, Orders'!$D:$D,"United Kingdom",'MAIN DATA, Orders'!$I:$I,{"Naval","Development - Naval","Missile (Naval)","Development - Missile (Naval)"},'MAIN DATA, Orders'!$Y:$Y,$A36)/1000000000)</f>
        <v>0</v>
      </c>
      <c r="E36" s="15" cm="1">
        <f t="array" ref="E36">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Orders'!$Y:$Y,$A36)/1000000000)</f>
        <v>0</v>
      </c>
      <c r="F36" s="15" cm="1">
        <f t="array" ref="F36">SUM(SUMIFS('MAIN DATA, Orders'!$S:$S,'MAIN DATA, Orders'!$D:$D,"United Kingdom",'MAIN DATA, Orders'!$I:$I,{"Maintenance","Development - Maintenance","Modernisation","Development - Modernisation","Other","Development - Other"},'MAIN DATA, Orders'!$Y:$Y,$A36)/1000000000)</f>
        <v>2.0072000000000001</v>
      </c>
    </row>
    <row r="37" spans="1:6" x14ac:dyDescent="0.35">
      <c r="A37" s="20">
        <v>202207</v>
      </c>
      <c r="B37" s="205">
        <v>44743</v>
      </c>
      <c r="C37" s="15" cm="1">
        <f t="array" ref="C37">SUM(SUMIFS('MAIN DATA, Orders'!$S:$S,'MAIN DATA, Orders'!$D:$D,"United Kingdom",'MAIN DATA, Orders'!$I:$I,{"Aircraft","Development - Aircraft","Missile (Air)","Development - Missile (Air)"},'MAIN DATA, Orders'!$Y:$Y,$A37)/1000000000)</f>
        <v>2.35</v>
      </c>
      <c r="D37" s="15" cm="1">
        <f t="array" ref="D37">SUM(SUMIFS('MAIN DATA, Orders'!$S:$S,'MAIN DATA, Orders'!$D:$D,"United Kingdom",'MAIN DATA, Orders'!$I:$I,{"Naval","Development - Naval","Missile (Naval)","Development - Missile (Naval)"},'MAIN DATA, Orders'!$Y:$Y,$A37)/1000000000)</f>
        <v>0</v>
      </c>
      <c r="E37" s="15" cm="1">
        <f t="array" ref="E37">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Orders'!$Y:$Y,$A37)/1000000000)</f>
        <v>0.06</v>
      </c>
      <c r="F37" s="15" cm="1">
        <f t="array" ref="F37">SUM(SUMIFS('MAIN DATA, Orders'!$S:$S,'MAIN DATA, Orders'!$D:$D,"United Kingdom",'MAIN DATA, Orders'!$I:$I,{"Maintenance","Development - Maintenance","Modernisation","Development - Modernisation","Other","Development - Other"},'MAIN DATA, Orders'!$Y:$Y,$A37)/1000000000)</f>
        <v>4.2000000000000003E-2</v>
      </c>
    </row>
    <row r="38" spans="1:6" x14ac:dyDescent="0.35">
      <c r="A38" s="20">
        <v>202208</v>
      </c>
      <c r="B38" s="205">
        <v>44774</v>
      </c>
      <c r="C38" s="15" cm="1">
        <f t="array" ref="C38">SUM(SUMIFS('MAIN DATA, Orders'!$S:$S,'MAIN DATA, Orders'!$D:$D,"United Kingdom",'MAIN DATA, Orders'!$I:$I,{"Aircraft","Development - Aircraft","Missile (Air)","Development - Missile (Air)"},'MAIN DATA, Orders'!$Y:$Y,$A38)/1000000000)</f>
        <v>0</v>
      </c>
      <c r="D38" s="15" cm="1">
        <f t="array" ref="D38">SUM(SUMIFS('MAIN DATA, Orders'!$S:$S,'MAIN DATA, Orders'!$D:$D,"United Kingdom",'MAIN DATA, Orders'!$I:$I,{"Naval","Development - Naval","Missile (Naval)","Development - Missile (Naval)"},'MAIN DATA, Orders'!$Y:$Y,$A38)/1000000000)</f>
        <v>0</v>
      </c>
      <c r="E38" s="15" cm="1">
        <f t="array" ref="E38">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Orders'!$Y:$Y,$A38)/1000000000)</f>
        <v>0</v>
      </c>
      <c r="F38" s="15" cm="1">
        <f t="array" ref="F38">SUM(SUMIFS('MAIN DATA, Orders'!$S:$S,'MAIN DATA, Orders'!$D:$D,"United Kingdom",'MAIN DATA, Orders'!$I:$I,{"Maintenance","Development - Maintenance","Modernisation","Development - Modernisation","Other","Development - Other"},'MAIN DATA, Orders'!$Y:$Y,$A38)/1000000000)</f>
        <v>0</v>
      </c>
    </row>
    <row r="39" spans="1:6" x14ac:dyDescent="0.35">
      <c r="A39" s="20">
        <v>202209</v>
      </c>
      <c r="B39" s="205">
        <v>44805</v>
      </c>
      <c r="C39" s="15" cm="1">
        <f t="array" ref="C39">SUM(SUMIFS('MAIN DATA, Orders'!$S:$S,'MAIN DATA, Orders'!$D:$D,"United Kingdom",'MAIN DATA, Orders'!$I:$I,{"Aircraft","Development - Aircraft","Missile (Air)","Development - Missile (Air)"},'MAIN DATA, Orders'!$Y:$Y,$A39)/1000000000)</f>
        <v>0</v>
      </c>
      <c r="D39" s="15" cm="1">
        <f t="array" ref="D39">SUM(SUMIFS('MAIN DATA, Orders'!$S:$S,'MAIN DATA, Orders'!$D:$D,"United Kingdom",'MAIN DATA, Orders'!$I:$I,{"Naval","Development - Naval","Missile (Naval)","Development - Missile (Naval)"},'MAIN DATA, Orders'!$Y:$Y,$A39)/1000000000)</f>
        <v>0</v>
      </c>
      <c r="E39" s="15" cm="1">
        <f t="array" ref="E39">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Orders'!$Y:$Y,$A39)/1000000000)</f>
        <v>1.4999999999999999E-2</v>
      </c>
      <c r="F39" s="15" cm="1">
        <f t="array" ref="F39">SUM(SUMIFS('MAIN DATA, Orders'!$S:$S,'MAIN DATA, Orders'!$D:$D,"United Kingdom",'MAIN DATA, Orders'!$I:$I,{"Maintenance","Development - Maintenance","Modernisation","Development - Modernisation","Other","Development - Other"},'MAIN DATA, Orders'!$Y:$Y,$A39)/1000000000)</f>
        <v>0</v>
      </c>
    </row>
    <row r="40" spans="1:6" x14ac:dyDescent="0.35">
      <c r="A40" s="20">
        <v>202210</v>
      </c>
      <c r="B40" s="205">
        <v>44835</v>
      </c>
      <c r="C40" s="15" cm="1">
        <f t="array" ref="C40">SUM(SUMIFS('MAIN DATA, Orders'!$S:$S,'MAIN DATA, Orders'!$D:$D,"United Kingdom",'MAIN DATA, Orders'!$I:$I,{"Aircraft","Development - Aircraft","Missile (Air)","Development - Missile (Air)"},'MAIN DATA, Orders'!$Y:$Y,$A40)/1000000000)</f>
        <v>0</v>
      </c>
      <c r="D40" s="15" cm="1">
        <f t="array" ref="D40">SUM(SUMIFS('MAIN DATA, Orders'!$S:$S,'MAIN DATA, Orders'!$D:$D,"United Kingdom",'MAIN DATA, Orders'!$I:$I,{"Naval","Development - Naval","Missile (Naval)","Development - Missile (Naval)"},'MAIN DATA, Orders'!$Y:$Y,$A40)/1000000000)</f>
        <v>3.4000000000000002E-2</v>
      </c>
      <c r="E40" s="15" cm="1">
        <f t="array" ref="E40">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Orders'!$Y:$Y,$A40)/1000000000)</f>
        <v>0</v>
      </c>
      <c r="F40" s="15" cm="1">
        <f t="array" ref="F40">SUM(SUMIFS('MAIN DATA, Orders'!$S:$S,'MAIN DATA, Orders'!$D:$D,"United Kingdom",'MAIN DATA, Orders'!$I:$I,{"Maintenance","Development - Maintenance","Modernisation","Development - Modernisation","Other","Development - Other"},'MAIN DATA, Orders'!$Y:$Y,$A40)/1000000000)</f>
        <v>4.4999999999999998E-2</v>
      </c>
    </row>
    <row r="41" spans="1:6" x14ac:dyDescent="0.35">
      <c r="A41" s="20">
        <v>202211</v>
      </c>
      <c r="B41" s="205">
        <v>44866</v>
      </c>
      <c r="C41" s="15" cm="1">
        <f t="array" ref="C41">SUM(SUMIFS('MAIN DATA, Orders'!$S:$S,'MAIN DATA, Orders'!$D:$D,"United Kingdom",'MAIN DATA, Orders'!$I:$I,{"Aircraft","Development - Aircraft","Missile (Air)","Development - Missile (Air)"},'MAIN DATA, Orders'!$Y:$Y,$A41)/1000000000)</f>
        <v>3.1E-2</v>
      </c>
      <c r="D41" s="15" cm="1">
        <f t="array" ref="D41">SUM(SUMIFS('MAIN DATA, Orders'!$S:$S,'MAIN DATA, Orders'!$D:$D,"United Kingdom",'MAIN DATA, Orders'!$I:$I,{"Naval","Development - Naval","Missile (Naval)","Development - Missile (Naval)"},'MAIN DATA, Orders'!$Y:$Y,$A41)/1000000000)</f>
        <v>4.2</v>
      </c>
      <c r="E41" s="15" cm="1">
        <f t="array" ref="E41">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Orders'!$Y:$Y,$A41)/1000000000)</f>
        <v>0</v>
      </c>
      <c r="F41" s="15" cm="1">
        <f t="array" ref="F41">SUM(SUMIFS('MAIN DATA, Orders'!$S:$S,'MAIN DATA, Orders'!$D:$D,"United Kingdom",'MAIN DATA, Orders'!$I:$I,{"Maintenance","Development - Maintenance","Modernisation","Development - Modernisation","Other","Development - Other"},'MAIN DATA, Orders'!$Y:$Y,$A41)/1000000000)</f>
        <v>0.09</v>
      </c>
    </row>
    <row r="42" spans="1:6" x14ac:dyDescent="0.35">
      <c r="A42" s="20">
        <v>202212</v>
      </c>
      <c r="B42" s="205">
        <v>44896</v>
      </c>
      <c r="C42" s="15" cm="1">
        <f t="array" ref="C42">SUM(SUMIFS('MAIN DATA, Orders'!$S:$S,'MAIN DATA, Orders'!$D:$D,"United Kingdom",'MAIN DATA, Orders'!$I:$I,{"Aircraft","Development - Aircraft","Missile (Air)","Development - Missile (Air)"},'MAIN DATA, Orders'!$Y:$Y,$A42)/1000000000)</f>
        <v>0</v>
      </c>
      <c r="D42" s="15" cm="1">
        <f t="array" ref="D42">SUM(SUMIFS('MAIN DATA, Orders'!$S:$S,'MAIN DATA, Orders'!$D:$D,"United Kingdom",'MAIN DATA, Orders'!$I:$I,{"Naval","Development - Naval","Missile (Naval)","Development - Missile (Naval)"},'MAIN DATA, Orders'!$Y:$Y,$A42)/1000000000)</f>
        <v>0</v>
      </c>
      <c r="E42" s="15" cm="1">
        <f t="array" ref="E42">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Orders'!$Y:$Y,$A42)/1000000000)</f>
        <v>0.51339999999999997</v>
      </c>
      <c r="F42" s="15" cm="1">
        <f t="array" ref="F42">SUM(SUMIFS('MAIN DATA, Orders'!$S:$S,'MAIN DATA, Orders'!$D:$D,"United Kingdom",'MAIN DATA, Orders'!$I:$I,{"Maintenance","Development - Maintenance","Modernisation","Development - Modernisation","Other","Development - Other"},'MAIN DATA, Orders'!$Y:$Y,$A42)/1000000000)</f>
        <v>0</v>
      </c>
    </row>
    <row r="43" spans="1:6" x14ac:dyDescent="0.35">
      <c r="A43" s="20">
        <v>202301</v>
      </c>
      <c r="B43" s="205">
        <v>44927</v>
      </c>
      <c r="C43" s="15" cm="1">
        <f t="array" ref="C43">SUM(SUMIFS('MAIN DATA, Orders'!$S:$S,'MAIN DATA, Orders'!$D:$D,"United Kingdom",'MAIN DATA, Orders'!$I:$I,{"Aircraft","Development - Aircraft","Missile (Air)","Development - Missile (Air)"},'MAIN DATA, Orders'!$Y:$Y,$A43)/1000000000)</f>
        <v>0</v>
      </c>
      <c r="D43" s="15" cm="1">
        <f t="array" ref="D43">SUM(SUMIFS('MAIN DATA, Orders'!$S:$S,'MAIN DATA, Orders'!$D:$D,"United Kingdom",'MAIN DATA, Orders'!$I:$I,{"Naval","Development - Naval","Missile (Naval)","Development - Missile (Naval)"},'MAIN DATA, Orders'!$Y:$Y,$A43)/1000000000)</f>
        <v>1.665</v>
      </c>
      <c r="E43" s="15" cm="1">
        <f t="array" ref="E43">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Orders'!$Y:$Y,$A43)/1000000000)</f>
        <v>0</v>
      </c>
      <c r="F43" s="15" cm="1">
        <f t="array" ref="F43">SUM(SUMIFS('MAIN DATA, Orders'!$S:$S,'MAIN DATA, Orders'!$D:$D,"United Kingdom",'MAIN DATA, Orders'!$I:$I,{"Maintenance","Development - Maintenance","Modernisation","Development - Modernisation","Other","Development - Other"},'MAIN DATA, Orders'!$Y:$Y,$A43)/1000000000)</f>
        <v>0</v>
      </c>
    </row>
    <row r="44" spans="1:6" x14ac:dyDescent="0.35">
      <c r="A44" s="20">
        <v>202302</v>
      </c>
      <c r="B44" s="205">
        <v>44958</v>
      </c>
      <c r="C44" s="15" cm="1">
        <f t="array" ref="C44">SUM(SUMIFS('MAIN DATA, Orders'!$S:$S,'MAIN DATA, Orders'!$D:$D,"United Kingdom",'MAIN DATA, Orders'!$I:$I,{"Aircraft","Development - Aircraft","Missile (Air)","Development - Missile (Air)"},'MAIN DATA, Orders'!$Y:$Y,$A44)/1000000000)</f>
        <v>0</v>
      </c>
      <c r="D44" s="15" cm="1">
        <f t="array" ref="D44">SUM(SUMIFS('MAIN DATA, Orders'!$S:$S,'MAIN DATA, Orders'!$D:$D,"United Kingdom",'MAIN DATA, Orders'!$I:$I,{"Naval","Development - Naval","Missile (Naval)","Development - Missile (Naval)"},'MAIN DATA, Orders'!$Y:$Y,$A44)/1000000000)</f>
        <v>0</v>
      </c>
      <c r="E44" s="15" cm="1">
        <f t="array" ref="E44">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Orders'!$Y:$Y,$A44)/1000000000)</f>
        <v>0.11</v>
      </c>
      <c r="F44" s="15" cm="1">
        <f t="array" ref="F44">SUM(SUMIFS('MAIN DATA, Orders'!$S:$S,'MAIN DATA, Orders'!$D:$D,"United Kingdom",'MAIN DATA, Orders'!$I:$I,{"Maintenance","Development - Maintenance","Modernisation","Development - Modernisation","Other","Development - Other"},'MAIN DATA, Orders'!$Y:$Y,$A44)/1000000000)</f>
        <v>0.4</v>
      </c>
    </row>
    <row r="45" spans="1:6" x14ac:dyDescent="0.35">
      <c r="A45" s="20">
        <v>202303</v>
      </c>
      <c r="B45" s="205">
        <v>44986</v>
      </c>
      <c r="C45" s="15" cm="1">
        <f t="array" ref="C45">SUM(SUMIFS('MAIN DATA, Orders'!$S:$S,'MAIN DATA, Orders'!$D:$D,"United Kingdom",'MAIN DATA, Orders'!$I:$I,{"Aircraft","Development - Aircraft","Missile (Air)","Development - Missile (Air)"},'MAIN DATA, Orders'!$Y:$Y,$A45)/1000000000)</f>
        <v>0</v>
      </c>
      <c r="D45" s="15" cm="1">
        <f t="array" ref="D45">SUM(SUMIFS('MAIN DATA, Orders'!$S:$S,'MAIN DATA, Orders'!$D:$D,"United Kingdom",'MAIN DATA, Orders'!$I:$I,{"Naval","Development - Naval","Missile (Naval)","Development - Missile (Naval)"},'MAIN DATA, Orders'!$Y:$Y,$A45)/1000000000)</f>
        <v>0</v>
      </c>
      <c r="E45" s="15" cm="1">
        <f t="array" ref="E45">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Orders'!$Y:$Y,$A45)/1000000000)</f>
        <v>4.5999999999999999E-3</v>
      </c>
      <c r="F45" s="15" cm="1">
        <f t="array" ref="F45">SUM(SUMIFS('MAIN DATA, Orders'!$S:$S,'MAIN DATA, Orders'!$D:$D,"United Kingdom",'MAIN DATA, Orders'!$I:$I,{"Maintenance","Development - Maintenance","Modernisation","Development - Modernisation","Other","Development - Other"},'MAIN DATA, Orders'!$Y:$Y,$A45)/1000000000)</f>
        <v>1.15E-2</v>
      </c>
    </row>
    <row r="46" spans="1:6" x14ac:dyDescent="0.35">
      <c r="A46" s="20">
        <v>202304</v>
      </c>
      <c r="B46" s="205">
        <v>45017</v>
      </c>
      <c r="C46" s="15" cm="1">
        <f t="array" ref="C46">SUM(SUMIFS('MAIN DATA, Orders'!$S:$S,'MAIN DATA, Orders'!$D:$D,"United Kingdom",'MAIN DATA, Orders'!$I:$I,{"Aircraft","Development - Aircraft","Missile (Air)","Development - Missile (Air)"},'MAIN DATA, Orders'!$Y:$Y,$A46)/1000000000)</f>
        <v>0.65600000000000003</v>
      </c>
      <c r="D46" s="15" cm="1">
        <f t="array" ref="D46">SUM(SUMIFS('MAIN DATA, Orders'!$S:$S,'MAIN DATA, Orders'!$D:$D,"United Kingdom",'MAIN DATA, Orders'!$I:$I,{"Naval","Development - Naval","Missile (Naval)","Development - Missile (Naval)"},'MAIN DATA, Orders'!$Y:$Y,$A46)/1000000000)</f>
        <v>0</v>
      </c>
      <c r="E46" s="15" cm="1">
        <f t="array" ref="E46">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Orders'!$Y:$Y,$A46)/1000000000)</f>
        <v>0</v>
      </c>
      <c r="F46" s="15" cm="1">
        <f t="array" ref="F46">SUM(SUMIFS('MAIN DATA, Orders'!$S:$S,'MAIN DATA, Orders'!$D:$D,"United Kingdom",'MAIN DATA, Orders'!$I:$I,{"Maintenance","Development - Maintenance","Modernisation","Development - Modernisation","Other","Development - Other"},'MAIN DATA, Orders'!$Y:$Y,$A46)/1000000000)</f>
        <v>0.161</v>
      </c>
    </row>
    <row r="47" spans="1:6" x14ac:dyDescent="0.35">
      <c r="A47" s="20">
        <v>202305</v>
      </c>
      <c r="B47" s="205">
        <v>45047</v>
      </c>
      <c r="C47" s="15" cm="1">
        <f t="array" ref="C47">SUM(SUMIFS('MAIN DATA, Orders'!$S:$S,'MAIN DATA, Orders'!$D:$D,"United Kingdom",'MAIN DATA, Orders'!$I:$I,{"Aircraft","Development - Aircraft","Missile (Air)","Development - Missile (Air)"},'MAIN DATA, Orders'!$Y:$Y,$A47)/1000000000)</f>
        <v>0</v>
      </c>
      <c r="D47" s="15" cm="1">
        <f t="array" ref="D47">SUM(SUMIFS('MAIN DATA, Orders'!$S:$S,'MAIN DATA, Orders'!$D:$D,"United Kingdom",'MAIN DATA, Orders'!$I:$I,{"Naval","Development - Naval","Missile (Naval)","Development - Missile (Naval)"},'MAIN DATA, Orders'!$Y:$Y,$A47)/1000000000)</f>
        <v>0</v>
      </c>
      <c r="E47" s="15" cm="1">
        <f t="array" ref="E47">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Orders'!$Y:$Y,$A47)/1000000000)</f>
        <v>0</v>
      </c>
      <c r="F47" s="15" cm="1">
        <f t="array" ref="F47">SUM(SUMIFS('MAIN DATA, Orders'!$S:$S,'MAIN DATA, Orders'!$D:$D,"United Kingdom",'MAIN DATA, Orders'!$I:$I,{"Maintenance","Development - Maintenance","Modernisation","Development - Modernisation","Other","Development - Other"},'MAIN DATA, Orders'!$Y:$Y,$A47)/1000000000)</f>
        <v>0.32</v>
      </c>
    </row>
    <row r="48" spans="1:6" x14ac:dyDescent="0.35">
      <c r="A48" s="20">
        <v>202306</v>
      </c>
      <c r="B48" s="205">
        <v>45078</v>
      </c>
      <c r="C48" s="15" cm="1">
        <f t="array" ref="C48">SUM(SUMIFS('MAIN DATA, Orders'!$S:$S,'MAIN DATA, Orders'!$D:$D,"United Kingdom",'MAIN DATA, Orders'!$I:$I,{"Aircraft","Development - Aircraft","Missile (Air)","Development - Missile (Air)"},'MAIN DATA, Orders'!$Y:$Y,$A48)/1000000000)</f>
        <v>0</v>
      </c>
      <c r="D48" s="15" cm="1">
        <f t="array" ref="D48">SUM(SUMIFS('MAIN DATA, Orders'!$S:$S,'MAIN DATA, Orders'!$D:$D,"United Kingdom",'MAIN DATA, Orders'!$I:$I,{"Naval","Development - Naval","Missile (Naval)","Development - Missile (Naval)"},'MAIN DATA, Orders'!$Y:$Y,$A48)/1000000000)</f>
        <v>0.27</v>
      </c>
      <c r="E48" s="15" cm="1">
        <f t="array" ref="E48">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Orders'!$Y:$Y,$A48)/1000000000)</f>
        <v>0</v>
      </c>
      <c r="F48" s="15" cm="1">
        <f t="array" ref="F48">SUM(SUMIFS('MAIN DATA, Orders'!$S:$S,'MAIN DATA, Orders'!$D:$D,"United Kingdom",'MAIN DATA, Orders'!$I:$I,{"Maintenance","Development - Maintenance","Modernisation","Development - Modernisation","Other","Development - Other"},'MAIN DATA, Orders'!$Y:$Y,$A48)/1000000000)</f>
        <v>0.17099999999999999</v>
      </c>
    </row>
    <row r="49" spans="1:6" x14ac:dyDescent="0.35">
      <c r="A49" s="20">
        <v>202307</v>
      </c>
      <c r="B49" s="205">
        <v>45108</v>
      </c>
      <c r="C49" s="15" cm="1">
        <f t="array" ref="C49">SUM(SUMIFS('MAIN DATA, Orders'!$S:$S,'MAIN DATA, Orders'!$D:$D,"United Kingdom",'MAIN DATA, Orders'!$I:$I,{"Aircraft","Development - Aircraft","Missile (Air)","Development - Missile (Air)"},'MAIN DATA, Orders'!$Y:$Y,$A49)/1000000000)</f>
        <v>0.115</v>
      </c>
      <c r="D49" s="15" cm="1">
        <f t="array" ref="D49">SUM(SUMIFS('MAIN DATA, Orders'!$S:$S,'MAIN DATA, Orders'!$D:$D,"United Kingdom",'MAIN DATA, Orders'!$I:$I,{"Naval","Development - Naval","Missile (Naval)","Development - Missile (Naval)"},'MAIN DATA, Orders'!$Y:$Y,$A49)/1000000000)</f>
        <v>0.16900000000000001</v>
      </c>
      <c r="E49" s="15" cm="1">
        <f t="array" ref="E49">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Orders'!$Y:$Y,$A49)/1000000000)</f>
        <v>0.02</v>
      </c>
      <c r="F49" s="15" cm="1">
        <f t="array" ref="F49">SUM(SUMIFS('MAIN DATA, Orders'!$S:$S,'MAIN DATA, Orders'!$D:$D,"United Kingdom",'MAIN DATA, Orders'!$I:$I,{"Maintenance","Development - Maintenance","Modernisation","Development - Modernisation","Other","Development - Other"},'MAIN DATA, Orders'!$Y:$Y,$A49)/1000000000)</f>
        <v>0.05</v>
      </c>
    </row>
    <row r="50" spans="1:6" x14ac:dyDescent="0.35">
      <c r="A50" s="20">
        <v>202308</v>
      </c>
      <c r="B50" s="205">
        <v>45139</v>
      </c>
      <c r="C50" s="15" cm="1">
        <f t="array" ref="C50">SUM(SUMIFS('MAIN DATA, Orders'!$S:$S,'MAIN DATA, Orders'!$D:$D,"United Kingdom",'MAIN DATA, Orders'!$I:$I,{"Aircraft","Development - Aircraft","Missile (Air)","Development - Missile (Air)"},'MAIN DATA, Orders'!$Y:$Y,$A50)/1000000000)</f>
        <v>0</v>
      </c>
      <c r="D50" s="15" cm="1">
        <f t="array" ref="D50">SUM(SUMIFS('MAIN DATA, Orders'!$S:$S,'MAIN DATA, Orders'!$D:$D,"United Kingdom",'MAIN DATA, Orders'!$I:$I,{"Naval","Development - Naval","Missile (Naval)","Development - Missile (Naval)"},'MAIN DATA, Orders'!$Y:$Y,$A50)/1000000000)</f>
        <v>0</v>
      </c>
      <c r="E50" s="15" cm="1">
        <f t="array" ref="E50">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Orders'!$Y:$Y,$A50)/1000000000)</f>
        <v>0</v>
      </c>
      <c r="F50" s="15" cm="1">
        <f t="array" ref="F50">SUM(SUMIFS('MAIN DATA, Orders'!$S:$S,'MAIN DATA, Orders'!$D:$D,"United Kingdom",'MAIN DATA, Orders'!$I:$I,{"Maintenance","Development - Maintenance","Modernisation","Development - Modernisation","Other","Development - Other"},'MAIN DATA, Orders'!$Y:$Y,$A50)/1000000000)</f>
        <v>8.8999999999999996E-2</v>
      </c>
    </row>
    <row r="51" spans="1:6" x14ac:dyDescent="0.35">
      <c r="A51" s="20">
        <v>202309</v>
      </c>
      <c r="B51" s="205">
        <v>45170</v>
      </c>
      <c r="C51" s="15" cm="1">
        <f t="array" ref="C51">SUM(SUMIFS('MAIN DATA, Orders'!$S:$S,'MAIN DATA, Orders'!$D:$D,"United Kingdom",'MAIN DATA, Orders'!$I:$I,{"Aircraft","Development - Aircraft","Missile (Air)","Development - Missile (Air)"},'MAIN DATA, Orders'!$Y:$Y,$A51)/1000000000)</f>
        <v>0.04</v>
      </c>
      <c r="D51" s="15" cm="1">
        <f t="array" ref="D51">SUM(SUMIFS('MAIN DATA, Orders'!$S:$S,'MAIN DATA, Orders'!$D:$D,"United Kingdom",'MAIN DATA, Orders'!$I:$I,{"Naval","Development - Naval","Missile (Naval)","Development - Missile (Naval)"},'MAIN DATA, Orders'!$Y:$Y,$A51)/1000000000)</f>
        <v>0</v>
      </c>
      <c r="E51" s="15" cm="1">
        <f t="array" ref="E51">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Orders'!$Y:$Y,$A51)/1000000000)</f>
        <v>1.4999999999999999E-2</v>
      </c>
      <c r="F51" s="15" cm="1">
        <f t="array" ref="F51">SUM(SUMIFS('MAIN DATA, Orders'!$S:$S,'MAIN DATA, Orders'!$D:$D,"United Kingdom",'MAIN DATA, Orders'!$I:$I,{"Maintenance","Development - Maintenance","Modernisation","Development - Modernisation","Other","Development - Other"},'MAIN DATA, Orders'!$Y:$Y,$A51)/1000000000)</f>
        <v>0</v>
      </c>
    </row>
    <row r="52" spans="1:6" x14ac:dyDescent="0.35">
      <c r="A52" s="20">
        <v>202310</v>
      </c>
      <c r="B52" s="205">
        <v>45200</v>
      </c>
      <c r="C52" s="15" cm="1">
        <f t="array" ref="C52">SUM(SUMIFS('MAIN DATA, Orders'!$S:$S,'MAIN DATA, Orders'!$D:$D,"United Kingdom",'MAIN DATA, Orders'!$I:$I,{"Aircraft","Development - Aircraft","Missile (Air)","Development - Missile (Air)"},'MAIN DATA, Orders'!$Y:$Y,$A52)/1000000000)</f>
        <v>0</v>
      </c>
      <c r="D52" s="15" cm="1">
        <f t="array" ref="D52">SUM(SUMIFS('MAIN DATA, Orders'!$S:$S,'MAIN DATA, Orders'!$D:$D,"United Kingdom",'MAIN DATA, Orders'!$I:$I,{"Naval","Development - Naval","Missile (Naval)","Development - Missile (Naval)"},'MAIN DATA, Orders'!$Y:$Y,$A52)/1000000000)</f>
        <v>4</v>
      </c>
      <c r="E52" s="15" cm="1">
        <f t="array" ref="E52">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Orders'!$Y:$Y,$A52)/1000000000)</f>
        <v>0</v>
      </c>
      <c r="F52" s="15" cm="1">
        <f t="array" ref="F52">SUM(SUMIFS('MAIN DATA, Orders'!$S:$S,'MAIN DATA, Orders'!$D:$D,"United Kingdom",'MAIN DATA, Orders'!$I:$I,{"Maintenance","Development - Maintenance","Modernisation","Development - Modernisation","Other","Development - Other"},'MAIN DATA, Orders'!$Y:$Y,$A52)/1000000000)</f>
        <v>8.7999999999999995E-2</v>
      </c>
    </row>
    <row r="53" spans="1:6" x14ac:dyDescent="0.35">
      <c r="A53" s="20">
        <v>202311</v>
      </c>
      <c r="B53" s="205">
        <v>45231</v>
      </c>
      <c r="C53" s="15" cm="1">
        <f t="array" ref="C53">SUM(SUMIFS('MAIN DATA, Orders'!$S:$S,'MAIN DATA, Orders'!$D:$D,"United Kingdom",'MAIN DATA, Orders'!$I:$I,{"Aircraft","Development - Aircraft","Missile (Air)","Development - Missile (Air)"},'MAIN DATA, Orders'!$Y:$Y,$A53)/1000000000)</f>
        <v>0</v>
      </c>
      <c r="D53" s="15" cm="1">
        <f t="array" ref="D53">SUM(SUMIFS('MAIN DATA, Orders'!$S:$S,'MAIN DATA, Orders'!$D:$D,"United Kingdom",'MAIN DATA, Orders'!$I:$I,{"Naval","Development - Naval","Missile (Naval)","Development - Missile (Naval)"},'MAIN DATA, Orders'!$Y:$Y,$A53)/1000000000)</f>
        <v>0</v>
      </c>
      <c r="E53" s="15" cm="1">
        <f t="array" ref="E53">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Orders'!$Y:$Y,$A53)/1000000000)</f>
        <v>0.02</v>
      </c>
      <c r="F53" s="15" cm="1">
        <f t="array" ref="F53">SUM(SUMIFS('MAIN DATA, Orders'!$S:$S,'MAIN DATA, Orders'!$D:$D,"United Kingdom",'MAIN DATA, Orders'!$I:$I,{"Maintenance","Development - Maintenance","Modernisation","Development - Modernisation","Other","Development - Other"},'MAIN DATA, Orders'!$Y:$Y,$A53)/1000000000)</f>
        <v>1.7000000000000001E-2</v>
      </c>
    </row>
    <row r="54" spans="1:6" x14ac:dyDescent="0.35">
      <c r="A54" s="20">
        <v>202312</v>
      </c>
      <c r="B54" s="205">
        <v>45261</v>
      </c>
      <c r="C54" s="15" cm="1">
        <f t="array" ref="C54">SUM(SUMIFS('MAIN DATA, Orders'!$S:$S,'MAIN DATA, Orders'!$D:$D,"United Kingdom",'MAIN DATA, Orders'!$I:$I,{"Aircraft","Development - Aircraft","Missile (Air)","Development - Missile (Air)"},'MAIN DATA, Orders'!$Y:$Y,$A54)/1000000000)</f>
        <v>0</v>
      </c>
      <c r="D54" s="15" cm="1">
        <f t="array" ref="D54">SUM(SUMIFS('MAIN DATA, Orders'!$S:$S,'MAIN DATA, Orders'!$D:$D,"United Kingdom",'MAIN DATA, Orders'!$I:$I,{"Naval","Development - Naval","Missile (Naval)","Development - Missile (Naval)"},'MAIN DATA, Orders'!$Y:$Y,$A54)/1000000000)</f>
        <v>0</v>
      </c>
      <c r="E54" s="15" cm="1">
        <f t="array" ref="E54">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Orders'!$Y:$Y,$A54)/1000000000)</f>
        <v>0</v>
      </c>
      <c r="F54" s="15" cm="1">
        <f t="array" ref="F54">SUM(SUMIFS('MAIN DATA, Orders'!$S:$S,'MAIN DATA, Orders'!$D:$D,"United Kingdom",'MAIN DATA, Orders'!$I:$I,{"Maintenance","Development - Maintenance","Modernisation","Development - Modernisation","Other","Development - Other"},'MAIN DATA, Orders'!$Y:$Y,$A54)/1000000000)</f>
        <v>0.05</v>
      </c>
    </row>
    <row r="55" spans="1:6" x14ac:dyDescent="0.35">
      <c r="A55" s="20">
        <v>202401</v>
      </c>
      <c r="B55" s="205">
        <v>45292</v>
      </c>
      <c r="C55" s="15" cm="1">
        <f t="array" ref="C55">SUM(SUMIFS('MAIN DATA, Orders'!$S:$S,'MAIN DATA, Orders'!$D:$D,"United Kingdom",'MAIN DATA, Orders'!$I:$I,{"Aircraft","Development - Aircraft","Missile (Air)","Development - Missile (Air)"},'MAIN DATA, Orders'!$Y:$Y,$A55)/1000000000)</f>
        <v>0</v>
      </c>
      <c r="D55" s="15" cm="1">
        <f t="array" ref="D55">SUM(SUMIFS('MAIN DATA, Orders'!$S:$S,'MAIN DATA, Orders'!$D:$D,"United Kingdom",'MAIN DATA, Orders'!$I:$I,{"Naval","Development - Naval","Missile (Naval)","Development - Missile (Naval)"},'MAIN DATA, Orders'!$Y:$Y,$A55)/1000000000)</f>
        <v>0.40500000000000003</v>
      </c>
      <c r="E55" s="15" cm="1">
        <f t="array" ref="E55">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Orders'!$Y:$Y,$A55)/1000000000)</f>
        <v>0</v>
      </c>
      <c r="F55" s="15" cm="1">
        <f t="array" ref="F55">SUM(SUMIFS('MAIN DATA, Orders'!$S:$S,'MAIN DATA, Orders'!$D:$D,"United Kingdom",'MAIN DATA, Orders'!$I:$I,{"Maintenance","Development - Maintenance","Modernisation","Development - Modernisation","Other","Development - Other"},'MAIN DATA, Orders'!$Y:$Y,$A55)/1000000000)</f>
        <v>0.3</v>
      </c>
    </row>
    <row r="56" spans="1:6" x14ac:dyDescent="0.35">
      <c r="A56" s="20">
        <v>202402</v>
      </c>
      <c r="B56" s="205">
        <v>45323</v>
      </c>
      <c r="C56" s="15" cm="1">
        <f t="array" ref="C56">SUM(SUMIFS('MAIN DATA, Orders'!$S:$S,'MAIN DATA, Orders'!$D:$D,"United Kingdom",'MAIN DATA, Orders'!$I:$I,{"Aircraft","Development - Aircraft","Missile (Air)","Development - Missile (Air)"},'MAIN DATA, Orders'!$Y:$Y,$A56)/1000000000)</f>
        <v>0</v>
      </c>
      <c r="D56" s="15" cm="1">
        <f t="array" ref="D56">SUM(SUMIFS('MAIN DATA, Orders'!$S:$S,'MAIN DATA, Orders'!$D:$D,"United Kingdom",'MAIN DATA, Orders'!$I:$I,{"Naval","Development - Naval","Missile (Naval)","Development - Missile (Naval)"},'MAIN DATA, Orders'!$Y:$Y,$A56)/1000000000)</f>
        <v>1.85</v>
      </c>
      <c r="E56" s="15" cm="1">
        <f t="array" ref="E56">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Orders'!$Y:$Y,$A56)/1000000000)</f>
        <v>0.52699999999999991</v>
      </c>
      <c r="F56" s="15" cm="1">
        <f t="array" ref="F56">SUM(SUMIFS('MAIN DATA, Orders'!$S:$S,'MAIN DATA, Orders'!$D:$D,"United Kingdom",'MAIN DATA, Orders'!$I:$I,{"Maintenance","Development - Maintenance","Modernisation","Development - Modernisation","Other","Development - Other"},'MAIN DATA, Orders'!$Y:$Y,$A56)/1000000000)</f>
        <v>4.0000000000000001E-3</v>
      </c>
    </row>
    <row r="57" spans="1:6" x14ac:dyDescent="0.35">
      <c r="A57" s="20">
        <v>202403</v>
      </c>
      <c r="B57" s="205">
        <v>45352</v>
      </c>
      <c r="C57" s="15" cm="1">
        <f t="array" ref="C57">SUM(SUMIFS('MAIN DATA, Orders'!$S:$S,'MAIN DATA, Orders'!$D:$D,"United Kingdom",'MAIN DATA, Orders'!$I:$I,{"Aircraft","Development - Aircraft","Missile (Air)","Development - Missile (Air)"},'MAIN DATA, Orders'!$Y:$Y,$A57)/1000000000)</f>
        <v>0</v>
      </c>
      <c r="D57" s="15" cm="1">
        <f t="array" ref="D57">SUM(SUMIFS('MAIN DATA, Orders'!$S:$S,'MAIN DATA, Orders'!$D:$D,"United Kingdom",'MAIN DATA, Orders'!$I:$I,{"Naval","Development - Naval","Missile (Naval)","Development - Missile (Naval)"},'MAIN DATA, Orders'!$Y:$Y,$A57)/1000000000)</f>
        <v>0.13500000000000001</v>
      </c>
      <c r="E57" s="15" cm="1">
        <f t="array" ref="E57">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Orders'!$Y:$Y,$A57)/1000000000)</f>
        <v>2.125</v>
      </c>
      <c r="F57" s="15" cm="1">
        <f t="array" ref="F57">SUM(SUMIFS('MAIN DATA, Orders'!$S:$S,'MAIN DATA, Orders'!$D:$D,"United Kingdom",'MAIN DATA, Orders'!$I:$I,{"Maintenance","Development - Maintenance","Modernisation","Development - Modernisation","Other","Development - Other"},'MAIN DATA, Orders'!$Y:$Y,$A57)/1000000000)</f>
        <v>0.24181999999999998</v>
      </c>
    </row>
    <row r="58" spans="1:6" x14ac:dyDescent="0.35">
      <c r="A58" s="20">
        <v>202404</v>
      </c>
      <c r="B58" s="205">
        <v>45383</v>
      </c>
      <c r="C58" s="15" cm="1">
        <f t="array" ref="C58">SUM(SUMIFS('MAIN DATA, Orders'!$S:$S,'MAIN DATA, Orders'!$D:$D,"United Kingdom",'MAIN DATA, Orders'!$I:$I,{"Aircraft","Development - Aircraft","Missile (Air)","Development - Missile (Air)"},'MAIN DATA, Orders'!$Y:$Y,$A58)/1000000000)</f>
        <v>0</v>
      </c>
      <c r="D58" s="15" cm="1">
        <f t="array" ref="D58">SUM(SUMIFS('MAIN DATA, Orders'!$S:$S,'MAIN DATA, Orders'!$D:$D,"United Kingdom",'MAIN DATA, Orders'!$I:$I,{"Naval","Development - Naval","Missile (Naval)","Development - Missile (Naval)"},'MAIN DATA, Orders'!$Y:$Y,$A58)/1000000000)</f>
        <v>0</v>
      </c>
      <c r="E58" s="15" cm="1">
        <f t="array" ref="E58">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Orders'!$Y:$Y,$A58)/1000000000)</f>
        <v>0.122</v>
      </c>
      <c r="F58" s="15" cm="1">
        <f t="array" ref="F58">SUM(SUMIFS('MAIN DATA, Orders'!$S:$S,'MAIN DATA, Orders'!$D:$D,"United Kingdom",'MAIN DATA, Orders'!$I:$I,{"Maintenance","Development - Maintenance","Modernisation","Development - Modernisation","Other","Development - Other"},'MAIN DATA, Orders'!$Y:$Y,$A58)/1000000000)</f>
        <v>0.09</v>
      </c>
    </row>
    <row r="59" spans="1:6" x14ac:dyDescent="0.35">
      <c r="A59" s="20">
        <v>202405</v>
      </c>
      <c r="B59" s="205">
        <v>45413</v>
      </c>
      <c r="C59" s="15" cm="1">
        <f t="array" ref="C59">SUM(SUMIFS('MAIN DATA, Orders'!$S:$S,'MAIN DATA, Orders'!$D:$D,"United Kingdom",'MAIN DATA, Orders'!$I:$I,{"Aircraft","Development - Aircraft","Missile (Air)","Development - Missile (Air)"},'MAIN DATA, Orders'!$Y:$Y,$A59)/1000000000)</f>
        <v>0</v>
      </c>
      <c r="D59" s="15" cm="1">
        <f t="array" ref="D59">SUM(SUMIFS('MAIN DATA, Orders'!$S:$S,'MAIN DATA, Orders'!$D:$D,"United Kingdom",'MAIN DATA, Orders'!$I:$I,{"Naval","Development - Naval","Missile (Naval)","Development - Missile (Naval)"},'MAIN DATA, Orders'!$Y:$Y,$A59)/1000000000)</f>
        <v>0</v>
      </c>
      <c r="E59" s="15" cm="1">
        <f t="array" ref="E59">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Orders'!$Y:$Y,$A59)/1000000000)</f>
        <v>2.1000000000000001E-2</v>
      </c>
      <c r="F59" s="15" cm="1">
        <f t="array" ref="F59">SUM(SUMIFS('MAIN DATA, Orders'!$S:$S,'MAIN DATA, Orders'!$D:$D,"United Kingdom",'MAIN DATA, Orders'!$I:$I,{"Maintenance","Development - Maintenance","Modernisation","Development - Modernisation","Other","Development - Other"},'MAIN DATA, Orders'!$Y:$Y,$A59)/1000000000)</f>
        <v>0</v>
      </c>
    </row>
    <row r="60" spans="1:6" x14ac:dyDescent="0.35">
      <c r="A60" s="20">
        <v>202406</v>
      </c>
      <c r="B60" s="205">
        <v>45444</v>
      </c>
      <c r="C60" s="15" cm="1">
        <f t="array" ref="C60">SUM(SUMIFS('MAIN DATA, Orders'!$S:$S,'MAIN DATA, Orders'!$D:$D,"United Kingdom",'MAIN DATA, Orders'!$I:$I,{"Aircraft","Development - Aircraft","Missile (Air)","Development - Missile (Air)"},'MAIN DATA, Orders'!$Y:$Y,$A60)/1000000000)</f>
        <v>0</v>
      </c>
      <c r="D60" s="15" cm="1">
        <f t="array" ref="D60">SUM(SUMIFS('MAIN DATA, Orders'!$S:$S,'MAIN DATA, Orders'!$D:$D,"United Kingdom",'MAIN DATA, Orders'!$I:$I,{"Naval","Development - Naval","Missile (Naval)","Development - Missile (Naval)"},'MAIN DATA, Orders'!$Y:$Y,$A60)/1000000000)</f>
        <v>0</v>
      </c>
      <c r="E60" s="15" cm="1">
        <f t="array" ref="E60">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Orders'!$Y:$Y,$A60)/1000000000)</f>
        <v>0</v>
      </c>
      <c r="F60" s="15" cm="1">
        <f t="array" ref="F60">SUM(SUMIFS('MAIN DATA, Orders'!$S:$S,'MAIN DATA, Orders'!$D:$D,"United Kingdom",'MAIN DATA, Orders'!$I:$I,{"Maintenance","Development - Maintenance","Modernisation","Development - Modernisation","Other","Development - Other"},'MAIN DATA, Orders'!$Y:$Y,$A60)/1000000000)</f>
        <v>0</v>
      </c>
    </row>
    <row r="61" spans="1:6" x14ac:dyDescent="0.35">
      <c r="A61" s="20">
        <v>202407</v>
      </c>
      <c r="B61" s="205">
        <v>45474</v>
      </c>
      <c r="C61" s="15" cm="1">
        <f t="array" ref="C61">SUM(SUMIFS('MAIN DATA, Orders'!$S:$S,'MAIN DATA, Orders'!$D:$D,"United Kingdom",'MAIN DATA, Orders'!$I:$I,{"Aircraft","Development - Aircraft","Missile (Air)","Development - Missile (Air)"},'MAIN DATA, Orders'!$Y:$Y,$A61)/1000000000)</f>
        <v>0</v>
      </c>
      <c r="D61" s="15" cm="1">
        <f t="array" ref="D61">SUM(SUMIFS('MAIN DATA, Orders'!$S:$S,'MAIN DATA, Orders'!$D:$D,"United Kingdom",'MAIN DATA, Orders'!$I:$I,{"Naval","Development - Naval","Missile (Naval)","Development - Missile (Naval)"},'MAIN DATA, Orders'!$Y:$Y,$A61)/1000000000)</f>
        <v>0</v>
      </c>
      <c r="E61" s="15" cm="1">
        <f t="array" ref="E61">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Orders'!$Y:$Y,$A61)/1000000000)</f>
        <v>0.17599999999999999</v>
      </c>
      <c r="F61" s="15" cm="1">
        <f t="array" ref="F61">SUM(SUMIFS('MAIN DATA, Orders'!$S:$S,'MAIN DATA, Orders'!$D:$D,"United Kingdom",'MAIN DATA, Orders'!$I:$I,{"Maintenance","Development - Maintenance","Modernisation","Development - Modernisation","Other","Development - Other"},'MAIN DATA, Orders'!$Y:$Y,$A61)/1000000000)</f>
        <v>6.5</v>
      </c>
    </row>
    <row r="62" spans="1:6" x14ac:dyDescent="0.35">
      <c r="A62" s="20">
        <v>202408</v>
      </c>
      <c r="B62" s="205">
        <v>45505</v>
      </c>
      <c r="C62" s="15" cm="1">
        <f t="array" ref="C62">SUM(SUMIFS('MAIN DATA, Orders'!$S:$S,'MAIN DATA, Orders'!$D:$D,"United Kingdom",'MAIN DATA, Orders'!$I:$I,{"Aircraft","Development - Aircraft","Missile (Air)","Development - Missile (Air)"},'MAIN DATA, Orders'!$Y:$Y,$A62)/1000000000)</f>
        <v>0</v>
      </c>
      <c r="D62" s="15" cm="1">
        <f t="array" ref="D62">SUM(SUMIFS('MAIN DATA, Orders'!$S:$S,'MAIN DATA, Orders'!$D:$D,"United Kingdom",'MAIN DATA, Orders'!$I:$I,{"Naval","Development - Naval","Missile (Naval)","Development - Missile (Naval)"},'MAIN DATA, Orders'!$Y:$Y,$A62)/1000000000)</f>
        <v>0</v>
      </c>
      <c r="E62" s="15" cm="1">
        <f t="array" ref="E62">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Orders'!$Y:$Y,$A62)/1000000000)</f>
        <v>0</v>
      </c>
      <c r="F62" s="15" cm="1">
        <f t="array" ref="F62">SUM(SUMIFS('MAIN DATA, Orders'!$S:$S,'MAIN DATA, Orders'!$D:$D,"United Kingdom",'MAIN DATA, Orders'!$I:$I,{"Maintenance","Development - Maintenance","Modernisation","Development - Modernisation","Other","Development - Other"},'MAIN DATA, Orders'!$Y:$Y,$A62)/1000000000)</f>
        <v>0.02</v>
      </c>
    </row>
    <row r="63" spans="1:6" x14ac:dyDescent="0.35">
      <c r="A63" s="20">
        <v>202409</v>
      </c>
      <c r="B63" s="205">
        <v>45536</v>
      </c>
      <c r="C63" s="15" cm="1">
        <f t="array" ref="C63">SUM(SUMIFS('MAIN DATA, Orders'!$S:$S,'MAIN DATA, Orders'!$D:$D,"United Kingdom",'MAIN DATA, Orders'!$I:$I,{"Aircraft","Development - Aircraft","Missile (Air)","Development - Missile (Air)"},'MAIN DATA, Orders'!$Y:$Y,$A63)/1000000000)</f>
        <v>0</v>
      </c>
      <c r="D63" s="15" cm="1">
        <f t="array" ref="D63">SUM(SUMIFS('MAIN DATA, Orders'!$S:$S,'MAIN DATA, Orders'!$D:$D,"United Kingdom",'MAIN DATA, Orders'!$I:$I,{"Naval","Development - Naval","Missile (Naval)","Development - Missile (Naval)"},'MAIN DATA, Orders'!$Y:$Y,$A63)/1000000000)</f>
        <v>0.06</v>
      </c>
      <c r="E63" s="15" cm="1">
        <f t="array" ref="E63">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Orders'!$Y:$Y,$A63)/1000000000)</f>
        <v>0.16200000000000001</v>
      </c>
      <c r="F63" s="15" cm="1">
        <f t="array" ref="F63">SUM(SUMIFS('MAIN DATA, Orders'!$S:$S,'MAIN DATA, Orders'!$D:$D,"United Kingdom",'MAIN DATA, Orders'!$I:$I,{"Maintenance","Development - Maintenance","Modernisation","Development - Modernisation","Other","Development - Other"},'MAIN DATA, Orders'!$Y:$Y,$A63)/1000000000)</f>
        <v>7.0999999999999994E-2</v>
      </c>
    </row>
    <row r="64" spans="1:6" x14ac:dyDescent="0.35">
      <c r="A64" s="20">
        <v>202410</v>
      </c>
      <c r="B64" s="205">
        <v>45566</v>
      </c>
      <c r="C64" s="15" cm="1">
        <f t="array" ref="C64">SUM(SUMIFS('MAIN DATA, Orders'!$S:$S,'MAIN DATA, Orders'!$D:$D,"United Kingdom",'MAIN DATA, Orders'!$I:$I,{"Aircraft","Development - Aircraft","Missile (Air)","Development - Missile (Air)"},'MAIN DATA, Orders'!$Y:$Y,$A64)/1000000000)</f>
        <v>0</v>
      </c>
      <c r="D64" s="15" cm="1">
        <f t="array" ref="D64">SUM(SUMIFS('MAIN DATA, Orders'!$S:$S,'MAIN DATA, Orders'!$D:$D,"United Kingdom",'MAIN DATA, Orders'!$I:$I,{"Naval","Development - Naval","Missile (Naval)","Development - Missile (Naval)"},'MAIN DATA, Orders'!$Y:$Y,$A64)/1000000000)</f>
        <v>0</v>
      </c>
      <c r="E64" s="15" cm="1">
        <f t="array" ref="E64">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Orders'!$Y:$Y,$A64)/1000000000)</f>
        <v>0</v>
      </c>
      <c r="F64" s="15" cm="1">
        <f t="array" ref="F64">SUM(SUMIFS('MAIN DATA, Orders'!$S:$S,'MAIN DATA, Orders'!$D:$D,"United Kingdom",'MAIN DATA, Orders'!$I:$I,{"Maintenance","Development - Maintenance","Modernisation","Development - Modernisation","Other","Development - Other"},'MAIN DATA, Orders'!$Y:$Y,$A64)/1000000000)</f>
        <v>0</v>
      </c>
    </row>
    <row r="65" spans="1:6" x14ac:dyDescent="0.35">
      <c r="A65" s="20">
        <v>202411</v>
      </c>
      <c r="B65" s="205">
        <v>45597</v>
      </c>
      <c r="C65" s="15" cm="1">
        <f t="array" ref="C65">SUM(SUMIFS('MAIN DATA, Orders'!$S:$S,'MAIN DATA, Orders'!$D:$D,"United Kingdom",'MAIN DATA, Orders'!$I:$I,{"Aircraft","Development - Aircraft","Missile (Air)","Development - Missile (Air)"},'MAIN DATA, Orders'!$Y:$Y,$A65)/1000000000)</f>
        <v>0</v>
      </c>
      <c r="D65" s="15" cm="1">
        <f t="array" ref="D65">SUM(SUMIFS('MAIN DATA, Orders'!$S:$S,'MAIN DATA, Orders'!$D:$D,"United Kingdom",'MAIN DATA, Orders'!$I:$I,{"Naval","Development - Naval","Missile (Naval)","Development - Missile (Naval)"},'MAIN DATA, Orders'!$Y:$Y,$A65)/1000000000)</f>
        <v>0</v>
      </c>
      <c r="E65" s="15" cm="1">
        <f t="array" ref="E65">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Orders'!$Y:$Y,$A65)/1000000000)</f>
        <v>0</v>
      </c>
      <c r="F65" s="15" cm="1">
        <f t="array" ref="F65">SUM(SUMIFS('MAIN DATA, Orders'!$S:$S,'MAIN DATA, Orders'!$D:$D,"United Kingdom",'MAIN DATA, Orders'!$I:$I,{"Maintenance","Development - Maintenance","Modernisation","Development - Modernisation","Other","Development - Other"},'MAIN DATA, Orders'!$Y:$Y,$A65)/1000000000)</f>
        <v>0.04</v>
      </c>
    </row>
    <row r="66" spans="1:6" x14ac:dyDescent="0.35">
      <c r="A66" s="20">
        <v>202412</v>
      </c>
      <c r="B66" s="205">
        <v>45627</v>
      </c>
      <c r="C66" s="15" cm="1">
        <f t="array" ref="C66">SUM(SUMIFS('MAIN DATA, Orders'!$S:$S,'MAIN DATA, Orders'!$D:$D,"United Kingdom",'MAIN DATA, Orders'!$I:$I,{"Aircraft","Development - Aircraft","Missile (Air)","Development - Missile (Air)"},'MAIN DATA, Orders'!$Y:$Y,$A66)/1000000000)</f>
        <v>0</v>
      </c>
      <c r="D66" s="15" cm="1">
        <f t="array" ref="D66">SUM(SUMIFS('MAIN DATA, Orders'!$S:$S,'MAIN DATA, Orders'!$D:$D,"United Kingdom",'MAIN DATA, Orders'!$I:$I,{"Naval","Development - Naval","Missile (Naval)","Development - Missile (Naval)"},'MAIN DATA, Orders'!$Y:$Y,$A66)/1000000000)</f>
        <v>0.47599999999999998</v>
      </c>
      <c r="E66" s="15" cm="1">
        <f t="array" ref="E66">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Orders'!$Y:$Y,$A66)/1000000000)</f>
        <v>0</v>
      </c>
      <c r="F66" s="15" cm="1">
        <f t="array" ref="F66">SUM(SUMIFS('MAIN DATA, Orders'!$S:$S,'MAIN DATA, Orders'!$D:$D,"United Kingdom",'MAIN DATA, Orders'!$I:$I,{"Maintenance","Development - Maintenance","Modernisation","Development - Modernisation","Other","Development - Other"},'MAIN DATA, Orders'!$Y:$Y,$A66)/1000000000)</f>
        <v>3.9E-2</v>
      </c>
    </row>
    <row r="67" spans="1:6" x14ac:dyDescent="0.35">
      <c r="A67" s="20">
        <v>202501</v>
      </c>
      <c r="B67" s="205">
        <v>45658</v>
      </c>
      <c r="C67" s="15" cm="1">
        <f t="array" ref="C67">SUM(SUMIFS('MAIN DATA, Orders'!$S:$S,'MAIN DATA, Orders'!$D:$D,"United Kingdom",'MAIN DATA, Orders'!$I:$I,{"Aircraft","Development - Aircraft","Missile (Air)","Development - Missile (Air)"},'MAIN DATA, Orders'!$Y:$Y,$A67)/1000000000)</f>
        <v>0</v>
      </c>
      <c r="D67" s="15" cm="1">
        <f t="array" ref="D67">SUM(SUMIFS('MAIN DATA, Orders'!$S:$S,'MAIN DATA, Orders'!$D:$D,"United Kingdom",'MAIN DATA, Orders'!$I:$I,{"Naval","Development - Naval","Missile (Naval)","Development - Missile (Naval)"},'MAIN DATA, Orders'!$Y:$Y,$A67)/1000000000)</f>
        <v>9.2850000000000001</v>
      </c>
      <c r="E67" s="15" cm="1">
        <f t="array" ref="E67">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Orders'!$Y:$Y,$A67)/1000000000)</f>
        <v>6.0999999999999999E-2</v>
      </c>
      <c r="F67" s="15" cm="1">
        <f t="array" ref="F67">SUM(SUMIFS('MAIN DATA, Orders'!$S:$S,'MAIN DATA, Orders'!$D:$D,"United Kingdom",'MAIN DATA, Orders'!$I:$I,{"Maintenance","Development - Maintenance","Modernisation","Development - Modernisation","Other","Development - Other"},'MAIN DATA, Orders'!$Y:$Y,$A67)/1000000000)</f>
        <v>0</v>
      </c>
    </row>
    <row r="68" spans="1:6" x14ac:dyDescent="0.35">
      <c r="A68" s="20">
        <v>202502</v>
      </c>
      <c r="B68" s="205">
        <v>45689</v>
      </c>
      <c r="C68" s="15" cm="1">
        <f t="array" ref="C68">SUM(SUMIFS('MAIN DATA, Orders'!$S:$S,'MAIN DATA, Orders'!$D:$D,"United Kingdom",'MAIN DATA, Orders'!$I:$I,{"Aircraft","Development - Aircraft","Missile (Air)","Development - Missile (Air)"},'MAIN DATA, Orders'!$Y:$Y,$A68)/1000000000)</f>
        <v>0</v>
      </c>
      <c r="D68" s="15" cm="1">
        <f t="array" ref="D68">SUM(SUMIFS('MAIN DATA, Orders'!$S:$S,'MAIN DATA, Orders'!$D:$D,"United Kingdom",'MAIN DATA, Orders'!$I:$I,{"Naval","Development - Naval","Missile (Naval)","Development - Missile (Naval)"},'MAIN DATA, Orders'!$Y:$Y,$A68)/1000000000)</f>
        <v>0.25</v>
      </c>
      <c r="E68" s="15" cm="1">
        <f t="array" ref="E68">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Orders'!$Y:$Y,$A68)/1000000000)</f>
        <v>0</v>
      </c>
      <c r="F68" s="15" cm="1">
        <f t="array" ref="F68">SUM(SUMIFS('MAIN DATA, Orders'!$S:$S,'MAIN DATA, Orders'!$D:$D,"United Kingdom",'MAIN DATA, Orders'!$I:$I,{"Maintenance","Development - Maintenance","Modernisation","Development - Modernisation","Other","Development - Other"},'MAIN DATA, Orders'!$Y:$Y,$A68)/1000000000)</f>
        <v>0.27700000000000002</v>
      </c>
    </row>
    <row r="69" spans="1:6" x14ac:dyDescent="0.35">
      <c r="A69" s="20">
        <v>202503</v>
      </c>
      <c r="B69" s="205">
        <v>45717</v>
      </c>
      <c r="C69" s="15" cm="1">
        <f t="array" ref="C69">SUM(SUMIFS('MAIN DATA, Orders'!$S:$S,'MAIN DATA, Orders'!$D:$D,"United Kingdom",'MAIN DATA, Orders'!$I:$I,{"Aircraft","Development - Aircraft","Missile (Air)","Development - Missile (Air)"},'MAIN DATA, Orders'!$Y:$Y,$A69)/1000000000)</f>
        <v>0</v>
      </c>
      <c r="D69" s="15" cm="1">
        <f t="array" ref="D69">SUM(SUMIFS('MAIN DATA, Orders'!$S:$S,'MAIN DATA, Orders'!$D:$D,"United Kingdom",'MAIN DATA, Orders'!$I:$I,{"Naval","Development - Naval","Missile (Naval)","Development - Missile (Naval)"},'MAIN DATA, Orders'!$Y:$Y,$A69)/1000000000)</f>
        <v>0</v>
      </c>
      <c r="E69" s="15" cm="1">
        <f t="array" ref="E69">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Orders'!$Y:$Y,$A69)/1000000000)</f>
        <v>1.1599999999999999</v>
      </c>
      <c r="F69" s="15" cm="1">
        <f t="array" ref="F69">SUM(SUMIFS('MAIN DATA, Orders'!$S:$S,'MAIN DATA, Orders'!$D:$D,"United Kingdom",'MAIN DATA, Orders'!$I:$I,{"Maintenance","Development - Maintenance","Modernisation","Development - Modernisation","Other","Development - Other"},'MAIN DATA, Orders'!$Y:$Y,$A69)/1000000000)</f>
        <v>1.665</v>
      </c>
    </row>
    <row r="70" spans="1:6" x14ac:dyDescent="0.35">
      <c r="A70" s="20">
        <v>202504</v>
      </c>
      <c r="B70" s="205">
        <v>45748</v>
      </c>
      <c r="C70" s="15" cm="1">
        <f t="array" ref="C70">SUM(SUMIFS('MAIN DATA, Orders'!$S:$S,'MAIN DATA, Orders'!$D:$D,"United Kingdom",'MAIN DATA, Orders'!$I:$I,{"Aircraft","Development - Aircraft","Missile (Air)","Development - Missile (Air)"},'MAIN DATA, Orders'!$Y:$Y,$A70)/1000000000)</f>
        <v>0</v>
      </c>
      <c r="D70" s="15" cm="1">
        <f t="array" ref="D70">SUM(SUMIFS('MAIN DATA, Orders'!$S:$S,'MAIN DATA, Orders'!$D:$D,"United Kingdom",'MAIN DATA, Orders'!$I:$I,{"Naval","Development - Naval","Missile (Naval)","Development - Missile (Naval)"},'MAIN DATA, Orders'!$Y:$Y,$A70)/1000000000)</f>
        <v>0</v>
      </c>
      <c r="E70" s="15" cm="1">
        <f t="array" ref="E70">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Orders'!$Y:$Y,$A70)/1000000000)</f>
        <v>0.25</v>
      </c>
      <c r="F70" s="15" cm="1">
        <f t="array" ref="F70">SUM(SUMIFS('MAIN DATA, Orders'!$S:$S,'MAIN DATA, Orders'!$D:$D,"United Kingdom",'MAIN DATA, Orders'!$I:$I,{"Maintenance","Development - Maintenance","Modernisation","Development - Modernisation","Other","Development - Other"},'MAIN DATA, Orders'!$Y:$Y,$A70)/1000000000)</f>
        <v>0.51500000000000001</v>
      </c>
    </row>
    <row r="71" spans="1:6" x14ac:dyDescent="0.35">
      <c r="A71" s="20">
        <v>202505</v>
      </c>
      <c r="B71" s="205">
        <v>45778</v>
      </c>
      <c r="C71" s="15" cm="1">
        <f t="array" ref="C71">SUM(SUMIFS('MAIN DATA, Orders'!$S:$S,'MAIN DATA, Orders'!$D:$D,"United Kingdom",'MAIN DATA, Orders'!$I:$I,{"Aircraft","Development - Aircraft","Missile (Air)","Development - Missile (Air)"},'MAIN DATA, Orders'!$Y:$Y,$A71)/1000000000)</f>
        <v>0</v>
      </c>
      <c r="D71" s="15" cm="1">
        <f t="array" ref="D71">SUM(SUMIFS('MAIN DATA, Orders'!$S:$S,'MAIN DATA, Orders'!$D:$D,"United Kingdom",'MAIN DATA, Orders'!$I:$I,{"Naval","Development - Naval","Missile (Naval)","Development - Missile (Naval)"},'MAIN DATA, Orders'!$Y:$Y,$A71)/1000000000)</f>
        <v>2.9999999999999997E-4</v>
      </c>
      <c r="E71" s="15" cm="1">
        <f t="array" ref="E71">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Orders'!$Y:$Y,$A71)/1000000000)</f>
        <v>1.9E-2</v>
      </c>
      <c r="F71" s="15" cm="1">
        <f t="array" ref="F71">SUM(SUMIFS('MAIN DATA, Orders'!$S:$S,'MAIN DATA, Orders'!$D:$D,"United Kingdom",'MAIN DATA, Orders'!$I:$I,{"Maintenance","Development - Maintenance","Modernisation","Development - Modernisation","Other","Development - Other"},'MAIN DATA, Orders'!$Y:$Y,$A71)/1000000000)</f>
        <v>3.3629999999999995</v>
      </c>
    </row>
    <row r="72" spans="1:6" x14ac:dyDescent="0.35">
      <c r="A72" s="20">
        <v>202506</v>
      </c>
      <c r="B72" s="205">
        <v>45809</v>
      </c>
      <c r="C72" s="15" cm="1">
        <f t="array" ref="C72">SUM(SUMIFS('MAIN DATA, Orders'!$S:$S,'MAIN DATA, Orders'!$D:$D,"United Kingdom",'MAIN DATA, Orders'!$I:$I,{"Aircraft","Development - Aircraft","Missile (Air)","Development - Missile (Air)"},'MAIN DATA, Orders'!$Y:$Y,$A72)/1000000000)</f>
        <v>1.1646000000000001</v>
      </c>
      <c r="D72" s="15" cm="1">
        <f t="array" ref="D72">SUM(SUMIFS('MAIN DATA, Orders'!$S:$S,'MAIN DATA, Orders'!$D:$D,"United Kingdom",'MAIN DATA, Orders'!$I:$I,{"Naval","Development - Naval","Missile (Naval)","Development - Missile (Naval)"},'MAIN DATA, Orders'!$Y:$Y,$A72)/1000000000)</f>
        <v>0</v>
      </c>
      <c r="E72" s="15" cm="1">
        <f t="array" ref="E72">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Orders'!$Y:$Y,$A72)/1000000000)</f>
        <v>0.42</v>
      </c>
      <c r="F72" s="15" cm="1">
        <f t="array" ref="F72">SUM(SUMIFS('MAIN DATA, Orders'!$S:$S,'MAIN DATA, Orders'!$D:$D,"United Kingdom",'MAIN DATA, Orders'!$I:$I,{"Maintenance","Development - Maintenance","Modernisation","Development - Modernisation","Other","Development - Other"},'MAIN DATA, Orders'!$Y:$Y,$A72)/1000000000)</f>
        <v>1.7521500000000001</v>
      </c>
    </row>
    <row r="73" spans="1:6" x14ac:dyDescent="0.35">
      <c r="A73" s="20">
        <v>202507</v>
      </c>
      <c r="B73" s="205">
        <v>45839</v>
      </c>
      <c r="C73" s="15" cm="1">
        <f t="array" ref="C73">SUM(SUMIFS('MAIN DATA, Orders'!$S:$S,'MAIN DATA, Orders'!$D:$D,"United Kingdom",'MAIN DATA, Orders'!$I:$I,{"Aircraft","Development - Aircraft","Missile (Air)","Development - Missile (Air)"},'MAIN DATA, Orders'!$Y:$Y,$A73)/1000000000)</f>
        <v>0</v>
      </c>
      <c r="D73" s="15" cm="1">
        <f t="array" ref="D73">SUM(SUMIFS('MAIN DATA, Orders'!$S:$S,'MAIN DATA, Orders'!$D:$D,"United Kingdom",'MAIN DATA, Orders'!$I:$I,{"Naval","Development - Naval","Missile (Naval)","Development - Missile (Naval)"},'MAIN DATA, Orders'!$Y:$Y,$A73)/1000000000)</f>
        <v>0</v>
      </c>
      <c r="E73" s="15" cm="1">
        <f t="array" ref="E73">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Orders'!$Y:$Y,$A73)/1000000000)</f>
        <v>0</v>
      </c>
      <c r="F73" s="15" cm="1">
        <f t="array" ref="F73">SUM(SUMIFS('MAIN DATA, Orders'!$S:$S,'MAIN DATA, Orders'!$D:$D,"United Kingdom",'MAIN DATA, Orders'!$I:$I,{"Maintenance","Development - Maintenance","Modernisation","Development - Modernisation","Other","Development - Other"},'MAIN DATA, Orders'!$Y:$Y,$A73)/1000000000)</f>
        <v>0.247</v>
      </c>
    </row>
    <row r="74" spans="1:6" x14ac:dyDescent="0.35">
      <c r="A74" s="20">
        <v>202508</v>
      </c>
      <c r="B74" s="205">
        <v>45870</v>
      </c>
      <c r="C74" s="15" cm="1">
        <f t="array" ref="C74">SUM(SUMIFS('MAIN DATA, Orders'!$S:$S,'MAIN DATA, Orders'!$D:$D,"United Kingdom",'MAIN DATA, Orders'!$I:$I,{"Aircraft","Development - Aircraft","Missile (Air)","Development - Missile (Air)"},'MAIN DATA, Orders'!$Y:$Y,$A74)/1000000000)</f>
        <v>0</v>
      </c>
      <c r="D74" s="15" cm="1">
        <f t="array" ref="D74">SUM(SUMIFS('MAIN DATA, Orders'!$S:$S,'MAIN DATA, Orders'!$D:$D,"United Kingdom",'MAIN DATA, Orders'!$I:$I,{"Naval","Development - Naval","Missile (Naval)","Development - Missile (Naval)"},'MAIN DATA, Orders'!$Y:$Y,$A74)/1000000000)</f>
        <v>4.1000000000000002E-2</v>
      </c>
      <c r="E74" s="15" cm="1">
        <f t="array" ref="E74">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Orders'!$Y:$Y,$A74)/1000000000)</f>
        <v>0.11799999999999999</v>
      </c>
      <c r="F74" s="15" cm="1">
        <f t="array" ref="F74">SUM(SUMIFS('MAIN DATA, Orders'!$S:$S,'MAIN DATA, Orders'!$D:$D,"United Kingdom",'MAIN DATA, Orders'!$I:$I,{"Maintenance","Development - Maintenance","Modernisation","Development - Modernisation","Other","Development - Other"},'MAIN DATA, Orders'!$Y:$Y,$A74)/1000000000)</f>
        <v>0.19500000000000001</v>
      </c>
    </row>
    <row r="75" spans="1:6" x14ac:dyDescent="0.35">
      <c r="A75" s="20">
        <v>202509</v>
      </c>
      <c r="B75" s="205">
        <v>45901</v>
      </c>
      <c r="C75" s="15" cm="1">
        <f t="array" ref="C75">SUM(SUMIFS('MAIN DATA, Orders'!$S:$S,'MAIN DATA, Orders'!$D:$D,"United Kingdom",'MAIN DATA, Orders'!$I:$I,{"Aircraft","Development - Aircraft","Missile (Air)","Development - Missile (Air)"},'MAIN DATA, Orders'!$Y:$Y,$A75)/1000000000)</f>
        <v>0</v>
      </c>
      <c r="D75" s="15" cm="1">
        <f t="array" ref="D75">SUM(SUMIFS('MAIN DATA, Orders'!$S:$S,'MAIN DATA, Orders'!$D:$D,"United Kingdom",'MAIN DATA, Orders'!$I:$I,{"Naval","Development - Naval","Missile (Naval)","Development - Missile (Naval)"},'MAIN DATA, Orders'!$Y:$Y,$A75)/1000000000)</f>
        <v>0</v>
      </c>
      <c r="E75" s="15" cm="1">
        <f t="array" ref="E75">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Orders'!$Y:$Y,$A75)/1000000000)</f>
        <v>0.02</v>
      </c>
      <c r="F75" s="15" cm="1">
        <f t="array" ref="F75">SUM(SUMIFS('MAIN DATA, Orders'!$S:$S,'MAIN DATA, Orders'!$D:$D,"United Kingdom",'MAIN DATA, Orders'!$I:$I,{"Maintenance","Development - Maintenance","Modernisation","Development - Modernisation","Other","Development - Other"},'MAIN DATA, Orders'!$Y:$Y,$A75)/1000000000)</f>
        <v>0.502</v>
      </c>
    </row>
    <row r="76" spans="1:6" x14ac:dyDescent="0.35">
      <c r="A76" s="20">
        <v>202510</v>
      </c>
      <c r="B76" s="205">
        <v>45931</v>
      </c>
      <c r="C76" s="15" cm="1">
        <f t="array" ref="C76">SUM(SUMIFS('MAIN DATA, Orders'!$S:$S,'MAIN DATA, Orders'!$D:$D,"United Kingdom",'MAIN DATA, Orders'!$I:$I,{"Aircraft","Development - Aircraft","Missile (Air)","Development - Missile (Air)"},'MAIN DATA, Orders'!$Y:$Y,$A76)/1000000000)</f>
        <v>0</v>
      </c>
      <c r="D76" s="15" cm="1">
        <f t="array" ref="D76">SUM(SUMIFS('MAIN DATA, Orders'!$S:$S,'MAIN DATA, Orders'!$D:$D,"United Kingdom",'MAIN DATA, Orders'!$I:$I,{"Naval","Development - Naval","Missile (Naval)","Development - Missile (Naval)"},'MAIN DATA, Orders'!$Y:$Y,$A76)/1000000000)</f>
        <v>0</v>
      </c>
      <c r="E76" s="15" cm="1">
        <f t="array" ref="E76">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Orders'!$Y:$Y,$A76)/1000000000)</f>
        <v>0</v>
      </c>
      <c r="F76" s="15" cm="1">
        <f t="array" ref="F76">SUM(SUMIFS('MAIN DATA, Orders'!$S:$S,'MAIN DATA, Orders'!$D:$D,"United Kingdom",'MAIN DATA, Orders'!$I:$I,{"Maintenance","Development - Maintenance","Modernisation","Development - Modernisation","Other","Development - Other"},'MAIN DATA, Orders'!$Y:$Y,$A76)/1000000000)</f>
        <v>0.52780000000000005</v>
      </c>
    </row>
    <row r="77" spans="1:6" x14ac:dyDescent="0.35">
      <c r="A77" s="20">
        <v>202511</v>
      </c>
      <c r="B77" s="205">
        <v>45962</v>
      </c>
      <c r="C77" s="15" cm="1">
        <f t="array" ref="C77">SUM(SUMIFS('MAIN DATA, Orders'!$S:$S,'MAIN DATA, Orders'!$D:$D,"United Kingdom",'MAIN DATA, Orders'!$I:$I,{"Aircraft","Development - Aircraft","Missile (Air)","Development - Missile (Air)"},'MAIN DATA, Orders'!$Y:$Y,$A77)/1000000000)</f>
        <v>0</v>
      </c>
      <c r="D77" s="15" cm="1">
        <f t="array" ref="D77">SUM(SUMIFS('MAIN DATA, Orders'!$S:$S,'MAIN DATA, Orders'!$D:$D,"United Kingdom",'MAIN DATA, Orders'!$I:$I,{"Naval","Development - Naval","Missile (Naval)","Development - Missile (Naval)"},'MAIN DATA, Orders'!$Y:$Y,$A77)/1000000000)</f>
        <v>0.316</v>
      </c>
      <c r="E77" s="15" cm="1">
        <f t="array" ref="E77">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Orders'!$Y:$Y,$A77)/1000000000)</f>
        <v>0</v>
      </c>
      <c r="F77" s="15" cm="1">
        <f t="array" ref="F77">SUM(SUMIFS('MAIN DATA, Orders'!$S:$S,'MAIN DATA, Orders'!$D:$D,"United Kingdom",'MAIN DATA, Orders'!$I:$I,{"Maintenance","Development - Maintenance","Modernisation","Development - Modernisation","Other","Development - Other"},'MAIN DATA, Orders'!$Y:$Y,$A77)/1000000000)</f>
        <v>0</v>
      </c>
    </row>
    <row r="78" spans="1:6" x14ac:dyDescent="0.35">
      <c r="A78" s="20">
        <v>202512</v>
      </c>
      <c r="B78" s="205">
        <v>45992</v>
      </c>
      <c r="C78" s="15" cm="1">
        <f t="array" ref="C78">SUM(SUMIFS('MAIN DATA, Orders'!$S:$S,'MAIN DATA, Orders'!$D:$D,"United Kingdom",'MAIN DATA, Orders'!$I:$I,{"Aircraft","Development - Aircraft","Missile (Air)","Development - Missile (Air)"},'MAIN DATA, Orders'!$Y:$Y,$A78)/1000000000)</f>
        <v>0</v>
      </c>
      <c r="D78" s="15" cm="1">
        <f t="array" ref="D78">SUM(SUMIFS('MAIN DATA, Orders'!$S:$S,'MAIN DATA, Orders'!$D:$D,"United Kingdom",'MAIN DATA, Orders'!$I:$I,{"Naval","Development - Naval","Missile (Naval)","Development - Missile (Naval)"},'MAIN DATA, Orders'!$Y:$Y,$A78)/1000000000)</f>
        <v>0.01</v>
      </c>
      <c r="E78" s="15" cm="1">
        <f t="array" ref="E78">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Orders'!$Y:$Y,$A78)/1000000000)</f>
        <v>0.19400000000000001</v>
      </c>
      <c r="F78" s="15" cm="1">
        <f t="array" ref="F78">SUM(SUMIFS('MAIN DATA, Orders'!$S:$S,'MAIN DATA, Orders'!$D:$D,"United Kingdom",'MAIN DATA, Orders'!$I:$I,{"Maintenance","Development - Maintenance","Modernisation","Development - Modernisation","Other","Development - Other"},'MAIN DATA, Orders'!$Y:$Y,$A78)/1000000000)</f>
        <v>5.3599999999999995E-2</v>
      </c>
    </row>
    <row r="79" spans="1:6" x14ac:dyDescent="0.35">
      <c r="A79" s="20">
        <v>202601</v>
      </c>
      <c r="B79" s="205">
        <v>46023</v>
      </c>
      <c r="C79" s="15" cm="1">
        <f t="array" ref="C79">SUM(SUMIFS('MAIN DATA, Orders'!$S:$S,'MAIN DATA, Orders'!$D:$D,"United Kingdom",'MAIN DATA, Orders'!$I:$I,{"Aircraft","Development - Aircraft","Missile (Air)","Development - Missile (Air)"},'MAIN DATA, Orders'!$Y:$Y,$A79)/1000000000)</f>
        <v>0.45350000000000001</v>
      </c>
      <c r="D79" s="15" cm="1">
        <f t="array" ref="D79">SUM(SUMIFS('MAIN DATA, Orders'!$S:$S,'MAIN DATA, Orders'!$D:$D,"United Kingdom",'MAIN DATA, Orders'!$I:$I,{"Naval","Development - Naval","Missile (Naval)","Development - Missile (Naval)"},'MAIN DATA, Orders'!$Y:$Y,$A79)/1000000000)</f>
        <v>0</v>
      </c>
      <c r="E79" s="15" cm="1">
        <f t="array" ref="E79">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Orders'!$Y:$Y,$A79)/1000000000)</f>
        <v>2.7E-2</v>
      </c>
      <c r="F79" s="15" cm="1">
        <f t="array" ref="F79">SUM(SUMIFS('MAIN DATA, Orders'!$S:$S,'MAIN DATA, Orders'!$D:$D,"United Kingdom",'MAIN DATA, Orders'!$I:$I,{"Maintenance","Development - Maintenance","Modernisation","Development - Modernisation","Other","Development - Other"},'MAIN DATA, Orders'!$Y:$Y,$A79)/1000000000)</f>
        <v>0.21529999999999999</v>
      </c>
    </row>
    <row r="80" spans="1:6" x14ac:dyDescent="0.35">
      <c r="B80" s="206"/>
      <c r="C80" s="66"/>
      <c r="D80" s="66"/>
      <c r="E80" s="66"/>
      <c r="F80" s="66"/>
    </row>
    <row r="81" spans="2:6" x14ac:dyDescent="0.35">
      <c r="B81" s="207" t="s">
        <v>4219</v>
      </c>
      <c r="C81" s="18">
        <f t="shared" ref="C81:F81" si="0">SUM(C7:C79)</f>
        <v>6.5286</v>
      </c>
      <c r="D81" s="18">
        <f t="shared" si="0"/>
        <v>27.068639999999998</v>
      </c>
      <c r="E81" s="18">
        <f t="shared" si="0"/>
        <v>9.8085999999999984</v>
      </c>
      <c r="F81" s="18">
        <f t="shared" si="0"/>
        <v>25.736959999999996</v>
      </c>
    </row>
  </sheetData>
  <mergeCells count="1">
    <mergeCell ref="B4:J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A8B0F-6EC8-4241-B3AC-BB88D79CEFF8}">
  <sheetPr>
    <tabColor theme="8" tint="0.59999389629810485"/>
  </sheetPr>
  <dimension ref="B2:H94"/>
  <sheetViews>
    <sheetView zoomScaleNormal="100" workbookViewId="0"/>
  </sheetViews>
  <sheetFormatPr baseColWidth="10" defaultColWidth="8.75" defaultRowHeight="15.5" x14ac:dyDescent="0.35"/>
  <cols>
    <col min="1" max="1" width="8.75" style="1"/>
    <col min="2" max="2" width="10.25" style="1" customWidth="1"/>
    <col min="3" max="3" width="14.08203125" style="1" bestFit="1" customWidth="1"/>
    <col min="4" max="4" width="32.83203125" style="1" bestFit="1" customWidth="1"/>
    <col min="5" max="5" width="24" style="1" bestFit="1" customWidth="1"/>
    <col min="6" max="6" width="19" style="1" bestFit="1" customWidth="1"/>
    <col min="7" max="7" width="8.83203125" style="1" bestFit="1" customWidth="1"/>
    <col min="8" max="8" width="8.75" style="1"/>
    <col min="9" max="14" width="8.75" style="1" customWidth="1"/>
    <col min="15" max="16384" width="8.75" style="1"/>
  </cols>
  <sheetData>
    <row r="2" spans="2:8" ht="25.9" customHeight="1" x14ac:dyDescent="0.7">
      <c r="B2" s="16" t="s">
        <v>5625</v>
      </c>
    </row>
    <row r="4" spans="2:8" ht="130.15" customHeight="1" x14ac:dyDescent="0.35">
      <c r="B4" s="232" t="s">
        <v>5633</v>
      </c>
      <c r="C4" s="232"/>
      <c r="D4" s="232"/>
      <c r="E4" s="232"/>
      <c r="F4" s="232"/>
    </row>
    <row r="6" spans="2:8" ht="21" customHeight="1" x14ac:dyDescent="0.35">
      <c r="B6" s="69" t="s">
        <v>5187</v>
      </c>
      <c r="C6" s="69" t="s">
        <v>5232</v>
      </c>
      <c r="D6" s="69" t="s">
        <v>5233</v>
      </c>
      <c r="E6" s="69" t="s">
        <v>5234</v>
      </c>
      <c r="F6" s="69" t="s">
        <v>5228</v>
      </c>
      <c r="G6" s="69" t="s">
        <v>4219</v>
      </c>
    </row>
    <row r="7" spans="2:8" x14ac:dyDescent="0.35">
      <c r="B7" s="83">
        <v>2020</v>
      </c>
      <c r="C7" s="15">
        <f>(SUMIFS('MAIN DATA, Orders'!$S:$S,'MAIN DATA, Orders'!$D:$D,"United Kingdom",'MAIN DATA, Orders'!$F:$F,$B7,'MAIN DATA, Orders'!$AF:$AF,"0",'MAIN DATA, Orders'!$AH:$AH,"United Kingdom")/1000000000)</f>
        <v>3.2126000000000001</v>
      </c>
      <c r="D7" s="15">
        <f>(SUMIFS('MAIN DATA, Orders'!$S:$S,'MAIN DATA, Orders'!$D:$D,"United Kingdom",'MAIN DATA, Orders'!$F:$F,$B7,'MAIN DATA, Orders'!$AF:$AF,"1")/1000000000)</f>
        <v>0.83220000000000005</v>
      </c>
      <c r="E7" s="15">
        <f>SUM(SUMIFS('MAIN DATA, Orders'!$S:$S,'MAIN DATA, Orders'!$D:$D,"United Kingdom",'MAIN DATA, Orders'!$F:$F,$B7,'MAIN DATA, Orders'!$AC:$AC,"1",'MAIN DATA, Orders'!$AF:$AF,"0",'MAIN DATA, Orders'!$AH:$AH,"&lt;&gt;United Kingdom")/1000000000)</f>
        <v>4.5999999999999999E-2</v>
      </c>
      <c r="F7" s="15">
        <f>SUM(SUMIFS('MAIN DATA, Orders'!$S:$S,'MAIN DATA, Orders'!$D:$D,"United Kingdom",'MAIN DATA, Orders'!$F:$F,$B7,'MAIN DATA, Orders'!$AC:$AC,"0",'MAIN DATA, Orders'!$AF:$AF,"0")/1000000000)</f>
        <v>6.5000000000000002E-2</v>
      </c>
      <c r="G7" s="15">
        <f>(SUMIFS('MAIN DATA, Orders'!$S:$S,'MAIN DATA, Orders'!$F:$F,$B7,'MAIN DATA, Orders'!$AH:$AH,"&lt;&gt;.",'MAIN DATA, Orders'!$D:$D,"United Kingdom")/1000000000)</f>
        <v>4.1558000000000002</v>
      </c>
    </row>
    <row r="8" spans="2:8" x14ac:dyDescent="0.35">
      <c r="B8" s="83">
        <v>2021</v>
      </c>
      <c r="C8" s="15">
        <f>(SUMIFS('MAIN DATA, Orders'!$S:$S,'MAIN DATA, Orders'!$D:$D,"United Kingdom",'MAIN DATA, Orders'!$F:$F,$B8,'MAIN DATA, Orders'!$AF:$AF,"0",'MAIN DATA, Orders'!$AH:$AH,"United Kingdom")/1000000000)</f>
        <v>0.47295999999999999</v>
      </c>
      <c r="D8" s="15">
        <f>(SUMIFS('MAIN DATA, Orders'!$S:$S,'MAIN DATA, Orders'!$D:$D,"United Kingdom",'MAIN DATA, Orders'!$F:$F,$B8,'MAIN DATA, Orders'!$AF:$AF,"1")/1000000000)</f>
        <v>3.3689</v>
      </c>
      <c r="E8" s="15">
        <f>SUM(SUMIFS('MAIN DATA, Orders'!$S:$S,'MAIN DATA, Orders'!$D:$D,"United Kingdom",'MAIN DATA, Orders'!$F:$F,$B8,'MAIN DATA, Orders'!$AC:$AC,"1",'MAIN DATA, Orders'!$AF:$AF,"0",'MAIN DATA, Orders'!$AH:$AH,"&lt;&gt;United Kingdom")/1000000000)</f>
        <v>0</v>
      </c>
      <c r="F8" s="15">
        <f>SUM(SUMIFS('MAIN DATA, Orders'!$S:$S,'MAIN DATA, Orders'!$D:$D,"United Kingdom",'MAIN DATA, Orders'!$F:$F,$B8,'MAIN DATA, Orders'!$AC:$AC,"0",'MAIN DATA, Orders'!$AF:$AF,"0")/1000000000)</f>
        <v>0.32400000000000001</v>
      </c>
      <c r="G8" s="15">
        <f>(SUMIFS('MAIN DATA, Orders'!$S:$S,'MAIN DATA, Orders'!$F:$F,$B8,'MAIN DATA, Orders'!$AH:$AH,"&lt;&gt;.",'MAIN DATA, Orders'!$D:$D,"United Kingdom")/1000000000)</f>
        <v>4.1658600000000003</v>
      </c>
    </row>
    <row r="9" spans="2:8" x14ac:dyDescent="0.35">
      <c r="B9" s="83">
        <v>2022</v>
      </c>
      <c r="C9" s="15">
        <f>(SUMIFS('MAIN DATA, Orders'!$S:$S,'MAIN DATA, Orders'!$D:$D,"United Kingdom",'MAIN DATA, Orders'!$F:$F,$B9,'MAIN DATA, Orders'!$AF:$AF,"0",'MAIN DATA, Orders'!$AH:$AH,"United Kingdom")/1000000000)</f>
        <v>7.1229699999999996</v>
      </c>
      <c r="D9" s="15">
        <f>(SUMIFS('MAIN DATA, Orders'!$S:$S,'MAIN DATA, Orders'!$D:$D,"United Kingdom",'MAIN DATA, Orders'!$F:$F,$B9,'MAIN DATA, Orders'!$AF:$AF,"1")/1000000000)</f>
        <v>6.0019999999999998</v>
      </c>
      <c r="E9" s="15">
        <f>SUM(SUMIFS('MAIN DATA, Orders'!$S:$S,'MAIN DATA, Orders'!$D:$D,"United Kingdom",'MAIN DATA, Orders'!$F:$F,$B9,'MAIN DATA, Orders'!$AC:$AC,"1",'MAIN DATA, Orders'!$AF:$AF,"0",'MAIN DATA, Orders'!$AH:$AH,"&lt;&gt;United Kingdom")/1000000000)</f>
        <v>0</v>
      </c>
      <c r="F9" s="15">
        <f>SUM(SUMIFS('MAIN DATA, Orders'!$S:$S,'MAIN DATA, Orders'!$D:$D,"United Kingdom",'MAIN DATA, Orders'!$F:$F,$B9,'MAIN DATA, Orders'!$AC:$AC,"0",'MAIN DATA, Orders'!$AF:$AF,"0")/1000000000)</f>
        <v>0.28699999999999998</v>
      </c>
      <c r="G9" s="15">
        <f>(SUMIFS('MAIN DATA, Orders'!$S:$S,'MAIN DATA, Orders'!$F:$F,$B9,'MAIN DATA, Orders'!$AH:$AH,"&lt;&gt;.",'MAIN DATA, Orders'!$D:$D,"United Kingdom")/1000000000)</f>
        <v>13.41197</v>
      </c>
    </row>
    <row r="10" spans="2:8" x14ac:dyDescent="0.35">
      <c r="B10" s="83">
        <v>2023</v>
      </c>
      <c r="C10" s="15">
        <f>(SUMIFS('MAIN DATA, Orders'!$S:$S,'MAIN DATA, Orders'!$D:$D,"United Kingdom",'MAIN DATA, Orders'!$F:$F,$B10,'MAIN DATA, Orders'!$AF:$AF,"0",'MAIN DATA, Orders'!$AH:$AH,"United Kingdom")/1000000000)</f>
        <v>5.2779999999999996</v>
      </c>
      <c r="D10" s="15">
        <f>(SUMIFS('MAIN DATA, Orders'!$S:$S,'MAIN DATA, Orders'!$D:$D,"United Kingdom",'MAIN DATA, Orders'!$F:$F,$B10,'MAIN DATA, Orders'!$AF:$AF,"1")/1000000000)</f>
        <v>3.0375000000000001</v>
      </c>
      <c r="E10" s="15">
        <f>SUM(SUMIFS('MAIN DATA, Orders'!$S:$S,'MAIN DATA, Orders'!$D:$D,"United Kingdom",'MAIN DATA, Orders'!$F:$F,$B10,'MAIN DATA, Orders'!$AC:$AC,"1",'MAIN DATA, Orders'!$AF:$AF,"0",'MAIN DATA, Orders'!$AH:$AH,"&lt;&gt;United Kingdom")/1000000000)</f>
        <v>8.9599999999999999E-2</v>
      </c>
      <c r="F10" s="15">
        <f>SUM(SUMIFS('MAIN DATA, Orders'!$S:$S,'MAIN DATA, Orders'!$D:$D,"United Kingdom",'MAIN DATA, Orders'!$F:$F,$B10,'MAIN DATA, Orders'!$AC:$AC,"0",'MAIN DATA, Orders'!$AF:$AF,"0")/1000000000)</f>
        <v>3.6999999999999998E-2</v>
      </c>
      <c r="G10" s="15">
        <f>(SUMIFS('MAIN DATA, Orders'!$S:$S,'MAIN DATA, Orders'!$F:$F,$B10,'MAIN DATA, Orders'!$AH:$AH,"&lt;&gt;.",'MAIN DATA, Orders'!$D:$D,"United Kingdom")/1000000000)</f>
        <v>8.4420999999999999</v>
      </c>
    </row>
    <row r="11" spans="2:8" x14ac:dyDescent="0.35">
      <c r="B11" s="83">
        <v>2024</v>
      </c>
      <c r="C11" s="15">
        <f>(SUMIFS('MAIN DATA, Orders'!$S:$S,'MAIN DATA, Orders'!$D:$D,"United Kingdom",'MAIN DATA, Orders'!$F:$F,$B11,'MAIN DATA, Orders'!$AF:$AF,"0",'MAIN DATA, Orders'!$AH:$AH,"United Kingdom")/1000000000)</f>
        <v>0.95199999999999996</v>
      </c>
      <c r="D11" s="15">
        <f>(SUMIFS('MAIN DATA, Orders'!$S:$S,'MAIN DATA, Orders'!$D:$D,"United Kingdom",'MAIN DATA, Orders'!$F:$F,$B11,'MAIN DATA, Orders'!$AF:$AF,"1")/1000000000)</f>
        <v>11.509</v>
      </c>
      <c r="E11" s="15">
        <f>SUM(SUMIFS('MAIN DATA, Orders'!$S:$S,'MAIN DATA, Orders'!$D:$D,"United Kingdom",'MAIN DATA, Orders'!$F:$F,$B11,'MAIN DATA, Orders'!$AC:$AC,"1",'MAIN DATA, Orders'!$AF:$AF,"0",'MAIN DATA, Orders'!$AH:$AH,"&lt;&gt;United Kingdom")/1000000000)</f>
        <v>0.41399999999999998</v>
      </c>
      <c r="F11" s="15">
        <f>SUM(SUMIFS('MAIN DATA, Orders'!$S:$S,'MAIN DATA, Orders'!$D:$D,"United Kingdom",'MAIN DATA, Orders'!$F:$F,$B11,'MAIN DATA, Orders'!$AC:$AC,"0",'MAIN DATA, Orders'!$AF:$AF,"0")/1000000000)</f>
        <v>8.0820000000000003E-2</v>
      </c>
      <c r="G11" s="15">
        <f>(SUMIFS('MAIN DATA, Orders'!$S:$S,'MAIN DATA, Orders'!$F:$F,$B11,'MAIN DATA, Orders'!$AH:$AH,"&lt;&gt;.",'MAIN DATA, Orders'!$D:$D,"United Kingdom")/1000000000)</f>
        <v>12.955819999999999</v>
      </c>
    </row>
    <row r="12" spans="2:8" x14ac:dyDescent="0.35">
      <c r="B12" s="83">
        <v>2025</v>
      </c>
      <c r="C12" s="15">
        <f>(SUMIFS('MAIN DATA, Orders'!$S:$S,'MAIN DATA, Orders'!$D:$D,"United Kingdom",'MAIN DATA, Orders'!$F:$F,$B12,'MAIN DATA, Orders'!$AF:$AF,"0",'MAIN DATA, Orders'!$AH:$AH,"United Kingdom")/1000000000)</f>
        <v>13.82535</v>
      </c>
      <c r="D12" s="15">
        <f>(SUMIFS('MAIN DATA, Orders'!$S:$S,'MAIN DATA, Orders'!$D:$D,"United Kingdom",'MAIN DATA, Orders'!$F:$F,$B12,'MAIN DATA, Orders'!$AF:$AF,"1")/1000000000)</f>
        <v>3.4630999999999998</v>
      </c>
      <c r="E12" s="15">
        <f>SUM(SUMIFS('MAIN DATA, Orders'!$S:$S,'MAIN DATA, Orders'!$D:$D,"United Kingdom",'MAIN DATA, Orders'!$F:$F,$B12,'MAIN DATA, Orders'!$AC:$AC,"1",'MAIN DATA, Orders'!$AF:$AF,"0",'MAIN DATA, Orders'!$AH:$AH,"&lt;&gt;United Kingdom")/1000000000)</f>
        <v>0</v>
      </c>
      <c r="F12" s="15">
        <f>SUM(SUMIFS('MAIN DATA, Orders'!$S:$S,'MAIN DATA, Orders'!$D:$D,"United Kingdom",'MAIN DATA, Orders'!$F:$F,$B12,'MAIN DATA, Orders'!$AC:$AC,"0",'MAIN DATA, Orders'!$AF:$AF,"0")/1000000000)</f>
        <v>0.96</v>
      </c>
      <c r="G12" s="15">
        <f>(SUMIFS('MAIN DATA, Orders'!$S:$S,'MAIN DATA, Orders'!$F:$F,$B12,'MAIN DATA, Orders'!$AH:$AH,"&lt;&gt;.",'MAIN DATA, Orders'!$D:$D,"United Kingdom")/1000000000)</f>
        <v>18.248449999999998</v>
      </c>
      <c r="H12" s="88"/>
    </row>
    <row r="13" spans="2:8" x14ac:dyDescent="0.35">
      <c r="B13" s="83">
        <v>2026</v>
      </c>
      <c r="C13" s="15">
        <f>(SUMIFS('MAIN DATA, Orders'!$S:$S,'MAIN DATA, Orders'!$D:$D,"United Kingdom",'MAIN DATA, Orders'!$F:$F,$B13,'MAIN DATA, Orders'!$AF:$AF,"0",'MAIN DATA, Orders'!$AH:$AH,"United Kingdom")/1000000000)</f>
        <v>0.21529999999999999</v>
      </c>
      <c r="D13" s="15">
        <f>(SUMIFS('MAIN DATA, Orders'!$S:$S,'MAIN DATA, Orders'!$D:$D,"United Kingdom",'MAIN DATA, Orders'!$F:$F,$B13,'MAIN DATA, Orders'!$AF:$AF,"1")/1000000000)</f>
        <v>0.45350000000000001</v>
      </c>
      <c r="E13" s="15">
        <f>SUM(SUMIFS('MAIN DATA, Orders'!$S:$S,'MAIN DATA, Orders'!$D:$D,"United Kingdom",'MAIN DATA, Orders'!$F:$F,$B13,'MAIN DATA, Orders'!$AC:$AC,"1",'MAIN DATA, Orders'!$AF:$AF,"0",'MAIN DATA, Orders'!$AH:$AH,"&lt;&gt;United Kingdom")/1000000000)</f>
        <v>0</v>
      </c>
      <c r="F13" s="15">
        <f>SUM(SUMIFS('MAIN DATA, Orders'!$S:$S,'MAIN DATA, Orders'!$D:$D,"United Kingdom",'MAIN DATA, Orders'!$F:$F,$B13,'MAIN DATA, Orders'!$AC:$AC,"0",'MAIN DATA, Orders'!$AF:$AF,"0")/1000000000)</f>
        <v>0</v>
      </c>
      <c r="G13" s="15">
        <f>(SUMIFS('MAIN DATA, Orders'!$S:$S,'MAIN DATA, Orders'!$F:$F,$B13,'MAIN DATA, Orders'!$AH:$AH,"&lt;&gt;.",'MAIN DATA, Orders'!$D:$D,"United Kingdom")/1000000000)</f>
        <v>0.66879999999999995</v>
      </c>
    </row>
    <row r="14" spans="2:8" x14ac:dyDescent="0.35">
      <c r="B14" s="85"/>
      <c r="C14" s="85"/>
      <c r="D14" s="85"/>
      <c r="E14" s="85"/>
      <c r="F14" s="85"/>
      <c r="G14" s="85"/>
    </row>
    <row r="15" spans="2:8" x14ac:dyDescent="0.35">
      <c r="B15" s="18" t="s">
        <v>4219</v>
      </c>
      <c r="C15" s="18">
        <f>SUM(C7:C13)</f>
        <v>31.079180000000001</v>
      </c>
      <c r="D15" s="18">
        <f>SUM(D7:D13)</f>
        <v>28.666200000000003</v>
      </c>
      <c r="E15" s="18">
        <f>SUM(E7:E13)</f>
        <v>0.54959999999999998</v>
      </c>
      <c r="F15" s="18">
        <f>SUM(F7:F13)</f>
        <v>1.7538199999999999</v>
      </c>
      <c r="G15" s="18">
        <f>SUM(G7:G13)</f>
        <v>62.0488</v>
      </c>
    </row>
    <row r="16" spans="2:8" x14ac:dyDescent="0.35">
      <c r="B16" s="19"/>
      <c r="C16" s="19"/>
      <c r="D16" s="19"/>
      <c r="E16" s="19"/>
      <c r="F16" s="83"/>
      <c r="G16" s="83"/>
    </row>
    <row r="91" spans="2:7" x14ac:dyDescent="0.35">
      <c r="B91" s="17"/>
      <c r="C91" s="15"/>
      <c r="D91" s="15"/>
      <c r="E91" s="15"/>
      <c r="F91" s="15"/>
      <c r="G91" s="15"/>
    </row>
    <row r="92" spans="2:7" x14ac:dyDescent="0.35">
      <c r="B92" s="17"/>
      <c r="C92" s="15"/>
      <c r="D92" s="15"/>
      <c r="E92" s="15"/>
      <c r="F92" s="15"/>
      <c r="G92" s="15"/>
    </row>
    <row r="93" spans="2:7" x14ac:dyDescent="0.35">
      <c r="B93" s="85"/>
      <c r="C93" s="85"/>
      <c r="D93" s="85"/>
      <c r="E93" s="85"/>
      <c r="F93" s="85"/>
      <c r="G93" s="85"/>
    </row>
    <row r="94" spans="2:7" x14ac:dyDescent="0.35">
      <c r="B94" s="18"/>
      <c r="C94" s="18"/>
      <c r="D94" s="18"/>
      <c r="E94" s="18"/>
      <c r="F94" s="18"/>
      <c r="G94" s="18"/>
    </row>
  </sheetData>
  <mergeCells count="1">
    <mergeCell ref="B4:F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5B824-C3DB-47B8-AA96-87A5109EBE08}">
  <sheetPr codeName="Sheet38">
    <tabColor theme="8" tint="0.59999389629810485"/>
  </sheetPr>
  <dimension ref="B2:N103"/>
  <sheetViews>
    <sheetView workbookViewId="0"/>
  </sheetViews>
  <sheetFormatPr baseColWidth="10" defaultColWidth="8.75" defaultRowHeight="15.5" x14ac:dyDescent="0.35"/>
  <cols>
    <col min="1" max="1" width="8.75" style="1" customWidth="1"/>
    <col min="2" max="2" width="9.75" style="1" customWidth="1"/>
    <col min="3" max="3" width="19.5" style="1" customWidth="1"/>
    <col min="4" max="4" width="13.25" style="1" customWidth="1"/>
    <col min="5" max="5" width="23.75" style="1" customWidth="1"/>
    <col min="6" max="6" width="21.25" style="1" customWidth="1"/>
    <col min="7" max="7" width="14.58203125" style="1" customWidth="1"/>
    <col min="8" max="8" width="12.83203125" style="1" customWidth="1"/>
    <col min="9" max="9" width="15.5" style="1" customWidth="1"/>
    <col min="10" max="10" width="8.75" style="1"/>
    <col min="11" max="11" width="12.75" style="208" customWidth="1"/>
    <col min="12" max="12" width="22.5" style="1" bestFit="1" customWidth="1"/>
    <col min="13" max="13" width="20.75" style="1" bestFit="1" customWidth="1"/>
    <col min="14" max="14" width="15.33203125" style="1" bestFit="1" customWidth="1"/>
    <col min="15" max="16384" width="8.75" style="1"/>
  </cols>
  <sheetData>
    <row r="2" spans="2:14" ht="25.9" customHeight="1" x14ac:dyDescent="0.7">
      <c r="B2" s="181" t="s">
        <v>5626</v>
      </c>
    </row>
    <row r="4" spans="2:14" ht="130.15" customHeight="1" x14ac:dyDescent="0.35">
      <c r="B4" s="232" t="s">
        <v>5627</v>
      </c>
      <c r="C4" s="232"/>
      <c r="D4" s="232"/>
      <c r="E4" s="232"/>
      <c r="F4" s="232"/>
      <c r="G4" s="232"/>
      <c r="H4" s="232"/>
      <c r="I4" s="232"/>
    </row>
    <row r="6" spans="2:14" ht="21" customHeight="1" x14ac:dyDescent="0.35">
      <c r="B6" s="68" t="s">
        <v>4226</v>
      </c>
      <c r="C6" s="72" t="s">
        <v>5240</v>
      </c>
      <c r="D6" s="68" t="s">
        <v>5241</v>
      </c>
      <c r="E6" s="73" t="s">
        <v>5242</v>
      </c>
      <c r="F6" s="73" t="s">
        <v>5243</v>
      </c>
      <c r="G6" s="68" t="s">
        <v>5244</v>
      </c>
      <c r="H6" s="68" t="s">
        <v>5245</v>
      </c>
      <c r="I6" s="68" t="s">
        <v>5246</v>
      </c>
      <c r="K6" s="204" t="s">
        <v>5231</v>
      </c>
      <c r="L6" s="68" t="s">
        <v>5247</v>
      </c>
      <c r="M6" s="68" t="s">
        <v>5248</v>
      </c>
      <c r="N6" s="68" t="s">
        <v>5246</v>
      </c>
    </row>
    <row r="7" spans="2:14" x14ac:dyDescent="0.35">
      <c r="B7" s="83" t="s">
        <v>2157</v>
      </c>
      <c r="C7" s="14">
        <f>VLOOKUP($B7,'MAIN DATA, Orders'!$B:$R,4,0)</f>
        <v>43928</v>
      </c>
      <c r="D7" s="83">
        <f>VLOOKUP($B7,'MAIN DATA, Orders'!$B:$R,5,0)</f>
        <v>2020</v>
      </c>
      <c r="E7" s="83">
        <f>VLOOKUP($B7,'MAIN DATA, Orders'!$B:$R,16,0)</f>
        <v>2022</v>
      </c>
      <c r="F7" s="83">
        <f>VLOOKUP($B7,'MAIN DATA, Orders'!$B:$R,17,0)</f>
        <v>2023</v>
      </c>
      <c r="G7" s="83">
        <f>E7-D7</f>
        <v>2</v>
      </c>
      <c r="H7" s="83">
        <f t="shared" ref="H7:H59" si="0">F7-D7</f>
        <v>3</v>
      </c>
      <c r="I7" s="83">
        <f>AVERAGE(G7:H7)</f>
        <v>2.5</v>
      </c>
      <c r="J7" s="83"/>
      <c r="K7" s="209">
        <v>43983</v>
      </c>
      <c r="L7" s="199">
        <f t="shared" ref="L7:L28" si="1">IFERROR(AVERAGEIFS($G:$G, $C:$C, "&gt;"&amp;EDATE($K7-DAY($K7)+1, -2), $C:$C, "&lt;="&amp;EOMONTH($K7, 0)), "")</f>
        <v>1</v>
      </c>
      <c r="M7" s="199">
        <f t="shared" ref="M7:M28" si="2">IFERROR(AVERAGEIFS($H:$H, $C:$C, "&gt;"&amp;EDATE($K7-DAY($K7)+1, -2), $C:$C, "&lt;="&amp;EOMONTH($K7, 0)), "")</f>
        <v>5</v>
      </c>
      <c r="N7" s="199">
        <f t="shared" ref="N7:N28" si="3">IFERROR(AVERAGEIFS($I:$I, $C:$C, "&gt;"&amp;EDATE($K7-DAY($K7)+1, -2), $C:$C, "&lt;="&amp;EOMONTH($K7, 0)), "")</f>
        <v>3</v>
      </c>
    </row>
    <row r="8" spans="2:14" x14ac:dyDescent="0.35">
      <c r="B8" s="83" t="s">
        <v>2162</v>
      </c>
      <c r="C8" s="14">
        <f>VLOOKUP($B8,'MAIN DATA, Orders'!$B:$R,4,0)</f>
        <v>43999</v>
      </c>
      <c r="D8" s="83">
        <f>VLOOKUP($B8,'MAIN DATA, Orders'!$B:$R,5,0)</f>
        <v>2020</v>
      </c>
      <c r="E8" s="83">
        <f>VLOOKUP($B8,'MAIN DATA, Orders'!$B:$R,16,0)</f>
        <v>2020</v>
      </c>
      <c r="F8" s="83">
        <f>VLOOKUP($B8,'MAIN DATA, Orders'!$B:$R,17,0)</f>
        <v>2027</v>
      </c>
      <c r="G8" s="83">
        <f t="shared" ref="G8:G59" si="4">E8-D8</f>
        <v>0</v>
      </c>
      <c r="H8" s="83">
        <f t="shared" si="0"/>
        <v>7</v>
      </c>
      <c r="I8" s="83">
        <f>AVERAGE(G8:H8)</f>
        <v>3.5</v>
      </c>
      <c r="J8" s="83"/>
      <c r="K8" s="209">
        <v>44075</v>
      </c>
      <c r="L8" s="199">
        <f t="shared" si="1"/>
        <v>1.2</v>
      </c>
      <c r="M8" s="199">
        <f t="shared" si="2"/>
        <v>4.4000000000000004</v>
      </c>
      <c r="N8" s="199">
        <f t="shared" si="3"/>
        <v>2.8</v>
      </c>
    </row>
    <row r="9" spans="2:14" x14ac:dyDescent="0.35">
      <c r="B9" s="83" t="s">
        <v>2169</v>
      </c>
      <c r="C9" s="14">
        <f>VLOOKUP($B9,'MAIN DATA, Orders'!$B:$R,4,0)</f>
        <v>44027</v>
      </c>
      <c r="D9" s="83">
        <f>VLOOKUP($B9,'MAIN DATA, Orders'!$B:$R,5,0)</f>
        <v>2020</v>
      </c>
      <c r="E9" s="83">
        <f>VLOOKUP($B9,'MAIN DATA, Orders'!$B:$R,16,0)</f>
        <v>2024</v>
      </c>
      <c r="F9" s="83">
        <f>VLOOKUP($B9,'MAIN DATA, Orders'!$B:$R,17,0)</f>
        <v>2024</v>
      </c>
      <c r="G9" s="83">
        <f t="shared" si="4"/>
        <v>4</v>
      </c>
      <c r="H9" s="83">
        <f t="shared" si="0"/>
        <v>4</v>
      </c>
      <c r="I9" s="83">
        <f t="shared" ref="I9:I59" si="5">AVERAGE(G9:H9)</f>
        <v>4</v>
      </c>
      <c r="J9" s="14"/>
      <c r="K9" s="209">
        <v>44256</v>
      </c>
      <c r="L9" s="199">
        <f t="shared" si="1"/>
        <v>0</v>
      </c>
      <c r="M9" s="199">
        <f t="shared" si="2"/>
        <v>4</v>
      </c>
      <c r="N9" s="199">
        <f t="shared" si="3"/>
        <v>2</v>
      </c>
    </row>
    <row r="10" spans="2:14" x14ac:dyDescent="0.35">
      <c r="B10" s="83" t="s">
        <v>2178</v>
      </c>
      <c r="C10" s="14">
        <f>VLOOKUP($B10,'MAIN DATA, Orders'!$B:$R,4,0)</f>
        <v>44036</v>
      </c>
      <c r="D10" s="83">
        <f>VLOOKUP($B10,'MAIN DATA, Orders'!$B:$R,5,0)</f>
        <v>2020</v>
      </c>
      <c r="E10" s="83">
        <f>VLOOKUP($B10,'MAIN DATA, Orders'!$B:$R,16,0)</f>
        <v>2022</v>
      </c>
      <c r="F10" s="83">
        <f>VLOOKUP($B10,'MAIN DATA, Orders'!$B:$R,17,0)</f>
        <v>2023</v>
      </c>
      <c r="G10" s="83">
        <f t="shared" si="4"/>
        <v>2</v>
      </c>
      <c r="H10" s="83">
        <f t="shared" si="0"/>
        <v>3</v>
      </c>
      <c r="I10" s="83">
        <f t="shared" si="5"/>
        <v>2.5</v>
      </c>
      <c r="J10" s="14"/>
      <c r="K10" s="209">
        <v>44348</v>
      </c>
      <c r="L10" s="199">
        <f t="shared" si="1"/>
        <v>2</v>
      </c>
      <c r="M10" s="199">
        <f t="shared" si="2"/>
        <v>11</v>
      </c>
      <c r="N10" s="199">
        <f t="shared" si="3"/>
        <v>6.5</v>
      </c>
    </row>
    <row r="11" spans="2:14" x14ac:dyDescent="0.35">
      <c r="B11" s="83" t="s">
        <v>2184</v>
      </c>
      <c r="C11" s="14">
        <f>VLOOKUP($B11,'MAIN DATA, Orders'!$B:$R,4,0)</f>
        <v>44040</v>
      </c>
      <c r="D11" s="83">
        <f>VLOOKUP($B11,'MAIN DATA, Orders'!$B:$R,5,0)</f>
        <v>2020</v>
      </c>
      <c r="E11" s="83">
        <f>VLOOKUP($B11,'MAIN DATA, Orders'!$B:$R,16,0)</f>
        <v>2020</v>
      </c>
      <c r="F11" s="83">
        <f>VLOOKUP($B11,'MAIN DATA, Orders'!$B:$R,17,0)</f>
        <v>2025</v>
      </c>
      <c r="G11" s="83">
        <f t="shared" si="4"/>
        <v>0</v>
      </c>
      <c r="H11" s="83">
        <f t="shared" si="0"/>
        <v>5</v>
      </c>
      <c r="I11" s="83">
        <f t="shared" si="5"/>
        <v>2.5</v>
      </c>
      <c r="J11" s="83"/>
      <c r="K11" s="209">
        <v>44440</v>
      </c>
      <c r="L11" s="199">
        <f t="shared" si="1"/>
        <v>1.5</v>
      </c>
      <c r="M11" s="199">
        <f t="shared" si="2"/>
        <v>3</v>
      </c>
      <c r="N11" s="199">
        <f t="shared" si="3"/>
        <v>2.25</v>
      </c>
    </row>
    <row r="12" spans="2:14" x14ac:dyDescent="0.35">
      <c r="B12" s="83" t="s">
        <v>2201</v>
      </c>
      <c r="C12" s="14">
        <f>VLOOKUP($B12,'MAIN DATA, Orders'!$B:$R,4,0)</f>
        <v>44071</v>
      </c>
      <c r="D12" s="83">
        <f>VLOOKUP($B12,'MAIN DATA, Orders'!$B:$R,5,0)</f>
        <v>2020</v>
      </c>
      <c r="E12" s="83">
        <f>VLOOKUP($B12,'MAIN DATA, Orders'!$B:$R,16,0)</f>
        <v>2020</v>
      </c>
      <c r="F12" s="83">
        <f>VLOOKUP($B12,'MAIN DATA, Orders'!$B:$R,17,0)</f>
        <v>2027</v>
      </c>
      <c r="G12" s="83">
        <f t="shared" si="4"/>
        <v>0</v>
      </c>
      <c r="H12" s="83">
        <f t="shared" si="0"/>
        <v>7</v>
      </c>
      <c r="I12" s="83">
        <f t="shared" si="5"/>
        <v>3.5</v>
      </c>
      <c r="J12" s="83"/>
      <c r="K12" s="209">
        <v>44531</v>
      </c>
      <c r="L12" s="199">
        <f t="shared" si="1"/>
        <v>2</v>
      </c>
      <c r="M12" s="199">
        <f t="shared" si="2"/>
        <v>4</v>
      </c>
      <c r="N12" s="199">
        <f t="shared" si="3"/>
        <v>3</v>
      </c>
    </row>
    <row r="13" spans="2:14" x14ac:dyDescent="0.35">
      <c r="B13" s="83" t="s">
        <v>2219</v>
      </c>
      <c r="C13" s="14">
        <f>VLOOKUP($B13,'MAIN DATA, Orders'!$B:$R,4,0)</f>
        <v>44104</v>
      </c>
      <c r="D13" s="83">
        <f>VLOOKUP($B13,'MAIN DATA, Orders'!$B:$R,5,0)</f>
        <v>2020</v>
      </c>
      <c r="E13" s="83">
        <f>VLOOKUP($B13,'MAIN DATA, Orders'!$B:$R,16,0)</f>
        <v>2020</v>
      </c>
      <c r="F13" s="83">
        <f>VLOOKUP($B13,'MAIN DATA, Orders'!$B:$R,17,0)</f>
        <v>2023</v>
      </c>
      <c r="G13" s="83">
        <f t="shared" si="4"/>
        <v>0</v>
      </c>
      <c r="H13" s="83">
        <f t="shared" si="0"/>
        <v>3</v>
      </c>
      <c r="I13" s="83">
        <f t="shared" si="5"/>
        <v>1.5</v>
      </c>
      <c r="J13" s="14"/>
      <c r="K13" s="209">
        <v>44621</v>
      </c>
      <c r="L13" s="199">
        <f t="shared" si="1"/>
        <v>0</v>
      </c>
      <c r="M13" s="199">
        <f t="shared" si="2"/>
        <v>7.5</v>
      </c>
      <c r="N13" s="199">
        <f t="shared" si="3"/>
        <v>3.75</v>
      </c>
    </row>
    <row r="14" spans="2:14" x14ac:dyDescent="0.35">
      <c r="B14" s="83" t="s">
        <v>2253</v>
      </c>
      <c r="C14" s="14">
        <f>VLOOKUP($B14,'MAIN DATA, Orders'!$B:$R,4,0)</f>
        <v>44210</v>
      </c>
      <c r="D14" s="83">
        <f>VLOOKUP($B14,'MAIN DATA, Orders'!$B:$R,5,0)</f>
        <v>2021</v>
      </c>
      <c r="E14" s="83">
        <f>VLOOKUP($B14,'MAIN DATA, Orders'!$B:$R,16,0)</f>
        <v>2021</v>
      </c>
      <c r="F14" s="83">
        <f>VLOOKUP($B14,'MAIN DATA, Orders'!$B:$R,17,0)</f>
        <v>2023</v>
      </c>
      <c r="G14" s="83">
        <f t="shared" si="4"/>
        <v>0</v>
      </c>
      <c r="H14" s="83">
        <f t="shared" si="0"/>
        <v>2</v>
      </c>
      <c r="I14" s="83">
        <f t="shared" si="5"/>
        <v>1</v>
      </c>
      <c r="J14" s="83"/>
      <c r="K14" s="209">
        <v>44713</v>
      </c>
      <c r="L14" s="199">
        <f t="shared" si="1"/>
        <v>0</v>
      </c>
      <c r="M14" s="199">
        <f t="shared" si="2"/>
        <v>4.5</v>
      </c>
      <c r="N14" s="199">
        <f t="shared" si="3"/>
        <v>2.25</v>
      </c>
    </row>
    <row r="15" spans="2:14" x14ac:dyDescent="0.35">
      <c r="B15" s="83" t="s">
        <v>2282</v>
      </c>
      <c r="C15" s="14">
        <f>VLOOKUP($B15,'MAIN DATA, Orders'!$B:$R,4,0)</f>
        <v>44223</v>
      </c>
      <c r="D15" s="83">
        <f>VLOOKUP($B15,'MAIN DATA, Orders'!$B:$R,5,0)</f>
        <v>2021</v>
      </c>
      <c r="E15" s="83">
        <f>VLOOKUP($B15,'MAIN DATA, Orders'!$B:$R,16,0)</f>
        <v>2021</v>
      </c>
      <c r="F15" s="83">
        <f>VLOOKUP($B15,'MAIN DATA, Orders'!$B:$R,17,0)</f>
        <v>2027</v>
      </c>
      <c r="G15" s="83">
        <f t="shared" si="4"/>
        <v>0</v>
      </c>
      <c r="H15" s="83">
        <f t="shared" si="0"/>
        <v>6</v>
      </c>
      <c r="I15" s="83">
        <f t="shared" si="5"/>
        <v>3</v>
      </c>
      <c r="J15" s="83"/>
      <c r="K15" s="209">
        <v>44805</v>
      </c>
      <c r="L15" s="199">
        <f t="shared" si="1"/>
        <v>2</v>
      </c>
      <c r="M15" s="199">
        <f t="shared" si="2"/>
        <v>3</v>
      </c>
      <c r="N15" s="199">
        <f t="shared" si="3"/>
        <v>2.5</v>
      </c>
    </row>
    <row r="16" spans="2:14" x14ac:dyDescent="0.35">
      <c r="B16" s="83" t="s">
        <v>2299</v>
      </c>
      <c r="C16" s="14">
        <f>VLOOKUP($B16,'MAIN DATA, Orders'!$B:$R,4,0)</f>
        <v>44323</v>
      </c>
      <c r="D16" s="83">
        <f>VLOOKUP($B16,'MAIN DATA, Orders'!$B:$R,5,0)</f>
        <v>2021</v>
      </c>
      <c r="E16" s="83">
        <f>VLOOKUP($B16,'MAIN DATA, Orders'!$B:$R,16,0)</f>
        <v>2027</v>
      </c>
      <c r="F16" s="83">
        <f>VLOOKUP($B16,'MAIN DATA, Orders'!$B:$R,17,0)</f>
        <v>2030</v>
      </c>
      <c r="G16" s="83">
        <f t="shared" si="4"/>
        <v>6</v>
      </c>
      <c r="H16" s="83">
        <f t="shared" si="0"/>
        <v>9</v>
      </c>
      <c r="I16" s="83">
        <f t="shared" si="5"/>
        <v>7.5</v>
      </c>
      <c r="J16" s="83"/>
      <c r="K16" s="209">
        <v>44896</v>
      </c>
      <c r="L16" s="199">
        <f t="shared" si="1"/>
        <v>1</v>
      </c>
      <c r="M16" s="199">
        <f t="shared" si="2"/>
        <v>2.5</v>
      </c>
      <c r="N16" s="199">
        <f t="shared" si="3"/>
        <v>1.75</v>
      </c>
    </row>
    <row r="17" spans="2:14" x14ac:dyDescent="0.35">
      <c r="B17" s="83" t="s">
        <v>2305</v>
      </c>
      <c r="C17" s="14">
        <f>VLOOKUP($B17,'MAIN DATA, Orders'!$B:$R,4,0)</f>
        <v>44341</v>
      </c>
      <c r="D17" s="83">
        <f>VLOOKUP($B17,'MAIN DATA, Orders'!$B:$R,5,0)</f>
        <v>2021</v>
      </c>
      <c r="E17" s="83">
        <f>VLOOKUP($B17,'MAIN DATA, Orders'!$B:$R,16,0)</f>
        <v>2021</v>
      </c>
      <c r="F17" s="83">
        <f>VLOOKUP($B17,'MAIN DATA, Orders'!$B:$R,17,0)</f>
        <v>2026</v>
      </c>
      <c r="G17" s="83">
        <f t="shared" si="4"/>
        <v>0</v>
      </c>
      <c r="H17" s="83">
        <f t="shared" si="0"/>
        <v>5</v>
      </c>
      <c r="I17" s="83">
        <f t="shared" si="5"/>
        <v>2.5</v>
      </c>
      <c r="J17" s="83"/>
      <c r="K17" s="209">
        <v>44986</v>
      </c>
      <c r="L17" s="199">
        <f t="shared" si="1"/>
        <v>0.5</v>
      </c>
      <c r="M17" s="199">
        <f t="shared" si="2"/>
        <v>3.5</v>
      </c>
      <c r="N17" s="199">
        <f t="shared" si="3"/>
        <v>2</v>
      </c>
    </row>
    <row r="18" spans="2:14" x14ac:dyDescent="0.35">
      <c r="B18" s="83" t="s">
        <v>2310</v>
      </c>
      <c r="C18" s="14">
        <f>VLOOKUP($B18,'MAIN DATA, Orders'!$B:$R,4,0)</f>
        <v>44343</v>
      </c>
      <c r="D18" s="83">
        <f>VLOOKUP($B18,'MAIN DATA, Orders'!$B:$R,5,0)</f>
        <v>2021</v>
      </c>
      <c r="E18" s="83">
        <f>VLOOKUP($B18,'MAIN DATA, Orders'!$B:$R,16,0)</f>
        <v>2021</v>
      </c>
      <c r="F18" s="83">
        <f>VLOOKUP($B18,'MAIN DATA, Orders'!$B:$R,17,0)</f>
        <v>2040</v>
      </c>
      <c r="G18" s="83">
        <f t="shared" si="4"/>
        <v>0</v>
      </c>
      <c r="H18" s="83">
        <f t="shared" si="0"/>
        <v>19</v>
      </c>
      <c r="I18" s="83">
        <f t="shared" si="5"/>
        <v>9.5</v>
      </c>
      <c r="J18" s="83"/>
      <c r="K18" s="209">
        <v>45078</v>
      </c>
      <c r="L18" s="199">
        <f t="shared" si="1"/>
        <v>0</v>
      </c>
      <c r="M18" s="199">
        <f t="shared" si="2"/>
        <v>5.8</v>
      </c>
      <c r="N18" s="199">
        <f t="shared" si="3"/>
        <v>2.9</v>
      </c>
    </row>
    <row r="19" spans="2:14" x14ac:dyDescent="0.35">
      <c r="B19" s="83" t="s">
        <v>2360</v>
      </c>
      <c r="C19" s="14">
        <f>VLOOKUP($B19,'MAIN DATA, Orders'!$B:$R,4,0)</f>
        <v>44399</v>
      </c>
      <c r="D19" s="83">
        <f>VLOOKUP($B19,'MAIN DATA, Orders'!$B:$R,5,0)</f>
        <v>2021</v>
      </c>
      <c r="E19" s="83">
        <f>VLOOKUP($B19,'MAIN DATA, Orders'!$B:$R,16,0)</f>
        <v>2024</v>
      </c>
      <c r="F19" s="83">
        <f>VLOOKUP($B19,'MAIN DATA, Orders'!$B:$R,17,0)</f>
        <v>2024</v>
      </c>
      <c r="G19" s="83">
        <f t="shared" si="4"/>
        <v>3</v>
      </c>
      <c r="H19" s="83">
        <f t="shared" si="0"/>
        <v>3</v>
      </c>
      <c r="I19" s="83">
        <f t="shared" si="5"/>
        <v>3</v>
      </c>
      <c r="J19" s="83"/>
      <c r="K19" s="209">
        <v>45170</v>
      </c>
      <c r="L19" s="199">
        <f t="shared" si="1"/>
        <v>0.5</v>
      </c>
      <c r="M19" s="199">
        <f t="shared" si="2"/>
        <v>2.5</v>
      </c>
      <c r="N19" s="199">
        <f t="shared" si="3"/>
        <v>1.5</v>
      </c>
    </row>
    <row r="20" spans="2:14" x14ac:dyDescent="0.35">
      <c r="B20" s="83" t="s">
        <v>2386</v>
      </c>
      <c r="C20" s="14">
        <f>VLOOKUP($B20,'MAIN DATA, Orders'!$B:$R,4,0)</f>
        <v>44456</v>
      </c>
      <c r="D20" s="83">
        <f>VLOOKUP($B20,'MAIN DATA, Orders'!$B:$R,5,0)</f>
        <v>2021</v>
      </c>
      <c r="E20" s="83">
        <f>VLOOKUP($B20,'MAIN DATA, Orders'!$B:$R,16,0)</f>
        <v>2021</v>
      </c>
      <c r="F20" s="83">
        <f>VLOOKUP($B20,'MAIN DATA, Orders'!$B:$R,17,0)</f>
        <v>2024</v>
      </c>
      <c r="G20" s="83">
        <f t="shared" si="4"/>
        <v>0</v>
      </c>
      <c r="H20" s="83">
        <f t="shared" si="0"/>
        <v>3</v>
      </c>
      <c r="I20" s="83">
        <f t="shared" si="5"/>
        <v>1.5</v>
      </c>
      <c r="J20" s="83"/>
      <c r="K20" s="209">
        <v>45261</v>
      </c>
      <c r="L20" s="199">
        <f t="shared" si="1"/>
        <v>2</v>
      </c>
      <c r="M20" s="199">
        <f t="shared" si="2"/>
        <v>17</v>
      </c>
      <c r="N20" s="199">
        <f t="shared" si="3"/>
        <v>9.5</v>
      </c>
    </row>
    <row r="21" spans="2:14" x14ac:dyDescent="0.35">
      <c r="B21" s="83" t="s">
        <v>2403</v>
      </c>
      <c r="C21" s="14">
        <f>VLOOKUP($B21,'MAIN DATA, Orders'!$B:$R,4,0)</f>
        <v>44503</v>
      </c>
      <c r="D21" s="83">
        <f>VLOOKUP($B21,'MAIN DATA, Orders'!$B:$R,5,0)</f>
        <v>2021</v>
      </c>
      <c r="E21" s="83">
        <f>VLOOKUP($B21,'MAIN DATA, Orders'!$B:$R,16,0)</f>
        <v>2023</v>
      </c>
      <c r="F21" s="83">
        <f>VLOOKUP($B21,'MAIN DATA, Orders'!$B:$R,17,0)</f>
        <v>2025</v>
      </c>
      <c r="G21" s="83">
        <f t="shared" si="4"/>
        <v>2</v>
      </c>
      <c r="H21" s="83">
        <f t="shared" si="0"/>
        <v>4</v>
      </c>
      <c r="I21" s="83">
        <f t="shared" si="5"/>
        <v>3</v>
      </c>
      <c r="J21" s="14"/>
      <c r="K21" s="209">
        <v>45352</v>
      </c>
      <c r="L21" s="199">
        <f t="shared" si="1"/>
        <v>0</v>
      </c>
      <c r="M21" s="199">
        <f t="shared" si="2"/>
        <v>5</v>
      </c>
      <c r="N21" s="199">
        <f t="shared" si="3"/>
        <v>2.5</v>
      </c>
    </row>
    <row r="22" spans="2:14" x14ac:dyDescent="0.35">
      <c r="B22" s="83" t="s">
        <v>2405</v>
      </c>
      <c r="C22" s="14">
        <f>VLOOKUP($B22,'MAIN DATA, Orders'!$B:$R,4,0)</f>
        <v>44503</v>
      </c>
      <c r="D22" s="83">
        <f>VLOOKUP($B22,'MAIN DATA, Orders'!$B:$R,5,0)</f>
        <v>2021</v>
      </c>
      <c r="E22" s="83">
        <f>VLOOKUP($B22,'MAIN DATA, Orders'!$B:$R,16,0)</f>
        <v>2023</v>
      </c>
      <c r="F22" s="83">
        <f>VLOOKUP($B22,'MAIN DATA, Orders'!$B:$R,17,0)</f>
        <v>2025</v>
      </c>
      <c r="G22" s="83">
        <f t="shared" si="4"/>
        <v>2</v>
      </c>
      <c r="H22" s="83">
        <f t="shared" si="0"/>
        <v>4</v>
      </c>
      <c r="I22" s="83">
        <f t="shared" si="5"/>
        <v>3</v>
      </c>
      <c r="J22" s="83"/>
      <c r="K22" s="209">
        <v>45536</v>
      </c>
      <c r="L22" s="199">
        <f t="shared" si="1"/>
        <v>0.66666666666666663</v>
      </c>
      <c r="M22" s="199">
        <f t="shared" si="2"/>
        <v>5.333333333333333</v>
      </c>
      <c r="N22" s="199">
        <f t="shared" si="3"/>
        <v>3</v>
      </c>
    </row>
    <row r="23" spans="2:14" x14ac:dyDescent="0.35">
      <c r="B23" s="83" t="s">
        <v>2418</v>
      </c>
      <c r="C23" s="14">
        <f>VLOOKUP($B23,'MAIN DATA, Orders'!$B:$R,4,0)</f>
        <v>44566</v>
      </c>
      <c r="D23" s="83">
        <f>VLOOKUP($B23,'MAIN DATA, Orders'!$B:$R,5,0)</f>
        <v>2022</v>
      </c>
      <c r="E23" s="83">
        <f>VLOOKUP($B23,'MAIN DATA, Orders'!$B:$R,16,0)</f>
        <v>2022</v>
      </c>
      <c r="F23" s="83">
        <f>VLOOKUP($B23,'MAIN DATA, Orders'!$B:$R,17,0)</f>
        <v>2027</v>
      </c>
      <c r="G23" s="83">
        <f t="shared" si="4"/>
        <v>0</v>
      </c>
      <c r="H23" s="83">
        <f t="shared" si="0"/>
        <v>5</v>
      </c>
      <c r="I23" s="83">
        <f t="shared" si="5"/>
        <v>2.5</v>
      </c>
      <c r="J23" s="14"/>
      <c r="K23" s="209">
        <v>45627</v>
      </c>
      <c r="L23" s="199">
        <f t="shared" si="1"/>
        <v>2</v>
      </c>
      <c r="M23" s="199">
        <f t="shared" si="2"/>
        <v>5</v>
      </c>
      <c r="N23" s="199">
        <f t="shared" si="3"/>
        <v>3.5</v>
      </c>
    </row>
    <row r="24" spans="2:14" x14ac:dyDescent="0.35">
      <c r="B24" s="83" t="s">
        <v>2440</v>
      </c>
      <c r="C24" s="14">
        <f>VLOOKUP($B24,'MAIN DATA, Orders'!$B:$R,4,0)</f>
        <v>44582</v>
      </c>
      <c r="D24" s="83">
        <f>VLOOKUP($B24,'MAIN DATA, Orders'!$B:$R,5,0)</f>
        <v>2022</v>
      </c>
      <c r="E24" s="83">
        <f>VLOOKUP($B24,'MAIN DATA, Orders'!$B:$R,16,0)</f>
        <v>2022</v>
      </c>
      <c r="F24" s="83">
        <f>VLOOKUP($B24,'MAIN DATA, Orders'!$B:$R,17,0)</f>
        <v>2025</v>
      </c>
      <c r="G24" s="83">
        <f t="shared" si="4"/>
        <v>0</v>
      </c>
      <c r="H24" s="83">
        <f t="shared" si="0"/>
        <v>3</v>
      </c>
      <c r="I24" s="83">
        <f t="shared" si="5"/>
        <v>1.5</v>
      </c>
      <c r="J24" s="83"/>
      <c r="K24" s="209">
        <v>45717</v>
      </c>
      <c r="L24" s="199">
        <f t="shared" si="1"/>
        <v>0.5</v>
      </c>
      <c r="M24" s="199">
        <f t="shared" si="2"/>
        <v>6.25</v>
      </c>
      <c r="N24" s="199">
        <f t="shared" si="3"/>
        <v>3.375</v>
      </c>
    </row>
    <row r="25" spans="2:14" x14ac:dyDescent="0.35">
      <c r="B25" s="83" t="s">
        <v>2451</v>
      </c>
      <c r="C25" s="14">
        <f>VLOOKUP($B25,'MAIN DATA, Orders'!$B:$R,4,0)</f>
        <v>44650</v>
      </c>
      <c r="D25" s="83">
        <f>VLOOKUP($B25,'MAIN DATA, Orders'!$B:$R,5,0)</f>
        <v>2022</v>
      </c>
      <c r="E25" s="83">
        <f>VLOOKUP($B25,'MAIN DATA, Orders'!$B:$R,16,0)</f>
        <v>2022</v>
      </c>
      <c r="F25" s="83">
        <f>VLOOKUP($B25,'MAIN DATA, Orders'!$B:$R,17,0)</f>
        <v>2033</v>
      </c>
      <c r="G25" s="83">
        <f t="shared" si="4"/>
        <v>0</v>
      </c>
      <c r="H25" s="83">
        <f t="shared" si="0"/>
        <v>11</v>
      </c>
      <c r="I25" s="83">
        <f t="shared" si="5"/>
        <v>5.5</v>
      </c>
      <c r="J25" s="83"/>
      <c r="K25" s="209">
        <v>45809</v>
      </c>
      <c r="L25" s="199">
        <f t="shared" si="1"/>
        <v>1.1428571428571428</v>
      </c>
      <c r="M25" s="199">
        <f t="shared" si="2"/>
        <v>4.2857142857142856</v>
      </c>
      <c r="N25" s="199">
        <f t="shared" si="3"/>
        <v>2.7142857142857144</v>
      </c>
    </row>
    <row r="26" spans="2:14" x14ac:dyDescent="0.35">
      <c r="B26" s="83" t="s">
        <v>2456</v>
      </c>
      <c r="C26" s="14">
        <f>VLOOKUP($B26,'MAIN DATA, Orders'!$B:$R,4,0)</f>
        <v>44650</v>
      </c>
      <c r="D26" s="83">
        <f>VLOOKUP($B26,'MAIN DATA, Orders'!$B:$R,5,0)</f>
        <v>2022</v>
      </c>
      <c r="E26" s="83">
        <f>VLOOKUP($B26,'MAIN DATA, Orders'!$B:$R,16,0)</f>
        <v>2022</v>
      </c>
      <c r="F26" s="83">
        <f>VLOOKUP($B26,'MAIN DATA, Orders'!$B:$R,17,0)</f>
        <v>2033</v>
      </c>
      <c r="G26" s="83">
        <f t="shared" si="4"/>
        <v>0</v>
      </c>
      <c r="H26" s="83">
        <f t="shared" si="0"/>
        <v>11</v>
      </c>
      <c r="I26" s="83">
        <f t="shared" si="5"/>
        <v>5.5</v>
      </c>
      <c r="J26" s="83"/>
      <c r="K26" s="209">
        <v>45901</v>
      </c>
      <c r="L26" s="199">
        <f t="shared" si="1"/>
        <v>0.22222222222222221</v>
      </c>
      <c r="M26" s="199">
        <f t="shared" si="2"/>
        <v>3.3333333333333335</v>
      </c>
      <c r="N26" s="199">
        <f t="shared" si="3"/>
        <v>1.7777777777777777</v>
      </c>
    </row>
    <row r="27" spans="2:14" x14ac:dyDescent="0.35">
      <c r="B27" s="83" t="s">
        <v>2466</v>
      </c>
      <c r="C27" s="14">
        <f>VLOOKUP($B27,'MAIN DATA, Orders'!$B:$R,4,0)</f>
        <v>44657</v>
      </c>
      <c r="D27" s="83">
        <f>VLOOKUP($B27,'MAIN DATA, Orders'!$B:$R,5,0)</f>
        <v>2022</v>
      </c>
      <c r="E27" s="83">
        <f>VLOOKUP($B27,'MAIN DATA, Orders'!$B:$R,16,0)</f>
        <v>2022</v>
      </c>
      <c r="F27" s="83">
        <f>VLOOKUP($B27,'MAIN DATA, Orders'!$B:$R,17,0)</f>
        <v>2027</v>
      </c>
      <c r="G27" s="83">
        <f t="shared" si="4"/>
        <v>0</v>
      </c>
      <c r="H27" s="83">
        <f t="shared" si="0"/>
        <v>5</v>
      </c>
      <c r="I27" s="83">
        <f t="shared" si="5"/>
        <v>2.5</v>
      </c>
      <c r="J27" s="83"/>
      <c r="K27" s="209">
        <v>45992</v>
      </c>
      <c r="L27" s="199">
        <f t="shared" si="1"/>
        <v>0.33333333333333331</v>
      </c>
      <c r="M27" s="199">
        <f t="shared" si="2"/>
        <v>3.6666666666666665</v>
      </c>
      <c r="N27" s="199">
        <f t="shared" si="3"/>
        <v>2</v>
      </c>
    </row>
    <row r="28" spans="2:14" x14ac:dyDescent="0.35">
      <c r="B28" s="83" t="s">
        <v>2490</v>
      </c>
      <c r="C28" s="14">
        <f>VLOOKUP($B28,'MAIN DATA, Orders'!$B:$R,4,0)</f>
        <v>44719</v>
      </c>
      <c r="D28" s="83">
        <f>VLOOKUP($B28,'MAIN DATA, Orders'!$B:$R,5,0)</f>
        <v>2022</v>
      </c>
      <c r="E28" s="83">
        <f>VLOOKUP($B28,'MAIN DATA, Orders'!$B:$R,16,0)</f>
        <v>2022</v>
      </c>
      <c r="F28" s="83">
        <f>VLOOKUP($B28,'MAIN DATA, Orders'!$B:$R,17,0)</f>
        <v>2026</v>
      </c>
      <c r="G28" s="83">
        <f t="shared" si="4"/>
        <v>0</v>
      </c>
      <c r="H28" s="83">
        <f t="shared" si="0"/>
        <v>4</v>
      </c>
      <c r="I28" s="83">
        <f t="shared" si="5"/>
        <v>2</v>
      </c>
      <c r="J28" s="83"/>
      <c r="K28" s="209">
        <v>46082</v>
      </c>
      <c r="L28" s="199">
        <f t="shared" si="1"/>
        <v>0</v>
      </c>
      <c r="M28" s="199">
        <f t="shared" si="2"/>
        <v>3</v>
      </c>
      <c r="N28" s="199">
        <f t="shared" si="3"/>
        <v>1.5</v>
      </c>
    </row>
    <row r="29" spans="2:14" x14ac:dyDescent="0.35">
      <c r="B29" s="83" t="s">
        <v>2523</v>
      </c>
      <c r="C29" s="14">
        <f>VLOOKUP($B29,'MAIN DATA, Orders'!$B:$R,4,0)</f>
        <v>44767</v>
      </c>
      <c r="D29" s="83">
        <f>VLOOKUP($B29,'MAIN DATA, Orders'!$B:$R,5,0)</f>
        <v>2022</v>
      </c>
      <c r="E29" s="83">
        <f>VLOOKUP($B29,'MAIN DATA, Orders'!$B:$R,16,0)</f>
        <v>2024</v>
      </c>
      <c r="F29" s="83">
        <f>VLOOKUP($B29,'MAIN DATA, Orders'!$B:$R,17,0)</f>
        <v>2025</v>
      </c>
      <c r="G29" s="83">
        <f t="shared" si="4"/>
        <v>2</v>
      </c>
      <c r="H29" s="83">
        <f t="shared" si="0"/>
        <v>3</v>
      </c>
      <c r="I29" s="83">
        <f t="shared" si="5"/>
        <v>2.5</v>
      </c>
      <c r="J29" s="83"/>
    </row>
    <row r="30" spans="2:14" x14ac:dyDescent="0.35">
      <c r="B30" s="83" t="s">
        <v>2555</v>
      </c>
      <c r="C30" s="14">
        <f>VLOOKUP($B30,'MAIN DATA, Orders'!$B:$R,4,0)</f>
        <v>44886</v>
      </c>
      <c r="D30" s="83">
        <f>VLOOKUP($B30,'MAIN DATA, Orders'!$B:$R,5,0)</f>
        <v>2022</v>
      </c>
      <c r="E30" s="83">
        <f>VLOOKUP($B30,'MAIN DATA, Orders'!$B:$R,16,0)</f>
        <v>2022</v>
      </c>
      <c r="F30" s="83">
        <f>VLOOKUP($B30,'MAIN DATA, Orders'!$B:$R,17,0)</f>
        <v>2025</v>
      </c>
      <c r="G30" s="83">
        <f t="shared" si="4"/>
        <v>0</v>
      </c>
      <c r="H30" s="83">
        <f t="shared" si="0"/>
        <v>3</v>
      </c>
      <c r="I30" s="83">
        <f t="shared" si="5"/>
        <v>1.5</v>
      </c>
      <c r="J30" s="83"/>
    </row>
    <row r="31" spans="2:14" x14ac:dyDescent="0.35">
      <c r="B31" s="83" t="s">
        <v>2561</v>
      </c>
      <c r="C31" s="14">
        <f>VLOOKUP($B31,'MAIN DATA, Orders'!$B:$R,4,0)</f>
        <v>44890</v>
      </c>
      <c r="D31" s="83">
        <f>VLOOKUP($B31,'MAIN DATA, Orders'!$B:$R,5,0)</f>
        <v>2022</v>
      </c>
      <c r="E31" s="83">
        <f>VLOOKUP($B31,'MAIN DATA, Orders'!$B:$R,16,0)</f>
        <v>2022</v>
      </c>
      <c r="F31" s="83">
        <f>VLOOKUP($B31,'MAIN DATA, Orders'!$B:$R,17,0)</f>
        <v>2023</v>
      </c>
      <c r="G31" s="83">
        <f t="shared" si="4"/>
        <v>0</v>
      </c>
      <c r="H31" s="83">
        <f t="shared" si="0"/>
        <v>1</v>
      </c>
      <c r="I31" s="83">
        <f t="shared" si="5"/>
        <v>0.5</v>
      </c>
      <c r="J31" s="83"/>
    </row>
    <row r="32" spans="2:14" x14ac:dyDescent="0.35">
      <c r="B32" s="83" t="s">
        <v>2567</v>
      </c>
      <c r="C32" s="14">
        <f>VLOOKUP($B32,'MAIN DATA, Orders'!$B:$R,4,0)</f>
        <v>44896</v>
      </c>
      <c r="D32" s="83">
        <f>VLOOKUP($B32,'MAIN DATA, Orders'!$B:$R,5,0)</f>
        <v>2022</v>
      </c>
      <c r="E32" s="83">
        <f>VLOOKUP($B32,'MAIN DATA, Orders'!$B:$R,16,0)</f>
        <v>2024</v>
      </c>
      <c r="F32" s="83">
        <f>VLOOKUP($B32,'MAIN DATA, Orders'!$B:$R,17,0)</f>
        <v>2024</v>
      </c>
      <c r="G32" s="83">
        <f t="shared" si="4"/>
        <v>2</v>
      </c>
      <c r="H32" s="83">
        <f t="shared" si="0"/>
        <v>2</v>
      </c>
      <c r="I32" s="83">
        <f t="shared" si="5"/>
        <v>2</v>
      </c>
      <c r="J32" s="83"/>
      <c r="K32" s="209"/>
      <c r="L32" s="83"/>
      <c r="M32" s="83"/>
      <c r="N32" s="83"/>
    </row>
    <row r="33" spans="2:9" x14ac:dyDescent="0.35">
      <c r="B33" s="83" t="s">
        <v>2573</v>
      </c>
      <c r="C33" s="14">
        <f>VLOOKUP($B33,'MAIN DATA, Orders'!$B:$R,4,0)</f>
        <v>44902</v>
      </c>
      <c r="D33" s="83">
        <f>VLOOKUP($B33,'MAIN DATA, Orders'!$B:$R,5,0)</f>
        <v>2022</v>
      </c>
      <c r="E33" s="83">
        <f>VLOOKUP($B33,'MAIN DATA, Orders'!$B:$R,16,0)</f>
        <v>2024</v>
      </c>
      <c r="F33" s="83">
        <f>VLOOKUP($B33,'MAIN DATA, Orders'!$B:$R,17,0)</f>
        <v>2026</v>
      </c>
      <c r="G33" s="83">
        <f t="shared" si="4"/>
        <v>2</v>
      </c>
      <c r="H33" s="83">
        <f t="shared" si="0"/>
        <v>4</v>
      </c>
      <c r="I33" s="83">
        <f t="shared" si="5"/>
        <v>3</v>
      </c>
    </row>
    <row r="34" spans="2:9" x14ac:dyDescent="0.35">
      <c r="B34" s="83" t="s">
        <v>2611</v>
      </c>
      <c r="C34" s="14">
        <f>VLOOKUP($B34,'MAIN DATA, Orders'!$B:$R,4,0)</f>
        <v>44967</v>
      </c>
      <c r="D34" s="83">
        <f>VLOOKUP($B34,'MAIN DATA, Orders'!$B:$R,5,0)</f>
        <v>2023</v>
      </c>
      <c r="E34" s="83">
        <f>VLOOKUP($B34,'MAIN DATA, Orders'!$B:$R,16,0)</f>
        <v>2024</v>
      </c>
      <c r="F34" s="83">
        <f>VLOOKUP($B34,'MAIN DATA, Orders'!$B:$R,17,0)</f>
        <v>2024</v>
      </c>
      <c r="G34" s="83">
        <f t="shared" si="4"/>
        <v>1</v>
      </c>
      <c r="H34" s="83">
        <f t="shared" si="0"/>
        <v>1</v>
      </c>
      <c r="I34" s="83">
        <f t="shared" si="5"/>
        <v>1</v>
      </c>
    </row>
    <row r="35" spans="2:9" x14ac:dyDescent="0.35">
      <c r="B35" s="83" t="s">
        <v>2617</v>
      </c>
      <c r="C35" s="14">
        <f>VLOOKUP($B35,'MAIN DATA, Orders'!$B:$R,4,0)</f>
        <v>44972</v>
      </c>
      <c r="D35" s="83">
        <f>VLOOKUP($B35,'MAIN DATA, Orders'!$B:$R,5,0)</f>
        <v>2023</v>
      </c>
      <c r="E35" s="83">
        <f>VLOOKUP($B35,'MAIN DATA, Orders'!$B:$R,16,0)</f>
        <v>2023</v>
      </c>
      <c r="F35" s="83">
        <f>VLOOKUP($B35,'MAIN DATA, Orders'!$B:$R,17,0)</f>
        <v>2029</v>
      </c>
      <c r="G35" s="83">
        <f t="shared" si="4"/>
        <v>0</v>
      </c>
      <c r="H35" s="83">
        <f t="shared" si="0"/>
        <v>6</v>
      </c>
      <c r="I35" s="83">
        <f t="shared" si="5"/>
        <v>3</v>
      </c>
    </row>
    <row r="36" spans="2:9" x14ac:dyDescent="0.35">
      <c r="B36" s="83" t="s">
        <v>2663</v>
      </c>
      <c r="C36" s="14">
        <f>VLOOKUP($B36,'MAIN DATA, Orders'!$B:$R,4,0)</f>
        <v>45020</v>
      </c>
      <c r="D36" s="83">
        <f>VLOOKUP($B36,'MAIN DATA, Orders'!$B:$R,5,0)</f>
        <v>2023</v>
      </c>
      <c r="E36" s="83">
        <f>VLOOKUP($B36,'MAIN DATA, Orders'!$B:$R,16,0)</f>
        <v>2023</v>
      </c>
      <c r="F36" s="83">
        <f>VLOOKUP($B36,'MAIN DATA, Orders'!$B:$R,17,0)</f>
        <v>2027</v>
      </c>
      <c r="G36" s="83">
        <f t="shared" si="4"/>
        <v>0</v>
      </c>
      <c r="H36" s="83">
        <f t="shared" si="0"/>
        <v>4</v>
      </c>
      <c r="I36" s="83">
        <f t="shared" si="5"/>
        <v>2</v>
      </c>
    </row>
    <row r="37" spans="2:9" x14ac:dyDescent="0.35">
      <c r="B37" s="83" t="s">
        <v>2674</v>
      </c>
      <c r="C37" s="14">
        <f>VLOOKUP($B37,'MAIN DATA, Orders'!$B:$R,4,0)</f>
        <v>45065</v>
      </c>
      <c r="D37" s="83">
        <f>VLOOKUP($B37,'MAIN DATA, Orders'!$B:$R,5,0)</f>
        <v>2023</v>
      </c>
      <c r="E37" s="83">
        <f>VLOOKUP($B37,'MAIN DATA, Orders'!$B:$R,16,0)</f>
        <v>2023</v>
      </c>
      <c r="F37" s="83">
        <f>VLOOKUP($B37,'MAIN DATA, Orders'!$B:$R,17,0)</f>
        <v>2028</v>
      </c>
      <c r="G37" s="83">
        <f t="shared" si="4"/>
        <v>0</v>
      </c>
      <c r="H37" s="83">
        <f t="shared" si="0"/>
        <v>5</v>
      </c>
      <c r="I37" s="83">
        <f t="shared" si="5"/>
        <v>2.5</v>
      </c>
    </row>
    <row r="38" spans="2:9" x14ac:dyDescent="0.35">
      <c r="B38" s="83" t="s">
        <v>2679</v>
      </c>
      <c r="C38" s="14">
        <f>VLOOKUP($B38,'MAIN DATA, Orders'!$B:$R,4,0)</f>
        <v>45065</v>
      </c>
      <c r="D38" s="83">
        <f>VLOOKUP($B38,'MAIN DATA, Orders'!$B:$R,5,0)</f>
        <v>2023</v>
      </c>
      <c r="E38" s="83">
        <f>VLOOKUP($B38,'MAIN DATA, Orders'!$B:$R,16,0)</f>
        <v>2023</v>
      </c>
      <c r="F38" s="83">
        <f>VLOOKUP($B38,'MAIN DATA, Orders'!$B:$R,17,0)</f>
        <v>2031</v>
      </c>
      <c r="G38" s="83">
        <f t="shared" si="4"/>
        <v>0</v>
      </c>
      <c r="H38" s="83">
        <f t="shared" si="0"/>
        <v>8</v>
      </c>
      <c r="I38" s="83">
        <f t="shared" si="5"/>
        <v>4</v>
      </c>
    </row>
    <row r="39" spans="2:9" x14ac:dyDescent="0.35">
      <c r="B39" s="83" t="s">
        <v>2682</v>
      </c>
      <c r="C39" s="14">
        <f>VLOOKUP($B39,'MAIN DATA, Orders'!$B:$R,4,0)</f>
        <v>45082</v>
      </c>
      <c r="D39" s="83">
        <f>VLOOKUP($B39,'MAIN DATA, Orders'!$B:$R,5,0)</f>
        <v>2023</v>
      </c>
      <c r="E39" s="83">
        <f>VLOOKUP($B39,'MAIN DATA, Orders'!$B:$R,16,0)</f>
        <v>2023</v>
      </c>
      <c r="F39" s="83">
        <f>VLOOKUP($B39,'MAIN DATA, Orders'!$B:$R,17,0)</f>
        <v>2026</v>
      </c>
      <c r="G39" s="83">
        <f t="shared" si="4"/>
        <v>0</v>
      </c>
      <c r="H39" s="83">
        <f t="shared" si="0"/>
        <v>3</v>
      </c>
      <c r="I39" s="83">
        <f t="shared" si="5"/>
        <v>1.5</v>
      </c>
    </row>
    <row r="40" spans="2:9" x14ac:dyDescent="0.35">
      <c r="B40" s="83" t="s">
        <v>2688</v>
      </c>
      <c r="C40" s="14">
        <f>VLOOKUP($B40,'MAIN DATA, Orders'!$B:$R,4,0)</f>
        <v>45086</v>
      </c>
      <c r="D40" s="83">
        <f>VLOOKUP($B40,'MAIN DATA, Orders'!$B:$R,5,0)</f>
        <v>2023</v>
      </c>
      <c r="E40" s="83">
        <f>VLOOKUP($B40,'MAIN DATA, Orders'!$B:$R,16,0)</f>
        <v>2023</v>
      </c>
      <c r="F40" s="83">
        <f>VLOOKUP($B40,'MAIN DATA, Orders'!$B:$R,17,0)</f>
        <v>2032</v>
      </c>
      <c r="G40" s="83">
        <f t="shared" si="4"/>
        <v>0</v>
      </c>
      <c r="H40" s="83">
        <f t="shared" si="0"/>
        <v>9</v>
      </c>
      <c r="I40" s="83">
        <f t="shared" si="5"/>
        <v>4.5</v>
      </c>
    </row>
    <row r="41" spans="2:9" x14ac:dyDescent="0.35">
      <c r="B41" s="83" t="s">
        <v>2710</v>
      </c>
      <c r="C41" s="14">
        <f>VLOOKUP($B41,'MAIN DATA, Orders'!$B:$R,4,0)</f>
        <v>45119</v>
      </c>
      <c r="D41" s="83">
        <f>VLOOKUP($B41,'MAIN DATA, Orders'!$B:$R,5,0)</f>
        <v>2023</v>
      </c>
      <c r="E41" s="83">
        <f>VLOOKUP($B41,'MAIN DATA, Orders'!$B:$R,16,0)</f>
        <v>2023</v>
      </c>
      <c r="F41" s="83">
        <f>VLOOKUP($B41,'MAIN DATA, Orders'!$B:$R,17,0)</f>
        <v>2024</v>
      </c>
      <c r="G41" s="83">
        <f t="shared" si="4"/>
        <v>0</v>
      </c>
      <c r="H41" s="83">
        <f t="shared" si="0"/>
        <v>1</v>
      </c>
      <c r="I41" s="83">
        <f t="shared" si="5"/>
        <v>0.5</v>
      </c>
    </row>
    <row r="42" spans="2:9" x14ac:dyDescent="0.35">
      <c r="B42" s="83" t="s">
        <v>2714</v>
      </c>
      <c r="C42" s="14">
        <f>VLOOKUP($B42,'MAIN DATA, Orders'!$B:$R,4,0)</f>
        <v>45120</v>
      </c>
      <c r="D42" s="83">
        <f>VLOOKUP($B42,'MAIN DATA, Orders'!$B:$R,5,0)</f>
        <v>2023</v>
      </c>
      <c r="E42" s="83">
        <f>VLOOKUP($B42,'MAIN DATA, Orders'!$B:$R,16,0)</f>
        <v>2024</v>
      </c>
      <c r="F42" s="83">
        <f>VLOOKUP($B42,'MAIN DATA, Orders'!$B:$R,17,0)</f>
        <v>2027</v>
      </c>
      <c r="G42" s="83">
        <f t="shared" si="4"/>
        <v>1</v>
      </c>
      <c r="H42" s="83">
        <f t="shared" si="0"/>
        <v>4</v>
      </c>
      <c r="I42" s="83">
        <f t="shared" si="5"/>
        <v>2.5</v>
      </c>
    </row>
    <row r="43" spans="2:9" x14ac:dyDescent="0.35">
      <c r="B43" s="83" t="s">
        <v>2790</v>
      </c>
      <c r="C43" s="14">
        <f>VLOOKUP($B43,'MAIN DATA, Orders'!$B:$R,4,0)</f>
        <v>45282</v>
      </c>
      <c r="D43" s="83">
        <f>VLOOKUP($B43,'MAIN DATA, Orders'!$B:$R,5,0)</f>
        <v>2023</v>
      </c>
      <c r="E43" s="83">
        <f>VLOOKUP($B43,'MAIN DATA, Orders'!$B:$R,16,0)</f>
        <v>2025</v>
      </c>
      <c r="F43" s="83">
        <f>VLOOKUP($B43,'MAIN DATA, Orders'!$B:$R,17,0)</f>
        <v>2040</v>
      </c>
      <c r="G43" s="83">
        <f t="shared" si="4"/>
        <v>2</v>
      </c>
      <c r="H43" s="83">
        <f t="shared" si="0"/>
        <v>17</v>
      </c>
      <c r="I43" s="83">
        <f t="shared" si="5"/>
        <v>9.5</v>
      </c>
    </row>
    <row r="44" spans="2:9" x14ac:dyDescent="0.35">
      <c r="B44" s="83" t="s">
        <v>2793</v>
      </c>
      <c r="C44" s="14">
        <f>VLOOKUP($B44,'MAIN DATA, Orders'!$B:$R,4,0)</f>
        <v>45282</v>
      </c>
      <c r="D44" s="83">
        <f>VLOOKUP($B44,'MAIN DATA, Orders'!$B:$R,5,0)</f>
        <v>2023</v>
      </c>
      <c r="E44" s="83">
        <f>VLOOKUP($B44,'MAIN DATA, Orders'!$B:$R,16,0)</f>
        <v>2025</v>
      </c>
      <c r="F44" s="83">
        <f>VLOOKUP($B44,'MAIN DATA, Orders'!$B:$R,17,0)</f>
        <v>2040</v>
      </c>
      <c r="G44" s="83">
        <f t="shared" si="4"/>
        <v>2</v>
      </c>
      <c r="H44" s="83">
        <f t="shared" si="0"/>
        <v>17</v>
      </c>
      <c r="I44" s="83">
        <f t="shared" si="5"/>
        <v>9.5</v>
      </c>
    </row>
    <row r="45" spans="2:9" x14ac:dyDescent="0.35">
      <c r="B45" s="83" t="s">
        <v>2795</v>
      </c>
      <c r="C45" s="14">
        <f>VLOOKUP($B45,'MAIN DATA, Orders'!$B:$R,4,0)</f>
        <v>45308</v>
      </c>
      <c r="D45" s="83">
        <f>VLOOKUP($B45,'MAIN DATA, Orders'!$B:$R,5,0)</f>
        <v>2024</v>
      </c>
      <c r="E45" s="83">
        <f>VLOOKUP($B45,'MAIN DATA, Orders'!$B:$R,16,0)</f>
        <v>2024</v>
      </c>
      <c r="F45" s="83">
        <f>VLOOKUP($B45,'MAIN DATA, Orders'!$B:$R,17,0)</f>
        <v>2028</v>
      </c>
      <c r="G45" s="83">
        <f t="shared" si="4"/>
        <v>0</v>
      </c>
      <c r="H45" s="83">
        <f t="shared" si="0"/>
        <v>4</v>
      </c>
      <c r="I45" s="83">
        <f t="shared" si="5"/>
        <v>2</v>
      </c>
    </row>
    <row r="46" spans="2:9" x14ac:dyDescent="0.35">
      <c r="B46" s="83" t="s">
        <v>2811</v>
      </c>
      <c r="C46" s="14">
        <f>VLOOKUP($B46,'MAIN DATA, Orders'!$B:$R,4,0)</f>
        <v>45324</v>
      </c>
      <c r="D46" s="83">
        <f>VLOOKUP($B46,'MAIN DATA, Orders'!$B:$R,5,0)</f>
        <v>2024</v>
      </c>
      <c r="E46" s="83">
        <f>VLOOKUP($B46,'MAIN DATA, Orders'!$B:$R,16,0)</f>
        <v>2024</v>
      </c>
      <c r="F46" s="83">
        <f>VLOOKUP($B46,'MAIN DATA, Orders'!$B:$R,17,0)</f>
        <v>2039</v>
      </c>
      <c r="G46" s="83">
        <f t="shared" si="4"/>
        <v>0</v>
      </c>
      <c r="H46" s="83">
        <f t="shared" si="0"/>
        <v>15</v>
      </c>
      <c r="I46" s="83">
        <f t="shared" si="5"/>
        <v>7.5</v>
      </c>
    </row>
    <row r="47" spans="2:9" x14ac:dyDescent="0.35">
      <c r="B47" s="83" t="s">
        <v>2818</v>
      </c>
      <c r="C47" s="14">
        <f>VLOOKUP($B47,'MAIN DATA, Orders'!$B:$R,4,0)</f>
        <v>45325</v>
      </c>
      <c r="D47" s="83">
        <f>VLOOKUP($B47,'MAIN DATA, Orders'!$B:$R,5,0)</f>
        <v>2024</v>
      </c>
      <c r="E47" s="83">
        <f>VLOOKUP($B47,'MAIN DATA, Orders'!$B:$R,16,0)</f>
        <v>2024</v>
      </c>
      <c r="F47" s="83">
        <f>VLOOKUP($B47,'MAIN DATA, Orders'!$B:$R,17,0)</f>
        <v>2024</v>
      </c>
      <c r="G47" s="83">
        <f t="shared" si="4"/>
        <v>0</v>
      </c>
      <c r="H47" s="83">
        <f t="shared" si="0"/>
        <v>0</v>
      </c>
      <c r="I47" s="83">
        <f t="shared" si="5"/>
        <v>0</v>
      </c>
    </row>
    <row r="48" spans="2:9" x14ac:dyDescent="0.35">
      <c r="B48" s="83" t="s">
        <v>2838</v>
      </c>
      <c r="C48" s="14">
        <f>VLOOKUP($B48,'MAIN DATA, Orders'!$B:$R,4,0)</f>
        <v>45358</v>
      </c>
      <c r="D48" s="83">
        <f>VLOOKUP($B48,'MAIN DATA, Orders'!$B:$R,5,0)</f>
        <v>2024</v>
      </c>
      <c r="E48" s="83">
        <f>VLOOKUP($B48,'MAIN DATA, Orders'!$B:$R,16,0)</f>
        <v>2024</v>
      </c>
      <c r="F48" s="83">
        <f>VLOOKUP($B48,'MAIN DATA, Orders'!$B:$R,17,0)</f>
        <v>2024</v>
      </c>
      <c r="G48" s="83">
        <f t="shared" si="4"/>
        <v>0</v>
      </c>
      <c r="H48" s="83">
        <f t="shared" si="0"/>
        <v>0</v>
      </c>
      <c r="I48" s="83">
        <f t="shared" si="5"/>
        <v>0</v>
      </c>
    </row>
    <row r="49" spans="2:9" x14ac:dyDescent="0.35">
      <c r="B49" s="83" t="s">
        <v>2867</v>
      </c>
      <c r="C49" s="14">
        <f>VLOOKUP($B49,'MAIN DATA, Orders'!$B:$R,4,0)</f>
        <v>45354</v>
      </c>
      <c r="D49" s="83">
        <f>VLOOKUP($B49,'MAIN DATA, Orders'!$B:$R,5,0)</f>
        <v>2024</v>
      </c>
      <c r="E49" s="83">
        <f>VLOOKUP($B49,'MAIN DATA, Orders'!$B:$R,16,0)</f>
        <v>2024</v>
      </c>
      <c r="F49" s="83">
        <f>VLOOKUP($B49,'MAIN DATA, Orders'!$B:$R,17,0)</f>
        <v>2030</v>
      </c>
      <c r="G49" s="83">
        <f t="shared" si="4"/>
        <v>0</v>
      </c>
      <c r="H49" s="83">
        <f t="shared" si="0"/>
        <v>6</v>
      </c>
      <c r="I49" s="83">
        <f t="shared" si="5"/>
        <v>3</v>
      </c>
    </row>
    <row r="50" spans="2:9" x14ac:dyDescent="0.35">
      <c r="B50" s="83" t="s">
        <v>2895</v>
      </c>
      <c r="C50" s="14">
        <f>VLOOKUP($B50,'MAIN DATA, Orders'!$B:$R,4,0)</f>
        <v>45495</v>
      </c>
      <c r="D50" s="83">
        <f>VLOOKUP($B50,'MAIN DATA, Orders'!$B:$R,5,0)</f>
        <v>2024</v>
      </c>
      <c r="E50" s="83">
        <f>VLOOKUP($B50,'MAIN DATA, Orders'!$B:$R,16,0)</f>
        <v>2024</v>
      </c>
      <c r="F50" s="83">
        <f>VLOOKUP($B50,'MAIN DATA, Orders'!$B:$R,17,0)</f>
        <v>2034</v>
      </c>
      <c r="G50" s="83">
        <f t="shared" si="4"/>
        <v>0</v>
      </c>
      <c r="H50" s="83">
        <f t="shared" si="0"/>
        <v>10</v>
      </c>
      <c r="I50" s="83">
        <f t="shared" si="5"/>
        <v>5</v>
      </c>
    </row>
    <row r="51" spans="2:9" x14ac:dyDescent="0.35">
      <c r="B51" s="83" t="s">
        <v>2905</v>
      </c>
      <c r="C51" s="14">
        <f>VLOOKUP($B51,'MAIN DATA, Orders'!$B:$R,4,0)</f>
        <v>45525</v>
      </c>
      <c r="D51" s="83">
        <f>VLOOKUP($B51,'MAIN DATA, Orders'!$B:$R,5,0)</f>
        <v>2024</v>
      </c>
      <c r="E51" s="83">
        <f>VLOOKUP($B51,'MAIN DATA, Orders'!$B:$R,16,0)</f>
        <v>2026</v>
      </c>
      <c r="F51" s="83">
        <f>VLOOKUP($B51,'MAIN DATA, Orders'!$B:$R,17,0)</f>
        <v>2026</v>
      </c>
      <c r="G51" s="83">
        <f t="shared" si="4"/>
        <v>2</v>
      </c>
      <c r="H51" s="83">
        <f t="shared" si="0"/>
        <v>2</v>
      </c>
      <c r="I51" s="83">
        <f t="shared" si="5"/>
        <v>2</v>
      </c>
    </row>
    <row r="52" spans="2:9" x14ac:dyDescent="0.35">
      <c r="B52" s="83" t="s">
        <v>2926</v>
      </c>
      <c r="C52" s="14">
        <f>VLOOKUP($B52,'MAIN DATA, Orders'!$B:$R,4,0)</f>
        <v>45553</v>
      </c>
      <c r="D52" s="83">
        <f>VLOOKUP($B52,'MAIN DATA, Orders'!$B:$R,5,0)</f>
        <v>2024</v>
      </c>
      <c r="E52" s="83">
        <f>VLOOKUP($B52,'MAIN DATA, Orders'!$B:$R,16,0)</f>
        <v>2024</v>
      </c>
      <c r="F52" s="83">
        <f>VLOOKUP($B52,'MAIN DATA, Orders'!$B:$R,17,0)</f>
        <v>2028</v>
      </c>
      <c r="G52" s="83">
        <f t="shared" si="4"/>
        <v>0</v>
      </c>
      <c r="H52" s="83">
        <f t="shared" si="0"/>
        <v>4</v>
      </c>
      <c r="I52" s="83">
        <f t="shared" si="5"/>
        <v>2</v>
      </c>
    </row>
    <row r="53" spans="2:9" x14ac:dyDescent="0.35">
      <c r="B53" s="83" t="s">
        <v>2940</v>
      </c>
      <c r="C53" s="14">
        <f>VLOOKUP($B53,'MAIN DATA, Orders'!$B:$R,4,0)</f>
        <v>45600</v>
      </c>
      <c r="D53" s="83">
        <f>VLOOKUP($B53,'MAIN DATA, Orders'!$B:$R,5,0)</f>
        <v>2024</v>
      </c>
      <c r="E53" s="83">
        <f>VLOOKUP($B53,'MAIN DATA, Orders'!$B:$R,16,0)</f>
        <v>2027</v>
      </c>
      <c r="F53" s="83">
        <f>VLOOKUP($B53,'MAIN DATA, Orders'!$B:$R,17,0)</f>
        <v>2027</v>
      </c>
      <c r="G53" s="83">
        <f t="shared" si="4"/>
        <v>3</v>
      </c>
      <c r="H53" s="83">
        <f t="shared" si="0"/>
        <v>3</v>
      </c>
      <c r="I53" s="83">
        <f t="shared" si="5"/>
        <v>3</v>
      </c>
    </row>
    <row r="54" spans="2:9" x14ac:dyDescent="0.35">
      <c r="B54" s="83" t="s">
        <v>2975</v>
      </c>
      <c r="C54" s="14">
        <f>VLOOKUP($B54,'MAIN DATA, Orders'!$B:$R,4,0)</f>
        <v>45646</v>
      </c>
      <c r="D54" s="83">
        <f>VLOOKUP($B54,'MAIN DATA, Orders'!$B:$R,5,0)</f>
        <v>2024</v>
      </c>
      <c r="E54" s="83">
        <f>VLOOKUP($B54,'MAIN DATA, Orders'!$B:$R,16,0)</f>
        <v>2025</v>
      </c>
      <c r="F54" s="83">
        <f>VLOOKUP($B54,'MAIN DATA, Orders'!$B:$R,17,0)</f>
        <v>2031</v>
      </c>
      <c r="G54" s="83">
        <f t="shared" si="4"/>
        <v>1</v>
      </c>
      <c r="H54" s="83">
        <f t="shared" si="0"/>
        <v>7</v>
      </c>
      <c r="I54" s="83">
        <f t="shared" si="5"/>
        <v>4</v>
      </c>
    </row>
    <row r="55" spans="2:9" x14ac:dyDescent="0.35">
      <c r="B55" s="83" t="s">
        <v>2993</v>
      </c>
      <c r="C55" s="14">
        <f>VLOOKUP($B55,'MAIN DATA, Orders'!$B:$R,4,0)</f>
        <v>45681</v>
      </c>
      <c r="D55" s="83">
        <f>VLOOKUP($B55,'MAIN DATA, Orders'!$B:$R,5,0)</f>
        <v>2025</v>
      </c>
      <c r="E55" s="83">
        <f>VLOOKUP($B55,'MAIN DATA, Orders'!$B:$R,16,0)</f>
        <v>2025</v>
      </c>
      <c r="F55" s="83">
        <f>VLOOKUP($B55,'MAIN DATA, Orders'!$B:$R,17,0)</f>
        <v>2033</v>
      </c>
      <c r="G55" s="83">
        <f t="shared" si="4"/>
        <v>0</v>
      </c>
      <c r="H55" s="83">
        <f t="shared" si="0"/>
        <v>8</v>
      </c>
      <c r="I55" s="83">
        <f t="shared" si="5"/>
        <v>4</v>
      </c>
    </row>
    <row r="56" spans="2:9" x14ac:dyDescent="0.35">
      <c r="B56" s="83" t="s">
        <v>3004</v>
      </c>
      <c r="C56" s="14">
        <f>VLOOKUP($B56,'MAIN DATA, Orders'!$B:$R,4,0)</f>
        <v>45698</v>
      </c>
      <c r="D56" s="83">
        <f>VLOOKUP($B56,'MAIN DATA, Orders'!$B:$R,5,0)</f>
        <v>2025</v>
      </c>
      <c r="E56" s="83">
        <f>VLOOKUP($B56,'MAIN DATA, Orders'!$B:$R,16,0)</f>
        <v>2027</v>
      </c>
      <c r="F56" s="83">
        <f>VLOOKUP($B56,'MAIN DATA, Orders'!$B:$R,17,0)</f>
        <v>2027</v>
      </c>
      <c r="G56" s="83">
        <f t="shared" si="4"/>
        <v>2</v>
      </c>
      <c r="H56" s="83">
        <f t="shared" si="0"/>
        <v>2</v>
      </c>
      <c r="I56" s="83">
        <f t="shared" si="5"/>
        <v>2</v>
      </c>
    </row>
    <row r="57" spans="2:9" x14ac:dyDescent="0.35">
      <c r="B57" s="83" t="s">
        <v>3011</v>
      </c>
      <c r="C57" s="14">
        <f>VLOOKUP($B57,'MAIN DATA, Orders'!$B:$R,4,0)</f>
        <v>45700</v>
      </c>
      <c r="D57" s="83">
        <f>VLOOKUP($B57,'MAIN DATA, Orders'!$B:$R,5,0)</f>
        <v>2025</v>
      </c>
      <c r="E57" s="83">
        <f>VLOOKUP($B57,'MAIN DATA, Orders'!$B:$R,16,0)</f>
        <v>2025</v>
      </c>
      <c r="F57" s="83">
        <f>VLOOKUP($B57,'MAIN DATA, Orders'!$B:$R,17,0)</f>
        <v>2035</v>
      </c>
      <c r="G57" s="83">
        <f t="shared" si="4"/>
        <v>0</v>
      </c>
      <c r="H57" s="83">
        <f t="shared" si="0"/>
        <v>10</v>
      </c>
      <c r="I57" s="83">
        <f t="shared" si="5"/>
        <v>5</v>
      </c>
    </row>
    <row r="58" spans="2:9" x14ac:dyDescent="0.35">
      <c r="B58" s="83" t="s">
        <v>3043</v>
      </c>
      <c r="C58" s="14">
        <f>VLOOKUP($B58,'MAIN DATA, Orders'!$B:$R,4,0)</f>
        <v>45742</v>
      </c>
      <c r="D58" s="83">
        <f>VLOOKUP($B58,'MAIN DATA, Orders'!$B:$R,5,0)</f>
        <v>2025</v>
      </c>
      <c r="E58" s="83">
        <f>VLOOKUP($B58,'MAIN DATA, Orders'!$B:$R,16,0)</f>
        <v>2025</v>
      </c>
      <c r="F58" s="83">
        <f>VLOOKUP($B58,'MAIN DATA, Orders'!$B:$R,17,0)</f>
        <v>2030</v>
      </c>
      <c r="G58" s="83">
        <f t="shared" si="4"/>
        <v>0</v>
      </c>
      <c r="H58" s="83">
        <f t="shared" si="0"/>
        <v>5</v>
      </c>
      <c r="I58" s="83">
        <f t="shared" si="5"/>
        <v>2.5</v>
      </c>
    </row>
    <row r="59" spans="2:9" x14ac:dyDescent="0.35">
      <c r="B59" s="83" t="s">
        <v>3052</v>
      </c>
      <c r="C59" s="14">
        <f>VLOOKUP($B59,'MAIN DATA, Orders'!$B:$R,4,0)</f>
        <v>45749</v>
      </c>
      <c r="D59" s="83">
        <f>VLOOKUP($B59,'MAIN DATA, Orders'!$B:$R,5,0)</f>
        <v>2025</v>
      </c>
      <c r="E59" s="83">
        <f>VLOOKUP($B59,'MAIN DATA, Orders'!$B:$R,16,0)</f>
        <v>2025</v>
      </c>
      <c r="F59" s="83">
        <f>VLOOKUP($B59,'MAIN DATA, Orders'!$B:$R,17,0)</f>
        <v>2031</v>
      </c>
      <c r="G59" s="83">
        <f t="shared" si="4"/>
        <v>0</v>
      </c>
      <c r="H59" s="83">
        <f t="shared" si="0"/>
        <v>6</v>
      </c>
      <c r="I59" s="83">
        <f t="shared" si="5"/>
        <v>3</v>
      </c>
    </row>
    <row r="60" spans="2:9" x14ac:dyDescent="0.35">
      <c r="B60" s="83" t="s">
        <v>3089</v>
      </c>
      <c r="C60" s="14">
        <f>VLOOKUP($B60,'MAIN DATA, Orders'!$B:$R,4,0)</f>
        <v>45796</v>
      </c>
      <c r="D60" s="83">
        <f>VLOOKUP($B60,'MAIN DATA, Orders'!$B:$R,5,0)</f>
        <v>2025</v>
      </c>
      <c r="E60" s="83">
        <f>VLOOKUP($B60,'MAIN DATA, Orders'!$B:$R,16,0)</f>
        <v>2027</v>
      </c>
      <c r="F60" s="83">
        <f>VLOOKUP($B60,'MAIN DATA, Orders'!$B:$R,17,0)</f>
        <v>2033</v>
      </c>
      <c r="G60" s="83">
        <f t="shared" ref="G60:G79" si="6">E60-D60</f>
        <v>2</v>
      </c>
      <c r="H60" s="83">
        <f t="shared" ref="H60:H79" si="7">F60-D60</f>
        <v>8</v>
      </c>
      <c r="I60" s="83">
        <f t="shared" ref="I60:I79" si="8">AVERAGE(G60:H60)</f>
        <v>5</v>
      </c>
    </row>
    <row r="61" spans="2:9" x14ac:dyDescent="0.35">
      <c r="B61" s="83" t="s">
        <v>3092</v>
      </c>
      <c r="C61" s="14">
        <f>VLOOKUP($B61,'MAIN DATA, Orders'!$B:$R,4,0)</f>
        <v>45799</v>
      </c>
      <c r="D61" s="83">
        <f>VLOOKUP($B61,'MAIN DATA, Orders'!$B:$R,5,0)</f>
        <v>2025</v>
      </c>
      <c r="E61" s="83">
        <f>VLOOKUP($B61,'MAIN DATA, Orders'!$B:$R,16,0)</f>
        <v>2029</v>
      </c>
      <c r="F61" s="83">
        <f>VLOOKUP($B61,'MAIN DATA, Orders'!$B:$R,17,0)</f>
        <v>2033</v>
      </c>
      <c r="G61" s="83">
        <f t="shared" si="6"/>
        <v>4</v>
      </c>
      <c r="H61" s="83">
        <f t="shared" si="7"/>
        <v>8</v>
      </c>
      <c r="I61" s="83">
        <f t="shared" si="8"/>
        <v>6</v>
      </c>
    </row>
    <row r="62" spans="2:9" x14ac:dyDescent="0.35">
      <c r="B62" s="83" t="s">
        <v>3109</v>
      </c>
      <c r="C62" s="14">
        <f>VLOOKUP($B62,'MAIN DATA, Orders'!$B:$R,4,0)</f>
        <v>45812</v>
      </c>
      <c r="D62" s="83">
        <f>VLOOKUP($B62,'MAIN DATA, Orders'!$B:$R,5,0)</f>
        <v>2025</v>
      </c>
      <c r="E62" s="83">
        <f>VLOOKUP($B62,'MAIN DATA, Orders'!$B:$R,16,0)</f>
        <v>2025</v>
      </c>
      <c r="F62" s="83">
        <f>VLOOKUP($B62,'MAIN DATA, Orders'!$B:$R,17,0)</f>
        <v>2026</v>
      </c>
      <c r="G62" s="83">
        <f t="shared" si="6"/>
        <v>0</v>
      </c>
      <c r="H62" s="83">
        <f t="shared" si="7"/>
        <v>1</v>
      </c>
      <c r="I62" s="83">
        <f t="shared" si="8"/>
        <v>0.5</v>
      </c>
    </row>
    <row r="63" spans="2:9" x14ac:dyDescent="0.35">
      <c r="B63" s="83" t="s">
        <v>3112</v>
      </c>
      <c r="C63" s="14">
        <f>VLOOKUP($B63,'MAIN DATA, Orders'!$B:$R,4,0)</f>
        <v>45821</v>
      </c>
      <c r="D63" s="83">
        <f>VLOOKUP($B63,'MAIN DATA, Orders'!$B:$R,5,0)</f>
        <v>2025</v>
      </c>
      <c r="E63" s="83">
        <f>VLOOKUP($B63,'MAIN DATA, Orders'!$B:$R,16,0)</f>
        <v>2025</v>
      </c>
      <c r="F63" s="83">
        <f>VLOOKUP($B63,'MAIN DATA, Orders'!$B:$R,17,0)</f>
        <v>2029</v>
      </c>
      <c r="G63" s="83">
        <f t="shared" si="6"/>
        <v>0</v>
      </c>
      <c r="H63" s="83">
        <f t="shared" si="7"/>
        <v>4</v>
      </c>
      <c r="I63" s="83">
        <f t="shared" si="8"/>
        <v>2</v>
      </c>
    </row>
    <row r="64" spans="2:9" x14ac:dyDescent="0.35">
      <c r="B64" s="83" t="s">
        <v>3115</v>
      </c>
      <c r="C64" s="14">
        <f>VLOOKUP($B64,'MAIN DATA, Orders'!$B:$R,4,0)</f>
        <v>45824</v>
      </c>
      <c r="D64" s="83">
        <f>VLOOKUP($B64,'MAIN DATA, Orders'!$B:$R,5,0)</f>
        <v>2025</v>
      </c>
      <c r="E64" s="83">
        <f>VLOOKUP($B64,'MAIN DATA, Orders'!$B:$R,16,0)</f>
        <v>2027</v>
      </c>
      <c r="F64" s="83">
        <f>VLOOKUP($B64,'MAIN DATA, Orders'!$B:$R,17,0)</f>
        <v>2028</v>
      </c>
      <c r="G64" s="83">
        <f t="shared" si="6"/>
        <v>2</v>
      </c>
      <c r="H64" s="83">
        <f t="shared" si="7"/>
        <v>3</v>
      </c>
      <c r="I64" s="83">
        <f t="shared" si="8"/>
        <v>2.5</v>
      </c>
    </row>
    <row r="65" spans="2:9" x14ac:dyDescent="0.35">
      <c r="B65" s="83" t="s">
        <v>3132</v>
      </c>
      <c r="C65" s="14">
        <f>VLOOKUP($B65,'MAIN DATA, Orders'!$B:$R,4,0)</f>
        <v>45834</v>
      </c>
      <c r="D65" s="83">
        <f>VLOOKUP($B65,'MAIN DATA, Orders'!$B:$R,5,0)</f>
        <v>2025</v>
      </c>
      <c r="E65" s="83">
        <f>VLOOKUP($B65,'MAIN DATA, Orders'!$B:$R,16,0)</f>
        <v>2025</v>
      </c>
      <c r="F65" s="83">
        <f>VLOOKUP($B65,'MAIN DATA, Orders'!$B:$R,17,0)</f>
        <v>2025</v>
      </c>
      <c r="G65" s="83">
        <f t="shared" si="6"/>
        <v>0</v>
      </c>
      <c r="H65" s="83">
        <f t="shared" si="7"/>
        <v>0</v>
      </c>
      <c r="I65" s="83">
        <f t="shared" si="8"/>
        <v>0</v>
      </c>
    </row>
    <row r="66" spans="2:9" x14ac:dyDescent="0.35">
      <c r="B66" s="83" t="s">
        <v>3136</v>
      </c>
      <c r="C66" s="14">
        <f>VLOOKUP($B66,'MAIN DATA, Orders'!$B:$R,4,0)</f>
        <v>45854</v>
      </c>
      <c r="D66" s="83">
        <f>VLOOKUP($B66,'MAIN DATA, Orders'!$B:$R,5,0)</f>
        <v>2025</v>
      </c>
      <c r="E66" s="83">
        <f>VLOOKUP($B66,'MAIN DATA, Orders'!$B:$R,16,0)</f>
        <v>2025</v>
      </c>
      <c r="F66" s="83">
        <f>VLOOKUP($B66,'MAIN DATA, Orders'!$B:$R,17,0)</f>
        <v>2028</v>
      </c>
      <c r="G66" s="83">
        <f t="shared" si="6"/>
        <v>0</v>
      </c>
      <c r="H66" s="83">
        <f t="shared" si="7"/>
        <v>3</v>
      </c>
      <c r="I66" s="83">
        <f t="shared" si="8"/>
        <v>1.5</v>
      </c>
    </row>
    <row r="67" spans="2:9" x14ac:dyDescent="0.35">
      <c r="B67" s="83" t="s">
        <v>3142</v>
      </c>
      <c r="C67" s="14">
        <f>VLOOKUP($B67,'MAIN DATA, Orders'!$B:$R,4,0)</f>
        <v>45877</v>
      </c>
      <c r="D67" s="83">
        <f>VLOOKUP($B67,'MAIN DATA, Orders'!$B:$R,5,0)</f>
        <v>2025</v>
      </c>
      <c r="E67" s="83">
        <f>VLOOKUP($B67,'MAIN DATA, Orders'!$B:$R,16,0)</f>
        <v>2026</v>
      </c>
      <c r="F67" s="83">
        <f>VLOOKUP($B67,'MAIN DATA, Orders'!$B:$R,17,0)</f>
        <v>2031</v>
      </c>
      <c r="G67" s="83">
        <f t="shared" si="6"/>
        <v>1</v>
      </c>
      <c r="H67" s="83">
        <f t="shared" si="7"/>
        <v>6</v>
      </c>
      <c r="I67" s="83">
        <f t="shared" si="8"/>
        <v>3.5</v>
      </c>
    </row>
    <row r="68" spans="2:9" x14ac:dyDescent="0.35">
      <c r="B68" s="83" t="s">
        <v>3147</v>
      </c>
      <c r="C68" s="14">
        <f>VLOOKUP($B68,'MAIN DATA, Orders'!$B:$R,4,0)</f>
        <v>45887</v>
      </c>
      <c r="D68" s="83">
        <f>VLOOKUP($B68,'MAIN DATA, Orders'!$B:$R,5,0)</f>
        <v>2025</v>
      </c>
      <c r="E68" s="83">
        <f>VLOOKUP($B68,'MAIN DATA, Orders'!$B:$R,16,0)</f>
        <v>2025</v>
      </c>
      <c r="F68" s="83">
        <f>VLOOKUP($B68,'MAIN DATA, Orders'!$B:$R,17,0)</f>
        <v>2028</v>
      </c>
      <c r="G68" s="83">
        <f t="shared" si="6"/>
        <v>0</v>
      </c>
      <c r="H68" s="83">
        <f t="shared" si="7"/>
        <v>3</v>
      </c>
      <c r="I68" s="83">
        <f t="shared" si="8"/>
        <v>1.5</v>
      </c>
    </row>
    <row r="69" spans="2:9" x14ac:dyDescent="0.35">
      <c r="B69" s="83" t="s">
        <v>3162</v>
      </c>
      <c r="C69" s="14">
        <f>VLOOKUP($B69,'MAIN DATA, Orders'!$B:$R,4,0)</f>
        <v>45891</v>
      </c>
      <c r="D69" s="83">
        <f>VLOOKUP($B69,'MAIN DATA, Orders'!$B:$R,5,0)</f>
        <v>2025</v>
      </c>
      <c r="E69" s="83">
        <f>VLOOKUP($B69,'MAIN DATA, Orders'!$B:$R,16,0)</f>
        <v>2025</v>
      </c>
      <c r="F69" s="83">
        <f>VLOOKUP($B69,'MAIN DATA, Orders'!$B:$R,17,0)</f>
        <v>2028</v>
      </c>
      <c r="G69" s="83">
        <f t="shared" si="6"/>
        <v>0</v>
      </c>
      <c r="H69" s="83">
        <f t="shared" si="7"/>
        <v>3</v>
      </c>
      <c r="I69" s="83">
        <f t="shared" si="8"/>
        <v>1.5</v>
      </c>
    </row>
    <row r="70" spans="2:9" x14ac:dyDescent="0.35">
      <c r="B70" s="83" t="s">
        <v>3164</v>
      </c>
      <c r="C70" s="14">
        <f>VLOOKUP($B70,'MAIN DATA, Orders'!$B:$R,4,0)</f>
        <v>45891</v>
      </c>
      <c r="D70" s="83">
        <f>VLOOKUP($B70,'MAIN DATA, Orders'!$B:$R,5,0)</f>
        <v>2025</v>
      </c>
      <c r="E70" s="83">
        <f>VLOOKUP($B70,'MAIN DATA, Orders'!$B:$R,16,0)</f>
        <v>2025</v>
      </c>
      <c r="F70" s="83">
        <f>VLOOKUP($B70,'MAIN DATA, Orders'!$B:$R,17,0)</f>
        <v>2028</v>
      </c>
      <c r="G70" s="83">
        <f t="shared" si="6"/>
        <v>0</v>
      </c>
      <c r="H70" s="83">
        <f t="shared" si="7"/>
        <v>3</v>
      </c>
      <c r="I70" s="83">
        <f t="shared" si="8"/>
        <v>1.5</v>
      </c>
    </row>
    <row r="71" spans="2:9" x14ac:dyDescent="0.35">
      <c r="B71" s="83" t="s">
        <v>3166</v>
      </c>
      <c r="C71" s="14">
        <f>VLOOKUP($B71,'MAIN DATA, Orders'!$B:$R,4,0)</f>
        <v>45891</v>
      </c>
      <c r="D71" s="83">
        <f>VLOOKUP($B71,'MAIN DATA, Orders'!$B:$R,5,0)</f>
        <v>2025</v>
      </c>
      <c r="E71" s="83">
        <f>VLOOKUP($B71,'MAIN DATA, Orders'!$B:$R,16,0)</f>
        <v>2025</v>
      </c>
      <c r="F71" s="83">
        <f>VLOOKUP($B71,'MAIN DATA, Orders'!$B:$R,17,0)</f>
        <v>2028</v>
      </c>
      <c r="G71" s="83">
        <f t="shared" si="6"/>
        <v>0</v>
      </c>
      <c r="H71" s="83">
        <f t="shared" si="7"/>
        <v>3</v>
      </c>
      <c r="I71" s="83">
        <f t="shared" si="8"/>
        <v>1.5</v>
      </c>
    </row>
    <row r="72" spans="2:9" x14ac:dyDescent="0.35">
      <c r="B72" s="83" t="s">
        <v>3168</v>
      </c>
      <c r="C72" s="14">
        <f>VLOOKUP($B72,'MAIN DATA, Orders'!$B:$R,4,0)</f>
        <v>45891</v>
      </c>
      <c r="D72" s="83">
        <f>VLOOKUP($B72,'MAIN DATA, Orders'!$B:$R,5,0)</f>
        <v>2025</v>
      </c>
      <c r="E72" s="83">
        <f>VLOOKUP($B72,'MAIN DATA, Orders'!$B:$R,16,0)</f>
        <v>2025</v>
      </c>
      <c r="F72" s="83">
        <f>VLOOKUP($B72,'MAIN DATA, Orders'!$B:$R,17,0)</f>
        <v>2028</v>
      </c>
      <c r="G72" s="83">
        <f t="shared" si="6"/>
        <v>0</v>
      </c>
      <c r="H72" s="83">
        <f t="shared" si="7"/>
        <v>3</v>
      </c>
      <c r="I72" s="83">
        <f t="shared" si="8"/>
        <v>1.5</v>
      </c>
    </row>
    <row r="73" spans="2:9" x14ac:dyDescent="0.35">
      <c r="B73" s="83" t="s">
        <v>3171</v>
      </c>
      <c r="C73" s="14">
        <f>VLOOKUP($B73,'MAIN DATA, Orders'!$B:$R,4,0)</f>
        <v>45891</v>
      </c>
      <c r="D73" s="83">
        <f>VLOOKUP($B73,'MAIN DATA, Orders'!$B:$R,5,0)</f>
        <v>2025</v>
      </c>
      <c r="E73" s="83">
        <f>VLOOKUP($B73,'MAIN DATA, Orders'!$B:$R,16,0)</f>
        <v>2025</v>
      </c>
      <c r="F73" s="83">
        <f>VLOOKUP($B73,'MAIN DATA, Orders'!$B:$R,17,0)</f>
        <v>2028</v>
      </c>
      <c r="G73" s="83">
        <f t="shared" si="6"/>
        <v>0</v>
      </c>
      <c r="H73" s="83">
        <f t="shared" si="7"/>
        <v>3</v>
      </c>
      <c r="I73" s="83">
        <f t="shared" si="8"/>
        <v>1.5</v>
      </c>
    </row>
    <row r="74" spans="2:9" x14ac:dyDescent="0.35">
      <c r="B74" s="83" t="s">
        <v>3191</v>
      </c>
      <c r="C74" s="14">
        <f>VLOOKUP($B74,'MAIN DATA, Orders'!$B:$R,4,0)</f>
        <v>45922</v>
      </c>
      <c r="D74" s="83">
        <f>VLOOKUP($B74,'MAIN DATA, Orders'!$B:$R,5,0)</f>
        <v>2025</v>
      </c>
      <c r="E74" s="83">
        <f>VLOOKUP($B74,'MAIN DATA, Orders'!$B:$R,16,0)</f>
        <v>2026</v>
      </c>
      <c r="F74" s="83">
        <f>VLOOKUP($B74,'MAIN DATA, Orders'!$B:$R,17,0)</f>
        <v>2028</v>
      </c>
      <c r="G74" s="83">
        <f t="shared" si="6"/>
        <v>1</v>
      </c>
      <c r="H74" s="83">
        <f t="shared" si="7"/>
        <v>3</v>
      </c>
      <c r="I74" s="83">
        <f t="shared" si="8"/>
        <v>2</v>
      </c>
    </row>
    <row r="75" spans="2:9" x14ac:dyDescent="0.35">
      <c r="B75" s="83" t="s">
        <v>3204</v>
      </c>
      <c r="C75" s="14">
        <f>VLOOKUP($B75,'MAIN DATA, Orders'!$B:$R,4,0)</f>
        <v>45943</v>
      </c>
      <c r="D75" s="83">
        <f>VLOOKUP($B75,'MAIN DATA, Orders'!$B:$R,5,0)</f>
        <v>2025</v>
      </c>
      <c r="E75" s="83">
        <f>VLOOKUP($B75,'MAIN DATA, Orders'!$B:$R,16,0)</f>
        <v>2025</v>
      </c>
      <c r="F75" s="83">
        <f>VLOOKUP($B75,'MAIN DATA, Orders'!$B:$R,17,0)</f>
        <v>2030</v>
      </c>
      <c r="G75" s="83">
        <f t="shared" si="6"/>
        <v>0</v>
      </c>
      <c r="H75" s="83">
        <f t="shared" si="7"/>
        <v>5</v>
      </c>
      <c r="I75" s="83">
        <f t="shared" si="8"/>
        <v>2.5</v>
      </c>
    </row>
    <row r="76" spans="2:9" x14ac:dyDescent="0.35">
      <c r="B76" s="83" t="s">
        <v>3230</v>
      </c>
      <c r="C76" s="14">
        <f>VLOOKUP($B76,'MAIN DATA, Orders'!$B:$R,4,0)</f>
        <v>46006</v>
      </c>
      <c r="D76" s="83">
        <f>VLOOKUP($B76,'MAIN DATA, Orders'!$B:$R,5,0)</f>
        <v>2025</v>
      </c>
      <c r="E76" s="83">
        <f>VLOOKUP($B76,'MAIN DATA, Orders'!$B:$R,16,0)</f>
        <v>2026</v>
      </c>
      <c r="F76" s="83">
        <f>VLOOKUP($B76,'MAIN DATA, Orders'!$B:$R,17,0)</f>
        <v>2028</v>
      </c>
      <c r="G76" s="83">
        <f t="shared" si="6"/>
        <v>1</v>
      </c>
      <c r="H76" s="83">
        <f t="shared" si="7"/>
        <v>3</v>
      </c>
      <c r="I76" s="83">
        <f t="shared" si="8"/>
        <v>2</v>
      </c>
    </row>
    <row r="77" spans="2:9" x14ac:dyDescent="0.35">
      <c r="B77" s="83" t="s">
        <v>3235</v>
      </c>
      <c r="C77" s="14">
        <f>VLOOKUP($B77,'MAIN DATA, Orders'!$B:$R,4,0)</f>
        <v>46010</v>
      </c>
      <c r="D77" s="83">
        <f>VLOOKUP($B77,'MAIN DATA, Orders'!$B:$R,5,0)</f>
        <v>2025</v>
      </c>
      <c r="E77" s="83">
        <f>VLOOKUP($B77,'MAIN DATA, Orders'!$B:$R,16,0)</f>
        <v>2025</v>
      </c>
      <c r="F77" s="83">
        <f>VLOOKUP($B77,'MAIN DATA, Orders'!$B:$R,17,0)</f>
        <v>2028</v>
      </c>
      <c r="G77" s="83">
        <f t="shared" si="6"/>
        <v>0</v>
      </c>
      <c r="H77" s="83">
        <f t="shared" si="7"/>
        <v>3</v>
      </c>
      <c r="I77" s="83">
        <f t="shared" si="8"/>
        <v>1.5</v>
      </c>
    </row>
    <row r="78" spans="2:9" x14ac:dyDescent="0.35">
      <c r="B78" s="83" t="s">
        <v>3249</v>
      </c>
      <c r="C78" s="14">
        <f>VLOOKUP($B78,'MAIN DATA, Orders'!$B:$R,4,0)</f>
        <v>46028</v>
      </c>
      <c r="D78" s="83">
        <f>VLOOKUP($B78,'MAIN DATA, Orders'!$B:$R,5,0)</f>
        <v>2026</v>
      </c>
      <c r="E78" s="83">
        <f>VLOOKUP($B78,'MAIN DATA, Orders'!$B:$R,16,0)</f>
        <v>2026</v>
      </c>
      <c r="F78" s="83">
        <f>VLOOKUP($B78,'MAIN DATA, Orders'!$B:$R,17,0)</f>
        <v>2027</v>
      </c>
      <c r="G78" s="83">
        <f t="shared" si="6"/>
        <v>0</v>
      </c>
      <c r="H78" s="83">
        <f t="shared" si="7"/>
        <v>1</v>
      </c>
      <c r="I78" s="83">
        <f t="shared" si="8"/>
        <v>0.5</v>
      </c>
    </row>
    <row r="79" spans="2:9" x14ac:dyDescent="0.35">
      <c r="B79" s="83" t="s">
        <v>3258</v>
      </c>
      <c r="C79" s="14">
        <f>VLOOKUP($B79,'MAIN DATA, Orders'!$B:$R,4,0)</f>
        <v>46041</v>
      </c>
      <c r="D79" s="83">
        <f>VLOOKUP($B79,'MAIN DATA, Orders'!$B:$R,5,0)</f>
        <v>2026</v>
      </c>
      <c r="E79" s="83">
        <f>VLOOKUP($B79,'MAIN DATA, Orders'!$B:$R,16,0)</f>
        <v>2026</v>
      </c>
      <c r="F79" s="83">
        <f>VLOOKUP($B79,'MAIN DATA, Orders'!$B:$R,17,0)</f>
        <v>2031</v>
      </c>
      <c r="G79" s="83">
        <f t="shared" si="6"/>
        <v>0</v>
      </c>
      <c r="H79" s="83">
        <f t="shared" si="7"/>
        <v>5</v>
      </c>
      <c r="I79" s="83">
        <f t="shared" si="8"/>
        <v>2.5</v>
      </c>
    </row>
    <row r="80" spans="2:9" x14ac:dyDescent="0.35">
      <c r="B80" s="169"/>
      <c r="C80" s="170"/>
      <c r="D80" s="171"/>
      <c r="E80" s="171"/>
      <c r="F80" s="171"/>
      <c r="G80" s="171"/>
      <c r="H80" s="171"/>
      <c r="I80" s="171"/>
    </row>
    <row r="81" spans="2:9" x14ac:dyDescent="0.35">
      <c r="B81" s="27"/>
      <c r="C81" s="14"/>
      <c r="D81" s="83"/>
      <c r="E81" s="83"/>
      <c r="F81" s="83"/>
      <c r="G81" s="83"/>
      <c r="H81" s="83"/>
      <c r="I81" s="83"/>
    </row>
    <row r="82" spans="2:9" x14ac:dyDescent="0.35">
      <c r="B82" s="27"/>
      <c r="C82" s="14"/>
      <c r="D82" s="83"/>
      <c r="E82" s="83"/>
      <c r="F82" s="83"/>
      <c r="G82" s="83"/>
      <c r="H82" s="83"/>
      <c r="I82" s="83"/>
    </row>
    <row r="83" spans="2:9" x14ac:dyDescent="0.35">
      <c r="B83" s="27"/>
      <c r="C83" s="14"/>
      <c r="D83" s="83"/>
      <c r="E83" s="83"/>
      <c r="F83" s="83"/>
      <c r="G83" s="83"/>
      <c r="H83" s="83"/>
      <c r="I83" s="83"/>
    </row>
    <row r="84" spans="2:9" x14ac:dyDescent="0.35">
      <c r="B84" s="27"/>
      <c r="C84" s="14"/>
      <c r="D84" s="83"/>
      <c r="E84" s="83"/>
      <c r="F84" s="83"/>
      <c r="G84" s="83"/>
      <c r="H84" s="83"/>
      <c r="I84" s="83"/>
    </row>
    <row r="85" spans="2:9" x14ac:dyDescent="0.35">
      <c r="B85" s="27"/>
      <c r="C85" s="14"/>
      <c r="D85" s="83"/>
      <c r="E85" s="83"/>
      <c r="F85" s="83"/>
      <c r="G85" s="83"/>
      <c r="H85" s="83"/>
      <c r="I85" s="83"/>
    </row>
    <row r="86" spans="2:9" x14ac:dyDescent="0.35">
      <c r="B86" s="27"/>
      <c r="C86" s="14"/>
      <c r="D86" s="83"/>
      <c r="E86" s="83"/>
      <c r="F86" s="83"/>
      <c r="G86" s="83"/>
      <c r="H86" s="83"/>
      <c r="I86" s="83"/>
    </row>
    <row r="87" spans="2:9" x14ac:dyDescent="0.35">
      <c r="B87" s="27"/>
      <c r="C87" s="14"/>
      <c r="D87" s="83"/>
      <c r="E87" s="83"/>
      <c r="F87" s="83"/>
      <c r="G87" s="83"/>
      <c r="H87" s="83"/>
      <c r="I87" s="83"/>
    </row>
    <row r="88" spans="2:9" x14ac:dyDescent="0.35">
      <c r="B88" s="27"/>
      <c r="C88" s="14"/>
      <c r="D88" s="83"/>
      <c r="E88" s="83"/>
      <c r="F88" s="83"/>
      <c r="G88" s="83"/>
      <c r="H88" s="83"/>
      <c r="I88" s="83"/>
    </row>
    <row r="89" spans="2:9" x14ac:dyDescent="0.35">
      <c r="B89" s="27"/>
      <c r="C89" s="14"/>
      <c r="D89" s="83"/>
      <c r="E89" s="83"/>
      <c r="F89" s="83"/>
      <c r="G89" s="83"/>
      <c r="H89" s="83"/>
      <c r="I89" s="83"/>
    </row>
    <row r="90" spans="2:9" x14ac:dyDescent="0.35">
      <c r="B90" s="27"/>
      <c r="C90" s="14"/>
      <c r="D90" s="83"/>
      <c r="E90" s="83"/>
      <c r="F90" s="83"/>
      <c r="G90" s="83"/>
      <c r="H90" s="83"/>
      <c r="I90" s="83"/>
    </row>
    <row r="91" spans="2:9" x14ac:dyDescent="0.35">
      <c r="B91" s="27"/>
      <c r="C91" s="14"/>
      <c r="D91" s="83"/>
      <c r="E91" s="83"/>
      <c r="F91" s="83"/>
      <c r="G91" s="83"/>
      <c r="H91" s="83"/>
      <c r="I91" s="83"/>
    </row>
    <row r="92" spans="2:9" x14ac:dyDescent="0.35">
      <c r="B92" s="27"/>
      <c r="C92" s="14"/>
      <c r="D92" s="83"/>
      <c r="E92" s="83"/>
      <c r="F92" s="83"/>
      <c r="G92" s="83"/>
      <c r="H92" s="83"/>
      <c r="I92" s="83"/>
    </row>
    <row r="93" spans="2:9" x14ac:dyDescent="0.35">
      <c r="B93" s="27"/>
      <c r="C93" s="14"/>
      <c r="D93" s="83"/>
      <c r="E93" s="83"/>
      <c r="F93" s="83"/>
      <c r="G93" s="83"/>
      <c r="H93" s="83"/>
      <c r="I93" s="83"/>
    </row>
    <row r="94" spans="2:9" x14ac:dyDescent="0.35">
      <c r="B94" s="27"/>
      <c r="C94" s="14"/>
      <c r="D94" s="83"/>
      <c r="E94" s="83"/>
      <c r="F94" s="83"/>
      <c r="G94" s="83"/>
      <c r="H94" s="83"/>
      <c r="I94" s="83"/>
    </row>
    <row r="95" spans="2:9" x14ac:dyDescent="0.35">
      <c r="B95" s="27"/>
      <c r="C95" s="14"/>
      <c r="D95" s="83"/>
      <c r="E95" s="83"/>
      <c r="F95" s="83"/>
      <c r="G95" s="83"/>
      <c r="H95" s="83"/>
      <c r="I95" s="83"/>
    </row>
    <row r="96" spans="2:9" x14ac:dyDescent="0.35">
      <c r="B96" s="27"/>
      <c r="C96" s="14"/>
      <c r="D96" s="83"/>
      <c r="E96" s="83"/>
      <c r="F96" s="83"/>
      <c r="G96" s="83"/>
      <c r="H96" s="83"/>
      <c r="I96" s="83"/>
    </row>
    <row r="97" spans="2:9" x14ac:dyDescent="0.35">
      <c r="B97" s="27"/>
      <c r="C97" s="14"/>
      <c r="D97" s="83"/>
      <c r="E97" s="83"/>
      <c r="F97" s="83"/>
      <c r="G97" s="83"/>
      <c r="H97" s="83"/>
      <c r="I97" s="83"/>
    </row>
    <row r="98" spans="2:9" x14ac:dyDescent="0.35">
      <c r="B98" s="27"/>
      <c r="C98" s="14"/>
      <c r="D98" s="83"/>
      <c r="E98" s="83"/>
      <c r="F98" s="83"/>
      <c r="G98" s="83"/>
      <c r="H98" s="83"/>
      <c r="I98" s="83"/>
    </row>
    <row r="99" spans="2:9" x14ac:dyDescent="0.35">
      <c r="B99" s="27"/>
      <c r="C99" s="14"/>
      <c r="D99" s="83"/>
      <c r="E99" s="83"/>
      <c r="F99" s="83"/>
      <c r="G99" s="83"/>
      <c r="H99" s="83"/>
      <c r="I99" s="83"/>
    </row>
    <row r="100" spans="2:9" x14ac:dyDescent="0.35">
      <c r="B100" s="27"/>
      <c r="C100" s="14"/>
      <c r="D100" s="83"/>
      <c r="E100" s="83"/>
      <c r="F100" s="83"/>
      <c r="G100" s="83"/>
      <c r="H100" s="83"/>
      <c r="I100" s="83"/>
    </row>
    <row r="101" spans="2:9" x14ac:dyDescent="0.35">
      <c r="B101" s="27"/>
      <c r="C101" s="14"/>
      <c r="D101" s="83"/>
      <c r="E101" s="83"/>
      <c r="F101" s="83"/>
      <c r="G101" s="83"/>
      <c r="H101" s="83"/>
      <c r="I101" s="83"/>
    </row>
    <row r="102" spans="2:9" x14ac:dyDescent="0.35">
      <c r="B102" s="27"/>
      <c r="C102" s="14"/>
      <c r="D102" s="83"/>
      <c r="E102" s="83"/>
      <c r="F102" s="83"/>
      <c r="G102" s="83"/>
      <c r="H102" s="83"/>
      <c r="I102" s="83"/>
    </row>
    <row r="103" spans="2:9" x14ac:dyDescent="0.35">
      <c r="B103" s="4"/>
      <c r="C103" s="14"/>
      <c r="D103" s="83"/>
      <c r="E103" s="83"/>
      <c r="F103" s="83"/>
      <c r="G103" s="83"/>
      <c r="H103" s="83"/>
      <c r="I103" s="83"/>
    </row>
  </sheetData>
  <mergeCells count="1">
    <mergeCell ref="B4:I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6EC0C-BEAD-444A-94D1-D1A7353C4236}">
  <sheetPr codeName="Sheet39">
    <tabColor theme="8" tint="0.59999389629810485"/>
  </sheetPr>
  <dimension ref="A2:H80"/>
  <sheetViews>
    <sheetView workbookViewId="0"/>
  </sheetViews>
  <sheetFormatPr baseColWidth="10" defaultColWidth="8.75" defaultRowHeight="15.5" x14ac:dyDescent="0.35"/>
  <cols>
    <col min="1" max="1" width="8.75" style="1"/>
    <col min="2" max="2" width="9.75" style="1" customWidth="1"/>
    <col min="3" max="3" width="14.08203125" style="1" bestFit="1" customWidth="1"/>
    <col min="4" max="4" width="28.58203125" style="1" bestFit="1" customWidth="1"/>
    <col min="5" max="5" width="30.75" style="1" bestFit="1" customWidth="1"/>
    <col min="6" max="6" width="17.5" style="1" customWidth="1"/>
    <col min="7" max="7" width="10.5" style="208" customWidth="1"/>
    <col min="8" max="8" width="25.75" style="1" customWidth="1"/>
    <col min="9" max="16384" width="8.75" style="1"/>
  </cols>
  <sheetData>
    <row r="2" spans="1:8" ht="25.9" customHeight="1" x14ac:dyDescent="0.7">
      <c r="B2" s="181" t="s">
        <v>5631</v>
      </c>
    </row>
    <row r="4" spans="1:8" ht="130.15" customHeight="1" x14ac:dyDescent="0.35">
      <c r="B4" s="232" t="s">
        <v>5629</v>
      </c>
      <c r="C4" s="232"/>
      <c r="D4" s="232"/>
      <c r="E4" s="232"/>
    </row>
    <row r="6" spans="1:8" ht="21" customHeight="1" x14ac:dyDescent="0.35">
      <c r="B6" s="68" t="s">
        <v>4197</v>
      </c>
      <c r="C6" s="68" t="s">
        <v>5249</v>
      </c>
      <c r="D6" s="68" t="s">
        <v>5250</v>
      </c>
      <c r="E6" s="68" t="s">
        <v>5251</v>
      </c>
      <c r="G6" s="204" t="s">
        <v>4197</v>
      </c>
      <c r="H6" s="69" t="s">
        <v>5252</v>
      </c>
    </row>
    <row r="7" spans="1:8" x14ac:dyDescent="0.35">
      <c r="A7" s="20">
        <v>202001</v>
      </c>
      <c r="B7" s="17">
        <v>43831</v>
      </c>
      <c r="C7" s="30">
        <f>COUNTIFS('MAIN DATA, Orders'!$G:$G,"&lt;&gt;.",'MAIN DATA, Orders'!$Y:$Y,$A7,'MAIN DATA, Orders'!$D:$D,"United Kingdom")</f>
        <v>1</v>
      </c>
      <c r="D7" s="30">
        <f>COUNTIFS('MAIN DATA, Orders'!$G:$G,"&lt;&gt;.",'MAIN DATA, Orders'!$Y:$Y,$A7,'MAIN DATA, Orders'!$D:$D,"United Kingdom",'MAIN DATA, Orders'!$R:$R,"")</f>
        <v>1</v>
      </c>
      <c r="E7" s="7"/>
      <c r="G7" s="205">
        <v>43831</v>
      </c>
      <c r="H7" s="200"/>
    </row>
    <row r="8" spans="1:8" x14ac:dyDescent="0.35">
      <c r="A8" s="20">
        <v>202002</v>
      </c>
      <c r="B8" s="17">
        <v>43862</v>
      </c>
      <c r="C8" s="30">
        <f>COUNTIFS('MAIN DATA, Orders'!$G:$G,"&lt;&gt;.",'MAIN DATA, Orders'!$Y:$Y,$A8,'MAIN DATA, Orders'!$D:$D,"United Kingdom")</f>
        <v>1</v>
      </c>
      <c r="D8" s="30">
        <f>COUNTIFS('MAIN DATA, Orders'!$G:$G,"&lt;&gt;.",'MAIN DATA, Orders'!$Y:$Y,$A8,'MAIN DATA, Orders'!$D:$D,"United Kingdom",'MAIN DATA, Orders'!$R:$R,"")</f>
        <v>1</v>
      </c>
      <c r="E8" s="7"/>
      <c r="G8" s="205">
        <v>43862</v>
      </c>
      <c r="H8" s="200"/>
    </row>
    <row r="9" spans="1:8" x14ac:dyDescent="0.35">
      <c r="A9" s="20">
        <v>202003</v>
      </c>
      <c r="B9" s="17">
        <v>43891</v>
      </c>
      <c r="C9" s="30">
        <f>COUNTIFS('MAIN DATA, Orders'!$G:$G,"&lt;&gt;.",'MAIN DATA, Orders'!$Y:$Y,$A9,'MAIN DATA, Orders'!$D:$D,"United Kingdom")</f>
        <v>0</v>
      </c>
      <c r="D9" s="30">
        <f>COUNTIFS('MAIN DATA, Orders'!$G:$G,"&lt;&gt;.",'MAIN DATA, Orders'!$Y:$Y,$A9,'MAIN DATA, Orders'!$D:$D,"United Kingdom",'MAIN DATA, Orders'!$R:$R,"")</f>
        <v>0</v>
      </c>
      <c r="E9" s="7"/>
      <c r="G9" s="205">
        <v>43891</v>
      </c>
      <c r="H9" s="200" cm="1">
        <f t="array" ref="H9">SUM(D7:D9/SUM(C7:C9))</f>
        <v>1</v>
      </c>
    </row>
    <row r="10" spans="1:8" x14ac:dyDescent="0.35">
      <c r="A10" s="20">
        <v>202004</v>
      </c>
      <c r="B10" s="17">
        <v>43922</v>
      </c>
      <c r="C10" s="30">
        <f>COUNTIFS('MAIN DATA, Orders'!$G:$G,"&lt;&gt;.",'MAIN DATA, Orders'!$Y:$Y,$A10,'MAIN DATA, Orders'!$D:$D,"United Kingdom")</f>
        <v>1</v>
      </c>
      <c r="D10" s="30">
        <f>COUNTIFS('MAIN DATA, Orders'!$G:$G,"&lt;&gt;.",'MAIN DATA, Orders'!$Y:$Y,$A10,'MAIN DATA, Orders'!$D:$D,"United Kingdom",'MAIN DATA, Orders'!$R:$R,"")</f>
        <v>0</v>
      </c>
      <c r="E10" s="7"/>
      <c r="G10" s="205">
        <v>43922</v>
      </c>
      <c r="H10" s="200" cm="1">
        <f t="array" ref="H10">SUM(D8:D10/SUM(C8:C10))</f>
        <v>0.5</v>
      </c>
    </row>
    <row r="11" spans="1:8" x14ac:dyDescent="0.35">
      <c r="A11" s="20">
        <v>202005</v>
      </c>
      <c r="B11" s="17">
        <v>43952</v>
      </c>
      <c r="C11" s="30">
        <f>COUNTIFS('MAIN DATA, Orders'!$G:$G,"&lt;&gt;.",'MAIN DATA, Orders'!$Y:$Y,$A11,'MAIN DATA, Orders'!$D:$D,"United Kingdom")</f>
        <v>0</v>
      </c>
      <c r="D11" s="30">
        <f>COUNTIFS('MAIN DATA, Orders'!$G:$G,"&lt;&gt;.",'MAIN DATA, Orders'!$Y:$Y,$A11,'MAIN DATA, Orders'!$D:$D,"United Kingdom",'MAIN DATA, Orders'!$R:$R,"")</f>
        <v>0</v>
      </c>
      <c r="E11" s="7"/>
      <c r="G11" s="205">
        <v>43952</v>
      </c>
      <c r="H11" s="200" cm="1">
        <f t="array" ref="H11">SUM(D9:D11/SUM(C9:C11))</f>
        <v>0</v>
      </c>
    </row>
    <row r="12" spans="1:8" x14ac:dyDescent="0.35">
      <c r="A12" s="20">
        <v>202006</v>
      </c>
      <c r="B12" s="17">
        <v>43983</v>
      </c>
      <c r="C12" s="30">
        <f>COUNTIFS('MAIN DATA, Orders'!$G:$G,"&lt;&gt;.",'MAIN DATA, Orders'!$Y:$Y,$A12,'MAIN DATA, Orders'!$D:$D,"United Kingdom")</f>
        <v>1</v>
      </c>
      <c r="D12" s="30">
        <f>COUNTIFS('MAIN DATA, Orders'!$G:$G,"&lt;&gt;.",'MAIN DATA, Orders'!$Y:$Y,$A12,'MAIN DATA, Orders'!$D:$D,"United Kingdom",'MAIN DATA, Orders'!$R:$R,"")</f>
        <v>0</v>
      </c>
      <c r="E12" s="7">
        <f t="shared" ref="E12" si="0">D12/C12</f>
        <v>0</v>
      </c>
      <c r="G12" s="205">
        <v>43983</v>
      </c>
      <c r="H12" s="200" cm="1">
        <f t="array" ref="H12">SUM(D10:D12/SUM(C10:C12))</f>
        <v>0</v>
      </c>
    </row>
    <row r="13" spans="1:8" x14ac:dyDescent="0.35">
      <c r="A13" s="20">
        <v>202007</v>
      </c>
      <c r="B13" s="17">
        <v>44013</v>
      </c>
      <c r="C13" s="30">
        <f>COUNTIFS('MAIN DATA, Orders'!$G:$G,"&lt;&gt;.",'MAIN DATA, Orders'!$Y:$Y,$A13,'MAIN DATA, Orders'!$D:$D,"United Kingdom")</f>
        <v>3</v>
      </c>
      <c r="D13" s="30">
        <f>COUNTIFS('MAIN DATA, Orders'!$G:$G,"&lt;&gt;.",'MAIN DATA, Orders'!$Y:$Y,$A13,'MAIN DATA, Orders'!$D:$D,"United Kingdom",'MAIN DATA, Orders'!$R:$R,"")</f>
        <v>0</v>
      </c>
      <c r="E13" s="7"/>
      <c r="G13" s="205">
        <v>44013</v>
      </c>
      <c r="H13" s="200" cm="1">
        <f t="array" ref="H13">SUM(D11:D13/SUM(C11:C13))</f>
        <v>0</v>
      </c>
    </row>
    <row r="14" spans="1:8" x14ac:dyDescent="0.35">
      <c r="A14" s="20">
        <v>202008</v>
      </c>
      <c r="B14" s="17">
        <v>44044</v>
      </c>
      <c r="C14" s="30">
        <f>COUNTIFS('MAIN DATA, Orders'!$G:$G,"&lt;&gt;.",'MAIN DATA, Orders'!$Y:$Y,$A14,'MAIN DATA, Orders'!$D:$D,"United Kingdom")</f>
        <v>2</v>
      </c>
      <c r="D14" s="30">
        <f>COUNTIFS('MAIN DATA, Orders'!$G:$G,"&lt;&gt;.",'MAIN DATA, Orders'!$Y:$Y,$A14,'MAIN DATA, Orders'!$D:$D,"United Kingdom",'MAIN DATA, Orders'!$R:$R,"")</f>
        <v>1</v>
      </c>
      <c r="E14" s="7">
        <f t="shared" ref="E14:E17" si="1">D14/C14</f>
        <v>0.5</v>
      </c>
      <c r="F14" s="89"/>
      <c r="G14" s="205">
        <v>44044</v>
      </c>
      <c r="H14" s="200" cm="1">
        <f t="array" ref="H14">SUM(D12:D14/SUM(C12:C14))</f>
        <v>0.16666666666666666</v>
      </c>
    </row>
    <row r="15" spans="1:8" x14ac:dyDescent="0.35">
      <c r="A15" s="20">
        <v>202009</v>
      </c>
      <c r="B15" s="17">
        <v>44075</v>
      </c>
      <c r="C15" s="30">
        <f>COUNTIFS('MAIN DATA, Orders'!$G:$G,"&lt;&gt;.",'MAIN DATA, Orders'!$Y:$Y,$A15,'MAIN DATA, Orders'!$D:$D,"United Kingdom")</f>
        <v>2</v>
      </c>
      <c r="D15" s="30">
        <f>COUNTIFS('MAIN DATA, Orders'!$G:$G,"&lt;&gt;.",'MAIN DATA, Orders'!$Y:$Y,$A15,'MAIN DATA, Orders'!$D:$D,"United Kingdom",'MAIN DATA, Orders'!$R:$R,"")</f>
        <v>1</v>
      </c>
      <c r="E15" s="7">
        <f t="shared" si="1"/>
        <v>0.5</v>
      </c>
      <c r="G15" s="205">
        <v>44075</v>
      </c>
      <c r="H15" s="200" cm="1">
        <f t="array" ref="H15">SUM(D13:D15/SUM(C13:C15))</f>
        <v>0.2857142857142857</v>
      </c>
    </row>
    <row r="16" spans="1:8" x14ac:dyDescent="0.35">
      <c r="A16" s="20">
        <v>202010</v>
      </c>
      <c r="B16" s="17">
        <v>44105</v>
      </c>
      <c r="C16" s="30">
        <f>COUNTIFS('MAIN DATA, Orders'!$G:$G,"&lt;&gt;.",'MAIN DATA, Orders'!$Y:$Y,$A16,'MAIN DATA, Orders'!$D:$D,"United Kingdom")</f>
        <v>1</v>
      </c>
      <c r="D16" s="30">
        <f>COUNTIFS('MAIN DATA, Orders'!$G:$G,"&lt;&gt;.",'MAIN DATA, Orders'!$Y:$Y,$A16,'MAIN DATA, Orders'!$D:$D,"United Kingdom",'MAIN DATA, Orders'!$R:$R,"")</f>
        <v>1</v>
      </c>
      <c r="E16" s="7">
        <f t="shared" si="1"/>
        <v>1</v>
      </c>
      <c r="G16" s="205">
        <v>44105</v>
      </c>
      <c r="H16" s="200" cm="1">
        <f t="array" ref="H16">SUM(D14:D16/SUM(C14:C16))</f>
        <v>0.60000000000000009</v>
      </c>
    </row>
    <row r="17" spans="1:8" x14ac:dyDescent="0.35">
      <c r="A17" s="20">
        <v>202011</v>
      </c>
      <c r="B17" s="17">
        <v>44136</v>
      </c>
      <c r="C17" s="30">
        <f>COUNTIFS('MAIN DATA, Orders'!$G:$G,"&lt;&gt;.",'MAIN DATA, Orders'!$Y:$Y,$A17,'MAIN DATA, Orders'!$D:$D,"United Kingdom")</f>
        <v>2</v>
      </c>
      <c r="D17" s="30">
        <f>COUNTIFS('MAIN DATA, Orders'!$G:$G,"&lt;&gt;.",'MAIN DATA, Orders'!$Y:$Y,$A17,'MAIN DATA, Orders'!$D:$D,"United Kingdom",'MAIN DATA, Orders'!$R:$R,"")</f>
        <v>2</v>
      </c>
      <c r="E17" s="7">
        <f t="shared" si="1"/>
        <v>1</v>
      </c>
      <c r="G17" s="205">
        <v>44136</v>
      </c>
      <c r="H17" s="200" cm="1">
        <f t="array" ref="H17">SUM(D15:D17/SUM(C15:C17))</f>
        <v>0.8</v>
      </c>
    </row>
    <row r="18" spans="1:8" x14ac:dyDescent="0.35">
      <c r="A18" s="20">
        <v>202012</v>
      </c>
      <c r="B18" s="17">
        <v>44166</v>
      </c>
      <c r="C18" s="30">
        <f>COUNTIFS('MAIN DATA, Orders'!$G:$G,"&lt;&gt;.",'MAIN DATA, Orders'!$Y:$Y,$A18,'MAIN DATA, Orders'!$D:$D,"United Kingdom")</f>
        <v>0</v>
      </c>
      <c r="D18" s="30">
        <f>COUNTIFS('MAIN DATA, Orders'!$G:$G,"&lt;&gt;.",'MAIN DATA, Orders'!$Y:$Y,$A18,'MAIN DATA, Orders'!$D:$D,"United Kingdom",'MAIN DATA, Orders'!$R:$R,"")</f>
        <v>0</v>
      </c>
      <c r="E18" s="7"/>
      <c r="G18" s="205">
        <v>44166</v>
      </c>
      <c r="H18" s="200" cm="1">
        <f t="array" ref="H18">SUM(D16:D18/SUM(C16:C18))</f>
        <v>1</v>
      </c>
    </row>
    <row r="19" spans="1:8" x14ac:dyDescent="0.35">
      <c r="A19" s="20">
        <v>202101</v>
      </c>
      <c r="B19" s="17">
        <v>44197</v>
      </c>
      <c r="C19" s="30">
        <f>COUNTIFS('MAIN DATA, Orders'!$G:$G,"&lt;&gt;.",'MAIN DATA, Orders'!$Y:$Y,$A19,'MAIN DATA, Orders'!$D:$D,"United Kingdom")</f>
        <v>6</v>
      </c>
      <c r="D19" s="30">
        <f>COUNTIFS('MAIN DATA, Orders'!$G:$G,"&lt;&gt;.",'MAIN DATA, Orders'!$Y:$Y,$A19,'MAIN DATA, Orders'!$D:$D,"United Kingdom",'MAIN DATA, Orders'!$R:$R,"")</f>
        <v>3</v>
      </c>
      <c r="E19" s="7"/>
      <c r="G19" s="205">
        <v>44197</v>
      </c>
      <c r="H19" s="200" cm="1">
        <f t="array" ref="H19">SUM(D17:D19/SUM(C17:C19))</f>
        <v>0.625</v>
      </c>
    </row>
    <row r="20" spans="1:8" x14ac:dyDescent="0.35">
      <c r="A20" s="20">
        <v>202102</v>
      </c>
      <c r="B20" s="17">
        <v>44228</v>
      </c>
      <c r="C20" s="30">
        <f>COUNTIFS('MAIN DATA, Orders'!$G:$G,"&lt;&gt;.",'MAIN DATA, Orders'!$Y:$Y,$A20,'MAIN DATA, Orders'!$D:$D,"United Kingdom")</f>
        <v>1</v>
      </c>
      <c r="D20" s="30">
        <f>COUNTIFS('MAIN DATA, Orders'!$G:$G,"&lt;&gt;.",'MAIN DATA, Orders'!$Y:$Y,$A20,'MAIN DATA, Orders'!$D:$D,"United Kingdom",'MAIN DATA, Orders'!$R:$R,"")</f>
        <v>1</v>
      </c>
      <c r="E20" s="7">
        <f t="shared" ref="E20" si="2">D20/C20</f>
        <v>1</v>
      </c>
      <c r="G20" s="205">
        <v>44228</v>
      </c>
      <c r="H20" s="200" cm="1">
        <f t="array" ref="H20">SUM(D18:D20/SUM(C18:C20))</f>
        <v>0.5714285714285714</v>
      </c>
    </row>
    <row r="21" spans="1:8" x14ac:dyDescent="0.35">
      <c r="A21" s="20">
        <v>202103</v>
      </c>
      <c r="B21" s="17">
        <v>44256</v>
      </c>
      <c r="C21" s="30">
        <f>COUNTIFS('MAIN DATA, Orders'!$G:$G,"&lt;&gt;.",'MAIN DATA, Orders'!$Y:$Y,$A21,'MAIN DATA, Orders'!$D:$D,"United Kingdom")</f>
        <v>1</v>
      </c>
      <c r="D21" s="30">
        <f>COUNTIFS('MAIN DATA, Orders'!$G:$G,"&lt;&gt;.",'MAIN DATA, Orders'!$Y:$Y,$A21,'MAIN DATA, Orders'!$D:$D,"United Kingdom",'MAIN DATA, Orders'!$R:$R,"")</f>
        <v>0</v>
      </c>
      <c r="E21" s="7"/>
      <c r="G21" s="205">
        <v>44256</v>
      </c>
      <c r="H21" s="200" cm="1">
        <f t="array" ref="H21">SUM(D19:D21/SUM(C19:C21))</f>
        <v>0.5</v>
      </c>
    </row>
    <row r="22" spans="1:8" x14ac:dyDescent="0.35">
      <c r="A22" s="20">
        <v>202104</v>
      </c>
      <c r="B22" s="17">
        <v>44287</v>
      </c>
      <c r="C22" s="30">
        <f>COUNTIFS('MAIN DATA, Orders'!$G:$G,"&lt;&gt;.",'MAIN DATA, Orders'!$Y:$Y,$A22,'MAIN DATA, Orders'!$D:$D,"United Kingdom")</f>
        <v>0</v>
      </c>
      <c r="D22" s="30">
        <f>COUNTIFS('MAIN DATA, Orders'!$G:$G,"&lt;&gt;.",'MAIN DATA, Orders'!$Y:$Y,$A22,'MAIN DATA, Orders'!$D:$D,"United Kingdom",'MAIN DATA, Orders'!$R:$R,"")</f>
        <v>0</v>
      </c>
      <c r="E22" s="7"/>
      <c r="G22" s="205">
        <v>44287</v>
      </c>
      <c r="H22" s="200" cm="1">
        <f t="array" ref="H22">SUM(D20:D22/SUM(C20:C22))</f>
        <v>0.5</v>
      </c>
    </row>
    <row r="23" spans="1:8" x14ac:dyDescent="0.35">
      <c r="A23" s="20">
        <v>202105</v>
      </c>
      <c r="B23" s="17">
        <v>44317</v>
      </c>
      <c r="C23" s="30">
        <f>COUNTIFS('MAIN DATA, Orders'!$G:$G,"&lt;&gt;.",'MAIN DATA, Orders'!$Y:$Y,$A23,'MAIN DATA, Orders'!$D:$D,"United Kingdom")</f>
        <v>3</v>
      </c>
      <c r="D23" s="30">
        <f>COUNTIFS('MAIN DATA, Orders'!$G:$G,"&lt;&gt;.",'MAIN DATA, Orders'!$Y:$Y,$A23,'MAIN DATA, Orders'!$D:$D,"United Kingdom",'MAIN DATA, Orders'!$R:$R,"")</f>
        <v>0</v>
      </c>
      <c r="E23" s="7">
        <f t="shared" ref="E23:E24" si="3">D23/C23</f>
        <v>0</v>
      </c>
      <c r="G23" s="205">
        <v>44317</v>
      </c>
      <c r="H23" s="200" cm="1">
        <f t="array" ref="H23">SUM(D21:D23/SUM(C21:C23))</f>
        <v>0</v>
      </c>
    </row>
    <row r="24" spans="1:8" x14ac:dyDescent="0.35">
      <c r="A24" s="20">
        <v>202106</v>
      </c>
      <c r="B24" s="17">
        <v>44348</v>
      </c>
      <c r="C24" s="30">
        <f>COUNTIFS('MAIN DATA, Orders'!$G:$G,"&lt;&gt;.",'MAIN DATA, Orders'!$Y:$Y,$A24,'MAIN DATA, Orders'!$D:$D,"United Kingdom")</f>
        <v>1</v>
      </c>
      <c r="D24" s="30">
        <f>COUNTIFS('MAIN DATA, Orders'!$G:$G,"&lt;&gt;.",'MAIN DATA, Orders'!$Y:$Y,$A24,'MAIN DATA, Orders'!$D:$D,"United Kingdom",'MAIN DATA, Orders'!$R:$R,"")</f>
        <v>1</v>
      </c>
      <c r="E24" s="7">
        <f t="shared" si="3"/>
        <v>1</v>
      </c>
      <c r="G24" s="205">
        <v>44348</v>
      </c>
      <c r="H24" s="200" cm="1">
        <f t="array" ref="H24">SUM(D22:D24/SUM(C22:C24))</f>
        <v>0.25</v>
      </c>
    </row>
    <row r="25" spans="1:8" x14ac:dyDescent="0.35">
      <c r="A25" s="20">
        <v>202107</v>
      </c>
      <c r="B25" s="17">
        <v>44378</v>
      </c>
      <c r="C25" s="30">
        <f>COUNTIFS('MAIN DATA, Orders'!$G:$G,"&lt;&gt;.",'MAIN DATA, Orders'!$Y:$Y,$A25,'MAIN DATA, Orders'!$D:$D,"United Kingdom")</f>
        <v>9</v>
      </c>
      <c r="D25" s="30">
        <f>COUNTIFS('MAIN DATA, Orders'!$G:$G,"&lt;&gt;.",'MAIN DATA, Orders'!$Y:$Y,$A25,'MAIN DATA, Orders'!$D:$D,"United Kingdom",'MAIN DATA, Orders'!$R:$R,"")</f>
        <v>7</v>
      </c>
      <c r="E25" s="7"/>
      <c r="G25" s="205">
        <v>44378</v>
      </c>
      <c r="H25" s="200" cm="1">
        <f t="array" ref="H25">SUM(D23:D25/SUM(C23:C25))</f>
        <v>0.61538461538461542</v>
      </c>
    </row>
    <row r="26" spans="1:8" x14ac:dyDescent="0.35">
      <c r="A26" s="20">
        <v>202108</v>
      </c>
      <c r="B26" s="17">
        <v>44409</v>
      </c>
      <c r="C26" s="30">
        <f>COUNTIFS('MAIN DATA, Orders'!$G:$G,"&lt;&gt;.",'MAIN DATA, Orders'!$Y:$Y,$A26,'MAIN DATA, Orders'!$D:$D,"United Kingdom")</f>
        <v>0</v>
      </c>
      <c r="D26" s="30">
        <f>COUNTIFS('MAIN DATA, Orders'!$G:$G,"&lt;&gt;.",'MAIN DATA, Orders'!$Y:$Y,$A26,'MAIN DATA, Orders'!$D:$D,"United Kingdom",'MAIN DATA, Orders'!$R:$R,"")</f>
        <v>0</v>
      </c>
      <c r="E26" s="7"/>
      <c r="G26" s="205">
        <v>44409</v>
      </c>
      <c r="H26" s="200" cm="1">
        <f t="array" ref="H26">SUM(D24:D26/SUM(C24:C26))</f>
        <v>0.79999999999999993</v>
      </c>
    </row>
    <row r="27" spans="1:8" x14ac:dyDescent="0.35">
      <c r="A27" s="20">
        <v>202109</v>
      </c>
      <c r="B27" s="17">
        <v>44440</v>
      </c>
      <c r="C27" s="30">
        <f>COUNTIFS('MAIN DATA, Orders'!$G:$G,"&lt;&gt;.",'MAIN DATA, Orders'!$Y:$Y,$A27,'MAIN DATA, Orders'!$D:$D,"United Kingdom")</f>
        <v>4</v>
      </c>
      <c r="D27" s="30">
        <f>COUNTIFS('MAIN DATA, Orders'!$G:$G,"&lt;&gt;.",'MAIN DATA, Orders'!$Y:$Y,$A27,'MAIN DATA, Orders'!$D:$D,"United Kingdom",'MAIN DATA, Orders'!$R:$R,"")</f>
        <v>3</v>
      </c>
      <c r="E27" s="7"/>
      <c r="G27" s="205">
        <v>44440</v>
      </c>
      <c r="H27" s="200" cm="1">
        <f t="array" ref="H27">SUM(D25:D27/SUM(C25:C27))</f>
        <v>0.76923076923076916</v>
      </c>
    </row>
    <row r="28" spans="1:8" x14ac:dyDescent="0.35">
      <c r="A28" s="20">
        <v>202110</v>
      </c>
      <c r="B28" s="17">
        <v>44470</v>
      </c>
      <c r="C28" s="30">
        <f>COUNTIFS('MAIN DATA, Orders'!$G:$G,"&lt;&gt;.",'MAIN DATA, Orders'!$Y:$Y,$A28,'MAIN DATA, Orders'!$D:$D,"United Kingdom")</f>
        <v>1</v>
      </c>
      <c r="D28" s="30">
        <f>COUNTIFS('MAIN DATA, Orders'!$G:$G,"&lt;&gt;.",'MAIN DATA, Orders'!$Y:$Y,$A28,'MAIN DATA, Orders'!$D:$D,"United Kingdom",'MAIN DATA, Orders'!$R:$R,"")</f>
        <v>1</v>
      </c>
      <c r="E28" s="7"/>
      <c r="G28" s="205">
        <v>44470</v>
      </c>
      <c r="H28" s="200" cm="1">
        <f t="array" ref="H28">SUM(D26:D28/SUM(C26:C28))</f>
        <v>0.8</v>
      </c>
    </row>
    <row r="29" spans="1:8" x14ac:dyDescent="0.35">
      <c r="A29" s="20">
        <v>202111</v>
      </c>
      <c r="B29" s="17">
        <v>44501</v>
      </c>
      <c r="C29" s="30">
        <f>COUNTIFS('MAIN DATA, Orders'!$G:$G,"&lt;&gt;.",'MAIN DATA, Orders'!$Y:$Y,$A29,'MAIN DATA, Orders'!$D:$D,"United Kingdom")</f>
        <v>3</v>
      </c>
      <c r="D29" s="30">
        <f>COUNTIFS('MAIN DATA, Orders'!$G:$G,"&lt;&gt;.",'MAIN DATA, Orders'!$Y:$Y,$A29,'MAIN DATA, Orders'!$D:$D,"United Kingdom",'MAIN DATA, Orders'!$R:$R,"")</f>
        <v>1</v>
      </c>
      <c r="E29" s="7"/>
      <c r="G29" s="205">
        <v>44501</v>
      </c>
      <c r="H29" s="200" cm="1">
        <f t="array" ref="H29">SUM(D27:D29/SUM(C27:C29))</f>
        <v>0.625</v>
      </c>
    </row>
    <row r="30" spans="1:8" x14ac:dyDescent="0.35">
      <c r="A30" s="20">
        <v>202112</v>
      </c>
      <c r="B30" s="17">
        <v>44531</v>
      </c>
      <c r="C30" s="30">
        <f>COUNTIFS('MAIN DATA, Orders'!$G:$G,"&lt;&gt;.",'MAIN DATA, Orders'!$Y:$Y,$A30,'MAIN DATA, Orders'!$D:$D,"United Kingdom")</f>
        <v>1</v>
      </c>
      <c r="D30" s="30">
        <f>COUNTIFS('MAIN DATA, Orders'!$G:$G,"&lt;&gt;.",'MAIN DATA, Orders'!$Y:$Y,$A30,'MAIN DATA, Orders'!$D:$D,"United Kingdom",'MAIN DATA, Orders'!$R:$R,"")</f>
        <v>1</v>
      </c>
      <c r="E30" s="7"/>
      <c r="G30" s="205">
        <v>44531</v>
      </c>
      <c r="H30" s="200" cm="1">
        <f t="array" ref="H30">SUM(D28:D30/SUM(C28:C30))</f>
        <v>0.60000000000000009</v>
      </c>
    </row>
    <row r="31" spans="1:8" x14ac:dyDescent="0.35">
      <c r="A31" s="20">
        <v>202201</v>
      </c>
      <c r="B31" s="17">
        <v>44562</v>
      </c>
      <c r="C31" s="30">
        <f>COUNTIFS('MAIN DATA, Orders'!$G:$G,"&lt;&gt;.",'MAIN DATA, Orders'!$Y:$Y,$A31,'MAIN DATA, Orders'!$D:$D,"United Kingdom")</f>
        <v>4</v>
      </c>
      <c r="D31" s="30">
        <f>COUNTIFS('MAIN DATA, Orders'!$G:$G,"&lt;&gt;.",'MAIN DATA, Orders'!$Y:$Y,$A31,'MAIN DATA, Orders'!$D:$D,"United Kingdom",'MAIN DATA, Orders'!$R:$R,"")</f>
        <v>1</v>
      </c>
      <c r="E31" s="7"/>
      <c r="G31" s="205">
        <v>44562</v>
      </c>
      <c r="H31" s="200" cm="1">
        <f t="array" ref="H31">SUM(D29:D31/SUM(C29:C31))</f>
        <v>0.375</v>
      </c>
    </row>
    <row r="32" spans="1:8" x14ac:dyDescent="0.35">
      <c r="A32" s="20">
        <v>202202</v>
      </c>
      <c r="B32" s="17">
        <v>44593</v>
      </c>
      <c r="C32" s="30">
        <f>COUNTIFS('MAIN DATA, Orders'!$G:$G,"&lt;&gt;.",'MAIN DATA, Orders'!$Y:$Y,$A32,'MAIN DATA, Orders'!$D:$D,"United Kingdom")</f>
        <v>1</v>
      </c>
      <c r="D32" s="30">
        <f>COUNTIFS('MAIN DATA, Orders'!$G:$G,"&lt;&gt;.",'MAIN DATA, Orders'!$Y:$Y,$A32,'MAIN DATA, Orders'!$D:$D,"United Kingdom",'MAIN DATA, Orders'!$R:$R,"")</f>
        <v>1</v>
      </c>
      <c r="E32" s="7"/>
      <c r="G32" s="205">
        <v>44593</v>
      </c>
      <c r="H32" s="200" cm="1">
        <f t="array" ref="H32">SUM(D30:D32/SUM(C30:C32))</f>
        <v>0.5</v>
      </c>
    </row>
    <row r="33" spans="1:8" x14ac:dyDescent="0.35">
      <c r="A33" s="20">
        <v>202203</v>
      </c>
      <c r="B33" s="17">
        <v>44621</v>
      </c>
      <c r="C33" s="30">
        <f>COUNTIFS('MAIN DATA, Orders'!$G:$G,"&lt;&gt;.",'MAIN DATA, Orders'!$Y:$Y,$A33,'MAIN DATA, Orders'!$D:$D,"United Kingdom")</f>
        <v>2</v>
      </c>
      <c r="D33" s="30">
        <f>COUNTIFS('MAIN DATA, Orders'!$G:$G,"&lt;&gt;.",'MAIN DATA, Orders'!$Y:$Y,$A33,'MAIN DATA, Orders'!$D:$D,"United Kingdom",'MAIN DATA, Orders'!$R:$R,"")</f>
        <v>0</v>
      </c>
      <c r="E33" s="7"/>
      <c r="G33" s="205">
        <v>44621</v>
      </c>
      <c r="H33" s="200" cm="1">
        <f t="array" ref="H33">SUM(D31:D33/SUM(C31:C33))</f>
        <v>0.2857142857142857</v>
      </c>
    </row>
    <row r="34" spans="1:8" x14ac:dyDescent="0.35">
      <c r="A34" s="20">
        <v>202204</v>
      </c>
      <c r="B34" s="17">
        <v>44652</v>
      </c>
      <c r="C34" s="30">
        <f>COUNTIFS('MAIN DATA, Orders'!$G:$G,"&lt;&gt;.",'MAIN DATA, Orders'!$Y:$Y,$A34,'MAIN DATA, Orders'!$D:$D,"United Kingdom")</f>
        <v>3</v>
      </c>
      <c r="D34" s="30">
        <f>COUNTIFS('MAIN DATA, Orders'!$G:$G,"&lt;&gt;.",'MAIN DATA, Orders'!$Y:$Y,$A34,'MAIN DATA, Orders'!$D:$D,"United Kingdom",'MAIN DATA, Orders'!$R:$R,"")</f>
        <v>2</v>
      </c>
      <c r="E34" s="7">
        <f t="shared" ref="E34:E37" si="4">D34/C34</f>
        <v>0.66666666666666663</v>
      </c>
      <c r="G34" s="205">
        <v>44652</v>
      </c>
      <c r="H34" s="200" cm="1">
        <f t="array" ref="H34">SUM(D32:D34/SUM(C32:C34))</f>
        <v>0.5</v>
      </c>
    </row>
    <row r="35" spans="1:8" x14ac:dyDescent="0.35">
      <c r="A35" s="20">
        <v>202205</v>
      </c>
      <c r="B35" s="17">
        <v>44682</v>
      </c>
      <c r="C35" s="30">
        <f>COUNTIFS('MAIN DATA, Orders'!$G:$G,"&lt;&gt;.",'MAIN DATA, Orders'!$Y:$Y,$A35,'MAIN DATA, Orders'!$D:$D,"United Kingdom")</f>
        <v>3</v>
      </c>
      <c r="D35" s="30">
        <f>COUNTIFS('MAIN DATA, Orders'!$G:$G,"&lt;&gt;.",'MAIN DATA, Orders'!$Y:$Y,$A35,'MAIN DATA, Orders'!$D:$D,"United Kingdom",'MAIN DATA, Orders'!$R:$R,"")</f>
        <v>3</v>
      </c>
      <c r="E35" s="7">
        <f t="shared" si="4"/>
        <v>1</v>
      </c>
      <c r="G35" s="205">
        <v>44682</v>
      </c>
      <c r="H35" s="200" cm="1">
        <f t="array" ref="H35">SUM(D33:D35/SUM(C33:C35))</f>
        <v>0.625</v>
      </c>
    </row>
    <row r="36" spans="1:8" x14ac:dyDescent="0.35">
      <c r="A36" s="20">
        <v>202206</v>
      </c>
      <c r="B36" s="17">
        <v>44713</v>
      </c>
      <c r="C36" s="30">
        <f>COUNTIFS('MAIN DATA, Orders'!$G:$G,"&lt;&gt;.",'MAIN DATA, Orders'!$Y:$Y,$A36,'MAIN DATA, Orders'!$D:$D,"United Kingdom")</f>
        <v>2</v>
      </c>
      <c r="D36" s="30">
        <f>COUNTIFS('MAIN DATA, Orders'!$G:$G,"&lt;&gt;.",'MAIN DATA, Orders'!$Y:$Y,$A36,'MAIN DATA, Orders'!$D:$D,"United Kingdom",'MAIN DATA, Orders'!$R:$R,"")</f>
        <v>1</v>
      </c>
      <c r="E36" s="7">
        <f t="shared" si="4"/>
        <v>0.5</v>
      </c>
      <c r="G36" s="205">
        <v>44713</v>
      </c>
      <c r="H36" s="200" cm="1">
        <f t="array" ref="H36">SUM(D34:D36/SUM(C34:C36))</f>
        <v>0.75</v>
      </c>
    </row>
    <row r="37" spans="1:8" x14ac:dyDescent="0.35">
      <c r="A37" s="20">
        <v>202207</v>
      </c>
      <c r="B37" s="17">
        <v>44743</v>
      </c>
      <c r="C37" s="30">
        <f>COUNTIFS('MAIN DATA, Orders'!$G:$G,"&lt;&gt;.",'MAIN DATA, Orders'!$Y:$Y,$A37,'MAIN DATA, Orders'!$D:$D,"United Kingdom")</f>
        <v>4</v>
      </c>
      <c r="D37" s="30">
        <f>COUNTIFS('MAIN DATA, Orders'!$G:$G,"&lt;&gt;.",'MAIN DATA, Orders'!$Y:$Y,$A37,'MAIN DATA, Orders'!$D:$D,"United Kingdom",'MAIN DATA, Orders'!$R:$R,"")</f>
        <v>3</v>
      </c>
      <c r="E37" s="7">
        <f t="shared" si="4"/>
        <v>0.75</v>
      </c>
      <c r="G37" s="205">
        <v>44743</v>
      </c>
      <c r="H37" s="200" cm="1">
        <f t="array" ref="H37">SUM(D35:D37/SUM(C35:C37))</f>
        <v>0.77777777777777768</v>
      </c>
    </row>
    <row r="38" spans="1:8" x14ac:dyDescent="0.35">
      <c r="A38" s="20">
        <v>202208</v>
      </c>
      <c r="B38" s="17">
        <v>44774</v>
      </c>
      <c r="C38" s="30">
        <f>COUNTIFS('MAIN DATA, Orders'!$G:$G,"&lt;&gt;.",'MAIN DATA, Orders'!$Y:$Y,$A38,'MAIN DATA, Orders'!$D:$D,"United Kingdom")</f>
        <v>0</v>
      </c>
      <c r="D38" s="30">
        <f>COUNTIFS('MAIN DATA, Orders'!$G:$G,"&lt;&gt;.",'MAIN DATA, Orders'!$Y:$Y,$A38,'MAIN DATA, Orders'!$D:$D,"United Kingdom",'MAIN DATA, Orders'!$R:$R,"")</f>
        <v>0</v>
      </c>
      <c r="E38" s="7"/>
      <c r="G38" s="205">
        <v>44774</v>
      </c>
      <c r="H38" s="200" cm="1">
        <f t="array" ref="H38">SUM(D36:D38/SUM(C36:C38))</f>
        <v>0.66666666666666663</v>
      </c>
    </row>
    <row r="39" spans="1:8" x14ac:dyDescent="0.35">
      <c r="A39" s="20">
        <v>202209</v>
      </c>
      <c r="B39" s="17">
        <v>44805</v>
      </c>
      <c r="C39" s="30">
        <f>COUNTIFS('MAIN DATA, Orders'!$G:$G,"&lt;&gt;.",'MAIN DATA, Orders'!$Y:$Y,$A39,'MAIN DATA, Orders'!$D:$D,"United Kingdom")</f>
        <v>1</v>
      </c>
      <c r="D39" s="30">
        <f>COUNTIFS('MAIN DATA, Orders'!$G:$G,"&lt;&gt;.",'MAIN DATA, Orders'!$Y:$Y,$A39,'MAIN DATA, Orders'!$D:$D,"United Kingdom",'MAIN DATA, Orders'!$R:$R,"")</f>
        <v>0</v>
      </c>
      <c r="E39" s="7">
        <f t="shared" ref="E39:E42" si="5">D39/C39</f>
        <v>0</v>
      </c>
      <c r="G39" s="205">
        <v>44805</v>
      </c>
      <c r="H39" s="200" cm="1">
        <f t="array" ref="H39">SUM(D37:D39/SUM(C37:C39))</f>
        <v>0.6</v>
      </c>
    </row>
    <row r="40" spans="1:8" x14ac:dyDescent="0.35">
      <c r="A40" s="20">
        <v>202210</v>
      </c>
      <c r="B40" s="17">
        <v>44835</v>
      </c>
      <c r="C40" s="30">
        <f>COUNTIFS('MAIN DATA, Orders'!$G:$G,"&lt;&gt;.",'MAIN DATA, Orders'!$Y:$Y,$A40,'MAIN DATA, Orders'!$D:$D,"United Kingdom")</f>
        <v>2</v>
      </c>
      <c r="D40" s="30">
        <f>COUNTIFS('MAIN DATA, Orders'!$G:$G,"&lt;&gt;.",'MAIN DATA, Orders'!$Y:$Y,$A40,'MAIN DATA, Orders'!$D:$D,"United Kingdom",'MAIN DATA, Orders'!$R:$R,"")</f>
        <v>1</v>
      </c>
      <c r="E40" s="7">
        <f t="shared" si="5"/>
        <v>0.5</v>
      </c>
      <c r="G40" s="205">
        <v>44835</v>
      </c>
      <c r="H40" s="200" cm="1">
        <f t="array" ref="H40">SUM(D38:D40/SUM(C38:C40))</f>
        <v>0.33333333333333331</v>
      </c>
    </row>
    <row r="41" spans="1:8" x14ac:dyDescent="0.35">
      <c r="A41" s="20">
        <v>202211</v>
      </c>
      <c r="B41" s="17">
        <v>44866</v>
      </c>
      <c r="C41" s="30">
        <f>COUNTIFS('MAIN DATA, Orders'!$G:$G,"&lt;&gt;.",'MAIN DATA, Orders'!$Y:$Y,$A41,'MAIN DATA, Orders'!$D:$D,"United Kingdom")</f>
        <v>3</v>
      </c>
      <c r="D41" s="30">
        <f>COUNTIFS('MAIN DATA, Orders'!$G:$G,"&lt;&gt;.",'MAIN DATA, Orders'!$Y:$Y,$A41,'MAIN DATA, Orders'!$D:$D,"United Kingdom",'MAIN DATA, Orders'!$R:$R,"")</f>
        <v>1</v>
      </c>
      <c r="E41" s="7">
        <f t="shared" si="5"/>
        <v>0.33333333333333331</v>
      </c>
      <c r="G41" s="205">
        <v>44866</v>
      </c>
      <c r="H41" s="200" cm="1">
        <f t="array" ref="H41">SUM(D39:D41/SUM(C39:C41))</f>
        <v>0.33333333333333331</v>
      </c>
    </row>
    <row r="42" spans="1:8" x14ac:dyDescent="0.35">
      <c r="A42" s="20">
        <v>202212</v>
      </c>
      <c r="B42" s="17">
        <v>44896</v>
      </c>
      <c r="C42" s="30">
        <f>COUNTIFS('MAIN DATA, Orders'!$G:$G,"&lt;&gt;.",'MAIN DATA, Orders'!$Y:$Y,$A42,'MAIN DATA, Orders'!$D:$D,"United Kingdom")</f>
        <v>5</v>
      </c>
      <c r="D42" s="30">
        <f>COUNTIFS('MAIN DATA, Orders'!$G:$G,"&lt;&gt;.",'MAIN DATA, Orders'!$Y:$Y,$A42,'MAIN DATA, Orders'!$D:$D,"United Kingdom",'MAIN DATA, Orders'!$R:$R,"")</f>
        <v>1</v>
      </c>
      <c r="E42" s="7">
        <f t="shared" si="5"/>
        <v>0.2</v>
      </c>
      <c r="G42" s="205">
        <v>44896</v>
      </c>
      <c r="H42" s="200" cm="1">
        <f t="array" ref="H42">SUM(D40:D42/SUM(C40:C42))</f>
        <v>0.30000000000000004</v>
      </c>
    </row>
    <row r="43" spans="1:8" x14ac:dyDescent="0.35">
      <c r="A43" s="20">
        <v>202301</v>
      </c>
      <c r="B43" s="17">
        <v>44927</v>
      </c>
      <c r="C43" s="30">
        <f>COUNTIFS('MAIN DATA, Orders'!$G:$G,"&lt;&gt;.",'MAIN DATA, Orders'!$Y:$Y,$A43,'MAIN DATA, Orders'!$D:$D,"United Kingdom")</f>
        <v>2</v>
      </c>
      <c r="D43" s="30">
        <f>COUNTIFS('MAIN DATA, Orders'!$G:$G,"&lt;&gt;.",'MAIN DATA, Orders'!$Y:$Y,$A43,'MAIN DATA, Orders'!$D:$D,"United Kingdom",'MAIN DATA, Orders'!$R:$R,"")</f>
        <v>1</v>
      </c>
      <c r="E43" s="7"/>
      <c r="G43" s="205">
        <v>44927</v>
      </c>
      <c r="H43" s="200" cm="1">
        <f t="array" ref="H43">SUM(D41:D43/SUM(C41:C43))</f>
        <v>0.30000000000000004</v>
      </c>
    </row>
    <row r="44" spans="1:8" x14ac:dyDescent="0.35">
      <c r="A44" s="20">
        <v>202302</v>
      </c>
      <c r="B44" s="17">
        <v>44958</v>
      </c>
      <c r="C44" s="30">
        <f>COUNTIFS('MAIN DATA, Orders'!$G:$G,"&lt;&gt;.",'MAIN DATA, Orders'!$Y:$Y,$A44,'MAIN DATA, Orders'!$D:$D,"United Kingdom")</f>
        <v>3</v>
      </c>
      <c r="D44" s="30">
        <f>COUNTIFS('MAIN DATA, Orders'!$G:$G,"&lt;&gt;.",'MAIN DATA, Orders'!$Y:$Y,$A44,'MAIN DATA, Orders'!$D:$D,"United Kingdom",'MAIN DATA, Orders'!$R:$R,"")</f>
        <v>0</v>
      </c>
      <c r="E44" s="7">
        <f t="shared" ref="E44:E49" si="6">D44/C44</f>
        <v>0</v>
      </c>
      <c r="G44" s="205">
        <v>44958</v>
      </c>
      <c r="H44" s="200" cm="1">
        <f t="array" ref="H44">SUM(D42:D44/SUM(C42:C44))</f>
        <v>0.2</v>
      </c>
    </row>
    <row r="45" spans="1:8" x14ac:dyDescent="0.35">
      <c r="A45" s="20">
        <v>202303</v>
      </c>
      <c r="B45" s="17">
        <v>44986</v>
      </c>
      <c r="C45" s="30">
        <f>COUNTIFS('MAIN DATA, Orders'!$G:$G,"&lt;&gt;.",'MAIN DATA, Orders'!$Y:$Y,$A45,'MAIN DATA, Orders'!$D:$D,"United Kingdom")</f>
        <v>3</v>
      </c>
      <c r="D45" s="30">
        <f>COUNTIFS('MAIN DATA, Orders'!$G:$G,"&lt;&gt;.",'MAIN DATA, Orders'!$Y:$Y,$A45,'MAIN DATA, Orders'!$D:$D,"United Kingdom",'MAIN DATA, Orders'!$R:$R,"")</f>
        <v>1</v>
      </c>
      <c r="E45" s="7">
        <f t="shared" si="6"/>
        <v>0.33333333333333331</v>
      </c>
      <c r="G45" s="205">
        <v>44986</v>
      </c>
      <c r="H45" s="200" cm="1">
        <f t="array" ref="H45">SUM(D43:D45/SUM(C43:C45))</f>
        <v>0.25</v>
      </c>
    </row>
    <row r="46" spans="1:8" x14ac:dyDescent="0.35">
      <c r="A46" s="20">
        <v>202304</v>
      </c>
      <c r="B46" s="17">
        <v>45017</v>
      </c>
      <c r="C46" s="30">
        <f>COUNTIFS('MAIN DATA, Orders'!$G:$G,"&lt;&gt;.",'MAIN DATA, Orders'!$Y:$Y,$A46,'MAIN DATA, Orders'!$D:$D,"United Kingdom")</f>
        <v>2</v>
      </c>
      <c r="D46" s="30">
        <f>COUNTIFS('MAIN DATA, Orders'!$G:$G,"&lt;&gt;.",'MAIN DATA, Orders'!$Y:$Y,$A46,'MAIN DATA, Orders'!$D:$D,"United Kingdom",'MAIN DATA, Orders'!$R:$R,"")</f>
        <v>0</v>
      </c>
      <c r="E46" s="7">
        <f t="shared" si="6"/>
        <v>0</v>
      </c>
      <c r="G46" s="205">
        <v>45017</v>
      </c>
      <c r="H46" s="200" cm="1">
        <f t="array" ref="H46">SUM(D44:D46/SUM(C44:C46))</f>
        <v>0.125</v>
      </c>
    </row>
    <row r="47" spans="1:8" x14ac:dyDescent="0.35">
      <c r="A47" s="20">
        <v>202305</v>
      </c>
      <c r="B47" s="17">
        <v>45047</v>
      </c>
      <c r="C47" s="30">
        <f>COUNTIFS('MAIN DATA, Orders'!$G:$G,"&lt;&gt;.",'MAIN DATA, Orders'!$Y:$Y,$A47,'MAIN DATA, Orders'!$D:$D,"United Kingdom")</f>
        <v>2</v>
      </c>
      <c r="D47" s="30">
        <f>COUNTIFS('MAIN DATA, Orders'!$G:$G,"&lt;&gt;.",'MAIN DATA, Orders'!$Y:$Y,$A47,'MAIN DATA, Orders'!$D:$D,"United Kingdom",'MAIN DATA, Orders'!$R:$R,"")</f>
        <v>0</v>
      </c>
      <c r="E47" s="7">
        <f t="shared" si="6"/>
        <v>0</v>
      </c>
      <c r="G47" s="205">
        <v>45047</v>
      </c>
      <c r="H47" s="200" cm="1">
        <f t="array" ref="H47">SUM(D45:D47/SUM(C45:C47))</f>
        <v>0.14285714285714285</v>
      </c>
    </row>
    <row r="48" spans="1:8" x14ac:dyDescent="0.35">
      <c r="A48" s="20">
        <v>202306</v>
      </c>
      <c r="B48" s="17">
        <v>45078</v>
      </c>
      <c r="C48" s="30">
        <f>COUNTIFS('MAIN DATA, Orders'!$G:$G,"&lt;&gt;.",'MAIN DATA, Orders'!$Y:$Y,$A48,'MAIN DATA, Orders'!$D:$D,"United Kingdom")</f>
        <v>3</v>
      </c>
      <c r="D48" s="30">
        <f>COUNTIFS('MAIN DATA, Orders'!$G:$G,"&lt;&gt;.",'MAIN DATA, Orders'!$Y:$Y,$A48,'MAIN DATA, Orders'!$D:$D,"United Kingdom",'MAIN DATA, Orders'!$R:$R,"")</f>
        <v>1</v>
      </c>
      <c r="E48" s="7">
        <f t="shared" si="6"/>
        <v>0.33333333333333331</v>
      </c>
      <c r="G48" s="205">
        <v>45078</v>
      </c>
      <c r="H48" s="200" cm="1">
        <f t="array" ref="H48">SUM(D46:D48/SUM(C46:C48))</f>
        <v>0.14285714285714285</v>
      </c>
    </row>
    <row r="49" spans="1:8" x14ac:dyDescent="0.35">
      <c r="A49" s="20">
        <v>202307</v>
      </c>
      <c r="B49" s="17">
        <v>45108</v>
      </c>
      <c r="C49" s="30">
        <f>COUNTIFS('MAIN DATA, Orders'!$G:$G,"&lt;&gt;.",'MAIN DATA, Orders'!$Y:$Y,$A49,'MAIN DATA, Orders'!$D:$D,"United Kingdom")</f>
        <v>4</v>
      </c>
      <c r="D49" s="30">
        <f>COUNTIFS('MAIN DATA, Orders'!$G:$G,"&lt;&gt;.",'MAIN DATA, Orders'!$Y:$Y,$A49,'MAIN DATA, Orders'!$D:$D,"United Kingdom",'MAIN DATA, Orders'!$R:$R,"")</f>
        <v>1</v>
      </c>
      <c r="E49" s="7">
        <f t="shared" si="6"/>
        <v>0.25</v>
      </c>
      <c r="G49" s="205">
        <v>45108</v>
      </c>
      <c r="H49" s="200" cm="1">
        <f t="array" ref="H49">SUM(D47:D49/SUM(C47:C49))</f>
        <v>0.22222222222222221</v>
      </c>
    </row>
    <row r="50" spans="1:8" x14ac:dyDescent="0.35">
      <c r="A50" s="20">
        <v>202308</v>
      </c>
      <c r="B50" s="17">
        <v>45139</v>
      </c>
      <c r="C50" s="30">
        <f>COUNTIFS('MAIN DATA, Orders'!$G:$G,"&lt;&gt;.",'MAIN DATA, Orders'!$Y:$Y,$A50,'MAIN DATA, Orders'!$D:$D,"United Kingdom")</f>
        <v>1</v>
      </c>
      <c r="D50" s="30">
        <f>COUNTIFS('MAIN DATA, Orders'!$G:$G,"&lt;&gt;.",'MAIN DATA, Orders'!$Y:$Y,$A50,'MAIN DATA, Orders'!$D:$D,"United Kingdom",'MAIN DATA, Orders'!$R:$R,"")</f>
        <v>1</v>
      </c>
      <c r="E50" s="7"/>
      <c r="G50" s="205">
        <v>45139</v>
      </c>
      <c r="H50" s="200" cm="1">
        <f t="array" ref="H50">SUM(D48:D50/SUM(C48:C50))</f>
        <v>0.375</v>
      </c>
    </row>
    <row r="51" spans="1:8" x14ac:dyDescent="0.35">
      <c r="A51" s="20">
        <v>202309</v>
      </c>
      <c r="B51" s="17">
        <v>45170</v>
      </c>
      <c r="C51" s="30">
        <f>COUNTIFS('MAIN DATA, Orders'!$G:$G,"&lt;&gt;.",'MAIN DATA, Orders'!$Y:$Y,$A51,'MAIN DATA, Orders'!$D:$D,"United Kingdom")</f>
        <v>2</v>
      </c>
      <c r="D51" s="30">
        <f>COUNTIFS('MAIN DATA, Orders'!$G:$G,"&lt;&gt;.",'MAIN DATA, Orders'!$Y:$Y,$A51,'MAIN DATA, Orders'!$D:$D,"United Kingdom",'MAIN DATA, Orders'!$R:$R,"")</f>
        <v>2</v>
      </c>
      <c r="E51" s="7">
        <f t="shared" ref="E51:E57" si="7">D51/C51</f>
        <v>1</v>
      </c>
      <c r="G51" s="205">
        <v>45170</v>
      </c>
      <c r="H51" s="200" cm="1">
        <f t="array" ref="H51">SUM(D49:D51/SUM(C49:C51))</f>
        <v>0.5714285714285714</v>
      </c>
    </row>
    <row r="52" spans="1:8" x14ac:dyDescent="0.35">
      <c r="A52" s="20">
        <v>202310</v>
      </c>
      <c r="B52" s="17">
        <v>45200</v>
      </c>
      <c r="C52" s="30">
        <f>COUNTIFS('MAIN DATA, Orders'!$G:$G,"&lt;&gt;.",'MAIN DATA, Orders'!$Y:$Y,$A52,'MAIN DATA, Orders'!$D:$D,"United Kingdom")</f>
        <v>2</v>
      </c>
      <c r="D52" s="30">
        <f>COUNTIFS('MAIN DATA, Orders'!$G:$G,"&lt;&gt;.",'MAIN DATA, Orders'!$Y:$Y,$A52,'MAIN DATA, Orders'!$D:$D,"United Kingdom",'MAIN DATA, Orders'!$R:$R,"")</f>
        <v>1</v>
      </c>
      <c r="E52" s="7">
        <f t="shared" si="7"/>
        <v>0.5</v>
      </c>
      <c r="G52" s="205">
        <v>45200</v>
      </c>
      <c r="H52" s="200" cm="1">
        <f t="array" ref="H52">SUM(D50:D52/SUM(C50:C52))</f>
        <v>0.8</v>
      </c>
    </row>
    <row r="53" spans="1:8" x14ac:dyDescent="0.35">
      <c r="A53" s="20">
        <v>202311</v>
      </c>
      <c r="B53" s="17">
        <v>45231</v>
      </c>
      <c r="C53" s="30">
        <f>COUNTIFS('MAIN DATA, Orders'!$G:$G,"&lt;&gt;.",'MAIN DATA, Orders'!$Y:$Y,$A53,'MAIN DATA, Orders'!$D:$D,"United Kingdom")</f>
        <v>3</v>
      </c>
      <c r="D53" s="30">
        <f>COUNTIFS('MAIN DATA, Orders'!$G:$G,"&lt;&gt;.",'MAIN DATA, Orders'!$Y:$Y,$A53,'MAIN DATA, Orders'!$D:$D,"United Kingdom",'MAIN DATA, Orders'!$R:$R,"")</f>
        <v>3</v>
      </c>
      <c r="E53" s="7">
        <f t="shared" si="7"/>
        <v>1</v>
      </c>
      <c r="G53" s="205">
        <v>45231</v>
      </c>
      <c r="H53" s="200" cm="1">
        <f t="array" ref="H53">SUM(D51:D53/SUM(C51:C53))</f>
        <v>0.8571428571428571</v>
      </c>
    </row>
    <row r="54" spans="1:8" x14ac:dyDescent="0.35">
      <c r="A54" s="20">
        <v>202312</v>
      </c>
      <c r="B54" s="17">
        <v>45261</v>
      </c>
      <c r="C54" s="30">
        <f>COUNTIFS('MAIN DATA, Orders'!$G:$G,"&lt;&gt;.",'MAIN DATA, Orders'!$Y:$Y,$A54,'MAIN DATA, Orders'!$D:$D,"United Kingdom")</f>
        <v>2</v>
      </c>
      <c r="D54" s="30">
        <f>COUNTIFS('MAIN DATA, Orders'!$G:$G,"&lt;&gt;.",'MAIN DATA, Orders'!$Y:$Y,$A54,'MAIN DATA, Orders'!$D:$D,"United Kingdom",'MAIN DATA, Orders'!$R:$R,"")</f>
        <v>0</v>
      </c>
      <c r="E54" s="7">
        <f t="shared" si="7"/>
        <v>0</v>
      </c>
      <c r="G54" s="205">
        <v>45261</v>
      </c>
      <c r="H54" s="200" cm="1">
        <f t="array" ref="H54">SUM(D52:D54/SUM(C52:C54))</f>
        <v>0.5714285714285714</v>
      </c>
    </row>
    <row r="55" spans="1:8" x14ac:dyDescent="0.35">
      <c r="A55" s="20">
        <v>202401</v>
      </c>
      <c r="B55" s="17">
        <v>45292</v>
      </c>
      <c r="C55" s="30">
        <f>COUNTIFS('MAIN DATA, Orders'!$G:$G,"&lt;&gt;.",'MAIN DATA, Orders'!$Y:$Y,$A55,'MAIN DATA, Orders'!$D:$D,"United Kingdom")</f>
        <v>3</v>
      </c>
      <c r="D55" s="30">
        <f>COUNTIFS('MAIN DATA, Orders'!$G:$G,"&lt;&gt;.",'MAIN DATA, Orders'!$Y:$Y,$A55,'MAIN DATA, Orders'!$D:$D,"United Kingdom",'MAIN DATA, Orders'!$R:$R,"")</f>
        <v>1</v>
      </c>
      <c r="E55" s="7">
        <f t="shared" si="7"/>
        <v>0.33333333333333331</v>
      </c>
      <c r="G55" s="205">
        <v>45292</v>
      </c>
      <c r="H55" s="200" cm="1">
        <f t="array" ref="H55">SUM(D53:D55/SUM(C53:C55))</f>
        <v>0.5</v>
      </c>
    </row>
    <row r="56" spans="1:8" x14ac:dyDescent="0.35">
      <c r="A56" s="20">
        <v>202402</v>
      </c>
      <c r="B56" s="17">
        <v>45323</v>
      </c>
      <c r="C56" s="30">
        <f>COUNTIFS('MAIN DATA, Orders'!$G:$G,"&lt;&gt;.",'MAIN DATA, Orders'!$Y:$Y,$A56,'MAIN DATA, Orders'!$D:$D,"United Kingdom")</f>
        <v>5</v>
      </c>
      <c r="D56" s="30">
        <f>COUNTIFS('MAIN DATA, Orders'!$G:$G,"&lt;&gt;.",'MAIN DATA, Orders'!$Y:$Y,$A56,'MAIN DATA, Orders'!$D:$D,"United Kingdom",'MAIN DATA, Orders'!$R:$R,"")</f>
        <v>3</v>
      </c>
      <c r="E56" s="7">
        <f t="shared" si="7"/>
        <v>0.6</v>
      </c>
      <c r="G56" s="205">
        <v>45323</v>
      </c>
      <c r="H56" s="200" cm="1">
        <f t="array" ref="H56">SUM(D54:D56/SUM(C54:C56))</f>
        <v>0.4</v>
      </c>
    </row>
    <row r="57" spans="1:8" x14ac:dyDescent="0.35">
      <c r="A57" s="20">
        <v>202403</v>
      </c>
      <c r="B57" s="17">
        <v>45352</v>
      </c>
      <c r="C57" s="30">
        <f>COUNTIFS('MAIN DATA, Orders'!$G:$G,"&lt;&gt;.",'MAIN DATA, Orders'!$Y:$Y,$A57,'MAIN DATA, Orders'!$D:$D,"United Kingdom")</f>
        <v>5</v>
      </c>
      <c r="D57" s="30">
        <f>COUNTIFS('MAIN DATA, Orders'!$G:$G,"&lt;&gt;.",'MAIN DATA, Orders'!$Y:$Y,$A57,'MAIN DATA, Orders'!$D:$D,"United Kingdom",'MAIN DATA, Orders'!$R:$R,"")</f>
        <v>2</v>
      </c>
      <c r="E57" s="7">
        <f t="shared" si="7"/>
        <v>0.4</v>
      </c>
      <c r="G57" s="205">
        <v>45352</v>
      </c>
      <c r="H57" s="200" cm="1">
        <f t="array" ref="H57">SUM(D55:D57/SUM(C55:C57))</f>
        <v>0.46153846153846156</v>
      </c>
    </row>
    <row r="58" spans="1:8" x14ac:dyDescent="0.35">
      <c r="A58" s="20">
        <v>202404</v>
      </c>
      <c r="B58" s="17">
        <v>45383</v>
      </c>
      <c r="C58" s="30">
        <f>COUNTIFS('MAIN DATA, Orders'!$G:$G,"&lt;&gt;.",'MAIN DATA, Orders'!$Y:$Y,$A58,'MAIN DATA, Orders'!$D:$D,"United Kingdom")</f>
        <v>3</v>
      </c>
      <c r="D58" s="30">
        <f>COUNTIFS('MAIN DATA, Orders'!$G:$G,"&lt;&gt;.",'MAIN DATA, Orders'!$Y:$Y,$A58,'MAIN DATA, Orders'!$D:$D,"United Kingdom",'MAIN DATA, Orders'!$R:$R,"")</f>
        <v>2</v>
      </c>
      <c r="E58" s="7">
        <f t="shared" ref="E58:E79" si="8">D58/C58</f>
        <v>0.66666666666666663</v>
      </c>
      <c r="G58" s="205">
        <v>45383</v>
      </c>
      <c r="H58" s="200" cm="1">
        <f t="array" ref="H58">SUM(D56:D58/SUM(C56:C58))</f>
        <v>0.53846153846153855</v>
      </c>
    </row>
    <row r="59" spans="1:8" x14ac:dyDescent="0.35">
      <c r="A59" s="20">
        <v>202405</v>
      </c>
      <c r="B59" s="17">
        <v>45413</v>
      </c>
      <c r="C59" s="30">
        <f>COUNTIFS('MAIN DATA, Orders'!$G:$G,"&lt;&gt;.",'MAIN DATA, Orders'!$Y:$Y,$A59,'MAIN DATA, Orders'!$D:$D,"United Kingdom")</f>
        <v>1</v>
      </c>
      <c r="D59" s="30">
        <f>COUNTIFS('MAIN DATA, Orders'!$G:$G,"&lt;&gt;.",'MAIN DATA, Orders'!$Y:$Y,$A59,'MAIN DATA, Orders'!$D:$D,"United Kingdom",'MAIN DATA, Orders'!$R:$R,"")</f>
        <v>1</v>
      </c>
      <c r="E59" s="7">
        <f t="shared" si="8"/>
        <v>1</v>
      </c>
      <c r="G59" s="205">
        <v>45413</v>
      </c>
      <c r="H59" s="200" cm="1">
        <f t="array" ref="H59">SUM(D57:D59/SUM(C57:C59))</f>
        <v>0.55555555555555558</v>
      </c>
    </row>
    <row r="60" spans="1:8" x14ac:dyDescent="0.35">
      <c r="A60" s="20">
        <v>202406</v>
      </c>
      <c r="B60" s="17">
        <v>45444</v>
      </c>
      <c r="C60" s="30">
        <f>COUNTIFS('MAIN DATA, Orders'!$G:$G,"&lt;&gt;.",'MAIN DATA, Orders'!$Y:$Y,$A60,'MAIN DATA, Orders'!$D:$D,"United Kingdom")</f>
        <v>0</v>
      </c>
      <c r="D60" s="30">
        <f>COUNTIFS('MAIN DATA, Orders'!$G:$G,"&lt;&gt;.",'MAIN DATA, Orders'!$Y:$Y,$A60,'MAIN DATA, Orders'!$D:$D,"United Kingdom",'MAIN DATA, Orders'!$R:$R,"")</f>
        <v>0</v>
      </c>
      <c r="E60" s="7"/>
      <c r="G60" s="205">
        <v>45444</v>
      </c>
      <c r="H60" s="200" cm="1">
        <f t="array" ref="H60">SUM(D58:D60/SUM(C58:C60))</f>
        <v>0.75</v>
      </c>
    </row>
    <row r="61" spans="1:8" x14ac:dyDescent="0.35">
      <c r="A61" s="20">
        <v>202407</v>
      </c>
      <c r="B61" s="17">
        <v>45474</v>
      </c>
      <c r="C61" s="30">
        <f>COUNTIFS('MAIN DATA, Orders'!$G:$G,"&lt;&gt;.",'MAIN DATA, Orders'!$Y:$Y,$A61,'MAIN DATA, Orders'!$D:$D,"United Kingdom")</f>
        <v>2</v>
      </c>
      <c r="D61" s="30">
        <f>COUNTIFS('MAIN DATA, Orders'!$G:$G,"&lt;&gt;.",'MAIN DATA, Orders'!$Y:$Y,$A61,'MAIN DATA, Orders'!$D:$D,"United Kingdom",'MAIN DATA, Orders'!$R:$R,"")</f>
        <v>1</v>
      </c>
      <c r="E61" s="7">
        <f t="shared" si="8"/>
        <v>0.5</v>
      </c>
      <c r="G61" s="205">
        <v>45474</v>
      </c>
      <c r="H61" s="200" cm="1">
        <f t="array" ref="H61">SUM(D59:D61/SUM(C59:C61))</f>
        <v>0.66666666666666663</v>
      </c>
    </row>
    <row r="62" spans="1:8" x14ac:dyDescent="0.35">
      <c r="A62" s="20">
        <v>202408</v>
      </c>
      <c r="B62" s="17">
        <v>45505</v>
      </c>
      <c r="C62" s="30">
        <f>COUNTIFS('MAIN DATA, Orders'!$G:$G,"&lt;&gt;.",'MAIN DATA, Orders'!$Y:$Y,$A62,'MAIN DATA, Orders'!$D:$D,"United Kingdom")</f>
        <v>2</v>
      </c>
      <c r="D62" s="30">
        <f>COUNTIFS('MAIN DATA, Orders'!$G:$G,"&lt;&gt;.",'MAIN DATA, Orders'!$Y:$Y,$A62,'MAIN DATA, Orders'!$D:$D,"United Kingdom",'MAIN DATA, Orders'!$R:$R,"")</f>
        <v>1</v>
      </c>
      <c r="E62" s="7">
        <f t="shared" si="8"/>
        <v>0.5</v>
      </c>
      <c r="G62" s="205">
        <v>45505</v>
      </c>
      <c r="H62" s="200" cm="1">
        <f t="array" ref="H62">SUM(D60:D62/SUM(C60:C62))</f>
        <v>0.5</v>
      </c>
    </row>
    <row r="63" spans="1:8" x14ac:dyDescent="0.35">
      <c r="A63" s="20">
        <v>202409</v>
      </c>
      <c r="B63" s="17">
        <v>45536</v>
      </c>
      <c r="C63" s="30">
        <f>COUNTIFS('MAIN DATA, Orders'!$G:$G,"&lt;&gt;.",'MAIN DATA, Orders'!$Y:$Y,$A63,'MAIN DATA, Orders'!$D:$D,"United Kingdom")</f>
        <v>3</v>
      </c>
      <c r="D63" s="30">
        <f>COUNTIFS('MAIN DATA, Orders'!$G:$G,"&lt;&gt;.",'MAIN DATA, Orders'!$Y:$Y,$A63,'MAIN DATA, Orders'!$D:$D,"United Kingdom",'MAIN DATA, Orders'!$R:$R,"")</f>
        <v>2</v>
      </c>
      <c r="E63" s="7">
        <f t="shared" si="8"/>
        <v>0.66666666666666663</v>
      </c>
      <c r="G63" s="205">
        <v>45536</v>
      </c>
      <c r="H63" s="200" cm="1">
        <f t="array" ref="H63">SUM(D61:D63/SUM(C61:C63))</f>
        <v>0.5714285714285714</v>
      </c>
    </row>
    <row r="64" spans="1:8" x14ac:dyDescent="0.35">
      <c r="A64" s="20">
        <v>202410</v>
      </c>
      <c r="B64" s="17">
        <v>45566</v>
      </c>
      <c r="C64" s="30">
        <f>COUNTIFS('MAIN DATA, Orders'!$G:$G,"&lt;&gt;.",'MAIN DATA, Orders'!$Y:$Y,$A64,'MAIN DATA, Orders'!$D:$D,"United Kingdom")</f>
        <v>1</v>
      </c>
      <c r="D64" s="30">
        <f>COUNTIFS('MAIN DATA, Orders'!$G:$G,"&lt;&gt;.",'MAIN DATA, Orders'!$Y:$Y,$A64,'MAIN DATA, Orders'!$D:$D,"United Kingdom",'MAIN DATA, Orders'!$R:$R,"")</f>
        <v>1</v>
      </c>
      <c r="E64" s="7">
        <f t="shared" si="8"/>
        <v>1</v>
      </c>
      <c r="G64" s="205">
        <v>45566</v>
      </c>
      <c r="H64" s="200" cm="1">
        <f t="array" ref="H64">SUM(D62:D64/SUM(C62:C64))</f>
        <v>0.66666666666666663</v>
      </c>
    </row>
    <row r="65" spans="1:8" x14ac:dyDescent="0.35">
      <c r="A65" s="20">
        <v>202411</v>
      </c>
      <c r="B65" s="17">
        <v>45597</v>
      </c>
      <c r="C65" s="30">
        <f>COUNTIFS('MAIN DATA, Orders'!$G:$G,"&lt;&gt;.",'MAIN DATA, Orders'!$Y:$Y,$A65,'MAIN DATA, Orders'!$D:$D,"United Kingdom")</f>
        <v>1</v>
      </c>
      <c r="D65" s="30">
        <f>COUNTIFS('MAIN DATA, Orders'!$G:$G,"&lt;&gt;.",'MAIN DATA, Orders'!$Y:$Y,$A65,'MAIN DATA, Orders'!$D:$D,"United Kingdom",'MAIN DATA, Orders'!$R:$R,"")</f>
        <v>0</v>
      </c>
      <c r="E65" s="7">
        <f t="shared" si="8"/>
        <v>0</v>
      </c>
      <c r="G65" s="205">
        <v>45597</v>
      </c>
      <c r="H65" s="200" cm="1">
        <f t="array" ref="H65">SUM(D63:D65/SUM(C63:C65))</f>
        <v>0.60000000000000009</v>
      </c>
    </row>
    <row r="66" spans="1:8" x14ac:dyDescent="0.35">
      <c r="A66" s="20">
        <v>202412</v>
      </c>
      <c r="B66" s="17">
        <v>45627</v>
      </c>
      <c r="C66" s="30">
        <f>COUNTIFS('MAIN DATA, Orders'!$G:$G,"&lt;&gt;.",'MAIN DATA, Orders'!$Y:$Y,$A66,'MAIN DATA, Orders'!$D:$D,"United Kingdom")</f>
        <v>3</v>
      </c>
      <c r="D66" s="30">
        <f>COUNTIFS('MAIN DATA, Orders'!$G:$G,"&lt;&gt;.",'MAIN DATA, Orders'!$Y:$Y,$A66,'MAIN DATA, Orders'!$D:$D,"United Kingdom",'MAIN DATA, Orders'!$R:$R,"")</f>
        <v>2</v>
      </c>
      <c r="E66" s="7">
        <f t="shared" si="8"/>
        <v>0.66666666666666663</v>
      </c>
      <c r="G66" s="205">
        <v>45627</v>
      </c>
      <c r="H66" s="200" cm="1">
        <f t="array" ref="H66">SUM(D64:D66/SUM(C64:C66))</f>
        <v>0.60000000000000009</v>
      </c>
    </row>
    <row r="67" spans="1:8" x14ac:dyDescent="0.35">
      <c r="A67" s="20">
        <v>202501</v>
      </c>
      <c r="B67" s="17">
        <v>45658</v>
      </c>
      <c r="C67" s="30">
        <f>COUNTIFS('MAIN DATA, Orders'!$G:$G,"&lt;&gt;.",'MAIN DATA, Orders'!$Y:$Y,$A67,'MAIN DATA, Orders'!$D:$D,"United Kingdom")</f>
        <v>3</v>
      </c>
      <c r="D67" s="30">
        <f>COUNTIFS('MAIN DATA, Orders'!$G:$G,"&lt;&gt;.",'MAIN DATA, Orders'!$Y:$Y,$A67,'MAIN DATA, Orders'!$D:$D,"United Kingdom",'MAIN DATA, Orders'!$R:$R,"")</f>
        <v>2</v>
      </c>
      <c r="E67" s="7">
        <f t="shared" si="8"/>
        <v>0.66666666666666663</v>
      </c>
      <c r="G67" s="205">
        <v>45658</v>
      </c>
      <c r="H67" s="200" cm="1">
        <f t="array" ref="H67">SUM(D65:D67/SUM(C65:C67))</f>
        <v>0.5714285714285714</v>
      </c>
    </row>
    <row r="68" spans="1:8" x14ac:dyDescent="0.35">
      <c r="A68" s="20">
        <v>202502</v>
      </c>
      <c r="B68" s="17">
        <v>45689</v>
      </c>
      <c r="C68" s="30">
        <f>COUNTIFS('MAIN DATA, Orders'!$G:$G,"&lt;&gt;.",'MAIN DATA, Orders'!$Y:$Y,$A68,'MAIN DATA, Orders'!$D:$D,"United Kingdom")</f>
        <v>7</v>
      </c>
      <c r="D68" s="30">
        <f>COUNTIFS('MAIN DATA, Orders'!$G:$G,"&lt;&gt;.",'MAIN DATA, Orders'!$Y:$Y,$A68,'MAIN DATA, Orders'!$D:$D,"United Kingdom",'MAIN DATA, Orders'!$R:$R,"")</f>
        <v>5</v>
      </c>
      <c r="E68" s="7">
        <f t="shared" si="8"/>
        <v>0.7142857142857143</v>
      </c>
      <c r="G68" s="205">
        <v>45689</v>
      </c>
      <c r="H68" s="200" cm="1">
        <f t="array" ref="H68">SUM(D66:D68/SUM(C66:C68))</f>
        <v>0.69230769230769229</v>
      </c>
    </row>
    <row r="69" spans="1:8" x14ac:dyDescent="0.35">
      <c r="A69" s="20">
        <v>202503</v>
      </c>
      <c r="B69" s="17">
        <v>45717</v>
      </c>
      <c r="C69" s="30">
        <f>COUNTIFS('MAIN DATA, Orders'!$G:$G,"&lt;&gt;.",'MAIN DATA, Orders'!$Y:$Y,$A69,'MAIN DATA, Orders'!$D:$D,"United Kingdom")</f>
        <v>3</v>
      </c>
      <c r="D69" s="30">
        <f>COUNTIFS('MAIN DATA, Orders'!$G:$G,"&lt;&gt;.",'MAIN DATA, Orders'!$Y:$Y,$A69,'MAIN DATA, Orders'!$D:$D,"United Kingdom",'MAIN DATA, Orders'!$R:$R,"")</f>
        <v>2</v>
      </c>
      <c r="E69" s="7">
        <f t="shared" si="8"/>
        <v>0.66666666666666663</v>
      </c>
      <c r="G69" s="205">
        <v>45717</v>
      </c>
      <c r="H69" s="200" cm="1">
        <f t="array" ref="H69">SUM(D67:D69/SUM(C67:C69))</f>
        <v>0.6923076923076924</v>
      </c>
    </row>
    <row r="70" spans="1:8" x14ac:dyDescent="0.35">
      <c r="A70" s="20">
        <v>202504</v>
      </c>
      <c r="B70" s="17">
        <v>45748</v>
      </c>
      <c r="C70" s="30">
        <f>COUNTIFS('MAIN DATA, Orders'!$G:$G,"&lt;&gt;.",'MAIN DATA, Orders'!$Y:$Y,$A70,'MAIN DATA, Orders'!$D:$D,"United Kingdom")</f>
        <v>6</v>
      </c>
      <c r="D70" s="30">
        <f>COUNTIFS('MAIN DATA, Orders'!$G:$G,"&lt;&gt;.",'MAIN DATA, Orders'!$Y:$Y,$A70,'MAIN DATA, Orders'!$D:$D,"United Kingdom",'MAIN DATA, Orders'!$R:$R,"")</f>
        <v>5</v>
      </c>
      <c r="E70" s="7">
        <f t="shared" si="8"/>
        <v>0.83333333333333337</v>
      </c>
      <c r="G70" s="205">
        <v>45748</v>
      </c>
      <c r="H70" s="200" cm="1">
        <f t="array" ref="H70">SUM(D68:D70/SUM(C68:C70))</f>
        <v>0.75</v>
      </c>
    </row>
    <row r="71" spans="1:8" x14ac:dyDescent="0.35">
      <c r="A71" s="20">
        <v>202505</v>
      </c>
      <c r="B71" s="17">
        <v>45778</v>
      </c>
      <c r="C71" s="30">
        <f>COUNTIFS('MAIN DATA, Orders'!$G:$G,"&lt;&gt;.",'MAIN DATA, Orders'!$Y:$Y,$A71,'MAIN DATA, Orders'!$D:$D,"United Kingdom")</f>
        <v>6</v>
      </c>
      <c r="D71" s="30">
        <f>COUNTIFS('MAIN DATA, Orders'!$G:$G,"&lt;&gt;.",'MAIN DATA, Orders'!$Y:$Y,$A71,'MAIN DATA, Orders'!$D:$D,"United Kingdom",'MAIN DATA, Orders'!$R:$R,"")</f>
        <v>3</v>
      </c>
      <c r="E71" s="7">
        <f t="shared" si="8"/>
        <v>0.5</v>
      </c>
      <c r="G71" s="205">
        <v>45778</v>
      </c>
      <c r="H71" s="200" cm="1">
        <f t="array" ref="H71">SUM(D69:D71/SUM(C69:C71))</f>
        <v>0.66666666666666674</v>
      </c>
    </row>
    <row r="72" spans="1:8" x14ac:dyDescent="0.35">
      <c r="A72" s="20">
        <v>202506</v>
      </c>
      <c r="B72" s="17">
        <v>45809</v>
      </c>
      <c r="C72" s="30">
        <f>COUNTIFS('MAIN DATA, Orders'!$G:$G,"&lt;&gt;.",'MAIN DATA, Orders'!$Y:$Y,$A72,'MAIN DATA, Orders'!$D:$D,"United Kingdom")</f>
        <v>7</v>
      </c>
      <c r="D72" s="30">
        <f>COUNTIFS('MAIN DATA, Orders'!$G:$G,"&lt;&gt;.",'MAIN DATA, Orders'!$Y:$Y,$A72,'MAIN DATA, Orders'!$D:$D,"United Kingdom",'MAIN DATA, Orders'!$R:$R,"")</f>
        <v>3</v>
      </c>
      <c r="E72" s="7">
        <f t="shared" si="8"/>
        <v>0.42857142857142855</v>
      </c>
      <c r="G72" s="205">
        <v>45809</v>
      </c>
      <c r="H72" s="200" cm="1">
        <f t="array" ref="H72">SUM(D70:D72/SUM(C70:C72))</f>
        <v>0.57894736842105265</v>
      </c>
    </row>
    <row r="73" spans="1:8" x14ac:dyDescent="0.35">
      <c r="A73" s="20">
        <v>202507</v>
      </c>
      <c r="B73" s="17">
        <v>45839</v>
      </c>
      <c r="C73" s="30">
        <f>COUNTIFS('MAIN DATA, Orders'!$G:$G,"&lt;&gt;.",'MAIN DATA, Orders'!$Y:$Y,$A73,'MAIN DATA, Orders'!$D:$D,"United Kingdom")</f>
        <v>1</v>
      </c>
      <c r="D73" s="30">
        <f>COUNTIFS('MAIN DATA, Orders'!$G:$G,"&lt;&gt;.",'MAIN DATA, Orders'!$Y:$Y,$A73,'MAIN DATA, Orders'!$D:$D,"United Kingdom",'MAIN DATA, Orders'!$R:$R,"")</f>
        <v>0</v>
      </c>
      <c r="E73" s="7">
        <f t="shared" si="8"/>
        <v>0</v>
      </c>
      <c r="G73" s="205">
        <v>45839</v>
      </c>
      <c r="H73" s="200" cm="1">
        <f t="array" ref="H73">SUM(D71:D73/SUM(C71:C73))</f>
        <v>0.42857142857142855</v>
      </c>
    </row>
    <row r="74" spans="1:8" x14ac:dyDescent="0.35">
      <c r="A74" s="20">
        <v>202508</v>
      </c>
      <c r="B74" s="17">
        <v>45870</v>
      </c>
      <c r="C74" s="30">
        <f>COUNTIFS('MAIN DATA, Orders'!$G:$G,"&lt;&gt;.",'MAIN DATA, Orders'!$Y:$Y,$A74,'MAIN DATA, Orders'!$D:$D,"United Kingdom")</f>
        <v>8</v>
      </c>
      <c r="D74" s="30">
        <f>COUNTIFS('MAIN DATA, Orders'!$G:$G,"&lt;&gt;.",'MAIN DATA, Orders'!$Y:$Y,$A74,'MAIN DATA, Orders'!$D:$D,"United Kingdom",'MAIN DATA, Orders'!$R:$R,"")</f>
        <v>0</v>
      </c>
      <c r="E74" s="7">
        <f t="shared" si="8"/>
        <v>0</v>
      </c>
      <c r="G74" s="205">
        <v>45870</v>
      </c>
      <c r="H74" s="200" cm="1">
        <f t="array" ref="H74">SUM(D72:D74/SUM(C72:C74))</f>
        <v>0.1875</v>
      </c>
    </row>
    <row r="75" spans="1:8" x14ac:dyDescent="0.35">
      <c r="A75" s="20">
        <v>202509</v>
      </c>
      <c r="B75" s="17">
        <v>45901</v>
      </c>
      <c r="C75" s="30">
        <f>COUNTIFS('MAIN DATA, Orders'!$G:$G,"&lt;&gt;.",'MAIN DATA, Orders'!$Y:$Y,$A75,'MAIN DATA, Orders'!$D:$D,"United Kingdom")</f>
        <v>4</v>
      </c>
      <c r="D75" s="30">
        <f>COUNTIFS('MAIN DATA, Orders'!$G:$G,"&lt;&gt;.",'MAIN DATA, Orders'!$Y:$Y,$A75,'MAIN DATA, Orders'!$D:$D,"United Kingdom",'MAIN DATA, Orders'!$R:$R,"")</f>
        <v>3</v>
      </c>
      <c r="E75" s="7">
        <f t="shared" si="8"/>
        <v>0.75</v>
      </c>
      <c r="G75" s="205">
        <v>45901</v>
      </c>
      <c r="H75" s="200" cm="1">
        <f t="array" ref="H75">SUM(D73:D75/SUM(C73:C75))</f>
        <v>0.23076923076923078</v>
      </c>
    </row>
    <row r="76" spans="1:8" x14ac:dyDescent="0.35">
      <c r="A76" s="20">
        <v>202510</v>
      </c>
      <c r="B76" s="17">
        <v>45931</v>
      </c>
      <c r="C76" s="30">
        <f>COUNTIFS('MAIN DATA, Orders'!$G:$G,"&lt;&gt;.",'MAIN DATA, Orders'!$Y:$Y,$A76,'MAIN DATA, Orders'!$D:$D,"United Kingdom")</f>
        <v>3</v>
      </c>
      <c r="D76" s="30">
        <f>COUNTIFS('MAIN DATA, Orders'!$G:$G,"&lt;&gt;.",'MAIN DATA, Orders'!$Y:$Y,$A76,'MAIN DATA, Orders'!$D:$D,"United Kingdom",'MAIN DATA, Orders'!$R:$R,"")</f>
        <v>2</v>
      </c>
      <c r="E76" s="7">
        <f t="shared" si="8"/>
        <v>0.66666666666666663</v>
      </c>
      <c r="G76" s="205">
        <v>45931</v>
      </c>
      <c r="H76" s="200" cm="1">
        <f t="array" ref="H76">SUM(D74:D76/SUM(C74:C76))</f>
        <v>0.33333333333333337</v>
      </c>
    </row>
    <row r="77" spans="1:8" x14ac:dyDescent="0.35">
      <c r="A77" s="20">
        <v>202511</v>
      </c>
      <c r="B77" s="17">
        <v>45962</v>
      </c>
      <c r="C77" s="30">
        <f>COUNTIFS('MAIN DATA, Orders'!$G:$G,"&lt;&gt;.",'MAIN DATA, Orders'!$Y:$Y,$A77,'MAIN DATA, Orders'!$D:$D,"United Kingdom")</f>
        <v>1</v>
      </c>
      <c r="D77" s="30">
        <f>COUNTIFS('MAIN DATA, Orders'!$G:$G,"&lt;&gt;.",'MAIN DATA, Orders'!$Y:$Y,$A77,'MAIN DATA, Orders'!$D:$D,"United Kingdom",'MAIN DATA, Orders'!$R:$R,"")</f>
        <v>1</v>
      </c>
      <c r="E77" s="7">
        <f t="shared" si="8"/>
        <v>1</v>
      </c>
      <c r="G77" s="205">
        <v>45962</v>
      </c>
      <c r="H77" s="200" cm="1">
        <f t="array" ref="H77">SUM(D75:D77/SUM(C75:C77))</f>
        <v>0.75</v>
      </c>
    </row>
    <row r="78" spans="1:8" x14ac:dyDescent="0.35">
      <c r="A78" s="20">
        <v>202512</v>
      </c>
      <c r="B78" s="17">
        <v>45992</v>
      </c>
      <c r="C78" s="30">
        <f>COUNTIFS('MAIN DATA, Orders'!$G:$G,"&lt;&gt;.",'MAIN DATA, Orders'!$Y:$Y,$A78,'MAIN DATA, Orders'!$D:$D,"United Kingdom")</f>
        <v>7</v>
      </c>
      <c r="D78" s="30">
        <f>COUNTIFS('MAIN DATA, Orders'!$G:$G,"&lt;&gt;.",'MAIN DATA, Orders'!$Y:$Y,$A78,'MAIN DATA, Orders'!$D:$D,"United Kingdom",'MAIN DATA, Orders'!$R:$R,"")</f>
        <v>4</v>
      </c>
      <c r="E78" s="7">
        <f t="shared" si="8"/>
        <v>0.5714285714285714</v>
      </c>
      <c r="G78" s="205">
        <v>45992</v>
      </c>
      <c r="H78" s="200" cm="1">
        <f t="array" ref="H78">SUM(D76:D78/SUM(C76:C78))</f>
        <v>0.63636363636363635</v>
      </c>
    </row>
    <row r="79" spans="1:8" x14ac:dyDescent="0.35">
      <c r="A79" s="20">
        <v>202601</v>
      </c>
      <c r="B79" s="17">
        <v>46023</v>
      </c>
      <c r="C79" s="30">
        <f>COUNTIFS('MAIN DATA, Orders'!$G:$G,"&lt;&gt;.",'MAIN DATA, Orders'!$Y:$Y,$A79,'MAIN DATA, Orders'!$D:$D,"United Kingdom")</f>
        <v>5</v>
      </c>
      <c r="D79" s="30">
        <f>COUNTIFS('MAIN DATA, Orders'!$G:$G,"&lt;&gt;.",'MAIN DATA, Orders'!$Y:$Y,$A79,'MAIN DATA, Orders'!$D:$D,"United Kingdom",'MAIN DATA, Orders'!$R:$R,"")</f>
        <v>2</v>
      </c>
      <c r="E79" s="7">
        <f t="shared" si="8"/>
        <v>0.4</v>
      </c>
      <c r="G79" s="205">
        <v>46023</v>
      </c>
      <c r="H79" s="200" cm="1">
        <f t="array" ref="H79">SUM(D77:D79/SUM(C77:C79))</f>
        <v>0.53846153846153855</v>
      </c>
    </row>
    <row r="80" spans="1:8" x14ac:dyDescent="0.35">
      <c r="B80" s="168"/>
      <c r="C80" s="168"/>
      <c r="D80" s="168"/>
      <c r="E80" s="168"/>
      <c r="G80" s="210"/>
      <c r="H80" s="168"/>
    </row>
  </sheetData>
  <mergeCells count="1">
    <mergeCell ref="B4:E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499984740745262"/>
  </sheetPr>
  <dimension ref="A1:BT1133"/>
  <sheetViews>
    <sheetView zoomScaleNormal="100" workbookViewId="0">
      <pane ySplit="1" topLeftCell="A2" activePane="bottomLeft" state="frozen"/>
      <selection activeCell="I1" sqref="I1"/>
      <selection pane="bottomLeft"/>
    </sheetView>
  </sheetViews>
  <sheetFormatPr baseColWidth="10" defaultColWidth="9" defaultRowHeight="15.75" customHeight="1" x14ac:dyDescent="0.35"/>
  <cols>
    <col min="1" max="2" width="8.75" style="6" customWidth="1"/>
    <col min="3" max="4" width="10.75" style="6" customWidth="1"/>
    <col min="5" max="5" width="12.75" style="191" customWidth="1"/>
    <col min="6" max="6" width="12.75" style="6" customWidth="1"/>
    <col min="7" max="7" width="32.5" style="6" customWidth="1"/>
    <col min="8" max="8" width="45.75" style="6" customWidth="1"/>
    <col min="9" max="9" width="20.75" style="6" customWidth="1"/>
    <col min="10" max="10" width="14.75" style="6" customWidth="1"/>
    <col min="11" max="12" width="14.83203125" style="10" customWidth="1"/>
    <col min="13" max="13" width="91.08203125" style="10" bestFit="1" customWidth="1"/>
    <col min="14" max="18" width="14.75" style="6" customWidth="1"/>
    <col min="19" max="21" width="18.75" style="6" customWidth="1"/>
    <col min="22" max="32" width="14.75" style="6" customWidth="1"/>
    <col min="33" max="33" width="26.5" style="6" customWidth="1"/>
    <col min="34" max="50" width="16.75" style="6" customWidth="1"/>
    <col min="51" max="53" width="10.75" style="6" customWidth="1"/>
    <col min="54" max="57" width="12.75" style="6" customWidth="1"/>
    <col min="58" max="16384" width="9" style="6"/>
  </cols>
  <sheetData>
    <row r="1" spans="1:67" ht="15.5" x14ac:dyDescent="0.35">
      <c r="A1" s="26" t="s">
        <v>18</v>
      </c>
      <c r="B1" s="26" t="s">
        <v>124</v>
      </c>
      <c r="C1" s="26" t="s">
        <v>20</v>
      </c>
      <c r="D1" s="26" t="s">
        <v>22</v>
      </c>
      <c r="E1" s="26" t="s">
        <v>24</v>
      </c>
      <c r="F1" s="26" t="s">
        <v>26</v>
      </c>
      <c r="G1" s="26" t="s">
        <v>28</v>
      </c>
      <c r="H1" s="26" t="s">
        <v>30</v>
      </c>
      <c r="I1" s="26" t="s">
        <v>32</v>
      </c>
      <c r="J1" s="26" t="s">
        <v>34</v>
      </c>
      <c r="K1" s="76" t="s">
        <v>5682</v>
      </c>
      <c r="L1" s="76" t="s">
        <v>5683</v>
      </c>
      <c r="M1" s="76" t="s">
        <v>5684</v>
      </c>
      <c r="N1" s="26" t="s">
        <v>36</v>
      </c>
      <c r="O1" s="26" t="s">
        <v>125</v>
      </c>
      <c r="P1" s="26" t="s">
        <v>40</v>
      </c>
      <c r="Q1" s="26" t="s">
        <v>42</v>
      </c>
      <c r="R1" s="26" t="s">
        <v>44</v>
      </c>
      <c r="S1" s="26" t="s">
        <v>46</v>
      </c>
      <c r="T1" s="26" t="s">
        <v>48</v>
      </c>
      <c r="U1" s="26" t="s">
        <v>50</v>
      </c>
      <c r="V1" s="26" t="s">
        <v>52</v>
      </c>
      <c r="W1" s="26" t="s">
        <v>54</v>
      </c>
      <c r="X1" s="26" t="s">
        <v>56</v>
      </c>
      <c r="Y1" s="26" t="s">
        <v>58</v>
      </c>
      <c r="Z1" s="26" t="s">
        <v>60</v>
      </c>
      <c r="AA1" s="26" t="s">
        <v>62</v>
      </c>
      <c r="AB1" s="26" t="s">
        <v>64</v>
      </c>
      <c r="AC1" s="26" t="s">
        <v>66</v>
      </c>
      <c r="AD1" s="26" t="s">
        <v>68</v>
      </c>
      <c r="AE1" s="26" t="s">
        <v>70</v>
      </c>
      <c r="AF1" s="26" t="s">
        <v>72</v>
      </c>
      <c r="AG1" s="26" t="s">
        <v>74</v>
      </c>
      <c r="AH1" s="26" t="s">
        <v>76</v>
      </c>
      <c r="AI1" s="26" t="s">
        <v>78</v>
      </c>
      <c r="AJ1" s="26" t="s">
        <v>80</v>
      </c>
      <c r="AK1" s="26" t="s">
        <v>82</v>
      </c>
      <c r="AL1" s="26" t="s">
        <v>84</v>
      </c>
      <c r="AM1" s="26" t="s">
        <v>86</v>
      </c>
      <c r="AN1" s="26" t="s">
        <v>88</v>
      </c>
      <c r="AO1" s="26" t="s">
        <v>90</v>
      </c>
      <c r="AP1" s="26" t="s">
        <v>92</v>
      </c>
      <c r="AQ1" s="26" t="s">
        <v>94</v>
      </c>
      <c r="AR1" s="26" t="s">
        <v>96</v>
      </c>
      <c r="AS1" s="26" t="s">
        <v>98</v>
      </c>
      <c r="AT1" s="26" t="s">
        <v>100</v>
      </c>
      <c r="AU1" s="26" t="s">
        <v>102</v>
      </c>
      <c r="AV1" s="26" t="s">
        <v>104</v>
      </c>
      <c r="AW1" s="26" t="s">
        <v>106</v>
      </c>
      <c r="AX1" s="26" t="s">
        <v>108</v>
      </c>
      <c r="AY1" s="26" t="s">
        <v>110</v>
      </c>
      <c r="AZ1" s="26" t="s">
        <v>112</v>
      </c>
      <c r="BA1" s="26" t="s">
        <v>114</v>
      </c>
      <c r="BB1" s="26" t="s">
        <v>116</v>
      </c>
      <c r="BC1" s="26" t="s">
        <v>118</v>
      </c>
      <c r="BD1" s="26" t="s">
        <v>120</v>
      </c>
      <c r="BE1" s="84" t="s">
        <v>122</v>
      </c>
    </row>
    <row r="2" spans="1:67" ht="16" x14ac:dyDescent="0.4">
      <c r="A2" s="4" t="s">
        <v>126</v>
      </c>
      <c r="B2" s="4" t="s">
        <v>126</v>
      </c>
      <c r="C2" s="4" t="s">
        <v>127</v>
      </c>
      <c r="D2" s="4" t="s">
        <v>128</v>
      </c>
      <c r="E2" s="189">
        <v>43964</v>
      </c>
      <c r="F2" s="6">
        <f t="shared" ref="F2:F65" si="0">YEAR(E2)</f>
        <v>2020</v>
      </c>
      <c r="G2" s="4" t="s">
        <v>129</v>
      </c>
      <c r="H2" s="22" t="str">
        <f>VLOOKUP($G2,'Item Classification'!B:C,2,0)</f>
        <v>Medium-altitude long-endurance (MALE) unmanned aerial vehicle (UAV)</v>
      </c>
      <c r="I2" s="6" t="str">
        <f>VLOOKUP($G2,'Item Classification'!B:D,3,0)</f>
        <v>Drone</v>
      </c>
      <c r="J2" s="23">
        <f>VLOOKUP($G2,'Item Classification'!B:E,4,0)</f>
        <v>7</v>
      </c>
      <c r="K2" s="116" t="s">
        <v>130</v>
      </c>
      <c r="L2" s="116" t="s">
        <v>131</v>
      </c>
      <c r="M2" s="116" t="str">
        <f>VLOOKUP(L2,'NATO Classifications'!$D$6:$E$647,2,0)</f>
        <v>Unmanned Aircraft</v>
      </c>
      <c r="N2" s="4">
        <v>1</v>
      </c>
      <c r="O2" s="81">
        <f t="shared" ref="O2:O65" si="1">S2/N2</f>
        <v>30000000</v>
      </c>
      <c r="P2" s="81">
        <f t="shared" ref="P2:P65" si="2">U2/N2</f>
        <v>30000000</v>
      </c>
      <c r="Q2" s="4">
        <v>2020</v>
      </c>
      <c r="R2" s="4">
        <v>2021</v>
      </c>
      <c r="S2" s="112">
        <v>30000000</v>
      </c>
      <c r="T2" s="91" t="s">
        <v>132</v>
      </c>
      <c r="U2" s="104">
        <f>_xlfn.IFNA(S2/INDEX('Exchange Rates'!$C$7:$F$14,MATCH('MAIN DATA, Orders'!F2,'Exchange Rates'!$B$7:$B$14,0),MATCH('MAIN DATA, Orders'!T2,'Exchange Rates'!$C$6:$F$6,0)), "-")</f>
        <v>30000000</v>
      </c>
      <c r="V2" s="4" t="s">
        <v>133</v>
      </c>
      <c r="W2" s="4" t="s">
        <v>127</v>
      </c>
      <c r="X2" s="4" t="s">
        <v>128</v>
      </c>
      <c r="Y2" s="24">
        <f t="shared" ref="Y2:Y65" si="3">_xlfn.NUMBERVALUE(_xlfn.CONCAT(YEAR(E2),TEXT(E2, "mm")))</f>
        <v>202005</v>
      </c>
      <c r="Z2" s="115">
        <v>1</v>
      </c>
      <c r="AA2" s="115">
        <v>1</v>
      </c>
      <c r="AB2" s="115">
        <v>0</v>
      </c>
      <c r="AC2" s="115">
        <v>0</v>
      </c>
      <c r="AD2" s="115">
        <v>0</v>
      </c>
      <c r="AE2" s="115">
        <v>1</v>
      </c>
      <c r="AF2" s="115">
        <v>1</v>
      </c>
      <c r="AG2" s="4" t="s">
        <v>134</v>
      </c>
      <c r="AH2" s="4" t="s">
        <v>135</v>
      </c>
      <c r="AI2" s="4" t="s">
        <v>127</v>
      </c>
      <c r="AJ2" s="4" t="s">
        <v>136</v>
      </c>
      <c r="AK2" s="4" t="s">
        <v>127</v>
      </c>
      <c r="AL2" s="4" t="s">
        <v>127</v>
      </c>
      <c r="AM2" s="4" t="s">
        <v>127</v>
      </c>
      <c r="AN2" s="4" t="s">
        <v>128</v>
      </c>
      <c r="AO2" s="4" t="s">
        <v>127</v>
      </c>
      <c r="AP2" s="4" t="s">
        <v>127</v>
      </c>
      <c r="AQ2" s="4" t="s">
        <v>127</v>
      </c>
      <c r="AR2" s="4" t="s">
        <v>127</v>
      </c>
      <c r="AS2" s="4" t="s">
        <v>127</v>
      </c>
      <c r="AT2" s="4" t="s">
        <v>127</v>
      </c>
      <c r="AU2" s="4" t="s">
        <v>127</v>
      </c>
      <c r="AV2" s="4" t="s">
        <v>127</v>
      </c>
      <c r="AW2" s="4" t="s">
        <v>127</v>
      </c>
      <c r="AX2" s="4" t="s">
        <v>127</v>
      </c>
      <c r="AY2" s="96" t="s">
        <v>137</v>
      </c>
      <c r="AZ2" s="96" t="s">
        <v>138</v>
      </c>
      <c r="BA2" s="4" t="s">
        <v>127</v>
      </c>
      <c r="BB2" s="4" t="s">
        <v>139</v>
      </c>
      <c r="BC2" s="4" t="s">
        <v>127</v>
      </c>
      <c r="BD2" s="4" t="s">
        <v>127</v>
      </c>
      <c r="BE2" s="4" t="s">
        <v>127</v>
      </c>
      <c r="BF2" s="4"/>
      <c r="BG2" s="4"/>
      <c r="BH2" s="4"/>
      <c r="BI2" s="4"/>
      <c r="BJ2" s="4"/>
      <c r="BK2" s="4"/>
      <c r="BL2" s="4"/>
      <c r="BM2" s="4"/>
      <c r="BN2" s="4"/>
      <c r="BO2" s="4"/>
    </row>
    <row r="3" spans="1:67" ht="16" x14ac:dyDescent="0.4">
      <c r="A3" s="4" t="s">
        <v>140</v>
      </c>
      <c r="B3" s="4" t="s">
        <v>140</v>
      </c>
      <c r="C3" s="4" t="s">
        <v>141</v>
      </c>
      <c r="D3" s="4" t="s">
        <v>128</v>
      </c>
      <c r="E3" s="189">
        <v>44000</v>
      </c>
      <c r="F3" s="6">
        <f t="shared" si="0"/>
        <v>2020</v>
      </c>
      <c r="G3" s="4" t="s">
        <v>142</v>
      </c>
      <c r="H3" s="22" t="str">
        <f>VLOOKUP($G3,'Item Classification'!B:C,2,0)</f>
        <v>Frigate</v>
      </c>
      <c r="I3" s="6" t="str">
        <f>VLOOKUP($G3,'Item Classification'!B:D,3,0)</f>
        <v>Naval</v>
      </c>
      <c r="J3" s="23">
        <f>VLOOKUP($G3,'Item Classification'!B:E,4,0)</f>
        <v>12</v>
      </c>
      <c r="K3" s="116" t="s">
        <v>143</v>
      </c>
      <c r="L3" s="116" t="s">
        <v>144</v>
      </c>
      <c r="M3" s="116" t="str">
        <f>VLOOKUP(L3,'NATO Classifications'!$D$6:$E$647,2,0)</f>
        <v>Combat Ships and Landing Vessels</v>
      </c>
      <c r="N3" s="4">
        <v>4</v>
      </c>
      <c r="O3" s="81">
        <f t="shared" si="1"/>
        <v>1400000000</v>
      </c>
      <c r="P3" s="81">
        <f t="shared" si="2"/>
        <v>1400000000</v>
      </c>
      <c r="Q3" s="4">
        <v>2027</v>
      </c>
      <c r="R3" s="4">
        <v>2031</v>
      </c>
      <c r="S3" s="112">
        <v>5600000000</v>
      </c>
      <c r="T3" s="91" t="s">
        <v>132</v>
      </c>
      <c r="U3" s="104">
        <f>_xlfn.IFNA(S3/INDEX('Exchange Rates'!$C$7:$F$14,MATCH('MAIN DATA, Orders'!F3,'Exchange Rates'!$B$7:$B$14,0),MATCH('MAIN DATA, Orders'!T3,'Exchange Rates'!$C$6:$F$6,0)), "-")</f>
        <v>5600000000</v>
      </c>
      <c r="V3" s="4" t="s">
        <v>133</v>
      </c>
      <c r="W3" s="4" t="s">
        <v>127</v>
      </c>
      <c r="X3" s="4" t="s">
        <v>128</v>
      </c>
      <c r="Y3" s="24">
        <f t="shared" si="3"/>
        <v>202006</v>
      </c>
      <c r="Z3" s="115">
        <v>1</v>
      </c>
      <c r="AA3" s="115">
        <v>0</v>
      </c>
      <c r="AB3" s="115">
        <v>0</v>
      </c>
      <c r="AC3" s="115">
        <v>1</v>
      </c>
      <c r="AD3" s="115">
        <v>1</v>
      </c>
      <c r="AE3" s="115">
        <v>0</v>
      </c>
      <c r="AF3" s="115">
        <v>1</v>
      </c>
      <c r="AG3" s="4" t="s">
        <v>145</v>
      </c>
      <c r="AH3" s="4" t="s">
        <v>146</v>
      </c>
      <c r="AI3" s="4" t="s">
        <v>128</v>
      </c>
      <c r="AJ3" s="4" t="s">
        <v>147</v>
      </c>
      <c r="AK3" s="4" t="s">
        <v>148</v>
      </c>
      <c r="AL3" s="4" t="s">
        <v>149</v>
      </c>
      <c r="AM3" s="4" t="s">
        <v>150</v>
      </c>
      <c r="AN3" s="4" t="s">
        <v>128</v>
      </c>
      <c r="AO3" s="4" t="s">
        <v>151</v>
      </c>
      <c r="AP3" s="4" t="s">
        <v>127</v>
      </c>
      <c r="AQ3" s="4" t="s">
        <v>127</v>
      </c>
      <c r="AR3" s="4" t="s">
        <v>127</v>
      </c>
      <c r="AS3" s="4" t="s">
        <v>127</v>
      </c>
      <c r="AT3" s="4" t="s">
        <v>127</v>
      </c>
      <c r="AU3" s="4" t="s">
        <v>127</v>
      </c>
      <c r="AV3" s="4" t="s">
        <v>127</v>
      </c>
      <c r="AW3" s="4" t="s">
        <v>127</v>
      </c>
      <c r="AX3" s="4" t="s">
        <v>127</v>
      </c>
      <c r="AY3" s="96" t="s">
        <v>152</v>
      </c>
      <c r="AZ3" s="96" t="s">
        <v>153</v>
      </c>
      <c r="BA3" s="96" t="s">
        <v>154</v>
      </c>
      <c r="BB3" s="4" t="s">
        <v>155</v>
      </c>
      <c r="BC3" s="4" t="s">
        <v>127</v>
      </c>
      <c r="BD3" s="4" t="s">
        <v>127</v>
      </c>
      <c r="BE3" s="4" t="s">
        <v>127</v>
      </c>
      <c r="BF3" s="4"/>
      <c r="BG3" s="4"/>
      <c r="BH3" s="4"/>
      <c r="BI3" s="4"/>
      <c r="BJ3" s="4"/>
      <c r="BK3" s="4"/>
      <c r="BL3" s="4"/>
      <c r="BM3" s="4"/>
      <c r="BN3" s="4"/>
      <c r="BO3" s="4"/>
    </row>
    <row r="4" spans="1:67" ht="16" x14ac:dyDescent="0.4">
      <c r="A4" s="4" t="s">
        <v>156</v>
      </c>
      <c r="B4" s="4" t="s">
        <v>156</v>
      </c>
      <c r="C4" s="4" t="s">
        <v>127</v>
      </c>
      <c r="D4" s="4" t="s">
        <v>128</v>
      </c>
      <c r="E4" s="189">
        <v>44000</v>
      </c>
      <c r="F4" s="6">
        <f t="shared" si="0"/>
        <v>2020</v>
      </c>
      <c r="G4" s="4" t="s">
        <v>157</v>
      </c>
      <c r="H4" s="22" t="str">
        <f>VLOOKUP($G4,'Item Classification'!B:C,2,0)</f>
        <v>Radar technology for fighter jet</v>
      </c>
      <c r="I4" s="6" t="str">
        <f>VLOOKUP($G4,'Item Classification'!B:D,3,0)</f>
        <v>Aircraft</v>
      </c>
      <c r="J4" s="23">
        <f>VLOOKUP($G4,'Item Classification'!B:E,4,0)</f>
        <v>11</v>
      </c>
      <c r="K4" s="116" t="s">
        <v>158</v>
      </c>
      <c r="L4" s="116" t="s">
        <v>159</v>
      </c>
      <c r="M4" s="116" t="str">
        <f>VLOOKUP(L4,'NATO Classifications'!$D$6:$E$647,2,0)</f>
        <v>Radar and Sensor</v>
      </c>
      <c r="N4" s="4"/>
      <c r="O4" s="81"/>
      <c r="P4" s="81"/>
      <c r="Q4" s="4"/>
      <c r="R4" s="4"/>
      <c r="S4" s="112">
        <v>2800000000</v>
      </c>
      <c r="T4" s="91" t="s">
        <v>132</v>
      </c>
      <c r="U4" s="104">
        <f>_xlfn.IFNA(S4/INDEX('Exchange Rates'!$C$7:$F$14,MATCH('MAIN DATA, Orders'!F4,'Exchange Rates'!$B$7:$B$14,0),MATCH('MAIN DATA, Orders'!T4,'Exchange Rates'!$C$6:$F$6,0)), "-")</f>
        <v>2800000000</v>
      </c>
      <c r="V4" s="4" t="s">
        <v>133</v>
      </c>
      <c r="W4" s="4" t="s">
        <v>127</v>
      </c>
      <c r="X4" s="4" t="s">
        <v>128</v>
      </c>
      <c r="Y4" s="24">
        <f t="shared" si="3"/>
        <v>202006</v>
      </c>
      <c r="Z4" s="115">
        <v>0</v>
      </c>
      <c r="AA4" s="115">
        <v>0</v>
      </c>
      <c r="AB4" s="115">
        <v>0</v>
      </c>
      <c r="AC4" s="115">
        <v>1</v>
      </c>
      <c r="AD4" s="115">
        <v>1</v>
      </c>
      <c r="AE4" s="115">
        <v>0</v>
      </c>
      <c r="AF4" s="115">
        <v>1</v>
      </c>
      <c r="AG4" s="4" t="s">
        <v>149</v>
      </c>
      <c r="AH4" s="4" t="s">
        <v>128</v>
      </c>
      <c r="AI4" s="4" t="s">
        <v>127</v>
      </c>
      <c r="AJ4" s="4" t="s">
        <v>160</v>
      </c>
      <c r="AK4" s="4" t="s">
        <v>161</v>
      </c>
      <c r="AL4" s="4" t="s">
        <v>127</v>
      </c>
      <c r="AM4" s="4" t="s">
        <v>127</v>
      </c>
      <c r="AN4" s="4" t="s">
        <v>162</v>
      </c>
      <c r="AO4" s="4" t="s">
        <v>127</v>
      </c>
      <c r="AP4" s="4" t="s">
        <v>127</v>
      </c>
      <c r="AQ4" s="4" t="s">
        <v>127</v>
      </c>
      <c r="AR4" s="4" t="s">
        <v>127</v>
      </c>
      <c r="AS4" s="4" t="s">
        <v>127</v>
      </c>
      <c r="AT4" s="4" t="s">
        <v>127</v>
      </c>
      <c r="AU4" s="4" t="s">
        <v>127</v>
      </c>
      <c r="AV4" s="4" t="s">
        <v>127</v>
      </c>
      <c r="AW4" s="4" t="s">
        <v>127</v>
      </c>
      <c r="AX4" s="4" t="s">
        <v>127</v>
      </c>
      <c r="AY4" s="96" t="s">
        <v>152</v>
      </c>
      <c r="AZ4" s="96" t="s">
        <v>163</v>
      </c>
      <c r="BA4" s="4" t="s">
        <v>127</v>
      </c>
      <c r="BB4" s="4" t="s">
        <v>164</v>
      </c>
      <c r="BC4" s="4" t="s">
        <v>127</v>
      </c>
      <c r="BD4" s="4" t="s">
        <v>127</v>
      </c>
      <c r="BE4" s="4" t="s">
        <v>127</v>
      </c>
      <c r="BF4" s="4"/>
      <c r="BG4" s="4"/>
      <c r="BH4" s="4"/>
      <c r="BI4" s="4"/>
      <c r="BJ4" s="4"/>
      <c r="BK4" s="4"/>
      <c r="BL4" s="4"/>
      <c r="BM4" s="4"/>
      <c r="BN4" s="4"/>
      <c r="BO4" s="4"/>
    </row>
    <row r="5" spans="1:67" ht="16" x14ac:dyDescent="0.4">
      <c r="A5" s="4" t="s">
        <v>165</v>
      </c>
      <c r="B5" s="4" t="s">
        <v>165</v>
      </c>
      <c r="C5" s="4" t="s">
        <v>166</v>
      </c>
      <c r="D5" s="4" t="s">
        <v>128</v>
      </c>
      <c r="E5" s="189">
        <v>44000</v>
      </c>
      <c r="F5" s="6">
        <f t="shared" si="0"/>
        <v>2020</v>
      </c>
      <c r="G5" s="4" t="s">
        <v>167</v>
      </c>
      <c r="H5" s="22" t="str">
        <f>VLOOKUP($G5,'Item Classification'!B:C,2,0)</f>
        <v>Communication and digitalisation</v>
      </c>
      <c r="I5" s="6" t="str">
        <f>VLOOKUP($G5,'Item Classification'!B:D,3,0)</f>
        <v>Modernisation</v>
      </c>
      <c r="J5" s="23">
        <f>VLOOKUP($G5,'Item Classification'!B:E,4,0)</f>
        <v>13</v>
      </c>
      <c r="K5" s="116" t="s">
        <v>168</v>
      </c>
      <c r="L5" s="116" t="s">
        <v>169</v>
      </c>
      <c r="M5" s="116" t="str">
        <f>VLOOKUP(L5,'NATO Classifications'!$D$6:$E$647,2,0)</f>
        <v>ADPE System Configuration</v>
      </c>
      <c r="N5" s="4">
        <v>4</v>
      </c>
      <c r="O5" s="81">
        <f t="shared" si="1"/>
        <v>1150000000</v>
      </c>
      <c r="P5" s="81">
        <f t="shared" si="2"/>
        <v>1150000000</v>
      </c>
      <c r="Q5" s="4">
        <v>2024</v>
      </c>
      <c r="R5" s="4">
        <v>2027</v>
      </c>
      <c r="S5" s="112">
        <v>4600000000</v>
      </c>
      <c r="T5" s="91" t="s">
        <v>132</v>
      </c>
      <c r="U5" s="104">
        <f>_xlfn.IFNA(S5/INDEX('Exchange Rates'!$C$7:$F$14,MATCH('MAIN DATA, Orders'!F5,'Exchange Rates'!$B$7:$B$14,0),MATCH('MAIN DATA, Orders'!T5,'Exchange Rates'!$C$6:$F$6,0)), "-")</f>
        <v>4600000000</v>
      </c>
      <c r="V5" s="4" t="s">
        <v>133</v>
      </c>
      <c r="W5" s="4" t="s">
        <v>127</v>
      </c>
      <c r="X5" s="4" t="s">
        <v>128</v>
      </c>
      <c r="Y5" s="24">
        <f t="shared" si="3"/>
        <v>202006</v>
      </c>
      <c r="Z5" s="115">
        <v>1</v>
      </c>
      <c r="AA5" s="115">
        <v>1</v>
      </c>
      <c r="AB5" s="115">
        <v>0</v>
      </c>
      <c r="AC5" s="115">
        <v>1</v>
      </c>
      <c r="AD5" s="115">
        <v>0</v>
      </c>
      <c r="AE5" s="115">
        <v>0</v>
      </c>
      <c r="AF5" s="115">
        <v>0</v>
      </c>
      <c r="AG5" s="4" t="s">
        <v>166</v>
      </c>
      <c r="AH5" s="4" t="s">
        <v>128</v>
      </c>
      <c r="AI5" s="4" t="s">
        <v>127</v>
      </c>
      <c r="AJ5" s="4" t="s">
        <v>127</v>
      </c>
      <c r="AK5" s="4" t="s">
        <v>127</v>
      </c>
      <c r="AL5" s="4" t="s">
        <v>127</v>
      </c>
      <c r="AM5" s="4" t="s">
        <v>127</v>
      </c>
      <c r="AN5" s="4" t="s">
        <v>127</v>
      </c>
      <c r="AO5" s="4" t="s">
        <v>127</v>
      </c>
      <c r="AP5" s="4" t="s">
        <v>127</v>
      </c>
      <c r="AQ5" s="4" t="s">
        <v>127</v>
      </c>
      <c r="AR5" s="4" t="s">
        <v>127</v>
      </c>
      <c r="AS5" s="4" t="s">
        <v>127</v>
      </c>
      <c r="AT5" s="4" t="s">
        <v>127</v>
      </c>
      <c r="AU5" s="4" t="s">
        <v>127</v>
      </c>
      <c r="AV5" s="4" t="s">
        <v>127</v>
      </c>
      <c r="AW5" s="4" t="s">
        <v>127</v>
      </c>
      <c r="AX5" s="4" t="s">
        <v>127</v>
      </c>
      <c r="AY5" s="111" t="s">
        <v>152</v>
      </c>
      <c r="AZ5" s="111" t="s">
        <v>170</v>
      </c>
      <c r="BA5" s="4" t="s">
        <v>127</v>
      </c>
      <c r="BB5" s="4" t="s">
        <v>171</v>
      </c>
      <c r="BC5" s="4" t="s">
        <v>127</v>
      </c>
      <c r="BD5" s="4" t="s">
        <v>127</v>
      </c>
      <c r="BE5" s="4" t="s">
        <v>127</v>
      </c>
      <c r="BF5" s="4"/>
      <c r="BG5" s="4"/>
      <c r="BH5" s="4"/>
      <c r="BI5" s="4"/>
      <c r="BJ5" s="4"/>
      <c r="BK5" s="4"/>
      <c r="BL5" s="4"/>
      <c r="BM5" s="4"/>
      <c r="BN5" s="4"/>
      <c r="BO5" s="4"/>
    </row>
    <row r="6" spans="1:67" ht="16" x14ac:dyDescent="0.4">
      <c r="A6" s="4" t="s">
        <v>172</v>
      </c>
      <c r="B6" s="4" t="s">
        <v>172</v>
      </c>
      <c r="C6" s="4" t="s">
        <v>127</v>
      </c>
      <c r="D6" s="4" t="s">
        <v>128</v>
      </c>
      <c r="E6" s="189">
        <v>44054</v>
      </c>
      <c r="F6" s="6">
        <f t="shared" si="0"/>
        <v>2020</v>
      </c>
      <c r="G6" s="4" t="s">
        <v>173</v>
      </c>
      <c r="H6" s="22" t="str">
        <f>VLOOKUP($G6,'Item Classification'!B:C,2,0)</f>
        <v>Communication and digitalisation</v>
      </c>
      <c r="I6" s="6" t="str">
        <f>VLOOKUP($G6,'Item Classification'!B:D,3,0)</f>
        <v>Modernisation</v>
      </c>
      <c r="J6" s="23">
        <f>VLOOKUP($G6,'Item Classification'!B:E,4,0)</f>
        <v>13</v>
      </c>
      <c r="K6" s="116" t="s">
        <v>158</v>
      </c>
      <c r="L6" s="116" t="s">
        <v>174</v>
      </c>
      <c r="M6" s="116" t="str">
        <f>VLOOKUP(L6,'NATO Classifications'!$D$6:$E$647,2,0)</f>
        <v>Communication, Detection, and Coherent Radiation Equipment (other)</v>
      </c>
      <c r="N6" s="4"/>
      <c r="O6" s="81"/>
      <c r="P6" s="81"/>
      <c r="Q6" s="4"/>
      <c r="R6" s="4">
        <v>2023</v>
      </c>
      <c r="S6" s="112">
        <v>350000000</v>
      </c>
      <c r="T6" s="91" t="s">
        <v>132</v>
      </c>
      <c r="U6" s="104">
        <f>_xlfn.IFNA(S6/INDEX('Exchange Rates'!$C$7:$F$14,MATCH('MAIN DATA, Orders'!F6,'Exchange Rates'!$B$7:$B$14,0),MATCH('MAIN DATA, Orders'!T6,'Exchange Rates'!$C$6:$F$6,0)), "-")</f>
        <v>350000000</v>
      </c>
      <c r="V6" s="4" t="s">
        <v>133</v>
      </c>
      <c r="W6" s="4" t="s">
        <v>175</v>
      </c>
      <c r="X6" s="4" t="s">
        <v>128</v>
      </c>
      <c r="Y6" s="24">
        <f t="shared" si="3"/>
        <v>202008</v>
      </c>
      <c r="Z6" s="115">
        <v>0</v>
      </c>
      <c r="AA6" s="115">
        <v>0</v>
      </c>
      <c r="AB6" s="115">
        <v>0</v>
      </c>
      <c r="AC6" s="115">
        <v>1</v>
      </c>
      <c r="AD6" s="115">
        <v>0</v>
      </c>
      <c r="AE6" s="115">
        <v>0</v>
      </c>
      <c r="AF6" s="115">
        <v>0</v>
      </c>
      <c r="AG6" s="4" t="s">
        <v>127</v>
      </c>
      <c r="AH6" s="4" t="s">
        <v>128</v>
      </c>
      <c r="AI6" s="4" t="s">
        <v>127</v>
      </c>
      <c r="AJ6" s="4" t="s">
        <v>127</v>
      </c>
      <c r="AK6" s="4" t="s">
        <v>127</v>
      </c>
      <c r="AL6" s="4" t="s">
        <v>127</v>
      </c>
      <c r="AM6" s="4" t="s">
        <v>127</v>
      </c>
      <c r="AN6" s="4" t="s">
        <v>127</v>
      </c>
      <c r="AO6" s="4" t="s">
        <v>127</v>
      </c>
      <c r="AP6" s="4" t="s">
        <v>127</v>
      </c>
      <c r="AQ6" s="4" t="s">
        <v>127</v>
      </c>
      <c r="AR6" s="4" t="s">
        <v>127</v>
      </c>
      <c r="AS6" s="4" t="s">
        <v>127</v>
      </c>
      <c r="AT6" s="4" t="s">
        <v>127</v>
      </c>
      <c r="AU6" s="4" t="s">
        <v>127</v>
      </c>
      <c r="AV6" s="4" t="s">
        <v>127</v>
      </c>
      <c r="AW6" s="4" t="s">
        <v>127</v>
      </c>
      <c r="AX6" s="4" t="s">
        <v>127</v>
      </c>
      <c r="AY6" s="96" t="s">
        <v>176</v>
      </c>
      <c r="AZ6" s="96" t="s">
        <v>177</v>
      </c>
      <c r="BA6" s="96" t="s">
        <v>178</v>
      </c>
      <c r="BB6" s="4" t="s">
        <v>179</v>
      </c>
      <c r="BC6" s="4" t="s">
        <v>127</v>
      </c>
      <c r="BD6" s="4" t="s">
        <v>127</v>
      </c>
      <c r="BE6" s="4" t="s">
        <v>127</v>
      </c>
      <c r="BF6" s="4"/>
      <c r="BG6" s="4"/>
      <c r="BH6" s="4"/>
      <c r="BI6" s="4"/>
      <c r="BJ6" s="4"/>
      <c r="BK6" s="4"/>
      <c r="BL6" s="4"/>
      <c r="BM6" s="4"/>
      <c r="BN6" s="4"/>
      <c r="BO6" s="4"/>
    </row>
    <row r="7" spans="1:67" ht="16" x14ac:dyDescent="0.4">
      <c r="A7" s="4" t="s">
        <v>180</v>
      </c>
      <c r="B7" s="4" t="s">
        <v>180</v>
      </c>
      <c r="C7" s="4" t="s">
        <v>166</v>
      </c>
      <c r="D7" s="4" t="s">
        <v>128</v>
      </c>
      <c r="E7" s="189">
        <v>44084</v>
      </c>
      <c r="F7" s="6">
        <f t="shared" si="0"/>
        <v>2020</v>
      </c>
      <c r="G7" s="4" t="s">
        <v>181</v>
      </c>
      <c r="H7" s="22" t="str">
        <f>VLOOKUP($G7,'Item Classification'!B:C,2,0)</f>
        <v>Communication and digitalisation</v>
      </c>
      <c r="I7" s="6" t="str">
        <f>VLOOKUP($G7,'Item Classification'!B:D,3,0)</f>
        <v>Modernisation</v>
      </c>
      <c r="J7" s="23">
        <f>VLOOKUP($G7,'Item Classification'!B:E,4,0)</f>
        <v>13</v>
      </c>
      <c r="K7" s="116" t="s">
        <v>168</v>
      </c>
      <c r="L7" s="116" t="s">
        <v>182</v>
      </c>
      <c r="M7" s="116" t="str">
        <f>VLOOKUP(L7,'NATO Classifications'!$D$6:$E$647,2,0)</f>
        <v>ADP Software</v>
      </c>
      <c r="N7" s="4">
        <v>7</v>
      </c>
      <c r="O7" s="81">
        <f t="shared" si="1"/>
        <v>228571428.57142857</v>
      </c>
      <c r="P7" s="81">
        <f t="shared" si="2"/>
        <v>228571428.57142857</v>
      </c>
      <c r="Q7" s="4">
        <v>2021</v>
      </c>
      <c r="R7" s="4">
        <v>2027</v>
      </c>
      <c r="S7" s="112">
        <v>1600000000</v>
      </c>
      <c r="T7" s="91" t="s">
        <v>132</v>
      </c>
      <c r="U7" s="104">
        <f>_xlfn.IFNA(S7/INDEX('Exchange Rates'!$C$7:$F$14,MATCH('MAIN DATA, Orders'!F7,'Exchange Rates'!$B$7:$B$14,0),MATCH('MAIN DATA, Orders'!T7,'Exchange Rates'!$C$6:$F$6,0)), "-")</f>
        <v>1600000000</v>
      </c>
      <c r="V7" s="4" t="s">
        <v>133</v>
      </c>
      <c r="W7" s="4" t="s">
        <v>127</v>
      </c>
      <c r="X7" s="4" t="s">
        <v>128</v>
      </c>
      <c r="Y7" s="24">
        <f t="shared" si="3"/>
        <v>202009</v>
      </c>
      <c r="Z7" s="115">
        <v>1</v>
      </c>
      <c r="AA7" s="115">
        <v>1</v>
      </c>
      <c r="AB7" s="115">
        <v>0</v>
      </c>
      <c r="AC7" s="115">
        <v>1</v>
      </c>
      <c r="AD7" s="115">
        <v>0</v>
      </c>
      <c r="AE7" s="115">
        <v>0</v>
      </c>
      <c r="AF7" s="115">
        <v>0</v>
      </c>
      <c r="AG7" s="4" t="s">
        <v>166</v>
      </c>
      <c r="AH7" s="4" t="s">
        <v>128</v>
      </c>
      <c r="AI7" s="4" t="s">
        <v>127</v>
      </c>
      <c r="AJ7" s="4" t="s">
        <v>127</v>
      </c>
      <c r="AK7" s="4" t="s">
        <v>127</v>
      </c>
      <c r="AL7" s="4" t="s">
        <v>127</v>
      </c>
      <c r="AM7" s="4" t="s">
        <v>127</v>
      </c>
      <c r="AN7" s="4" t="s">
        <v>127</v>
      </c>
      <c r="AO7" s="4" t="s">
        <v>127</v>
      </c>
      <c r="AP7" s="4" t="s">
        <v>127</v>
      </c>
      <c r="AQ7" s="4" t="s">
        <v>127</v>
      </c>
      <c r="AR7" s="4" t="s">
        <v>127</v>
      </c>
      <c r="AS7" s="4" t="s">
        <v>127</v>
      </c>
      <c r="AT7" s="4" t="s">
        <v>127</v>
      </c>
      <c r="AU7" s="4" t="s">
        <v>127</v>
      </c>
      <c r="AV7" s="4" t="s">
        <v>127</v>
      </c>
      <c r="AW7" s="4" t="s">
        <v>127</v>
      </c>
      <c r="AX7" s="4" t="s">
        <v>127</v>
      </c>
      <c r="AY7" s="111" t="s">
        <v>183</v>
      </c>
      <c r="AZ7" s="111" t="s">
        <v>184</v>
      </c>
      <c r="BA7" s="4" t="s">
        <v>127</v>
      </c>
      <c r="BB7" s="4" t="s">
        <v>185</v>
      </c>
      <c r="BC7" s="4" t="s">
        <v>127</v>
      </c>
      <c r="BD7" s="4" t="s">
        <v>127</v>
      </c>
      <c r="BE7" s="4" t="s">
        <v>127</v>
      </c>
      <c r="BF7" s="4"/>
      <c r="BG7" s="4"/>
      <c r="BH7" s="4"/>
      <c r="BI7" s="4"/>
      <c r="BJ7" s="4"/>
      <c r="BK7" s="4"/>
      <c r="BL7" s="4"/>
      <c r="BM7" s="4"/>
      <c r="BN7" s="4"/>
      <c r="BO7" s="4"/>
    </row>
    <row r="8" spans="1:67" ht="16" x14ac:dyDescent="0.4">
      <c r="A8" s="4" t="s">
        <v>186</v>
      </c>
      <c r="B8" s="4" t="s">
        <v>186</v>
      </c>
      <c r="C8" s="4" t="s">
        <v>127</v>
      </c>
      <c r="D8" s="4" t="s">
        <v>128</v>
      </c>
      <c r="E8" s="189">
        <v>44084</v>
      </c>
      <c r="F8" s="6">
        <f t="shared" si="0"/>
        <v>2020</v>
      </c>
      <c r="G8" s="4" t="s">
        <v>127</v>
      </c>
      <c r="H8" s="22" t="s">
        <v>187</v>
      </c>
      <c r="I8" s="6" t="s">
        <v>188</v>
      </c>
      <c r="J8" s="23">
        <v>11</v>
      </c>
      <c r="K8" s="116" t="s">
        <v>189</v>
      </c>
      <c r="L8" s="116" t="s">
        <v>190</v>
      </c>
      <c r="M8" s="116" t="str">
        <f>VLOOKUP(L8,'NATO Classifications'!$D$6:$E$647,2,0)</f>
        <v>Bombs (including Fuzes)</v>
      </c>
      <c r="N8" s="4"/>
      <c r="O8" s="81"/>
      <c r="P8" s="81"/>
      <c r="Q8" s="4"/>
      <c r="R8" s="4"/>
      <c r="S8" s="112">
        <v>213000000</v>
      </c>
      <c r="T8" s="91" t="s">
        <v>132</v>
      </c>
      <c r="U8" s="104">
        <f>_xlfn.IFNA(S8/INDEX('Exchange Rates'!$C$7:$F$14,MATCH('MAIN DATA, Orders'!F8,'Exchange Rates'!$B$7:$B$14,0),MATCH('MAIN DATA, Orders'!T8,'Exchange Rates'!$C$6:$F$6,0)), "-")</f>
        <v>213000000</v>
      </c>
      <c r="V8" s="4" t="s">
        <v>133</v>
      </c>
      <c r="W8" s="4" t="s">
        <v>127</v>
      </c>
      <c r="X8" s="4" t="s">
        <v>128</v>
      </c>
      <c r="Y8" s="24">
        <f t="shared" si="3"/>
        <v>202009</v>
      </c>
      <c r="Z8" s="115">
        <v>0</v>
      </c>
      <c r="AA8" s="115">
        <v>0</v>
      </c>
      <c r="AB8" s="115">
        <v>0</v>
      </c>
      <c r="AC8" s="115">
        <v>1</v>
      </c>
      <c r="AD8" s="115">
        <v>0</v>
      </c>
      <c r="AE8" s="115">
        <v>1</v>
      </c>
      <c r="AF8" s="115">
        <v>1</v>
      </c>
      <c r="AG8" s="4" t="s">
        <v>191</v>
      </c>
      <c r="AH8" s="4" t="s">
        <v>128</v>
      </c>
      <c r="AI8" s="4" t="s">
        <v>127</v>
      </c>
      <c r="AJ8" s="4" t="s">
        <v>192</v>
      </c>
      <c r="AK8" s="4" t="s">
        <v>193</v>
      </c>
      <c r="AL8" s="4" t="s">
        <v>194</v>
      </c>
      <c r="AM8" s="4" t="s">
        <v>195</v>
      </c>
      <c r="AN8" s="4" t="s">
        <v>196</v>
      </c>
      <c r="AO8" s="4" t="s">
        <v>197</v>
      </c>
      <c r="AP8" s="4" t="s">
        <v>127</v>
      </c>
      <c r="AQ8" s="4" t="s">
        <v>127</v>
      </c>
      <c r="AR8" s="4" t="s">
        <v>127</v>
      </c>
      <c r="AS8" s="4" t="s">
        <v>127</v>
      </c>
      <c r="AT8" s="4" t="s">
        <v>127</v>
      </c>
      <c r="AU8" s="4" t="s">
        <v>127</v>
      </c>
      <c r="AV8" s="4" t="s">
        <v>127</v>
      </c>
      <c r="AW8" s="4" t="s">
        <v>127</v>
      </c>
      <c r="AX8" s="4" t="s">
        <v>127</v>
      </c>
      <c r="AY8" s="96" t="s">
        <v>183</v>
      </c>
      <c r="AZ8" s="96" t="s">
        <v>198</v>
      </c>
      <c r="BA8" s="96" t="s">
        <v>184</v>
      </c>
      <c r="BB8" s="4" t="s">
        <v>199</v>
      </c>
      <c r="BC8" s="4" t="s">
        <v>127</v>
      </c>
      <c r="BD8" s="4" t="s">
        <v>127</v>
      </c>
      <c r="BE8" s="4" t="s">
        <v>127</v>
      </c>
      <c r="BF8" s="4" t="s">
        <v>200</v>
      </c>
      <c r="BG8" s="4" t="s">
        <v>200</v>
      </c>
      <c r="BH8" s="4" t="s">
        <v>200</v>
      </c>
      <c r="BI8" s="4" t="s">
        <v>200</v>
      </c>
      <c r="BJ8" s="4" t="s">
        <v>200</v>
      </c>
      <c r="BK8" s="4" t="s">
        <v>200</v>
      </c>
      <c r="BL8" s="4" t="s">
        <v>200</v>
      </c>
      <c r="BM8" s="4" t="s">
        <v>200</v>
      </c>
      <c r="BN8" s="4" t="s">
        <v>200</v>
      </c>
      <c r="BO8" s="4" t="s">
        <v>200</v>
      </c>
    </row>
    <row r="9" spans="1:67" ht="16" x14ac:dyDescent="0.4">
      <c r="A9" s="4" t="s">
        <v>186</v>
      </c>
      <c r="B9" s="4" t="s">
        <v>201</v>
      </c>
      <c r="C9" s="4" t="s">
        <v>127</v>
      </c>
      <c r="D9" s="4" t="s">
        <v>128</v>
      </c>
      <c r="E9" s="189">
        <v>44084</v>
      </c>
      <c r="F9" s="6">
        <f t="shared" si="0"/>
        <v>2020</v>
      </c>
      <c r="G9" s="4" t="s">
        <v>202</v>
      </c>
      <c r="H9" s="22" t="str">
        <f>VLOOKUP($G9,'Item Classification'!B:C,2,0)</f>
        <v>Fighter aircraft guided bomb</v>
      </c>
      <c r="I9" s="6" t="str">
        <f>VLOOKUP($G9,'Item Classification'!B:D,3,0)</f>
        <v>Aircraft</v>
      </c>
      <c r="J9" s="23">
        <f>VLOOKUP($G9,'Item Classification'!B:E,4,0)</f>
        <v>11</v>
      </c>
      <c r="K9" s="116" t="s">
        <v>189</v>
      </c>
      <c r="L9" s="116" t="s">
        <v>190</v>
      </c>
      <c r="M9" s="116" t="str">
        <f>VLOOKUP(L9,'NATO Classifications'!$D$6:$E$647,2,0)</f>
        <v>Bombs (including Fuzes)</v>
      </c>
      <c r="N9" s="4">
        <v>2290</v>
      </c>
      <c r="O9" s="81"/>
      <c r="P9" s="81"/>
      <c r="Q9" s="4"/>
      <c r="R9" s="4"/>
      <c r="S9" s="4"/>
      <c r="T9" s="91" t="s">
        <v>132</v>
      </c>
      <c r="U9" s="104">
        <f>_xlfn.IFNA(S9/INDEX('Exchange Rates'!$C$7:$F$14,MATCH('MAIN DATA, Orders'!F9,'Exchange Rates'!$B$7:$B$14,0),MATCH('MAIN DATA, Orders'!T9,'Exchange Rates'!$C$6:$F$6,0)), "-")</f>
        <v>0</v>
      </c>
      <c r="V9" s="4" t="s">
        <v>133</v>
      </c>
      <c r="W9" s="4" t="s">
        <v>127</v>
      </c>
      <c r="X9" s="4" t="s">
        <v>128</v>
      </c>
      <c r="Y9" s="24">
        <f t="shared" si="3"/>
        <v>202009</v>
      </c>
      <c r="Z9" s="115">
        <v>0</v>
      </c>
      <c r="AA9" s="115">
        <v>0</v>
      </c>
      <c r="AB9" s="115">
        <v>0</v>
      </c>
      <c r="AC9" s="115">
        <v>1</v>
      </c>
      <c r="AD9" s="115">
        <v>0</v>
      </c>
      <c r="AE9" s="115">
        <v>1</v>
      </c>
      <c r="AF9" s="115">
        <v>1</v>
      </c>
      <c r="AG9" s="4" t="s">
        <v>191</v>
      </c>
      <c r="AH9" s="4" t="s">
        <v>128</v>
      </c>
      <c r="AI9" s="4" t="s">
        <v>127</v>
      </c>
      <c r="AJ9" s="4" t="s">
        <v>192</v>
      </c>
      <c r="AK9" s="4" t="s">
        <v>193</v>
      </c>
      <c r="AL9" s="4" t="s">
        <v>194</v>
      </c>
      <c r="AM9" s="4" t="s">
        <v>195</v>
      </c>
      <c r="AN9" s="4" t="s">
        <v>196</v>
      </c>
      <c r="AO9" s="4" t="s">
        <v>197</v>
      </c>
      <c r="AP9" s="4" t="s">
        <v>127</v>
      </c>
      <c r="AQ9" s="4" t="s">
        <v>127</v>
      </c>
      <c r="AR9" s="4" t="s">
        <v>127</v>
      </c>
      <c r="AS9" s="4" t="s">
        <v>127</v>
      </c>
      <c r="AT9" s="4" t="s">
        <v>127</v>
      </c>
      <c r="AU9" s="4" t="s">
        <v>127</v>
      </c>
      <c r="AV9" s="4" t="s">
        <v>127</v>
      </c>
      <c r="AW9" s="4" t="s">
        <v>127</v>
      </c>
      <c r="AX9" s="4" t="s">
        <v>127</v>
      </c>
      <c r="AY9" s="96" t="s">
        <v>183</v>
      </c>
      <c r="AZ9" s="96" t="s">
        <v>198</v>
      </c>
      <c r="BA9" s="96" t="s">
        <v>184</v>
      </c>
      <c r="BB9" s="4" t="s">
        <v>199</v>
      </c>
      <c r="BC9" s="4" t="s">
        <v>127</v>
      </c>
      <c r="BD9" s="4" t="s">
        <v>127</v>
      </c>
      <c r="BE9" s="4" t="s">
        <v>127</v>
      </c>
      <c r="BF9" s="4" t="s">
        <v>200</v>
      </c>
      <c r="BG9" s="4" t="s">
        <v>200</v>
      </c>
      <c r="BH9" s="4" t="s">
        <v>200</v>
      </c>
      <c r="BI9" s="4" t="s">
        <v>200</v>
      </c>
      <c r="BJ9" s="4" t="s">
        <v>200</v>
      </c>
      <c r="BK9" s="4" t="s">
        <v>200</v>
      </c>
      <c r="BL9" s="4" t="s">
        <v>200</v>
      </c>
      <c r="BM9" s="4" t="s">
        <v>200</v>
      </c>
      <c r="BN9" s="4" t="s">
        <v>200</v>
      </c>
      <c r="BO9" s="4" t="s">
        <v>200</v>
      </c>
    </row>
    <row r="10" spans="1:67" ht="16" x14ac:dyDescent="0.4">
      <c r="A10" s="4" t="s">
        <v>186</v>
      </c>
      <c r="B10" s="4" t="s">
        <v>203</v>
      </c>
      <c r="C10" s="4" t="s">
        <v>127</v>
      </c>
      <c r="D10" s="4" t="s">
        <v>128</v>
      </c>
      <c r="E10" s="189">
        <v>44084</v>
      </c>
      <c r="F10" s="6">
        <f t="shared" si="0"/>
        <v>2020</v>
      </c>
      <c r="G10" s="4" t="s">
        <v>204</v>
      </c>
      <c r="H10" s="22" t="str">
        <f>VLOOKUP($G10,'Item Classification'!B:C,2,0)</f>
        <v>Fighter aircraft guided bomb</v>
      </c>
      <c r="I10" s="6" t="str">
        <f>VLOOKUP($G10,'Item Classification'!B:D,3,0)</f>
        <v>Aircraft</v>
      </c>
      <c r="J10" s="23">
        <f>VLOOKUP($G10,'Item Classification'!B:E,4,0)</f>
        <v>11</v>
      </c>
      <c r="K10" s="116" t="s">
        <v>189</v>
      </c>
      <c r="L10" s="116" t="s">
        <v>205</v>
      </c>
      <c r="M10" s="116" t="str">
        <f>VLOOKUP(L10,'NATO Classifications'!$D$6:$E$647,2,0)</f>
        <v>Bombs (including Fuzes)</v>
      </c>
      <c r="N10" s="4">
        <v>2290</v>
      </c>
      <c r="O10" s="81"/>
      <c r="P10" s="81"/>
      <c r="Q10" s="4"/>
      <c r="R10" s="4"/>
      <c r="S10" s="4"/>
      <c r="T10" s="91" t="s">
        <v>132</v>
      </c>
      <c r="U10" s="104">
        <f>_xlfn.IFNA(S10/INDEX('Exchange Rates'!$C$7:$F$14,MATCH('MAIN DATA, Orders'!F10,'Exchange Rates'!$B$7:$B$14,0),MATCH('MAIN DATA, Orders'!T10,'Exchange Rates'!$C$6:$F$6,0)), "-")</f>
        <v>0</v>
      </c>
      <c r="V10" s="4" t="s">
        <v>133</v>
      </c>
      <c r="W10" s="4" t="s">
        <v>127</v>
      </c>
      <c r="X10" s="4" t="s">
        <v>128</v>
      </c>
      <c r="Y10" s="24">
        <f t="shared" si="3"/>
        <v>202009</v>
      </c>
      <c r="Z10" s="115">
        <v>0</v>
      </c>
      <c r="AA10" s="115">
        <v>0</v>
      </c>
      <c r="AB10" s="115">
        <v>0</v>
      </c>
      <c r="AC10" s="115">
        <v>1</v>
      </c>
      <c r="AD10" s="115">
        <v>0</v>
      </c>
      <c r="AE10" s="115">
        <v>1</v>
      </c>
      <c r="AF10" s="115">
        <v>1</v>
      </c>
      <c r="AG10" s="4" t="s">
        <v>191</v>
      </c>
      <c r="AH10" s="4" t="s">
        <v>128</v>
      </c>
      <c r="AI10" s="4" t="s">
        <v>127</v>
      </c>
      <c r="AJ10" s="4" t="s">
        <v>192</v>
      </c>
      <c r="AK10" s="4" t="s">
        <v>193</v>
      </c>
      <c r="AL10" s="4" t="s">
        <v>194</v>
      </c>
      <c r="AM10" s="4" t="s">
        <v>195</v>
      </c>
      <c r="AN10" s="4" t="s">
        <v>196</v>
      </c>
      <c r="AO10" s="4" t="s">
        <v>197</v>
      </c>
      <c r="AP10" s="4" t="s">
        <v>127</v>
      </c>
      <c r="AQ10" s="4" t="s">
        <v>127</v>
      </c>
      <c r="AR10" s="4" t="s">
        <v>127</v>
      </c>
      <c r="AS10" s="4" t="s">
        <v>127</v>
      </c>
      <c r="AT10" s="4" t="s">
        <v>127</v>
      </c>
      <c r="AU10" s="4" t="s">
        <v>127</v>
      </c>
      <c r="AV10" s="4" t="s">
        <v>127</v>
      </c>
      <c r="AW10" s="4" t="s">
        <v>127</v>
      </c>
      <c r="AX10" s="4" t="s">
        <v>127</v>
      </c>
      <c r="AY10" s="96" t="s">
        <v>183</v>
      </c>
      <c r="AZ10" s="96" t="s">
        <v>198</v>
      </c>
      <c r="BA10" s="96" t="s">
        <v>184</v>
      </c>
      <c r="BB10" s="4" t="s">
        <v>199</v>
      </c>
      <c r="BC10" s="4" t="s">
        <v>127</v>
      </c>
      <c r="BD10" s="4" t="s">
        <v>127</v>
      </c>
      <c r="BE10" s="4" t="s">
        <v>127</v>
      </c>
      <c r="BF10" s="4" t="s">
        <v>200</v>
      </c>
      <c r="BG10" s="4" t="s">
        <v>200</v>
      </c>
      <c r="BH10" s="4" t="s">
        <v>200</v>
      </c>
      <c r="BI10" s="4" t="s">
        <v>200</v>
      </c>
      <c r="BJ10" s="4" t="s">
        <v>200</v>
      </c>
      <c r="BK10" s="4" t="s">
        <v>200</v>
      </c>
      <c r="BL10" s="4" t="s">
        <v>200</v>
      </c>
      <c r="BM10" s="4" t="s">
        <v>200</v>
      </c>
      <c r="BN10" s="4" t="s">
        <v>200</v>
      </c>
      <c r="BO10" s="4" t="s">
        <v>200</v>
      </c>
    </row>
    <row r="11" spans="1:67" ht="16" x14ac:dyDescent="0.4">
      <c r="A11" s="4" t="s">
        <v>186</v>
      </c>
      <c r="B11" s="4" t="s">
        <v>206</v>
      </c>
      <c r="C11" s="4" t="s">
        <v>127</v>
      </c>
      <c r="D11" s="4" t="s">
        <v>128</v>
      </c>
      <c r="E11" s="189">
        <v>44084</v>
      </c>
      <c r="F11" s="6">
        <f t="shared" si="0"/>
        <v>2020</v>
      </c>
      <c r="G11" s="4" t="s">
        <v>207</v>
      </c>
      <c r="H11" s="22" t="str">
        <f>VLOOKUP($G11,'Item Classification'!B:C,2,0)</f>
        <v>Fighter aircraft guided bomb</v>
      </c>
      <c r="I11" s="6" t="str">
        <f>VLOOKUP($G11,'Item Classification'!B:D,3,0)</f>
        <v>Aircraft</v>
      </c>
      <c r="J11" s="23">
        <f>VLOOKUP($G11,'Item Classification'!B:E,4,0)</f>
        <v>11</v>
      </c>
      <c r="K11" s="116" t="s">
        <v>189</v>
      </c>
      <c r="L11" s="116" t="s">
        <v>190</v>
      </c>
      <c r="M11" s="116" t="str">
        <f>VLOOKUP(L11,'NATO Classifications'!$D$6:$E$647,2,0)</f>
        <v>Bombs (including Fuzes)</v>
      </c>
      <c r="N11" s="4">
        <v>910</v>
      </c>
      <c r="O11" s="81"/>
      <c r="P11" s="81"/>
      <c r="Q11" s="4"/>
      <c r="R11" s="4"/>
      <c r="S11" s="4"/>
      <c r="T11" s="91" t="s">
        <v>132</v>
      </c>
      <c r="U11" s="104">
        <f>_xlfn.IFNA(S11/INDEX('Exchange Rates'!$C$7:$F$14,MATCH('MAIN DATA, Orders'!F11,'Exchange Rates'!$B$7:$B$14,0),MATCH('MAIN DATA, Orders'!T11,'Exchange Rates'!$C$6:$F$6,0)), "-")</f>
        <v>0</v>
      </c>
      <c r="V11" s="4" t="s">
        <v>133</v>
      </c>
      <c r="W11" s="4" t="s">
        <v>127</v>
      </c>
      <c r="X11" s="4" t="s">
        <v>128</v>
      </c>
      <c r="Y11" s="24">
        <f t="shared" si="3"/>
        <v>202009</v>
      </c>
      <c r="Z11" s="115">
        <v>0</v>
      </c>
      <c r="AA11" s="115">
        <v>0</v>
      </c>
      <c r="AB11" s="115">
        <v>0</v>
      </c>
      <c r="AC11" s="115">
        <v>1</v>
      </c>
      <c r="AD11" s="115">
        <v>0</v>
      </c>
      <c r="AE11" s="115">
        <v>1</v>
      </c>
      <c r="AF11" s="115">
        <v>1</v>
      </c>
      <c r="AG11" s="4" t="s">
        <v>191</v>
      </c>
      <c r="AH11" s="4" t="s">
        <v>128</v>
      </c>
      <c r="AI11" s="4" t="s">
        <v>127</v>
      </c>
      <c r="AJ11" s="4" t="s">
        <v>192</v>
      </c>
      <c r="AK11" s="4" t="s">
        <v>193</v>
      </c>
      <c r="AL11" s="4" t="s">
        <v>194</v>
      </c>
      <c r="AM11" s="4" t="s">
        <v>195</v>
      </c>
      <c r="AN11" s="4" t="s">
        <v>196</v>
      </c>
      <c r="AO11" s="4" t="s">
        <v>197</v>
      </c>
      <c r="AP11" s="4" t="s">
        <v>127</v>
      </c>
      <c r="AQ11" s="4" t="s">
        <v>127</v>
      </c>
      <c r="AR11" s="4" t="s">
        <v>127</v>
      </c>
      <c r="AS11" s="4" t="s">
        <v>127</v>
      </c>
      <c r="AT11" s="4" t="s">
        <v>127</v>
      </c>
      <c r="AU11" s="4" t="s">
        <v>127</v>
      </c>
      <c r="AV11" s="4" t="s">
        <v>127</v>
      </c>
      <c r="AW11" s="4" t="s">
        <v>127</v>
      </c>
      <c r="AX11" s="4" t="s">
        <v>127</v>
      </c>
      <c r="AY11" s="96" t="s">
        <v>183</v>
      </c>
      <c r="AZ11" s="96" t="s">
        <v>198</v>
      </c>
      <c r="BA11" s="96" t="s">
        <v>184</v>
      </c>
      <c r="BB11" s="4" t="s">
        <v>199</v>
      </c>
      <c r="BC11" s="4" t="s">
        <v>127</v>
      </c>
      <c r="BD11" s="4" t="s">
        <v>127</v>
      </c>
      <c r="BE11" s="4" t="s">
        <v>127</v>
      </c>
      <c r="BF11" s="4" t="s">
        <v>200</v>
      </c>
      <c r="BG11" s="4" t="s">
        <v>200</v>
      </c>
      <c r="BH11" s="4" t="s">
        <v>200</v>
      </c>
      <c r="BI11" s="4" t="s">
        <v>200</v>
      </c>
      <c r="BJ11" s="4" t="s">
        <v>200</v>
      </c>
      <c r="BK11" s="4" t="s">
        <v>200</v>
      </c>
      <c r="BL11" s="4" t="s">
        <v>200</v>
      </c>
      <c r="BM11" s="4" t="s">
        <v>200</v>
      </c>
      <c r="BN11" s="4" t="s">
        <v>200</v>
      </c>
      <c r="BO11" s="4" t="s">
        <v>200</v>
      </c>
    </row>
    <row r="12" spans="1:67" ht="16" x14ac:dyDescent="0.4">
      <c r="A12" s="4" t="s">
        <v>208</v>
      </c>
      <c r="B12" s="4" t="s">
        <v>208</v>
      </c>
      <c r="C12" s="4" t="s">
        <v>209</v>
      </c>
      <c r="D12" s="4" t="s">
        <v>128</v>
      </c>
      <c r="E12" s="189">
        <v>44084</v>
      </c>
      <c r="F12" s="6">
        <f t="shared" si="0"/>
        <v>2020</v>
      </c>
      <c r="G12" s="4" t="s">
        <v>210</v>
      </c>
      <c r="H12" s="22" t="str">
        <f>VLOOKUP($G12,'Item Classification'!B:C,2,0)</f>
        <v>Surface-to-surface (SSM) missile</v>
      </c>
      <c r="I12" s="6" t="str">
        <f>VLOOKUP($G12,'Item Classification'!B:D,3,0)</f>
        <v>Missile (Naval)</v>
      </c>
      <c r="J12" s="23">
        <f>VLOOKUP($G12,'Item Classification'!B:E,4,0)</f>
        <v>6</v>
      </c>
      <c r="K12" s="116" t="s">
        <v>211</v>
      </c>
      <c r="L12" s="116" t="s">
        <v>211</v>
      </c>
      <c r="M12" s="116" t="str">
        <f>VLOOKUP(L12,'NATO Classifications'!$D$6:$E$647,2,0)</f>
        <v>Guided Missiles</v>
      </c>
      <c r="N12" s="4">
        <v>75</v>
      </c>
      <c r="O12" s="81">
        <f t="shared" si="1"/>
        <v>3800000</v>
      </c>
      <c r="P12" s="81">
        <f t="shared" si="2"/>
        <v>3800000</v>
      </c>
      <c r="Q12" s="4">
        <v>2022</v>
      </c>
      <c r="R12" s="4">
        <v>2026</v>
      </c>
      <c r="S12" s="112">
        <v>285000000</v>
      </c>
      <c r="T12" s="91" t="s">
        <v>132</v>
      </c>
      <c r="U12" s="104">
        <f>_xlfn.IFNA(S12/INDEX('Exchange Rates'!$C$7:$F$14,MATCH('MAIN DATA, Orders'!F12,'Exchange Rates'!$B$7:$B$14,0),MATCH('MAIN DATA, Orders'!T12,'Exchange Rates'!$C$6:$F$6,0)), "-")</f>
        <v>285000000</v>
      </c>
      <c r="V12" s="4" t="s">
        <v>133</v>
      </c>
      <c r="W12" s="4" t="s">
        <v>127</v>
      </c>
      <c r="X12" s="4" t="s">
        <v>128</v>
      </c>
      <c r="Y12" s="24">
        <f t="shared" si="3"/>
        <v>202009</v>
      </c>
      <c r="Z12" s="115">
        <v>1</v>
      </c>
      <c r="AA12" s="115">
        <v>0</v>
      </c>
      <c r="AB12" s="115">
        <v>0</v>
      </c>
      <c r="AC12" s="115">
        <v>1</v>
      </c>
      <c r="AD12" s="115">
        <v>1</v>
      </c>
      <c r="AE12" s="115">
        <v>0</v>
      </c>
      <c r="AF12" s="115">
        <v>1</v>
      </c>
      <c r="AG12" s="4" t="s">
        <v>191</v>
      </c>
      <c r="AH12" s="4" t="s">
        <v>128</v>
      </c>
      <c r="AI12" s="4" t="s">
        <v>128</v>
      </c>
      <c r="AJ12" s="4" t="s">
        <v>212</v>
      </c>
      <c r="AK12" s="4" t="s">
        <v>127</v>
      </c>
      <c r="AL12" s="4" t="s">
        <v>127</v>
      </c>
      <c r="AM12" s="4" t="s">
        <v>127</v>
      </c>
      <c r="AN12" s="4" t="s">
        <v>213</v>
      </c>
      <c r="AO12" s="4" t="s">
        <v>127</v>
      </c>
      <c r="AP12" s="4" t="s">
        <v>127</v>
      </c>
      <c r="AQ12" s="4" t="s">
        <v>127</v>
      </c>
      <c r="AR12" s="4" t="s">
        <v>127</v>
      </c>
      <c r="AS12" s="4" t="s">
        <v>127</v>
      </c>
      <c r="AT12" s="4" t="s">
        <v>127</v>
      </c>
      <c r="AU12" s="4" t="s">
        <v>127</v>
      </c>
      <c r="AV12" s="4" t="s">
        <v>127</v>
      </c>
      <c r="AW12" s="4" t="s">
        <v>127</v>
      </c>
      <c r="AX12" s="4" t="s">
        <v>127</v>
      </c>
      <c r="AY12" s="96" t="s">
        <v>183</v>
      </c>
      <c r="AZ12" s="96" t="s">
        <v>214</v>
      </c>
      <c r="BA12" s="96" t="s">
        <v>184</v>
      </c>
      <c r="BB12" s="4" t="s">
        <v>215</v>
      </c>
      <c r="BC12" s="4" t="s">
        <v>127</v>
      </c>
      <c r="BD12" s="4" t="s">
        <v>127</v>
      </c>
      <c r="BE12" s="4" t="s">
        <v>127</v>
      </c>
      <c r="BF12" s="4"/>
      <c r="BG12" s="4"/>
      <c r="BH12" s="4"/>
      <c r="BI12" s="4"/>
      <c r="BJ12" s="4"/>
      <c r="BK12" s="4"/>
      <c r="BL12" s="4"/>
      <c r="BM12" s="4"/>
      <c r="BN12" s="4"/>
      <c r="BO12" s="4"/>
    </row>
    <row r="13" spans="1:67" ht="16" x14ac:dyDescent="0.4">
      <c r="A13" s="4" t="s">
        <v>216</v>
      </c>
      <c r="B13" s="4" t="s">
        <v>216</v>
      </c>
      <c r="C13" s="4" t="s">
        <v>209</v>
      </c>
      <c r="D13" s="4" t="s">
        <v>128</v>
      </c>
      <c r="E13" s="189">
        <v>44084</v>
      </c>
      <c r="F13" s="6">
        <f t="shared" si="0"/>
        <v>2020</v>
      </c>
      <c r="G13" s="4" t="s">
        <v>217</v>
      </c>
      <c r="H13" s="22" t="str">
        <f>VLOOKUP($G13,'Item Classification'!B:C,2,0)</f>
        <v>Surface-to-surface (SSM) missile - additional services</v>
      </c>
      <c r="I13" s="6" t="str">
        <f>VLOOKUP($G13,'Item Classification'!B:D,3,0)</f>
        <v>Missile (Naval)</v>
      </c>
      <c r="J13" s="23">
        <f>VLOOKUP($G13,'Item Classification'!B:E,4,0)</f>
        <v>6</v>
      </c>
      <c r="K13" s="116" t="s">
        <v>211</v>
      </c>
      <c r="L13" s="116" t="s">
        <v>211</v>
      </c>
      <c r="M13" s="116" t="str">
        <f>VLOOKUP(L13,'NATO Classifications'!$D$6:$E$647,2,0)</f>
        <v>Guided Missiles</v>
      </c>
      <c r="N13" s="4"/>
      <c r="O13" s="81"/>
      <c r="P13" s="81"/>
      <c r="Q13" s="4">
        <v>2022</v>
      </c>
      <c r="R13" s="4">
        <v>2026</v>
      </c>
      <c r="S13" s="112">
        <v>6000000</v>
      </c>
      <c r="T13" s="91" t="s">
        <v>132</v>
      </c>
      <c r="U13" s="104">
        <f>_xlfn.IFNA(S13/INDEX('Exchange Rates'!$C$7:$F$14,MATCH('MAIN DATA, Orders'!F13,'Exchange Rates'!$B$7:$B$14,0),MATCH('MAIN DATA, Orders'!T13,'Exchange Rates'!$C$6:$F$6,0)), "-")</f>
        <v>6000000</v>
      </c>
      <c r="V13" s="4" t="s">
        <v>133</v>
      </c>
      <c r="W13" s="4" t="s">
        <v>127</v>
      </c>
      <c r="X13" s="4" t="s">
        <v>128</v>
      </c>
      <c r="Y13" s="24">
        <f t="shared" si="3"/>
        <v>202009</v>
      </c>
      <c r="Z13" s="115">
        <v>1</v>
      </c>
      <c r="AA13" s="115">
        <v>0</v>
      </c>
      <c r="AB13" s="115">
        <v>0</v>
      </c>
      <c r="AC13" s="115">
        <v>1</v>
      </c>
      <c r="AD13" s="115">
        <v>1</v>
      </c>
      <c r="AE13" s="115">
        <v>0</v>
      </c>
      <c r="AF13" s="115">
        <v>1</v>
      </c>
      <c r="AG13" s="4" t="s">
        <v>191</v>
      </c>
      <c r="AH13" s="4" t="s">
        <v>128</v>
      </c>
      <c r="AI13" s="4" t="s">
        <v>128</v>
      </c>
      <c r="AJ13" s="4" t="s">
        <v>212</v>
      </c>
      <c r="AK13" s="4" t="s">
        <v>127</v>
      </c>
      <c r="AL13" s="4" t="s">
        <v>127</v>
      </c>
      <c r="AM13" s="4" t="s">
        <v>127</v>
      </c>
      <c r="AN13" s="4" t="s">
        <v>213</v>
      </c>
      <c r="AO13" s="4" t="s">
        <v>127</v>
      </c>
      <c r="AP13" s="4" t="s">
        <v>127</v>
      </c>
      <c r="AQ13" s="4" t="s">
        <v>127</v>
      </c>
      <c r="AR13" s="4" t="s">
        <v>127</v>
      </c>
      <c r="AS13" s="4" t="s">
        <v>127</v>
      </c>
      <c r="AT13" s="4" t="s">
        <v>127</v>
      </c>
      <c r="AU13" s="4" t="s">
        <v>127</v>
      </c>
      <c r="AV13" s="4" t="s">
        <v>127</v>
      </c>
      <c r="AW13" s="4" t="s">
        <v>127</v>
      </c>
      <c r="AX13" s="4" t="s">
        <v>127</v>
      </c>
      <c r="AY13" s="96" t="s">
        <v>183</v>
      </c>
      <c r="AZ13" s="96" t="s">
        <v>214</v>
      </c>
      <c r="BA13" s="96" t="s">
        <v>184</v>
      </c>
      <c r="BB13" s="4" t="s">
        <v>218</v>
      </c>
      <c r="BC13" s="4" t="s">
        <v>127</v>
      </c>
      <c r="BD13" s="4" t="s">
        <v>127</v>
      </c>
      <c r="BE13" s="4" t="s">
        <v>127</v>
      </c>
      <c r="BF13" s="4"/>
      <c r="BG13" s="4"/>
      <c r="BH13" s="4"/>
      <c r="BI13" s="4"/>
      <c r="BJ13" s="4"/>
      <c r="BK13" s="4"/>
      <c r="BL13" s="4"/>
      <c r="BM13" s="4"/>
      <c r="BN13" s="4"/>
      <c r="BO13" s="4"/>
    </row>
    <row r="14" spans="1:67" ht="16" x14ac:dyDescent="0.4">
      <c r="A14" s="4" t="s">
        <v>219</v>
      </c>
      <c r="B14" s="4" t="s">
        <v>219</v>
      </c>
      <c r="C14" s="4" t="s">
        <v>127</v>
      </c>
      <c r="D14" s="4" t="s">
        <v>128</v>
      </c>
      <c r="E14" s="189">
        <v>44090</v>
      </c>
      <c r="F14" s="6">
        <f t="shared" si="0"/>
        <v>2020</v>
      </c>
      <c r="G14" s="4" t="s">
        <v>220</v>
      </c>
      <c r="H14" s="22" t="str">
        <f>VLOOKUP($G14,'Item Classification'!B:C,2,0)</f>
        <v>Clothing and personal equipment</v>
      </c>
      <c r="I14" s="6" t="str">
        <f>VLOOKUP($G14,'Item Classification'!B:D,3,0)</f>
        <v>Modernisation</v>
      </c>
      <c r="J14" s="23">
        <f>VLOOKUP($G14,'Item Classification'!B:E,4,0)</f>
        <v>13</v>
      </c>
      <c r="K14" s="116" t="s">
        <v>221</v>
      </c>
      <c r="L14" s="116" t="s">
        <v>222</v>
      </c>
      <c r="M14" s="116" t="str">
        <f>VLOOKUP(L14,'NATO Classifications'!$D$6:$E$647,2,0)</f>
        <v>Clothing, Special Purpose</v>
      </c>
      <c r="N14" s="4">
        <v>3</v>
      </c>
      <c r="O14" s="81">
        <f t="shared" si="1"/>
        <v>93333333.333333328</v>
      </c>
      <c r="P14" s="81">
        <f t="shared" si="2"/>
        <v>93333333.333333328</v>
      </c>
      <c r="Q14" s="4">
        <v>2021</v>
      </c>
      <c r="R14" s="4">
        <v>2023</v>
      </c>
      <c r="S14" s="112">
        <v>280000000</v>
      </c>
      <c r="T14" s="91" t="s">
        <v>132</v>
      </c>
      <c r="U14" s="104">
        <f>_xlfn.IFNA(S14/INDEX('Exchange Rates'!$C$7:$F$14,MATCH('MAIN DATA, Orders'!F14,'Exchange Rates'!$B$7:$B$14,0),MATCH('MAIN DATA, Orders'!T14,'Exchange Rates'!$C$6:$F$6,0)), "-")</f>
        <v>280000000</v>
      </c>
      <c r="V14" s="4" t="s">
        <v>133</v>
      </c>
      <c r="W14" s="4" t="s">
        <v>127</v>
      </c>
      <c r="X14" s="4" t="s">
        <v>128</v>
      </c>
      <c r="Y14" s="24">
        <f t="shared" si="3"/>
        <v>202009</v>
      </c>
      <c r="Z14" s="115">
        <v>1</v>
      </c>
      <c r="AA14" s="115">
        <v>1</v>
      </c>
      <c r="AB14" s="115">
        <v>0</v>
      </c>
      <c r="AC14" s="115">
        <v>1</v>
      </c>
      <c r="AD14" s="115">
        <v>0</v>
      </c>
      <c r="AE14" s="115">
        <v>0</v>
      </c>
      <c r="AF14" s="115">
        <v>0</v>
      </c>
      <c r="AG14" s="4" t="s">
        <v>223</v>
      </c>
      <c r="AH14" s="4" t="s">
        <v>128</v>
      </c>
      <c r="AI14" s="4" t="s">
        <v>127</v>
      </c>
      <c r="AJ14" s="4" t="s">
        <v>127</v>
      </c>
      <c r="AK14" s="4" t="s">
        <v>127</v>
      </c>
      <c r="AL14" s="4" t="s">
        <v>127</v>
      </c>
      <c r="AM14" s="4" t="s">
        <v>127</v>
      </c>
      <c r="AN14" s="4" t="s">
        <v>127</v>
      </c>
      <c r="AO14" s="4" t="s">
        <v>127</v>
      </c>
      <c r="AP14" s="4" t="s">
        <v>127</v>
      </c>
      <c r="AQ14" s="4" t="s">
        <v>127</v>
      </c>
      <c r="AR14" s="4" t="s">
        <v>127</v>
      </c>
      <c r="AS14" s="4" t="s">
        <v>127</v>
      </c>
      <c r="AT14" s="4" t="s">
        <v>127</v>
      </c>
      <c r="AU14" s="4" t="s">
        <v>127</v>
      </c>
      <c r="AV14" s="4" t="s">
        <v>127</v>
      </c>
      <c r="AW14" s="4" t="s">
        <v>127</v>
      </c>
      <c r="AX14" s="4" t="s">
        <v>127</v>
      </c>
      <c r="AY14" s="96" t="s">
        <v>224</v>
      </c>
      <c r="AZ14" s="4" t="s">
        <v>127</v>
      </c>
      <c r="BA14" s="4" t="s">
        <v>127</v>
      </c>
      <c r="BB14" s="4" t="s">
        <v>225</v>
      </c>
      <c r="BC14" s="4" t="s">
        <v>226</v>
      </c>
      <c r="BD14" s="4" t="s">
        <v>127</v>
      </c>
      <c r="BE14" s="4" t="s">
        <v>127</v>
      </c>
      <c r="BF14" s="4"/>
      <c r="BG14" s="4"/>
      <c r="BH14" s="4"/>
      <c r="BI14" s="4"/>
      <c r="BJ14" s="4"/>
      <c r="BK14" s="4"/>
      <c r="BL14" s="4"/>
      <c r="BM14" s="4"/>
      <c r="BN14" s="4"/>
      <c r="BO14" s="4"/>
    </row>
    <row r="15" spans="1:67" ht="16" x14ac:dyDescent="0.4">
      <c r="A15" s="4" t="s">
        <v>227</v>
      </c>
      <c r="B15" s="4" t="s">
        <v>227</v>
      </c>
      <c r="C15" s="4" t="s">
        <v>127</v>
      </c>
      <c r="D15" s="4" t="s">
        <v>128</v>
      </c>
      <c r="E15" s="189">
        <v>44111</v>
      </c>
      <c r="F15" s="6">
        <f t="shared" si="0"/>
        <v>2020</v>
      </c>
      <c r="G15" s="4" t="s">
        <v>228</v>
      </c>
      <c r="H15" s="22" t="str">
        <f>VLOOKUP($G15,'Item Classification'!B:C,2,0)</f>
        <v>Transportation for military personnel</v>
      </c>
      <c r="I15" s="6" t="str">
        <f>VLOOKUP($G15,'Item Classification'!B:D,3,0)</f>
        <v>Other</v>
      </c>
      <c r="J15" s="23">
        <f>VLOOKUP($G15,'Item Classification'!B:E,4,0)</f>
        <v>16</v>
      </c>
      <c r="K15" s="116" t="s">
        <v>229</v>
      </c>
      <c r="L15" s="116" t="s">
        <v>230</v>
      </c>
      <c r="M15" s="116" t="str">
        <f>VLOOKUP(L15,'NATO Classifications'!$D$6:$E$647,2,0)</f>
        <v>Miscellaneous Items</v>
      </c>
      <c r="N15" s="4"/>
      <c r="O15" s="81"/>
      <c r="P15" s="81"/>
      <c r="Q15" s="4">
        <v>2021</v>
      </c>
      <c r="R15" s="4">
        <v>2021</v>
      </c>
      <c r="S15" s="112">
        <v>40000000</v>
      </c>
      <c r="T15" s="91" t="s">
        <v>132</v>
      </c>
      <c r="U15" s="104">
        <f>_xlfn.IFNA(S15/INDEX('Exchange Rates'!$C$7:$F$14,MATCH('MAIN DATA, Orders'!F15,'Exchange Rates'!$B$7:$B$14,0),MATCH('MAIN DATA, Orders'!T15,'Exchange Rates'!$C$6:$F$6,0)), "-")</f>
        <v>40000000</v>
      </c>
      <c r="V15" s="4" t="s">
        <v>133</v>
      </c>
      <c r="W15" s="4" t="s">
        <v>127</v>
      </c>
      <c r="X15" s="4" t="s">
        <v>128</v>
      </c>
      <c r="Y15" s="24">
        <f t="shared" si="3"/>
        <v>202010</v>
      </c>
      <c r="Z15" s="115">
        <v>0</v>
      </c>
      <c r="AA15" s="115">
        <v>0</v>
      </c>
      <c r="AB15" s="115">
        <v>0</v>
      </c>
      <c r="AC15" s="115">
        <v>1</v>
      </c>
      <c r="AD15" s="115">
        <v>0</v>
      </c>
      <c r="AE15" s="115">
        <v>0</v>
      </c>
      <c r="AF15" s="115">
        <v>0</v>
      </c>
      <c r="AG15" s="4" t="s">
        <v>231</v>
      </c>
      <c r="AH15" s="4" t="s">
        <v>128</v>
      </c>
      <c r="AI15" s="4" t="s">
        <v>127</v>
      </c>
      <c r="AJ15" s="4" t="s">
        <v>127</v>
      </c>
      <c r="AK15" s="4" t="s">
        <v>127</v>
      </c>
      <c r="AL15" s="4" t="s">
        <v>127</v>
      </c>
      <c r="AM15" s="4" t="s">
        <v>127</v>
      </c>
      <c r="AN15" s="4" t="s">
        <v>127</v>
      </c>
      <c r="AO15" s="4" t="s">
        <v>127</v>
      </c>
      <c r="AP15" s="4" t="s">
        <v>127</v>
      </c>
      <c r="AQ15" s="4" t="s">
        <v>127</v>
      </c>
      <c r="AR15" s="4" t="s">
        <v>127</v>
      </c>
      <c r="AS15" s="4" t="s">
        <v>127</v>
      </c>
      <c r="AT15" s="4" t="s">
        <v>127</v>
      </c>
      <c r="AU15" s="4" t="s">
        <v>127</v>
      </c>
      <c r="AV15" s="4" t="s">
        <v>127</v>
      </c>
      <c r="AW15" s="4" t="s">
        <v>127</v>
      </c>
      <c r="AX15" s="4" t="s">
        <v>127</v>
      </c>
      <c r="AY15" s="96" t="s">
        <v>232</v>
      </c>
      <c r="AZ15" s="96" t="s">
        <v>233</v>
      </c>
      <c r="BA15" s="4" t="s">
        <v>127</v>
      </c>
      <c r="BB15" s="4" t="s">
        <v>234</v>
      </c>
      <c r="BC15" s="4" t="s">
        <v>127</v>
      </c>
      <c r="BD15" s="4" t="s">
        <v>127</v>
      </c>
      <c r="BE15" s="4" t="s">
        <v>127</v>
      </c>
      <c r="BF15" s="4"/>
      <c r="BG15" s="4"/>
      <c r="BH15" s="4"/>
      <c r="BI15" s="4"/>
      <c r="BJ15" s="4"/>
      <c r="BK15" s="4"/>
      <c r="BL15" s="4"/>
      <c r="BM15" s="4"/>
      <c r="BN15" s="4"/>
      <c r="BO15" s="4"/>
    </row>
    <row r="16" spans="1:67" ht="16" x14ac:dyDescent="0.4">
      <c r="A16" s="4" t="s">
        <v>235</v>
      </c>
      <c r="B16" s="4" t="s">
        <v>235</v>
      </c>
      <c r="C16" s="4" t="s">
        <v>127</v>
      </c>
      <c r="D16" s="4" t="s">
        <v>128</v>
      </c>
      <c r="E16" s="189">
        <v>44140</v>
      </c>
      <c r="F16" s="6">
        <f t="shared" si="0"/>
        <v>2020</v>
      </c>
      <c r="G16" s="4" t="s">
        <v>236</v>
      </c>
      <c r="H16" s="22" t="str">
        <f>VLOOKUP($G16,'Item Classification'!B:C,2,0)</f>
        <v>Fighter aircraft</v>
      </c>
      <c r="I16" s="6" t="str">
        <f>VLOOKUP($G16,'Item Classification'!B:D,3,0)</f>
        <v>Aircraft</v>
      </c>
      <c r="J16" s="23">
        <f>VLOOKUP($G16,'Item Classification'!B:E,4,0)</f>
        <v>11</v>
      </c>
      <c r="K16" s="116" t="s">
        <v>130</v>
      </c>
      <c r="L16" s="116" t="s">
        <v>237</v>
      </c>
      <c r="M16" s="116" t="str">
        <f>VLOOKUP(L16,'NATO Classifications'!$D$6:$E$647,2,0)</f>
        <v>Aircraft, Fixed Wing</v>
      </c>
      <c r="N16" s="4">
        <v>38</v>
      </c>
      <c r="O16" s="81">
        <f t="shared" si="1"/>
        <v>144736842.10526314</v>
      </c>
      <c r="P16" s="81">
        <f t="shared" si="2"/>
        <v>144736842.10526314</v>
      </c>
      <c r="Q16" s="4">
        <v>2025</v>
      </c>
      <c r="R16" s="4">
        <v>2030</v>
      </c>
      <c r="S16" s="112">
        <v>5500000000</v>
      </c>
      <c r="T16" s="91" t="s">
        <v>132</v>
      </c>
      <c r="U16" s="104">
        <f>_xlfn.IFNA(S16/INDEX('Exchange Rates'!$C$7:$F$14,MATCH('MAIN DATA, Orders'!F16,'Exchange Rates'!$B$7:$B$14,0),MATCH('MAIN DATA, Orders'!T16,'Exchange Rates'!$C$6:$F$6,0)), "-")</f>
        <v>5500000000</v>
      </c>
      <c r="V16" s="4" t="s">
        <v>133</v>
      </c>
      <c r="W16" s="4" t="s">
        <v>127</v>
      </c>
      <c r="X16" s="4" t="s">
        <v>128</v>
      </c>
      <c r="Y16" s="24">
        <f t="shared" si="3"/>
        <v>202011</v>
      </c>
      <c r="Z16" s="115">
        <v>0</v>
      </c>
      <c r="AA16" s="115">
        <v>0</v>
      </c>
      <c r="AB16" s="115">
        <v>0</v>
      </c>
      <c r="AC16" s="115">
        <v>1</v>
      </c>
      <c r="AD16" s="115">
        <v>1</v>
      </c>
      <c r="AE16" s="115">
        <v>0</v>
      </c>
      <c r="AF16" s="115">
        <v>1</v>
      </c>
      <c r="AG16" s="4" t="s">
        <v>136</v>
      </c>
      <c r="AH16" s="4" t="s">
        <v>128</v>
      </c>
      <c r="AI16" s="4" t="s">
        <v>127</v>
      </c>
      <c r="AJ16" s="4" t="s">
        <v>127</v>
      </c>
      <c r="AK16" s="4" t="s">
        <v>127</v>
      </c>
      <c r="AL16" s="4" t="s">
        <v>127</v>
      </c>
      <c r="AM16" s="4" t="s">
        <v>127</v>
      </c>
      <c r="AN16" s="4" t="s">
        <v>238</v>
      </c>
      <c r="AO16" s="4" t="s">
        <v>162</v>
      </c>
      <c r="AP16" s="4" t="s">
        <v>197</v>
      </c>
      <c r="AQ16" s="4" t="s">
        <v>127</v>
      </c>
      <c r="AR16" s="4" t="s">
        <v>127</v>
      </c>
      <c r="AS16" s="4" t="s">
        <v>127</v>
      </c>
      <c r="AT16" s="4" t="s">
        <v>127</v>
      </c>
      <c r="AU16" s="4" t="s">
        <v>127</v>
      </c>
      <c r="AV16" s="4" t="s">
        <v>127</v>
      </c>
      <c r="AW16" s="4" t="s">
        <v>127</v>
      </c>
      <c r="AX16" s="4" t="s">
        <v>127</v>
      </c>
      <c r="AY16" s="96" t="s">
        <v>239</v>
      </c>
      <c r="AZ16" s="96" t="s">
        <v>240</v>
      </c>
      <c r="BA16" s="96" t="s">
        <v>241</v>
      </c>
      <c r="BB16" s="4" t="s">
        <v>242</v>
      </c>
      <c r="BC16" s="4" t="s">
        <v>243</v>
      </c>
      <c r="BD16" s="4" t="s">
        <v>127</v>
      </c>
      <c r="BE16" s="4" t="s">
        <v>127</v>
      </c>
      <c r="BF16" s="4"/>
      <c r="BG16" s="4"/>
      <c r="BH16" s="4"/>
      <c r="BI16" s="4"/>
      <c r="BJ16" s="4"/>
      <c r="BK16" s="4"/>
      <c r="BL16" s="4"/>
      <c r="BM16" s="4"/>
      <c r="BN16" s="4"/>
      <c r="BO16" s="4"/>
    </row>
    <row r="17" spans="1:67" ht="16" x14ac:dyDescent="0.4">
      <c r="A17" s="4" t="s">
        <v>244</v>
      </c>
      <c r="B17" s="4" t="s">
        <v>244</v>
      </c>
      <c r="C17" s="4" t="s">
        <v>127</v>
      </c>
      <c r="D17" s="4" t="s">
        <v>128</v>
      </c>
      <c r="E17" s="189">
        <v>44154</v>
      </c>
      <c r="F17" s="6">
        <f t="shared" si="0"/>
        <v>2020</v>
      </c>
      <c r="G17" s="4" t="s">
        <v>245</v>
      </c>
      <c r="H17" s="22" t="str">
        <f>VLOOKUP($G17,'Item Classification'!B:C,2,0)</f>
        <v>Equipment for heavyweight torpedo</v>
      </c>
      <c r="I17" s="6" t="str">
        <f>VLOOKUP($G17,'Item Classification'!B:D,3,0)</f>
        <v>Naval</v>
      </c>
      <c r="J17" s="23">
        <f>VLOOKUP($G17,'Item Classification'!B:E,4,0)</f>
        <v>12</v>
      </c>
      <c r="K17" s="116" t="s">
        <v>189</v>
      </c>
      <c r="L17" s="116" t="s">
        <v>246</v>
      </c>
      <c r="M17" s="116" t="str">
        <f>VLOOKUP(L17,'NATO Classifications'!$D$6:$E$647,2,0)</f>
        <v>Torpedoes</v>
      </c>
      <c r="N17" s="4">
        <v>69</v>
      </c>
      <c r="O17" s="81">
        <f t="shared" si="1"/>
        <v>449275.36231884058</v>
      </c>
      <c r="P17" s="81">
        <f t="shared" si="2"/>
        <v>449275.36231884058</v>
      </c>
      <c r="Q17" s="4"/>
      <c r="R17" s="4"/>
      <c r="S17" s="112">
        <v>31000000</v>
      </c>
      <c r="T17" s="91" t="s">
        <v>132</v>
      </c>
      <c r="U17" s="104">
        <f>_xlfn.IFNA(S17/INDEX('Exchange Rates'!$C$7:$F$14,MATCH('MAIN DATA, Orders'!F17,'Exchange Rates'!$B$7:$B$14,0),MATCH('MAIN DATA, Orders'!T17,'Exchange Rates'!$C$6:$F$6,0)), "-")</f>
        <v>31000000</v>
      </c>
      <c r="V17" s="4" t="s">
        <v>133</v>
      </c>
      <c r="W17" s="4" t="s">
        <v>127</v>
      </c>
      <c r="X17" s="4" t="s">
        <v>128</v>
      </c>
      <c r="Y17" s="24">
        <f t="shared" si="3"/>
        <v>202011</v>
      </c>
      <c r="Z17" s="115">
        <v>0</v>
      </c>
      <c r="AA17" s="115">
        <v>0</v>
      </c>
      <c r="AB17" s="115">
        <v>0</v>
      </c>
      <c r="AC17" s="115">
        <v>1</v>
      </c>
      <c r="AD17" s="115">
        <v>0</v>
      </c>
      <c r="AE17" s="115">
        <v>0</v>
      </c>
      <c r="AF17" s="115">
        <v>0</v>
      </c>
      <c r="AG17" s="4" t="s">
        <v>247</v>
      </c>
      <c r="AH17" s="4" t="s">
        <v>128</v>
      </c>
      <c r="AI17" s="4" t="s">
        <v>127</v>
      </c>
      <c r="AJ17" s="4" t="s">
        <v>127</v>
      </c>
      <c r="AK17" s="4" t="s">
        <v>127</v>
      </c>
      <c r="AL17" s="4" t="s">
        <v>127</v>
      </c>
      <c r="AM17" s="4" t="s">
        <v>127</v>
      </c>
      <c r="AN17" s="4" t="s">
        <v>127</v>
      </c>
      <c r="AO17" s="4" t="s">
        <v>127</v>
      </c>
      <c r="AP17" s="4" t="s">
        <v>127</v>
      </c>
      <c r="AQ17" s="4" t="s">
        <v>127</v>
      </c>
      <c r="AR17" s="4" t="s">
        <v>127</v>
      </c>
      <c r="AS17" s="4" t="s">
        <v>127</v>
      </c>
      <c r="AT17" s="4" t="s">
        <v>127</v>
      </c>
      <c r="AU17" s="4" t="s">
        <v>127</v>
      </c>
      <c r="AV17" s="4" t="s">
        <v>127</v>
      </c>
      <c r="AW17" s="4" t="s">
        <v>127</v>
      </c>
      <c r="AX17" s="4" t="s">
        <v>127</v>
      </c>
      <c r="AY17" s="96" t="s">
        <v>248</v>
      </c>
      <c r="AZ17" s="96" t="s">
        <v>249</v>
      </c>
      <c r="BA17" s="96" t="s">
        <v>250</v>
      </c>
      <c r="BB17" s="4" t="s">
        <v>251</v>
      </c>
      <c r="BC17" s="4" t="s">
        <v>127</v>
      </c>
      <c r="BD17" s="4" t="s">
        <v>127</v>
      </c>
      <c r="BE17" s="4" t="s">
        <v>127</v>
      </c>
      <c r="BF17" s="4"/>
      <c r="BG17" s="4"/>
      <c r="BH17" s="4"/>
      <c r="BI17" s="4"/>
      <c r="BJ17" s="4"/>
      <c r="BK17" s="4"/>
      <c r="BL17" s="4"/>
      <c r="BM17" s="4"/>
      <c r="BN17" s="4"/>
      <c r="BO17" s="4"/>
    </row>
    <row r="18" spans="1:67" ht="16" x14ac:dyDescent="0.4">
      <c r="A18" s="4" t="s">
        <v>252</v>
      </c>
      <c r="B18" s="4" t="s">
        <v>252</v>
      </c>
      <c r="C18" s="4" t="s">
        <v>253</v>
      </c>
      <c r="D18" s="4" t="s">
        <v>128</v>
      </c>
      <c r="E18" s="189">
        <v>44154</v>
      </c>
      <c r="F18" s="6">
        <f t="shared" si="0"/>
        <v>2020</v>
      </c>
      <c r="G18" s="4" t="s">
        <v>254</v>
      </c>
      <c r="H18" s="22" t="str">
        <f>VLOOKUP($G18,'Item Classification'!B:C,2,0)</f>
        <v>120mm tank ammunition</v>
      </c>
      <c r="I18" s="6" t="str">
        <f>VLOOKUP($G18,'Item Classification'!B:D,3,0)</f>
        <v>Ammunition</v>
      </c>
      <c r="J18" s="23">
        <f>VLOOKUP($G18,'Item Classification'!B:E,4,0)</f>
        <v>4</v>
      </c>
      <c r="K18" s="116" t="s">
        <v>189</v>
      </c>
      <c r="L18" s="116" t="s">
        <v>255</v>
      </c>
      <c r="M18" s="116" t="str">
        <f>VLOOKUP(L18,'NATO Classifications'!$D$6:$E$647,2,0)</f>
        <v>Ammunition over 75mm</v>
      </c>
      <c r="N18" s="4">
        <v>15000</v>
      </c>
      <c r="O18" s="81">
        <f t="shared" si="1"/>
        <v>1733.3333333333333</v>
      </c>
      <c r="P18" s="81">
        <f t="shared" si="2"/>
        <v>1733.3333333333333</v>
      </c>
      <c r="Q18" s="4">
        <v>2020</v>
      </c>
      <c r="R18" s="4">
        <v>2020</v>
      </c>
      <c r="S18" s="112">
        <v>26000000</v>
      </c>
      <c r="T18" s="91" t="s">
        <v>132</v>
      </c>
      <c r="U18" s="104">
        <f>_xlfn.IFNA(S18/INDEX('Exchange Rates'!$C$7:$F$14,MATCH('MAIN DATA, Orders'!F18,'Exchange Rates'!$B$7:$B$14,0),MATCH('MAIN DATA, Orders'!T18,'Exchange Rates'!$C$6:$F$6,0)), "-")</f>
        <v>26000000</v>
      </c>
      <c r="V18" s="4" t="s">
        <v>133</v>
      </c>
      <c r="W18" s="4" t="s">
        <v>127</v>
      </c>
      <c r="X18" s="4" t="s">
        <v>128</v>
      </c>
      <c r="Y18" s="24">
        <f t="shared" si="3"/>
        <v>202011</v>
      </c>
      <c r="Z18" s="115">
        <v>1</v>
      </c>
      <c r="AA18" s="115">
        <v>0</v>
      </c>
      <c r="AB18" s="115">
        <v>0</v>
      </c>
      <c r="AC18" s="115">
        <v>1</v>
      </c>
      <c r="AD18" s="115">
        <v>0</v>
      </c>
      <c r="AE18" s="115">
        <v>0</v>
      </c>
      <c r="AF18" s="115">
        <v>0</v>
      </c>
      <c r="AG18" s="4" t="s">
        <v>256</v>
      </c>
      <c r="AH18" s="4" t="s">
        <v>128</v>
      </c>
      <c r="AI18" s="4" t="s">
        <v>127</v>
      </c>
      <c r="AJ18" s="4" t="s">
        <v>127</v>
      </c>
      <c r="AK18" s="4" t="s">
        <v>127</v>
      </c>
      <c r="AL18" s="4" t="s">
        <v>127</v>
      </c>
      <c r="AM18" s="4" t="s">
        <v>127</v>
      </c>
      <c r="AN18" s="4" t="s">
        <v>127</v>
      </c>
      <c r="AO18" s="4" t="s">
        <v>127</v>
      </c>
      <c r="AP18" s="4" t="s">
        <v>127</v>
      </c>
      <c r="AQ18" s="4" t="s">
        <v>127</v>
      </c>
      <c r="AR18" s="4" t="s">
        <v>127</v>
      </c>
      <c r="AS18" s="4" t="s">
        <v>127</v>
      </c>
      <c r="AT18" s="4" t="s">
        <v>127</v>
      </c>
      <c r="AU18" s="4" t="s">
        <v>127</v>
      </c>
      <c r="AV18" s="4" t="s">
        <v>127</v>
      </c>
      <c r="AW18" s="4" t="s">
        <v>127</v>
      </c>
      <c r="AX18" s="4" t="s">
        <v>127</v>
      </c>
      <c r="AY18" s="96" t="s">
        <v>248</v>
      </c>
      <c r="AZ18" s="96" t="s">
        <v>257</v>
      </c>
      <c r="BA18" s="96" t="s">
        <v>258</v>
      </c>
      <c r="BB18" s="4" t="s">
        <v>259</v>
      </c>
      <c r="BC18" s="4" t="s">
        <v>127</v>
      </c>
      <c r="BD18" s="4" t="s">
        <v>127</v>
      </c>
      <c r="BE18" s="4" t="s">
        <v>127</v>
      </c>
      <c r="BF18" s="4"/>
      <c r="BG18" s="4"/>
      <c r="BH18" s="4"/>
      <c r="BI18" s="4"/>
      <c r="BJ18" s="4"/>
      <c r="BK18" s="4"/>
      <c r="BL18" s="4"/>
      <c r="BM18" s="4"/>
      <c r="BN18" s="4"/>
      <c r="BO18" s="4"/>
    </row>
    <row r="19" spans="1:67" ht="16" x14ac:dyDescent="0.4">
      <c r="A19" s="4" t="s">
        <v>260</v>
      </c>
      <c r="B19" s="4" t="s">
        <v>260</v>
      </c>
      <c r="C19" s="4" t="s">
        <v>166</v>
      </c>
      <c r="D19" s="4" t="s">
        <v>128</v>
      </c>
      <c r="E19" s="189">
        <v>44154</v>
      </c>
      <c r="F19" s="6">
        <f t="shared" si="0"/>
        <v>2020</v>
      </c>
      <c r="G19" s="4" t="s">
        <v>261</v>
      </c>
      <c r="H19" s="22" t="str">
        <f>VLOOKUP($G19,'Item Classification'!B:C,2,0)</f>
        <v>Communication and digitalisation development</v>
      </c>
      <c r="I19" s="6" t="str">
        <f>VLOOKUP($G19,'Item Classification'!B:D,3,0)</f>
        <v>Development - Modernisation</v>
      </c>
      <c r="J19" s="23">
        <f>VLOOKUP($G19,'Item Classification'!B:E,4,0)</f>
        <v>15</v>
      </c>
      <c r="K19" s="116" t="s">
        <v>158</v>
      </c>
      <c r="L19" s="116" t="s">
        <v>174</v>
      </c>
      <c r="M19" s="116" t="str">
        <f>VLOOKUP(L19,'NATO Classifications'!$D$6:$E$647,2,0)</f>
        <v>Communication, Detection, and Coherent Radiation Equipment (other)</v>
      </c>
      <c r="N19" s="4"/>
      <c r="O19" s="81"/>
      <c r="P19" s="81"/>
      <c r="Q19" s="4"/>
      <c r="R19" s="4">
        <v>2027</v>
      </c>
      <c r="S19" s="112">
        <v>117000000</v>
      </c>
      <c r="T19" s="91" t="s">
        <v>132</v>
      </c>
      <c r="U19" s="104">
        <f>_xlfn.IFNA(S19/INDEX('Exchange Rates'!$C$7:$F$14,MATCH('MAIN DATA, Orders'!F19,'Exchange Rates'!$B$7:$B$14,0),MATCH('MAIN DATA, Orders'!T19,'Exchange Rates'!$C$6:$F$6,0)), "-")</f>
        <v>117000000</v>
      </c>
      <c r="V19" s="4" t="s">
        <v>133</v>
      </c>
      <c r="W19" s="4" t="s">
        <v>127</v>
      </c>
      <c r="X19" s="4" t="s">
        <v>128</v>
      </c>
      <c r="Y19" s="24">
        <f t="shared" si="3"/>
        <v>202011</v>
      </c>
      <c r="Z19" s="115">
        <v>0</v>
      </c>
      <c r="AA19" s="115">
        <v>1</v>
      </c>
      <c r="AB19" s="115">
        <v>0</v>
      </c>
      <c r="AC19" s="115">
        <v>1</v>
      </c>
      <c r="AD19" s="115">
        <v>0</v>
      </c>
      <c r="AE19" s="115">
        <v>0</v>
      </c>
      <c r="AF19" s="115">
        <v>0</v>
      </c>
      <c r="AG19" s="4" t="s">
        <v>166</v>
      </c>
      <c r="AH19" s="4" t="s">
        <v>128</v>
      </c>
      <c r="AI19" s="4" t="s">
        <v>127</v>
      </c>
      <c r="AJ19" s="4" t="s">
        <v>127</v>
      </c>
      <c r="AK19" s="4" t="s">
        <v>127</v>
      </c>
      <c r="AL19" s="4" t="s">
        <v>127</v>
      </c>
      <c r="AM19" s="4" t="s">
        <v>127</v>
      </c>
      <c r="AN19" s="4" t="s">
        <v>127</v>
      </c>
      <c r="AO19" s="4" t="s">
        <v>127</v>
      </c>
      <c r="AP19" s="4" t="s">
        <v>127</v>
      </c>
      <c r="AQ19" s="4" t="s">
        <v>127</v>
      </c>
      <c r="AR19" s="4" t="s">
        <v>127</v>
      </c>
      <c r="AS19" s="4" t="s">
        <v>127</v>
      </c>
      <c r="AT19" s="4" t="s">
        <v>127</v>
      </c>
      <c r="AU19" s="4" t="s">
        <v>127</v>
      </c>
      <c r="AV19" s="4" t="s">
        <v>127</v>
      </c>
      <c r="AW19" s="4" t="s">
        <v>127</v>
      </c>
      <c r="AX19" s="4" t="s">
        <v>127</v>
      </c>
      <c r="AY19" s="96" t="s">
        <v>248</v>
      </c>
      <c r="AZ19" s="96" t="s">
        <v>249</v>
      </c>
      <c r="BA19" s="4" t="s">
        <v>127</v>
      </c>
      <c r="BB19" s="4" t="s">
        <v>262</v>
      </c>
      <c r="BC19" s="4" t="s">
        <v>127</v>
      </c>
      <c r="BD19" s="4" t="s">
        <v>127</v>
      </c>
      <c r="BE19" s="4" t="s">
        <v>127</v>
      </c>
      <c r="BF19" s="4"/>
      <c r="BG19" s="4"/>
      <c r="BH19" s="4"/>
      <c r="BI19" s="4"/>
      <c r="BJ19" s="4"/>
      <c r="BK19" s="4"/>
      <c r="BL19" s="4"/>
      <c r="BM19" s="4"/>
      <c r="BN19" s="4"/>
      <c r="BO19" s="4"/>
    </row>
    <row r="20" spans="1:67" ht="16" x14ac:dyDescent="0.4">
      <c r="A20" s="4" t="s">
        <v>263</v>
      </c>
      <c r="B20" s="4" t="s">
        <v>263</v>
      </c>
      <c r="C20" s="4" t="s">
        <v>264</v>
      </c>
      <c r="D20" s="4" t="s">
        <v>128</v>
      </c>
      <c r="E20" s="189">
        <v>44155</v>
      </c>
      <c r="F20" s="6">
        <f t="shared" si="0"/>
        <v>2020</v>
      </c>
      <c r="G20" s="4" t="s">
        <v>265</v>
      </c>
      <c r="H20" s="22" t="str">
        <f>VLOOKUP($G20,'Item Classification'!B:C,2,0)</f>
        <v>Maritime frigate attack helicopter</v>
      </c>
      <c r="I20" s="6" t="str">
        <f>VLOOKUP($G20,'Item Classification'!B:D,3,0)</f>
        <v>Naval</v>
      </c>
      <c r="J20" s="23">
        <f>VLOOKUP($G20,'Item Classification'!B:E,4,0)</f>
        <v>12</v>
      </c>
      <c r="K20" s="116" t="s">
        <v>130</v>
      </c>
      <c r="L20" s="116" t="s">
        <v>266</v>
      </c>
      <c r="M20" s="116" t="str">
        <f>VLOOKUP(L20,'NATO Classifications'!$D$6:$E$647,2,0)</f>
        <v>Aircraft, Rotary Wing</v>
      </c>
      <c r="N20" s="4">
        <v>31</v>
      </c>
      <c r="O20" s="81">
        <f t="shared" si="1"/>
        <v>87096774.193548381</v>
      </c>
      <c r="P20" s="81">
        <f t="shared" si="2"/>
        <v>87096774.193548381</v>
      </c>
      <c r="Q20" s="4">
        <v>2025</v>
      </c>
      <c r="R20" s="4"/>
      <c r="S20" s="112">
        <v>2700000000</v>
      </c>
      <c r="T20" s="91" t="s">
        <v>132</v>
      </c>
      <c r="U20" s="104">
        <f>_xlfn.IFNA(S20/INDEX('Exchange Rates'!$C$7:$F$14,MATCH('MAIN DATA, Orders'!F20,'Exchange Rates'!$B$7:$B$14,0),MATCH('MAIN DATA, Orders'!T20,'Exchange Rates'!$C$6:$F$6,0)), "-")</f>
        <v>2700000000</v>
      </c>
      <c r="V20" s="4" t="s">
        <v>133</v>
      </c>
      <c r="W20" s="4" t="s">
        <v>127</v>
      </c>
      <c r="X20" s="4" t="s">
        <v>128</v>
      </c>
      <c r="Y20" s="24">
        <f t="shared" si="3"/>
        <v>202011</v>
      </c>
      <c r="Z20" s="115">
        <v>0</v>
      </c>
      <c r="AA20" s="115">
        <v>0</v>
      </c>
      <c r="AB20" s="115">
        <v>0</v>
      </c>
      <c r="AC20" s="115">
        <v>1</v>
      </c>
      <c r="AD20" s="115">
        <v>1</v>
      </c>
      <c r="AE20" s="115">
        <v>0</v>
      </c>
      <c r="AF20" s="115">
        <v>1</v>
      </c>
      <c r="AG20" s="4" t="s">
        <v>267</v>
      </c>
      <c r="AH20" s="4" t="s">
        <v>128</v>
      </c>
      <c r="AI20" s="4" t="s">
        <v>127</v>
      </c>
      <c r="AJ20" s="4" t="s">
        <v>127</v>
      </c>
      <c r="AK20" s="4" t="s">
        <v>127</v>
      </c>
      <c r="AL20" s="4" t="s">
        <v>127</v>
      </c>
      <c r="AM20" s="4" t="s">
        <v>127</v>
      </c>
      <c r="AN20" s="4" t="s">
        <v>151</v>
      </c>
      <c r="AO20" s="4" t="s">
        <v>197</v>
      </c>
      <c r="AP20" s="4" t="s">
        <v>146</v>
      </c>
      <c r="AQ20" s="4" t="s">
        <v>127</v>
      </c>
      <c r="AR20" s="4" t="s">
        <v>127</v>
      </c>
      <c r="AS20" s="4" t="s">
        <v>127</v>
      </c>
      <c r="AT20" s="4" t="s">
        <v>127</v>
      </c>
      <c r="AU20" s="4" t="s">
        <v>127</v>
      </c>
      <c r="AV20" s="4" t="s">
        <v>127</v>
      </c>
      <c r="AW20" s="4" t="s">
        <v>127</v>
      </c>
      <c r="AX20" s="4" t="s">
        <v>127</v>
      </c>
      <c r="AY20" s="96" t="s">
        <v>268</v>
      </c>
      <c r="AZ20" s="96" t="s">
        <v>269</v>
      </c>
      <c r="BA20" s="96" t="s">
        <v>270</v>
      </c>
      <c r="BB20" s="4" t="s">
        <v>271</v>
      </c>
      <c r="BC20" s="4" t="s">
        <v>127</v>
      </c>
      <c r="BD20" s="4" t="s">
        <v>127</v>
      </c>
      <c r="BE20" s="4" t="s">
        <v>127</v>
      </c>
      <c r="BF20" s="4"/>
      <c r="BG20" s="4"/>
      <c r="BH20" s="4"/>
      <c r="BI20" s="4"/>
      <c r="BJ20" s="4"/>
      <c r="BK20" s="4"/>
      <c r="BL20" s="4"/>
      <c r="BM20" s="4"/>
      <c r="BN20" s="4"/>
      <c r="BO20" s="4"/>
    </row>
    <row r="21" spans="1:67" ht="16" x14ac:dyDescent="0.4">
      <c r="A21" s="4" t="s">
        <v>272</v>
      </c>
      <c r="B21" s="4" t="s">
        <v>272</v>
      </c>
      <c r="C21" s="4" t="s">
        <v>127</v>
      </c>
      <c r="D21" s="4" t="s">
        <v>128</v>
      </c>
      <c r="E21" s="189">
        <v>44161</v>
      </c>
      <c r="F21" s="6">
        <f t="shared" si="0"/>
        <v>2020</v>
      </c>
      <c r="G21" s="4" t="s">
        <v>273</v>
      </c>
      <c r="H21" s="22" t="str">
        <f>VLOOKUP($G21,'Item Classification'!B:C,2,0)</f>
        <v>Armoured Utility Vehicle (AUV)</v>
      </c>
      <c r="I21" s="6" t="str">
        <f>VLOOKUP($G21,'Item Classification'!B:D,3,0)</f>
        <v>Armoured vehicle</v>
      </c>
      <c r="J21" s="23">
        <f>VLOOKUP($G21,'Item Classification'!B:E,4,0)</f>
        <v>2</v>
      </c>
      <c r="K21" s="116" t="s">
        <v>274</v>
      </c>
      <c r="L21" s="116" t="s">
        <v>275</v>
      </c>
      <c r="M21" s="116" t="str">
        <f>VLOOKUP(L21,'NATO Classifications'!$D$6:$E$647,2,0)</f>
        <v>Trucks and Truck Tractors, Wheeled</v>
      </c>
      <c r="N21" s="4">
        <v>224</v>
      </c>
      <c r="O21" s="81">
        <f t="shared" si="1"/>
        <v>803571.42857142852</v>
      </c>
      <c r="P21" s="81">
        <f t="shared" si="2"/>
        <v>803571.42857142852</v>
      </c>
      <c r="Q21" s="4">
        <v>2021</v>
      </c>
      <c r="R21" s="4">
        <v>2025</v>
      </c>
      <c r="S21" s="112">
        <v>180000000</v>
      </c>
      <c r="T21" s="91" t="s">
        <v>132</v>
      </c>
      <c r="U21" s="104">
        <f>_xlfn.IFNA(S21/INDEX('Exchange Rates'!$C$7:$F$14,MATCH('MAIN DATA, Orders'!F21,'Exchange Rates'!$B$7:$B$14,0),MATCH('MAIN DATA, Orders'!T21,'Exchange Rates'!$C$6:$F$6,0)), "-")</f>
        <v>180000000</v>
      </c>
      <c r="V21" s="4" t="s">
        <v>133</v>
      </c>
      <c r="W21" s="4" t="s">
        <v>127</v>
      </c>
      <c r="X21" s="4" t="s">
        <v>128</v>
      </c>
      <c r="Y21" s="24">
        <f t="shared" si="3"/>
        <v>202011</v>
      </c>
      <c r="Z21" s="115">
        <v>1</v>
      </c>
      <c r="AA21" s="115">
        <v>0</v>
      </c>
      <c r="AB21" s="115">
        <v>0</v>
      </c>
      <c r="AC21" s="115" t="s">
        <v>127</v>
      </c>
      <c r="AD21" s="115" t="s">
        <v>127</v>
      </c>
      <c r="AE21" s="115" t="s">
        <v>127</v>
      </c>
      <c r="AF21" s="115" t="s">
        <v>127</v>
      </c>
      <c r="AG21" s="4" t="s">
        <v>127</v>
      </c>
      <c r="AH21" s="4" t="s">
        <v>127</v>
      </c>
      <c r="AI21" s="4" t="s">
        <v>127</v>
      </c>
      <c r="AJ21" s="4" t="s">
        <v>127</v>
      </c>
      <c r="AK21" s="4" t="s">
        <v>127</v>
      </c>
      <c r="AL21" s="4" t="s">
        <v>127</v>
      </c>
      <c r="AM21" s="4" t="s">
        <v>127</v>
      </c>
      <c r="AN21" s="4" t="s">
        <v>127</v>
      </c>
      <c r="AO21" s="4" t="s">
        <v>127</v>
      </c>
      <c r="AP21" s="4" t="s">
        <v>127</v>
      </c>
      <c r="AQ21" s="4" t="s">
        <v>127</v>
      </c>
      <c r="AR21" s="4" t="s">
        <v>127</v>
      </c>
      <c r="AS21" s="4" t="s">
        <v>127</v>
      </c>
      <c r="AT21" s="4" t="s">
        <v>127</v>
      </c>
      <c r="AU21" s="4" t="s">
        <v>127</v>
      </c>
      <c r="AV21" s="4" t="s">
        <v>127</v>
      </c>
      <c r="AW21" s="4" t="s">
        <v>127</v>
      </c>
      <c r="AX21" s="4" t="s">
        <v>127</v>
      </c>
      <c r="AY21" s="96" t="s">
        <v>276</v>
      </c>
      <c r="AZ21" s="96" t="s">
        <v>277</v>
      </c>
      <c r="BA21" s="4" t="s">
        <v>127</v>
      </c>
      <c r="BB21" s="4" t="s">
        <v>278</v>
      </c>
      <c r="BC21" s="4" t="s">
        <v>279</v>
      </c>
      <c r="BD21" s="4" t="s">
        <v>280</v>
      </c>
      <c r="BE21" s="4" t="s">
        <v>127</v>
      </c>
      <c r="BF21" s="4"/>
      <c r="BG21" s="4"/>
      <c r="BH21" s="4"/>
      <c r="BI21" s="4"/>
      <c r="BJ21" s="4"/>
      <c r="BK21" s="4"/>
      <c r="BL21" s="4"/>
      <c r="BM21" s="4"/>
      <c r="BN21" s="4"/>
      <c r="BO21" s="4"/>
    </row>
    <row r="22" spans="1:67" ht="16" x14ac:dyDescent="0.4">
      <c r="A22" s="4" t="s">
        <v>281</v>
      </c>
      <c r="B22" s="4" t="s">
        <v>281</v>
      </c>
      <c r="C22" s="4" t="s">
        <v>127</v>
      </c>
      <c r="D22" s="4" t="s">
        <v>128</v>
      </c>
      <c r="E22" s="189">
        <v>44161</v>
      </c>
      <c r="F22" s="6">
        <f t="shared" si="0"/>
        <v>2020</v>
      </c>
      <c r="G22" s="4" t="s">
        <v>282</v>
      </c>
      <c r="H22" s="22" t="str">
        <f>VLOOKUP($G22,'Item Classification'!B:C,2,0)</f>
        <v>Non-combat military vehicle</v>
      </c>
      <c r="I22" s="6" t="str">
        <f>VLOOKUP($G22,'Item Classification'!B:D,3,0)</f>
        <v>Other</v>
      </c>
      <c r="J22" s="23">
        <f>VLOOKUP($G22,'Item Classification'!B:E,4,0)</f>
        <v>16</v>
      </c>
      <c r="K22" s="116" t="s">
        <v>274</v>
      </c>
      <c r="L22" s="116" t="s">
        <v>275</v>
      </c>
      <c r="M22" s="116" t="str">
        <f>VLOOKUP(L22,'NATO Classifications'!$D$6:$E$647,2,0)</f>
        <v>Trucks and Truck Tractors, Wheeled</v>
      </c>
      <c r="N22" s="4">
        <v>48</v>
      </c>
      <c r="O22" s="81">
        <f t="shared" si="1"/>
        <v>854166.66666666663</v>
      </c>
      <c r="P22" s="81">
        <f t="shared" si="2"/>
        <v>854166.66666666663</v>
      </c>
      <c r="Q22" s="4"/>
      <c r="R22" s="4"/>
      <c r="S22" s="112">
        <v>41000000</v>
      </c>
      <c r="T22" s="91" t="s">
        <v>132</v>
      </c>
      <c r="U22" s="104">
        <f>_xlfn.IFNA(S22/INDEX('Exchange Rates'!$C$7:$F$14,MATCH('MAIN DATA, Orders'!F22,'Exchange Rates'!$B$7:$B$14,0),MATCH('MAIN DATA, Orders'!T22,'Exchange Rates'!$C$6:$F$6,0)), "-")</f>
        <v>41000000</v>
      </c>
      <c r="V22" s="4" t="s">
        <v>283</v>
      </c>
      <c r="W22" s="4" t="s">
        <v>127</v>
      </c>
      <c r="X22" s="4" t="s">
        <v>128</v>
      </c>
      <c r="Y22" s="24">
        <f t="shared" si="3"/>
        <v>202011</v>
      </c>
      <c r="Z22" s="115">
        <v>1</v>
      </c>
      <c r="AA22" s="115">
        <v>0</v>
      </c>
      <c r="AB22" s="115">
        <v>0</v>
      </c>
      <c r="AC22" s="115">
        <v>1</v>
      </c>
      <c r="AD22" s="115">
        <v>0</v>
      </c>
      <c r="AE22" s="115">
        <v>0</v>
      </c>
      <c r="AF22" s="115">
        <v>0</v>
      </c>
      <c r="AG22" s="4" t="s">
        <v>256</v>
      </c>
      <c r="AH22" s="4" t="s">
        <v>128</v>
      </c>
      <c r="AI22" s="4" t="s">
        <v>127</v>
      </c>
      <c r="AJ22" s="4" t="s">
        <v>127</v>
      </c>
      <c r="AK22" s="4" t="s">
        <v>127</v>
      </c>
      <c r="AL22" s="4" t="s">
        <v>127</v>
      </c>
      <c r="AM22" s="4" t="s">
        <v>127</v>
      </c>
      <c r="AN22" s="4" t="s">
        <v>127</v>
      </c>
      <c r="AO22" s="4" t="s">
        <v>127</v>
      </c>
      <c r="AP22" s="4" t="s">
        <v>127</v>
      </c>
      <c r="AQ22" s="4" t="s">
        <v>127</v>
      </c>
      <c r="AR22" s="4" t="s">
        <v>127</v>
      </c>
      <c r="AS22" s="4" t="s">
        <v>127</v>
      </c>
      <c r="AT22" s="4" t="s">
        <v>127</v>
      </c>
      <c r="AU22" s="4" t="s">
        <v>127</v>
      </c>
      <c r="AV22" s="4" t="s">
        <v>127</v>
      </c>
      <c r="AW22" s="4" t="s">
        <v>127</v>
      </c>
      <c r="AX22" s="4" t="s">
        <v>127</v>
      </c>
      <c r="AY22" s="96" t="s">
        <v>276</v>
      </c>
      <c r="AZ22" s="96" t="s">
        <v>277</v>
      </c>
      <c r="BA22" s="4" t="s">
        <v>127</v>
      </c>
      <c r="BB22" s="4" t="s">
        <v>284</v>
      </c>
      <c r="BC22" s="4" t="s">
        <v>127</v>
      </c>
      <c r="BD22" s="4" t="s">
        <v>127</v>
      </c>
      <c r="BE22" s="4" t="s">
        <v>127</v>
      </c>
      <c r="BF22" s="4"/>
      <c r="BG22" s="4"/>
      <c r="BH22" s="4"/>
      <c r="BI22" s="4"/>
      <c r="BJ22" s="4"/>
      <c r="BK22" s="4"/>
      <c r="BL22" s="4"/>
      <c r="BM22" s="4"/>
      <c r="BN22" s="4"/>
      <c r="BO22" s="4"/>
    </row>
    <row r="23" spans="1:67" ht="16" x14ac:dyDescent="0.4">
      <c r="A23" s="4" t="s">
        <v>285</v>
      </c>
      <c r="B23" s="4" t="s">
        <v>285</v>
      </c>
      <c r="C23" s="4" t="s">
        <v>127</v>
      </c>
      <c r="D23" s="4" t="s">
        <v>128</v>
      </c>
      <c r="E23" s="189">
        <v>44161</v>
      </c>
      <c r="F23" s="6">
        <f t="shared" si="0"/>
        <v>2020</v>
      </c>
      <c r="G23" s="4" t="s">
        <v>127</v>
      </c>
      <c r="H23" s="22" t="s">
        <v>286</v>
      </c>
      <c r="I23" s="6" t="s">
        <v>287</v>
      </c>
      <c r="J23" s="23">
        <v>16</v>
      </c>
      <c r="K23" s="116" t="s">
        <v>274</v>
      </c>
      <c r="L23" s="116" t="s">
        <v>275</v>
      </c>
      <c r="M23" s="116" t="str">
        <f>VLOOKUP(L23,'NATO Classifications'!$D$6:$E$647,2,0)</f>
        <v>Trucks and Truck Tractors, Wheeled</v>
      </c>
      <c r="N23" s="4"/>
      <c r="O23" s="81"/>
      <c r="P23" s="81"/>
      <c r="Q23" s="4"/>
      <c r="R23" s="4"/>
      <c r="S23" s="112">
        <v>154000000</v>
      </c>
      <c r="T23" s="91" t="s">
        <v>132</v>
      </c>
      <c r="U23" s="104">
        <f>_xlfn.IFNA(S23/INDEX('Exchange Rates'!$C$7:$F$14,MATCH('MAIN DATA, Orders'!F23,'Exchange Rates'!$B$7:$B$14,0),MATCH('MAIN DATA, Orders'!T23,'Exchange Rates'!$C$6:$F$6,0)), "-")</f>
        <v>154000000</v>
      </c>
      <c r="V23" s="4" t="s">
        <v>133</v>
      </c>
      <c r="W23" s="4" t="s">
        <v>127</v>
      </c>
      <c r="X23" s="4" t="s">
        <v>128</v>
      </c>
      <c r="Y23" s="24">
        <f t="shared" si="3"/>
        <v>202011</v>
      </c>
      <c r="Z23" s="115">
        <v>1</v>
      </c>
      <c r="AA23" s="115">
        <v>0</v>
      </c>
      <c r="AB23" s="115">
        <v>0</v>
      </c>
      <c r="AC23" s="115">
        <v>1</v>
      </c>
      <c r="AD23" s="115">
        <v>0</v>
      </c>
      <c r="AE23" s="115">
        <v>0</v>
      </c>
      <c r="AF23" s="115">
        <v>0</v>
      </c>
      <c r="AG23" s="4" t="s">
        <v>256</v>
      </c>
      <c r="AH23" s="4" t="s">
        <v>128</v>
      </c>
      <c r="AI23" s="4" t="s">
        <v>127</v>
      </c>
      <c r="AJ23" s="4" t="s">
        <v>127</v>
      </c>
      <c r="AK23" s="4" t="s">
        <v>127</v>
      </c>
      <c r="AL23" s="4" t="s">
        <v>127</v>
      </c>
      <c r="AM23" s="4" t="s">
        <v>127</v>
      </c>
      <c r="AN23" s="4" t="s">
        <v>127</v>
      </c>
      <c r="AO23" s="4" t="s">
        <v>127</v>
      </c>
      <c r="AP23" s="4" t="s">
        <v>127</v>
      </c>
      <c r="AQ23" s="4" t="s">
        <v>127</v>
      </c>
      <c r="AR23" s="4" t="s">
        <v>127</v>
      </c>
      <c r="AS23" s="4" t="s">
        <v>127</v>
      </c>
      <c r="AT23" s="4" t="s">
        <v>127</v>
      </c>
      <c r="AU23" s="4" t="s">
        <v>127</v>
      </c>
      <c r="AV23" s="4" t="s">
        <v>127</v>
      </c>
      <c r="AW23" s="4" t="s">
        <v>127</v>
      </c>
      <c r="AX23" s="4" t="s">
        <v>127</v>
      </c>
      <c r="AY23" s="96" t="s">
        <v>276</v>
      </c>
      <c r="AZ23" s="96" t="s">
        <v>277</v>
      </c>
      <c r="BA23" s="4" t="s">
        <v>127</v>
      </c>
      <c r="BB23" s="4" t="s">
        <v>288</v>
      </c>
      <c r="BC23" s="4" t="s">
        <v>127</v>
      </c>
      <c r="BD23" s="4" t="s">
        <v>127</v>
      </c>
      <c r="BE23" s="4" t="s">
        <v>127</v>
      </c>
      <c r="BF23" s="4" t="s">
        <v>200</v>
      </c>
      <c r="BG23" s="4" t="s">
        <v>200</v>
      </c>
      <c r="BH23" s="4" t="s">
        <v>200</v>
      </c>
      <c r="BI23" s="4" t="s">
        <v>200</v>
      </c>
      <c r="BJ23" s="4" t="s">
        <v>200</v>
      </c>
      <c r="BK23" s="4" t="s">
        <v>200</v>
      </c>
      <c r="BL23" s="4" t="s">
        <v>200</v>
      </c>
      <c r="BM23" s="4" t="s">
        <v>200</v>
      </c>
      <c r="BN23" s="4" t="s">
        <v>200</v>
      </c>
      <c r="BO23" s="4" t="s">
        <v>200</v>
      </c>
    </row>
    <row r="24" spans="1:67" ht="16" x14ac:dyDescent="0.4">
      <c r="A24" s="4" t="s">
        <v>285</v>
      </c>
      <c r="B24" s="4" t="s">
        <v>289</v>
      </c>
      <c r="C24" s="4" t="s">
        <v>127</v>
      </c>
      <c r="D24" s="4" t="s">
        <v>128</v>
      </c>
      <c r="E24" s="189">
        <v>44161</v>
      </c>
      <c r="F24" s="6">
        <f t="shared" si="0"/>
        <v>2020</v>
      </c>
      <c r="G24" s="4" t="s">
        <v>290</v>
      </c>
      <c r="H24" s="22" t="str">
        <f>VLOOKUP($G24,'Item Classification'!B:C,2,0)</f>
        <v>Non-combat military vehicle</v>
      </c>
      <c r="I24" s="6" t="str">
        <f>VLOOKUP($G24,'Item Classification'!B:D,3,0)</f>
        <v>Other</v>
      </c>
      <c r="J24" s="23">
        <f>VLOOKUP($G24,'Item Classification'!B:E,4,0)</f>
        <v>16</v>
      </c>
      <c r="K24" s="116" t="s">
        <v>274</v>
      </c>
      <c r="L24" s="116" t="s">
        <v>275</v>
      </c>
      <c r="M24" s="116" t="str">
        <f>VLOOKUP(L24,'NATO Classifications'!$D$6:$E$647,2,0)</f>
        <v>Trucks and Truck Tractors, Wheeled</v>
      </c>
      <c r="N24" s="4">
        <v>292</v>
      </c>
      <c r="O24" s="81"/>
      <c r="P24" s="81"/>
      <c r="Q24" s="4">
        <v>2021</v>
      </c>
      <c r="R24" s="4">
        <v>2021</v>
      </c>
      <c r="S24" s="4"/>
      <c r="T24" s="91" t="s">
        <v>132</v>
      </c>
      <c r="U24" s="104">
        <f>_xlfn.IFNA(S24/INDEX('Exchange Rates'!$C$7:$F$14,MATCH('MAIN DATA, Orders'!F24,'Exchange Rates'!$B$7:$B$14,0),MATCH('MAIN DATA, Orders'!T24,'Exchange Rates'!$C$6:$F$6,0)), "-")</f>
        <v>0</v>
      </c>
      <c r="V24" s="4" t="s">
        <v>133</v>
      </c>
      <c r="W24" s="4" t="s">
        <v>127</v>
      </c>
      <c r="X24" s="4" t="s">
        <v>128</v>
      </c>
      <c r="Y24" s="24">
        <f t="shared" si="3"/>
        <v>202011</v>
      </c>
      <c r="Z24" s="115">
        <v>1</v>
      </c>
      <c r="AA24" s="115">
        <v>0</v>
      </c>
      <c r="AB24" s="115">
        <v>0</v>
      </c>
      <c r="AC24" s="115">
        <v>1</v>
      </c>
      <c r="AD24" s="115">
        <v>0</v>
      </c>
      <c r="AE24" s="115">
        <v>0</v>
      </c>
      <c r="AF24" s="115">
        <v>0</v>
      </c>
      <c r="AG24" s="4" t="s">
        <v>256</v>
      </c>
      <c r="AH24" s="4" t="s">
        <v>128</v>
      </c>
      <c r="AI24" s="4" t="s">
        <v>127</v>
      </c>
      <c r="AJ24" s="4" t="s">
        <v>127</v>
      </c>
      <c r="AK24" s="4" t="s">
        <v>127</v>
      </c>
      <c r="AL24" s="4" t="s">
        <v>127</v>
      </c>
      <c r="AM24" s="4" t="s">
        <v>127</v>
      </c>
      <c r="AN24" s="4" t="s">
        <v>127</v>
      </c>
      <c r="AO24" s="4" t="s">
        <v>127</v>
      </c>
      <c r="AP24" s="4" t="s">
        <v>127</v>
      </c>
      <c r="AQ24" s="4" t="s">
        <v>127</v>
      </c>
      <c r="AR24" s="4" t="s">
        <v>127</v>
      </c>
      <c r="AS24" s="4" t="s">
        <v>127</v>
      </c>
      <c r="AT24" s="4" t="s">
        <v>127</v>
      </c>
      <c r="AU24" s="4" t="s">
        <v>127</v>
      </c>
      <c r="AV24" s="4" t="s">
        <v>127</v>
      </c>
      <c r="AW24" s="4" t="s">
        <v>127</v>
      </c>
      <c r="AX24" s="4" t="s">
        <v>127</v>
      </c>
      <c r="AY24" s="96" t="s">
        <v>276</v>
      </c>
      <c r="AZ24" s="96" t="s">
        <v>277</v>
      </c>
      <c r="BA24" s="96" t="s">
        <v>291</v>
      </c>
      <c r="BB24" s="4" t="s">
        <v>288</v>
      </c>
      <c r="BC24" s="4" t="s">
        <v>127</v>
      </c>
      <c r="BD24" s="4" t="s">
        <v>127</v>
      </c>
      <c r="BE24" s="4" t="s">
        <v>127</v>
      </c>
      <c r="BF24" s="4" t="s">
        <v>200</v>
      </c>
      <c r="BG24" s="4" t="s">
        <v>200</v>
      </c>
      <c r="BH24" s="4" t="s">
        <v>200</v>
      </c>
      <c r="BI24" s="4" t="s">
        <v>200</v>
      </c>
      <c r="BJ24" s="4" t="s">
        <v>200</v>
      </c>
      <c r="BK24" s="4" t="s">
        <v>200</v>
      </c>
      <c r="BL24" s="4" t="s">
        <v>200</v>
      </c>
      <c r="BM24" s="4" t="s">
        <v>200</v>
      </c>
      <c r="BN24" s="4" t="s">
        <v>200</v>
      </c>
      <c r="BO24" s="4" t="s">
        <v>200</v>
      </c>
    </row>
    <row r="25" spans="1:67" ht="16" x14ac:dyDescent="0.4">
      <c r="A25" s="4" t="s">
        <v>285</v>
      </c>
      <c r="B25" s="4" t="s">
        <v>292</v>
      </c>
      <c r="C25" s="4" t="s">
        <v>127</v>
      </c>
      <c r="D25" s="4" t="s">
        <v>128</v>
      </c>
      <c r="E25" s="189">
        <v>44161</v>
      </c>
      <c r="F25" s="6">
        <f t="shared" si="0"/>
        <v>2020</v>
      </c>
      <c r="G25" s="4" t="s">
        <v>293</v>
      </c>
      <c r="H25" s="22" t="str">
        <f>VLOOKUP($G25,'Item Classification'!B:C,2,0)</f>
        <v>Non-combat military vehicle</v>
      </c>
      <c r="I25" s="6" t="str">
        <f>VLOOKUP($G25,'Item Classification'!B:D,3,0)</f>
        <v>Other</v>
      </c>
      <c r="J25" s="23">
        <f>VLOOKUP($G25,'Item Classification'!B:E,4,0)</f>
        <v>16</v>
      </c>
      <c r="K25" s="116" t="s">
        <v>274</v>
      </c>
      <c r="L25" s="116" t="s">
        <v>275</v>
      </c>
      <c r="M25" s="116" t="str">
        <f>VLOOKUP(L25,'NATO Classifications'!$D$6:$E$647,2,0)</f>
        <v>Trucks and Truck Tractors, Wheeled</v>
      </c>
      <c r="N25" s="4">
        <v>109</v>
      </c>
      <c r="O25" s="81"/>
      <c r="P25" s="81"/>
      <c r="Q25" s="4">
        <v>2021</v>
      </c>
      <c r="R25" s="4">
        <v>2021</v>
      </c>
      <c r="S25" s="4"/>
      <c r="T25" s="91" t="s">
        <v>132</v>
      </c>
      <c r="U25" s="104">
        <f>_xlfn.IFNA(S25/INDEX('Exchange Rates'!$C$7:$F$14,MATCH('MAIN DATA, Orders'!F25,'Exchange Rates'!$B$7:$B$14,0),MATCH('MAIN DATA, Orders'!T25,'Exchange Rates'!$C$6:$F$6,0)), "-")</f>
        <v>0</v>
      </c>
      <c r="V25" s="4" t="s">
        <v>133</v>
      </c>
      <c r="W25" s="4" t="s">
        <v>127</v>
      </c>
      <c r="X25" s="4" t="s">
        <v>128</v>
      </c>
      <c r="Y25" s="24">
        <f t="shared" si="3"/>
        <v>202011</v>
      </c>
      <c r="Z25" s="115">
        <v>1</v>
      </c>
      <c r="AA25" s="115">
        <v>0</v>
      </c>
      <c r="AB25" s="115">
        <v>0</v>
      </c>
      <c r="AC25" s="115">
        <v>1</v>
      </c>
      <c r="AD25" s="115">
        <v>0</v>
      </c>
      <c r="AE25" s="115">
        <v>0</v>
      </c>
      <c r="AF25" s="115">
        <v>0</v>
      </c>
      <c r="AG25" s="4" t="s">
        <v>256</v>
      </c>
      <c r="AH25" s="4" t="s">
        <v>128</v>
      </c>
      <c r="AI25" s="4" t="s">
        <v>127</v>
      </c>
      <c r="AJ25" s="4" t="s">
        <v>127</v>
      </c>
      <c r="AK25" s="4" t="s">
        <v>127</v>
      </c>
      <c r="AL25" s="4" t="s">
        <v>127</v>
      </c>
      <c r="AM25" s="4" t="s">
        <v>127</v>
      </c>
      <c r="AN25" s="4" t="s">
        <v>127</v>
      </c>
      <c r="AO25" s="4" t="s">
        <v>127</v>
      </c>
      <c r="AP25" s="4" t="s">
        <v>127</v>
      </c>
      <c r="AQ25" s="4" t="s">
        <v>127</v>
      </c>
      <c r="AR25" s="4" t="s">
        <v>127</v>
      </c>
      <c r="AS25" s="4" t="s">
        <v>127</v>
      </c>
      <c r="AT25" s="4" t="s">
        <v>127</v>
      </c>
      <c r="AU25" s="4" t="s">
        <v>127</v>
      </c>
      <c r="AV25" s="4" t="s">
        <v>127</v>
      </c>
      <c r="AW25" s="4" t="s">
        <v>127</v>
      </c>
      <c r="AX25" s="4" t="s">
        <v>127</v>
      </c>
      <c r="AY25" s="96" t="s">
        <v>276</v>
      </c>
      <c r="AZ25" s="96" t="s">
        <v>277</v>
      </c>
      <c r="BA25" s="96" t="s">
        <v>291</v>
      </c>
      <c r="BB25" s="4" t="s">
        <v>288</v>
      </c>
      <c r="BC25" s="4" t="s">
        <v>127</v>
      </c>
      <c r="BD25" s="4" t="s">
        <v>127</v>
      </c>
      <c r="BE25" s="4" t="s">
        <v>127</v>
      </c>
      <c r="BF25" s="4" t="s">
        <v>200</v>
      </c>
      <c r="BG25" s="4" t="s">
        <v>200</v>
      </c>
      <c r="BH25" s="4" t="s">
        <v>200</v>
      </c>
      <c r="BI25" s="4" t="s">
        <v>200</v>
      </c>
      <c r="BJ25" s="4" t="s">
        <v>200</v>
      </c>
      <c r="BK25" s="4" t="s">
        <v>200</v>
      </c>
      <c r="BL25" s="4" t="s">
        <v>200</v>
      </c>
      <c r="BM25" s="4" t="s">
        <v>200</v>
      </c>
      <c r="BN25" s="4" t="s">
        <v>200</v>
      </c>
      <c r="BO25" s="4" t="s">
        <v>200</v>
      </c>
    </row>
    <row r="26" spans="1:67" ht="16" x14ac:dyDescent="0.4">
      <c r="A26" s="4" t="s">
        <v>294</v>
      </c>
      <c r="B26" s="4" t="s">
        <v>294</v>
      </c>
      <c r="C26" s="4" t="s">
        <v>127</v>
      </c>
      <c r="D26" s="4" t="s">
        <v>128</v>
      </c>
      <c r="E26" s="189">
        <v>44161</v>
      </c>
      <c r="F26" s="6">
        <f t="shared" si="0"/>
        <v>2020</v>
      </c>
      <c r="G26" s="4" t="s">
        <v>127</v>
      </c>
      <c r="H26" s="22" t="s">
        <v>286</v>
      </c>
      <c r="I26" s="6" t="s">
        <v>287</v>
      </c>
      <c r="J26" s="23">
        <v>16</v>
      </c>
      <c r="K26" s="116" t="s">
        <v>274</v>
      </c>
      <c r="L26" s="116" t="s">
        <v>275</v>
      </c>
      <c r="M26" s="116" t="str">
        <f>VLOOKUP(L26,'NATO Classifications'!$D$6:$E$647,2,0)</f>
        <v>Trucks and Truck Tractors, Wheeled</v>
      </c>
      <c r="N26" s="4"/>
      <c r="O26" s="81"/>
      <c r="P26" s="81"/>
      <c r="Q26" s="4"/>
      <c r="R26" s="4"/>
      <c r="S26" s="112">
        <v>389000000</v>
      </c>
      <c r="T26" s="91" t="s">
        <v>132</v>
      </c>
      <c r="U26" s="104">
        <f>_xlfn.IFNA(S26/INDEX('Exchange Rates'!$C$7:$F$14,MATCH('MAIN DATA, Orders'!F26,'Exchange Rates'!$B$7:$B$14,0),MATCH('MAIN DATA, Orders'!T26,'Exchange Rates'!$C$6:$F$6,0)), "-")</f>
        <v>389000000</v>
      </c>
      <c r="V26" s="4" t="s">
        <v>283</v>
      </c>
      <c r="W26" s="4" t="s">
        <v>127</v>
      </c>
      <c r="X26" s="4" t="s">
        <v>128</v>
      </c>
      <c r="Y26" s="24">
        <f t="shared" si="3"/>
        <v>202011</v>
      </c>
      <c r="Z26" s="115">
        <v>1</v>
      </c>
      <c r="AA26" s="115">
        <v>0</v>
      </c>
      <c r="AB26" s="115">
        <v>0</v>
      </c>
      <c r="AC26" s="115">
        <v>1</v>
      </c>
      <c r="AD26" s="115">
        <v>0</v>
      </c>
      <c r="AE26" s="115">
        <v>0</v>
      </c>
      <c r="AF26" s="115">
        <v>0</v>
      </c>
      <c r="AG26" s="4" t="s">
        <v>256</v>
      </c>
      <c r="AH26" s="4" t="s">
        <v>128</v>
      </c>
      <c r="AI26" s="4" t="s">
        <v>127</v>
      </c>
      <c r="AJ26" s="4" t="s">
        <v>127</v>
      </c>
      <c r="AK26" s="4" t="s">
        <v>127</v>
      </c>
      <c r="AL26" s="4" t="s">
        <v>127</v>
      </c>
      <c r="AM26" s="4" t="s">
        <v>127</v>
      </c>
      <c r="AN26" s="4" t="s">
        <v>127</v>
      </c>
      <c r="AO26" s="4" t="s">
        <v>127</v>
      </c>
      <c r="AP26" s="4" t="s">
        <v>127</v>
      </c>
      <c r="AQ26" s="4" t="s">
        <v>127</v>
      </c>
      <c r="AR26" s="4" t="s">
        <v>127</v>
      </c>
      <c r="AS26" s="4" t="s">
        <v>127</v>
      </c>
      <c r="AT26" s="4" t="s">
        <v>127</v>
      </c>
      <c r="AU26" s="4" t="s">
        <v>127</v>
      </c>
      <c r="AV26" s="4" t="s">
        <v>127</v>
      </c>
      <c r="AW26" s="4" t="s">
        <v>127</v>
      </c>
      <c r="AX26" s="4" t="s">
        <v>127</v>
      </c>
      <c r="AY26" s="96" t="s">
        <v>276</v>
      </c>
      <c r="AZ26" s="96" t="s">
        <v>277</v>
      </c>
      <c r="BA26" s="96" t="s">
        <v>291</v>
      </c>
      <c r="BB26" s="4" t="s">
        <v>295</v>
      </c>
      <c r="BC26" s="4" t="s">
        <v>127</v>
      </c>
      <c r="BD26" s="4" t="s">
        <v>127</v>
      </c>
      <c r="BE26" s="4" t="s">
        <v>127</v>
      </c>
      <c r="BF26" s="4" t="s">
        <v>200</v>
      </c>
      <c r="BG26" s="4" t="s">
        <v>200</v>
      </c>
      <c r="BH26" s="4" t="s">
        <v>200</v>
      </c>
      <c r="BI26" s="4" t="s">
        <v>200</v>
      </c>
      <c r="BJ26" s="4" t="s">
        <v>200</v>
      </c>
      <c r="BK26" s="4" t="s">
        <v>200</v>
      </c>
      <c r="BL26" s="4" t="s">
        <v>200</v>
      </c>
      <c r="BM26" s="4" t="s">
        <v>200</v>
      </c>
      <c r="BN26" s="4" t="s">
        <v>200</v>
      </c>
      <c r="BO26" s="4" t="s">
        <v>200</v>
      </c>
    </row>
    <row r="27" spans="1:67" ht="16" x14ac:dyDescent="0.4">
      <c r="A27" s="4" t="s">
        <v>294</v>
      </c>
      <c r="B27" s="4" t="s">
        <v>296</v>
      </c>
      <c r="C27" s="4" t="s">
        <v>127</v>
      </c>
      <c r="D27" s="4" t="s">
        <v>128</v>
      </c>
      <c r="E27" s="189">
        <v>44161</v>
      </c>
      <c r="F27" s="6">
        <f t="shared" si="0"/>
        <v>2020</v>
      </c>
      <c r="G27" s="4" t="s">
        <v>290</v>
      </c>
      <c r="H27" s="22" t="str">
        <f>VLOOKUP($G27,'Item Classification'!B:C,2,0)</f>
        <v>Non-combat military vehicle</v>
      </c>
      <c r="I27" s="6" t="str">
        <f>VLOOKUP($G27,'Item Classification'!B:D,3,0)</f>
        <v>Other</v>
      </c>
      <c r="J27" s="23">
        <f>VLOOKUP($G27,'Item Classification'!B:E,4,0)</f>
        <v>16</v>
      </c>
      <c r="K27" s="116" t="s">
        <v>274</v>
      </c>
      <c r="L27" s="116" t="s">
        <v>275</v>
      </c>
      <c r="M27" s="116" t="str">
        <f>VLOOKUP(L27,'NATO Classifications'!$D$6:$E$647,2,0)</f>
        <v>Trucks and Truck Tractors, Wheeled</v>
      </c>
      <c r="N27" s="4">
        <v>150</v>
      </c>
      <c r="O27" s="81"/>
      <c r="P27" s="81"/>
      <c r="Q27" s="4">
        <v>2021</v>
      </c>
      <c r="R27" s="4">
        <v>2022</v>
      </c>
      <c r="S27" s="4"/>
      <c r="T27" s="91" t="s">
        <v>132</v>
      </c>
      <c r="U27" s="104">
        <f>_xlfn.IFNA(S27/INDEX('Exchange Rates'!$C$7:$F$14,MATCH('MAIN DATA, Orders'!F27,'Exchange Rates'!$B$7:$B$14,0),MATCH('MAIN DATA, Orders'!T27,'Exchange Rates'!$C$6:$F$6,0)), "-")</f>
        <v>0</v>
      </c>
      <c r="V27" s="4" t="s">
        <v>283</v>
      </c>
      <c r="W27" s="4" t="s">
        <v>127</v>
      </c>
      <c r="X27" s="4" t="s">
        <v>128</v>
      </c>
      <c r="Y27" s="24">
        <f t="shared" si="3"/>
        <v>202011</v>
      </c>
      <c r="Z27" s="115">
        <v>1</v>
      </c>
      <c r="AA27" s="115">
        <v>0</v>
      </c>
      <c r="AB27" s="115">
        <v>0</v>
      </c>
      <c r="AC27" s="115">
        <v>1</v>
      </c>
      <c r="AD27" s="115">
        <v>0</v>
      </c>
      <c r="AE27" s="115">
        <v>0</v>
      </c>
      <c r="AF27" s="115">
        <v>0</v>
      </c>
      <c r="AG27" s="4" t="s">
        <v>256</v>
      </c>
      <c r="AH27" s="4" t="s">
        <v>128</v>
      </c>
      <c r="AI27" s="4" t="s">
        <v>127</v>
      </c>
      <c r="AJ27" s="4" t="s">
        <v>127</v>
      </c>
      <c r="AK27" s="4" t="s">
        <v>127</v>
      </c>
      <c r="AL27" s="4" t="s">
        <v>127</v>
      </c>
      <c r="AM27" s="4" t="s">
        <v>127</v>
      </c>
      <c r="AN27" s="4" t="s">
        <v>127</v>
      </c>
      <c r="AO27" s="4" t="s">
        <v>127</v>
      </c>
      <c r="AP27" s="4" t="s">
        <v>127</v>
      </c>
      <c r="AQ27" s="4" t="s">
        <v>127</v>
      </c>
      <c r="AR27" s="4" t="s">
        <v>127</v>
      </c>
      <c r="AS27" s="4" t="s">
        <v>127</v>
      </c>
      <c r="AT27" s="4" t="s">
        <v>127</v>
      </c>
      <c r="AU27" s="4" t="s">
        <v>127</v>
      </c>
      <c r="AV27" s="4" t="s">
        <v>127</v>
      </c>
      <c r="AW27" s="4" t="s">
        <v>127</v>
      </c>
      <c r="AX27" s="4" t="s">
        <v>127</v>
      </c>
      <c r="AY27" s="96" t="s">
        <v>276</v>
      </c>
      <c r="AZ27" s="96" t="s">
        <v>277</v>
      </c>
      <c r="BA27" s="96" t="s">
        <v>291</v>
      </c>
      <c r="BB27" s="4" t="s">
        <v>295</v>
      </c>
      <c r="BC27" s="4" t="s">
        <v>127</v>
      </c>
      <c r="BD27" s="4" t="s">
        <v>127</v>
      </c>
      <c r="BE27" s="4" t="s">
        <v>127</v>
      </c>
      <c r="BF27" s="4" t="s">
        <v>200</v>
      </c>
      <c r="BG27" s="4" t="s">
        <v>200</v>
      </c>
      <c r="BH27" s="4" t="s">
        <v>200</v>
      </c>
      <c r="BI27" s="4" t="s">
        <v>200</v>
      </c>
      <c r="BJ27" s="4" t="s">
        <v>200</v>
      </c>
      <c r="BK27" s="4" t="s">
        <v>200</v>
      </c>
      <c r="BL27" s="4" t="s">
        <v>200</v>
      </c>
      <c r="BM27" s="4" t="s">
        <v>200</v>
      </c>
      <c r="BN27" s="4" t="s">
        <v>200</v>
      </c>
      <c r="BO27" s="4" t="s">
        <v>200</v>
      </c>
    </row>
    <row r="28" spans="1:67" ht="16" x14ac:dyDescent="0.4">
      <c r="A28" s="4" t="s">
        <v>294</v>
      </c>
      <c r="B28" s="4" t="s">
        <v>297</v>
      </c>
      <c r="C28" s="4" t="s">
        <v>127</v>
      </c>
      <c r="D28" s="4" t="s">
        <v>128</v>
      </c>
      <c r="E28" s="189">
        <v>44161</v>
      </c>
      <c r="F28" s="6">
        <f t="shared" si="0"/>
        <v>2020</v>
      </c>
      <c r="G28" s="4" t="s">
        <v>293</v>
      </c>
      <c r="H28" s="22" t="str">
        <f>VLOOKUP($G28,'Item Classification'!B:C,2,0)</f>
        <v>Non-combat military vehicle</v>
      </c>
      <c r="I28" s="6" t="str">
        <f>VLOOKUP($G28,'Item Classification'!B:D,3,0)</f>
        <v>Other</v>
      </c>
      <c r="J28" s="23">
        <f>VLOOKUP($G28,'Item Classification'!B:E,4,0)</f>
        <v>16</v>
      </c>
      <c r="K28" s="116" t="s">
        <v>274</v>
      </c>
      <c r="L28" s="116" t="s">
        <v>275</v>
      </c>
      <c r="M28" s="116" t="str">
        <f>VLOOKUP(L28,'NATO Classifications'!$D$6:$E$647,2,0)</f>
        <v>Trucks and Truck Tractors, Wheeled</v>
      </c>
      <c r="N28" s="4">
        <v>850</v>
      </c>
      <c r="O28" s="81"/>
      <c r="P28" s="81"/>
      <c r="Q28" s="4">
        <v>2021</v>
      </c>
      <c r="R28" s="4">
        <v>2022</v>
      </c>
      <c r="S28" s="4"/>
      <c r="T28" s="91" t="s">
        <v>132</v>
      </c>
      <c r="U28" s="104">
        <f>_xlfn.IFNA(S28/INDEX('Exchange Rates'!$C$7:$F$14,MATCH('MAIN DATA, Orders'!F28,'Exchange Rates'!$B$7:$B$14,0),MATCH('MAIN DATA, Orders'!T28,'Exchange Rates'!$C$6:$F$6,0)), "-")</f>
        <v>0</v>
      </c>
      <c r="V28" s="4" t="s">
        <v>283</v>
      </c>
      <c r="W28" s="4" t="s">
        <v>127</v>
      </c>
      <c r="X28" s="4" t="s">
        <v>128</v>
      </c>
      <c r="Y28" s="24">
        <f t="shared" si="3"/>
        <v>202011</v>
      </c>
      <c r="Z28" s="115">
        <v>1</v>
      </c>
      <c r="AA28" s="115">
        <v>0</v>
      </c>
      <c r="AB28" s="115">
        <v>0</v>
      </c>
      <c r="AC28" s="115">
        <v>1</v>
      </c>
      <c r="AD28" s="115">
        <v>0</v>
      </c>
      <c r="AE28" s="115">
        <v>0</v>
      </c>
      <c r="AF28" s="115">
        <v>0</v>
      </c>
      <c r="AG28" s="4" t="s">
        <v>256</v>
      </c>
      <c r="AH28" s="4" t="s">
        <v>128</v>
      </c>
      <c r="AI28" s="4" t="s">
        <v>127</v>
      </c>
      <c r="AJ28" s="4" t="s">
        <v>127</v>
      </c>
      <c r="AK28" s="4" t="s">
        <v>127</v>
      </c>
      <c r="AL28" s="4" t="s">
        <v>127</v>
      </c>
      <c r="AM28" s="4" t="s">
        <v>127</v>
      </c>
      <c r="AN28" s="4" t="s">
        <v>127</v>
      </c>
      <c r="AO28" s="4" t="s">
        <v>127</v>
      </c>
      <c r="AP28" s="4" t="s">
        <v>127</v>
      </c>
      <c r="AQ28" s="4" t="s">
        <v>127</v>
      </c>
      <c r="AR28" s="4" t="s">
        <v>127</v>
      </c>
      <c r="AS28" s="4" t="s">
        <v>127</v>
      </c>
      <c r="AT28" s="4" t="s">
        <v>127</v>
      </c>
      <c r="AU28" s="4" t="s">
        <v>127</v>
      </c>
      <c r="AV28" s="4" t="s">
        <v>127</v>
      </c>
      <c r="AW28" s="4" t="s">
        <v>127</v>
      </c>
      <c r="AX28" s="4" t="s">
        <v>127</v>
      </c>
      <c r="AY28" s="96" t="s">
        <v>276</v>
      </c>
      <c r="AZ28" s="96" t="s">
        <v>277</v>
      </c>
      <c r="BA28" s="96" t="s">
        <v>291</v>
      </c>
      <c r="BB28" s="4" t="s">
        <v>295</v>
      </c>
      <c r="BC28" s="4" t="s">
        <v>127</v>
      </c>
      <c r="BD28" s="4" t="s">
        <v>127</v>
      </c>
      <c r="BE28" s="4" t="s">
        <v>127</v>
      </c>
      <c r="BF28" s="4" t="s">
        <v>200</v>
      </c>
      <c r="BG28" s="4" t="s">
        <v>200</v>
      </c>
      <c r="BH28" s="4" t="s">
        <v>200</v>
      </c>
      <c r="BI28" s="4" t="s">
        <v>200</v>
      </c>
      <c r="BJ28" s="4" t="s">
        <v>200</v>
      </c>
      <c r="BK28" s="4" t="s">
        <v>200</v>
      </c>
      <c r="BL28" s="4" t="s">
        <v>200</v>
      </c>
      <c r="BM28" s="4" t="s">
        <v>200</v>
      </c>
      <c r="BN28" s="4" t="s">
        <v>200</v>
      </c>
      <c r="BO28" s="4" t="s">
        <v>200</v>
      </c>
    </row>
    <row r="29" spans="1:67" ht="16" x14ac:dyDescent="0.4">
      <c r="A29" s="4" t="s">
        <v>298</v>
      </c>
      <c r="B29" s="4" t="s">
        <v>298</v>
      </c>
      <c r="C29" s="4" t="s">
        <v>127</v>
      </c>
      <c r="D29" s="4" t="s">
        <v>128</v>
      </c>
      <c r="E29" s="189">
        <v>44161</v>
      </c>
      <c r="F29" s="6">
        <f t="shared" si="0"/>
        <v>2020</v>
      </c>
      <c r="G29" s="4" t="s">
        <v>127</v>
      </c>
      <c r="H29" s="22" t="s">
        <v>299</v>
      </c>
      <c r="I29" s="6" t="s">
        <v>287</v>
      </c>
      <c r="J29" s="23">
        <v>16</v>
      </c>
      <c r="K29" s="116" t="s">
        <v>300</v>
      </c>
      <c r="L29" s="116" t="s">
        <v>301</v>
      </c>
      <c r="M29" s="116" t="str">
        <f>VLOOKUP(L29,'NATO Classifications'!$D$6:$E$647,2,0)</f>
        <v>Specialized Shipping and Storage Containers</v>
      </c>
      <c r="N29" s="4"/>
      <c r="O29" s="81"/>
      <c r="P29" s="81"/>
      <c r="Q29" s="4"/>
      <c r="R29" s="4"/>
      <c r="S29" s="112">
        <v>48000000</v>
      </c>
      <c r="T29" s="91" t="s">
        <v>132</v>
      </c>
      <c r="U29" s="104">
        <f>_xlfn.IFNA(S29/INDEX('Exchange Rates'!$C$7:$F$14,MATCH('MAIN DATA, Orders'!F29,'Exchange Rates'!$B$7:$B$14,0),MATCH('MAIN DATA, Orders'!T29,'Exchange Rates'!$C$6:$F$6,0)), "-")</f>
        <v>48000000</v>
      </c>
      <c r="V29" s="4" t="s">
        <v>283</v>
      </c>
      <c r="W29" s="4" t="s">
        <v>127</v>
      </c>
      <c r="X29" s="4" t="s">
        <v>128</v>
      </c>
      <c r="Y29" s="24">
        <f t="shared" si="3"/>
        <v>202011</v>
      </c>
      <c r="Z29" s="115">
        <v>0</v>
      </c>
      <c r="AA29" s="115">
        <v>0</v>
      </c>
      <c r="AB29" s="115">
        <v>0</v>
      </c>
      <c r="AC29" s="115">
        <v>1</v>
      </c>
      <c r="AD29" s="115">
        <v>0</v>
      </c>
      <c r="AE29" s="115">
        <v>0</v>
      </c>
      <c r="AF29" s="115">
        <v>0</v>
      </c>
      <c r="AG29" s="4" t="s">
        <v>256</v>
      </c>
      <c r="AH29" s="4" t="s">
        <v>128</v>
      </c>
      <c r="AI29" s="4" t="s">
        <v>127</v>
      </c>
      <c r="AJ29" s="4" t="s">
        <v>127</v>
      </c>
      <c r="AK29" s="4" t="s">
        <v>127</v>
      </c>
      <c r="AL29" s="4" t="s">
        <v>127</v>
      </c>
      <c r="AM29" s="4" t="s">
        <v>127</v>
      </c>
      <c r="AN29" s="4" t="s">
        <v>127</v>
      </c>
      <c r="AO29" s="4" t="s">
        <v>127</v>
      </c>
      <c r="AP29" s="4" t="s">
        <v>127</v>
      </c>
      <c r="AQ29" s="4" t="s">
        <v>127</v>
      </c>
      <c r="AR29" s="4" t="s">
        <v>127</v>
      </c>
      <c r="AS29" s="4" t="s">
        <v>127</v>
      </c>
      <c r="AT29" s="4" t="s">
        <v>127</v>
      </c>
      <c r="AU29" s="4" t="s">
        <v>127</v>
      </c>
      <c r="AV29" s="4" t="s">
        <v>127</v>
      </c>
      <c r="AW29" s="4" t="s">
        <v>127</v>
      </c>
      <c r="AX29" s="4" t="s">
        <v>127</v>
      </c>
      <c r="AY29" s="96" t="s">
        <v>276</v>
      </c>
      <c r="AZ29" s="96" t="s">
        <v>277</v>
      </c>
      <c r="BA29" s="96" t="s">
        <v>302</v>
      </c>
      <c r="BB29" s="4" t="s">
        <v>303</v>
      </c>
      <c r="BC29" s="4" t="s">
        <v>127</v>
      </c>
      <c r="BD29" s="4" t="s">
        <v>127</v>
      </c>
      <c r="BE29" s="4" t="s">
        <v>127</v>
      </c>
      <c r="BF29" s="4" t="s">
        <v>200</v>
      </c>
      <c r="BG29" s="4" t="s">
        <v>200</v>
      </c>
      <c r="BH29" s="4" t="s">
        <v>200</v>
      </c>
      <c r="BI29" s="4" t="s">
        <v>200</v>
      </c>
      <c r="BJ29" s="4" t="s">
        <v>200</v>
      </c>
      <c r="BK29" s="4" t="s">
        <v>200</v>
      </c>
      <c r="BL29" s="4" t="s">
        <v>200</v>
      </c>
      <c r="BM29" s="4" t="s">
        <v>200</v>
      </c>
      <c r="BN29" s="4" t="s">
        <v>200</v>
      </c>
      <c r="BO29" s="4" t="s">
        <v>200</v>
      </c>
    </row>
    <row r="30" spans="1:67" ht="16" x14ac:dyDescent="0.4">
      <c r="A30" s="4" t="s">
        <v>298</v>
      </c>
      <c r="B30" s="4" t="s">
        <v>304</v>
      </c>
      <c r="C30" s="4" t="s">
        <v>127</v>
      </c>
      <c r="D30" s="4" t="s">
        <v>128</v>
      </c>
      <c r="E30" s="189">
        <v>44161</v>
      </c>
      <c r="F30" s="6">
        <f t="shared" si="0"/>
        <v>2020</v>
      </c>
      <c r="G30" s="4" t="s">
        <v>305</v>
      </c>
      <c r="H30" s="22" t="str">
        <f>VLOOKUP($G30,'Item Classification'!B:C,2,0)</f>
        <v>Non-combat military vehicle part</v>
      </c>
      <c r="I30" s="6" t="str">
        <f>VLOOKUP($G30,'Item Classification'!B:D,3,0)</f>
        <v>Other</v>
      </c>
      <c r="J30" s="23">
        <f>VLOOKUP($G30,'Item Classification'!B:E,4,0)</f>
        <v>16</v>
      </c>
      <c r="K30" s="116" t="s">
        <v>300</v>
      </c>
      <c r="L30" s="116" t="s">
        <v>301</v>
      </c>
      <c r="M30" s="116" t="str">
        <f>VLOOKUP(L30,'NATO Classifications'!$D$6:$E$647,2,0)</f>
        <v>Specialized Shipping and Storage Containers</v>
      </c>
      <c r="N30" s="4">
        <v>900</v>
      </c>
      <c r="O30" s="81"/>
      <c r="P30" s="81"/>
      <c r="Q30" s="4"/>
      <c r="R30" s="4"/>
      <c r="S30" s="4"/>
      <c r="T30" s="91" t="s">
        <v>132</v>
      </c>
      <c r="U30" s="104">
        <f>_xlfn.IFNA(S30/INDEX('Exchange Rates'!$C$7:$F$14,MATCH('MAIN DATA, Orders'!F30,'Exchange Rates'!$B$7:$B$14,0),MATCH('MAIN DATA, Orders'!T30,'Exchange Rates'!$C$6:$F$6,0)), "-")</f>
        <v>0</v>
      </c>
      <c r="V30" s="4" t="s">
        <v>283</v>
      </c>
      <c r="W30" s="4" t="s">
        <v>127</v>
      </c>
      <c r="X30" s="4" t="s">
        <v>128</v>
      </c>
      <c r="Y30" s="24">
        <f t="shared" si="3"/>
        <v>202011</v>
      </c>
      <c r="Z30" s="115">
        <v>0</v>
      </c>
      <c r="AA30" s="115">
        <v>0</v>
      </c>
      <c r="AB30" s="115">
        <v>0</v>
      </c>
      <c r="AC30" s="115">
        <v>1</v>
      </c>
      <c r="AD30" s="115">
        <v>0</v>
      </c>
      <c r="AE30" s="115">
        <v>0</v>
      </c>
      <c r="AF30" s="115">
        <v>0</v>
      </c>
      <c r="AG30" s="4" t="s">
        <v>256</v>
      </c>
      <c r="AH30" s="4" t="s">
        <v>128</v>
      </c>
      <c r="AI30" s="4" t="s">
        <v>127</v>
      </c>
      <c r="AJ30" s="4" t="s">
        <v>127</v>
      </c>
      <c r="AK30" s="4" t="s">
        <v>127</v>
      </c>
      <c r="AL30" s="4" t="s">
        <v>127</v>
      </c>
      <c r="AM30" s="4" t="s">
        <v>127</v>
      </c>
      <c r="AN30" s="4" t="s">
        <v>127</v>
      </c>
      <c r="AO30" s="4" t="s">
        <v>127</v>
      </c>
      <c r="AP30" s="4" t="s">
        <v>127</v>
      </c>
      <c r="AQ30" s="4" t="s">
        <v>127</v>
      </c>
      <c r="AR30" s="4" t="s">
        <v>127</v>
      </c>
      <c r="AS30" s="4" t="s">
        <v>127</v>
      </c>
      <c r="AT30" s="4" t="s">
        <v>127</v>
      </c>
      <c r="AU30" s="4" t="s">
        <v>127</v>
      </c>
      <c r="AV30" s="4" t="s">
        <v>127</v>
      </c>
      <c r="AW30" s="4" t="s">
        <v>127</v>
      </c>
      <c r="AX30" s="4" t="s">
        <v>127</v>
      </c>
      <c r="AY30" s="96" t="s">
        <v>276</v>
      </c>
      <c r="AZ30" s="96" t="s">
        <v>277</v>
      </c>
      <c r="BA30" s="96" t="s">
        <v>302</v>
      </c>
      <c r="BB30" s="4" t="s">
        <v>303</v>
      </c>
      <c r="BC30" s="4" t="s">
        <v>127</v>
      </c>
      <c r="BD30" s="4" t="s">
        <v>127</v>
      </c>
      <c r="BE30" s="4" t="s">
        <v>127</v>
      </c>
      <c r="BF30" s="4" t="s">
        <v>200</v>
      </c>
      <c r="BG30" s="4" t="s">
        <v>200</v>
      </c>
      <c r="BH30" s="4" t="s">
        <v>200</v>
      </c>
      <c r="BI30" s="4" t="s">
        <v>200</v>
      </c>
      <c r="BJ30" s="4" t="s">
        <v>200</v>
      </c>
      <c r="BK30" s="4" t="s">
        <v>200</v>
      </c>
      <c r="BL30" s="4" t="s">
        <v>200</v>
      </c>
      <c r="BM30" s="4" t="s">
        <v>200</v>
      </c>
      <c r="BN30" s="4" t="s">
        <v>200</v>
      </c>
      <c r="BO30" s="4" t="s">
        <v>200</v>
      </c>
    </row>
    <row r="31" spans="1:67" ht="16" x14ac:dyDescent="0.4">
      <c r="A31" s="4" t="s">
        <v>298</v>
      </c>
      <c r="B31" s="4" t="s">
        <v>306</v>
      </c>
      <c r="C31" s="4" t="s">
        <v>127</v>
      </c>
      <c r="D31" s="4" t="s">
        <v>128</v>
      </c>
      <c r="E31" s="189">
        <v>44161</v>
      </c>
      <c r="F31" s="6">
        <f t="shared" si="0"/>
        <v>2020</v>
      </c>
      <c r="G31" s="4" t="s">
        <v>307</v>
      </c>
      <c r="H31" s="22" t="str">
        <f>VLOOKUP($G31,'Item Classification'!B:C,2,0)</f>
        <v>Non-combat military vehicle part</v>
      </c>
      <c r="I31" s="6" t="str">
        <f>VLOOKUP($G31,'Item Classification'!B:D,3,0)</f>
        <v>Other</v>
      </c>
      <c r="J31" s="23">
        <f>VLOOKUP($G31,'Item Classification'!B:E,4,0)</f>
        <v>16</v>
      </c>
      <c r="K31" s="116" t="s">
        <v>300</v>
      </c>
      <c r="L31" s="116" t="s">
        <v>301</v>
      </c>
      <c r="M31" s="116" t="str">
        <f>VLOOKUP(L31,'NATO Classifications'!$D$6:$E$647,2,0)</f>
        <v>Specialized Shipping and Storage Containers</v>
      </c>
      <c r="N31" s="4">
        <v>950</v>
      </c>
      <c r="O31" s="81"/>
      <c r="P31" s="81"/>
      <c r="Q31" s="4"/>
      <c r="R31" s="4"/>
      <c r="S31" s="4"/>
      <c r="T31" s="91" t="s">
        <v>132</v>
      </c>
      <c r="U31" s="104">
        <f>_xlfn.IFNA(S31/INDEX('Exchange Rates'!$C$7:$F$14,MATCH('MAIN DATA, Orders'!F31,'Exchange Rates'!$B$7:$B$14,0),MATCH('MAIN DATA, Orders'!T31,'Exchange Rates'!$C$6:$F$6,0)), "-")</f>
        <v>0</v>
      </c>
      <c r="V31" s="4" t="s">
        <v>283</v>
      </c>
      <c r="W31" s="4" t="s">
        <v>127</v>
      </c>
      <c r="X31" s="4" t="s">
        <v>128</v>
      </c>
      <c r="Y31" s="24">
        <f t="shared" si="3"/>
        <v>202011</v>
      </c>
      <c r="Z31" s="115">
        <v>0</v>
      </c>
      <c r="AA31" s="115">
        <v>0</v>
      </c>
      <c r="AB31" s="115">
        <v>0</v>
      </c>
      <c r="AC31" s="115">
        <v>1</v>
      </c>
      <c r="AD31" s="115">
        <v>0</v>
      </c>
      <c r="AE31" s="115">
        <v>0</v>
      </c>
      <c r="AF31" s="115">
        <v>0</v>
      </c>
      <c r="AG31" s="4" t="s">
        <v>256</v>
      </c>
      <c r="AH31" s="4" t="s">
        <v>128</v>
      </c>
      <c r="AI31" s="4" t="s">
        <v>127</v>
      </c>
      <c r="AJ31" s="4" t="s">
        <v>127</v>
      </c>
      <c r="AK31" s="4" t="s">
        <v>127</v>
      </c>
      <c r="AL31" s="4" t="s">
        <v>127</v>
      </c>
      <c r="AM31" s="4" t="s">
        <v>127</v>
      </c>
      <c r="AN31" s="4" t="s">
        <v>127</v>
      </c>
      <c r="AO31" s="4" t="s">
        <v>127</v>
      </c>
      <c r="AP31" s="4" t="s">
        <v>127</v>
      </c>
      <c r="AQ31" s="4" t="s">
        <v>127</v>
      </c>
      <c r="AR31" s="4" t="s">
        <v>127</v>
      </c>
      <c r="AS31" s="4" t="s">
        <v>127</v>
      </c>
      <c r="AT31" s="4" t="s">
        <v>127</v>
      </c>
      <c r="AU31" s="4" t="s">
        <v>127</v>
      </c>
      <c r="AV31" s="4" t="s">
        <v>127</v>
      </c>
      <c r="AW31" s="4" t="s">
        <v>127</v>
      </c>
      <c r="AX31" s="4" t="s">
        <v>127</v>
      </c>
      <c r="AY31" s="96" t="s">
        <v>276</v>
      </c>
      <c r="AZ31" s="96" t="s">
        <v>277</v>
      </c>
      <c r="BA31" s="96" t="s">
        <v>302</v>
      </c>
      <c r="BB31" s="4" t="s">
        <v>303</v>
      </c>
      <c r="BC31" s="4" t="s">
        <v>127</v>
      </c>
      <c r="BD31" s="4" t="s">
        <v>127</v>
      </c>
      <c r="BE31" s="4" t="s">
        <v>127</v>
      </c>
      <c r="BF31" s="4" t="s">
        <v>200</v>
      </c>
      <c r="BG31" s="4" t="s">
        <v>200</v>
      </c>
      <c r="BH31" s="4" t="s">
        <v>200</v>
      </c>
      <c r="BI31" s="4" t="s">
        <v>200</v>
      </c>
      <c r="BJ31" s="4" t="s">
        <v>200</v>
      </c>
      <c r="BK31" s="4" t="s">
        <v>200</v>
      </c>
      <c r="BL31" s="4" t="s">
        <v>200</v>
      </c>
      <c r="BM31" s="4" t="s">
        <v>200</v>
      </c>
      <c r="BN31" s="4" t="s">
        <v>200</v>
      </c>
      <c r="BO31" s="4" t="s">
        <v>200</v>
      </c>
    </row>
    <row r="32" spans="1:67" ht="16" x14ac:dyDescent="0.4">
      <c r="A32" s="4" t="s">
        <v>308</v>
      </c>
      <c r="B32" s="4" t="s">
        <v>308</v>
      </c>
      <c r="C32" s="4" t="s">
        <v>127</v>
      </c>
      <c r="D32" s="4" t="s">
        <v>128</v>
      </c>
      <c r="E32" s="189">
        <v>44182</v>
      </c>
      <c r="F32" s="6">
        <f t="shared" si="0"/>
        <v>2020</v>
      </c>
      <c r="G32" s="4" t="s">
        <v>309</v>
      </c>
      <c r="H32" s="22" t="str">
        <f>VLOOKUP($G32,'Item Classification'!B:C,2,0)</f>
        <v>Industrial company purchase</v>
      </c>
      <c r="I32" s="6" t="str">
        <f>VLOOKUP($G32,'Item Classification'!B:D,3,0)</f>
        <v>Other</v>
      </c>
      <c r="J32" s="23">
        <f>VLOOKUP($G32,'Item Classification'!B:E,4,0)</f>
        <v>16</v>
      </c>
      <c r="K32" s="116" t="s">
        <v>229</v>
      </c>
      <c r="L32" s="116" t="s">
        <v>230</v>
      </c>
      <c r="M32" s="116" t="str">
        <f>VLOOKUP(L32,'NATO Classifications'!$D$6:$E$647,2,0)</f>
        <v>Miscellaneous Items</v>
      </c>
      <c r="N32" s="4"/>
      <c r="O32" s="81"/>
      <c r="P32" s="81"/>
      <c r="Q32" s="4"/>
      <c r="R32" s="4"/>
      <c r="S32" s="112">
        <v>450000000</v>
      </c>
      <c r="T32" s="91" t="s">
        <v>132</v>
      </c>
      <c r="U32" s="104">
        <f>_xlfn.IFNA(S32/INDEX('Exchange Rates'!$C$7:$F$14,MATCH('MAIN DATA, Orders'!F32,'Exchange Rates'!$B$7:$B$14,0),MATCH('MAIN DATA, Orders'!T32,'Exchange Rates'!$C$6:$F$6,0)), "-")</f>
        <v>450000000</v>
      </c>
      <c r="V32" s="4" t="s">
        <v>133</v>
      </c>
      <c r="W32" s="4" t="s">
        <v>127</v>
      </c>
      <c r="X32" s="4" t="s">
        <v>128</v>
      </c>
      <c r="Y32" s="24">
        <f t="shared" si="3"/>
        <v>202012</v>
      </c>
      <c r="Z32" s="115">
        <v>0</v>
      </c>
      <c r="AA32" s="115">
        <v>0</v>
      </c>
      <c r="AB32" s="115">
        <v>0</v>
      </c>
      <c r="AC32" s="115">
        <v>1</v>
      </c>
      <c r="AD32" s="115">
        <v>0</v>
      </c>
      <c r="AE32" s="115">
        <v>0</v>
      </c>
      <c r="AF32" s="115">
        <v>0</v>
      </c>
      <c r="AG32" s="4" t="s">
        <v>149</v>
      </c>
      <c r="AH32" s="4" t="s">
        <v>128</v>
      </c>
      <c r="AI32" s="4" t="s">
        <v>127</v>
      </c>
      <c r="AJ32" s="4" t="s">
        <v>127</v>
      </c>
      <c r="AK32" s="4" t="s">
        <v>127</v>
      </c>
      <c r="AL32" s="4" t="s">
        <v>127</v>
      </c>
      <c r="AM32" s="4" t="s">
        <v>127</v>
      </c>
      <c r="AN32" s="4" t="s">
        <v>127</v>
      </c>
      <c r="AO32" s="4" t="s">
        <v>127</v>
      </c>
      <c r="AP32" s="4" t="s">
        <v>127</v>
      </c>
      <c r="AQ32" s="4" t="s">
        <v>127</v>
      </c>
      <c r="AR32" s="4" t="s">
        <v>127</v>
      </c>
      <c r="AS32" s="4" t="s">
        <v>127</v>
      </c>
      <c r="AT32" s="4" t="s">
        <v>127</v>
      </c>
      <c r="AU32" s="4" t="s">
        <v>127</v>
      </c>
      <c r="AV32" s="4" t="s">
        <v>127</v>
      </c>
      <c r="AW32" s="4" t="s">
        <v>127</v>
      </c>
      <c r="AX32" s="4" t="s">
        <v>127</v>
      </c>
      <c r="AY32" s="96" t="s">
        <v>310</v>
      </c>
      <c r="AZ32" s="96" t="s">
        <v>311</v>
      </c>
      <c r="BA32" s="4" t="s">
        <v>127</v>
      </c>
      <c r="BB32" s="4" t="s">
        <v>312</v>
      </c>
      <c r="BC32" s="4" t="s">
        <v>127</v>
      </c>
      <c r="BD32" s="4" t="s">
        <v>127</v>
      </c>
      <c r="BE32" s="4" t="s">
        <v>127</v>
      </c>
      <c r="BF32" s="4"/>
      <c r="BG32" s="4"/>
      <c r="BH32" s="4"/>
      <c r="BI32" s="4"/>
      <c r="BJ32" s="4"/>
      <c r="BK32" s="4"/>
      <c r="BL32" s="4"/>
      <c r="BM32" s="4"/>
      <c r="BN32" s="4"/>
      <c r="BO32" s="4"/>
    </row>
    <row r="33" spans="1:67" ht="16" x14ac:dyDescent="0.4">
      <c r="A33" s="4" t="s">
        <v>313</v>
      </c>
      <c r="B33" s="4" t="s">
        <v>313</v>
      </c>
      <c r="C33" s="4" t="s">
        <v>127</v>
      </c>
      <c r="D33" s="4" t="s">
        <v>128</v>
      </c>
      <c r="E33" s="189">
        <v>44237</v>
      </c>
      <c r="F33" s="6">
        <f t="shared" si="0"/>
        <v>2021</v>
      </c>
      <c r="G33" s="4" t="s">
        <v>127</v>
      </c>
      <c r="H33" s="22" t="s">
        <v>314</v>
      </c>
      <c r="I33" s="6" t="s">
        <v>315</v>
      </c>
      <c r="J33" s="23">
        <v>6</v>
      </c>
      <c r="K33" s="116" t="s">
        <v>211</v>
      </c>
      <c r="L33" s="116" t="s">
        <v>211</v>
      </c>
      <c r="M33" s="116" t="str">
        <f>VLOOKUP(L33,'NATO Classifications'!$D$6:$E$647,2,0)</f>
        <v>Guided Missiles</v>
      </c>
      <c r="N33" s="4"/>
      <c r="O33" s="81"/>
      <c r="P33" s="81"/>
      <c r="Q33" s="4"/>
      <c r="R33" s="4"/>
      <c r="S33" s="112">
        <v>88000000</v>
      </c>
      <c r="T33" s="91" t="s">
        <v>132</v>
      </c>
      <c r="U33" s="104">
        <f>_xlfn.IFNA(S33/INDEX('Exchange Rates'!$C$7:$F$14,MATCH('MAIN DATA, Orders'!F33,'Exchange Rates'!$B$7:$B$14,0),MATCH('MAIN DATA, Orders'!T33,'Exchange Rates'!$C$6:$F$6,0)), "-")</f>
        <v>88000000</v>
      </c>
      <c r="V33" s="4" t="s">
        <v>133</v>
      </c>
      <c r="W33" s="4" t="s">
        <v>127</v>
      </c>
      <c r="X33" s="4" t="s">
        <v>128</v>
      </c>
      <c r="Y33" s="24">
        <f t="shared" si="3"/>
        <v>202102</v>
      </c>
      <c r="Z33" s="115">
        <v>1</v>
      </c>
      <c r="AA33" s="115">
        <v>0</v>
      </c>
      <c r="AB33" s="115">
        <v>0</v>
      </c>
      <c r="AC33" s="115">
        <v>1</v>
      </c>
      <c r="AD33" s="115">
        <v>1</v>
      </c>
      <c r="AE33" s="115">
        <v>0</v>
      </c>
      <c r="AF33" s="115">
        <v>1</v>
      </c>
      <c r="AG33" s="4" t="s">
        <v>316</v>
      </c>
      <c r="AH33" s="4" t="s">
        <v>128</v>
      </c>
      <c r="AI33" s="4" t="s">
        <v>127</v>
      </c>
      <c r="AJ33" s="4" t="s">
        <v>256</v>
      </c>
      <c r="AK33" s="4" t="s">
        <v>191</v>
      </c>
      <c r="AL33" s="4" t="s">
        <v>317</v>
      </c>
      <c r="AM33" s="4" t="s">
        <v>127</v>
      </c>
      <c r="AN33" s="4" t="s">
        <v>151</v>
      </c>
      <c r="AO33" s="4" t="s">
        <v>127</v>
      </c>
      <c r="AP33" s="4" t="s">
        <v>127</v>
      </c>
      <c r="AQ33" s="4" t="s">
        <v>127</v>
      </c>
      <c r="AR33" s="4" t="s">
        <v>127</v>
      </c>
      <c r="AS33" s="4" t="s">
        <v>127</v>
      </c>
      <c r="AT33" s="4" t="s">
        <v>127</v>
      </c>
      <c r="AU33" s="4" t="s">
        <v>127</v>
      </c>
      <c r="AV33" s="4" t="s">
        <v>127</v>
      </c>
      <c r="AW33" s="4" t="s">
        <v>127</v>
      </c>
      <c r="AX33" s="4" t="s">
        <v>127</v>
      </c>
      <c r="AY33" s="96" t="s">
        <v>318</v>
      </c>
      <c r="AZ33" s="96" t="s">
        <v>319</v>
      </c>
      <c r="BA33" s="4" t="s">
        <v>127</v>
      </c>
      <c r="BB33" s="4" t="s">
        <v>320</v>
      </c>
      <c r="BC33" s="4" t="s">
        <v>321</v>
      </c>
      <c r="BD33" s="4" t="s">
        <v>127</v>
      </c>
      <c r="BE33" s="4" t="s">
        <v>127</v>
      </c>
      <c r="BF33" s="4" t="s">
        <v>200</v>
      </c>
      <c r="BG33" s="4" t="s">
        <v>200</v>
      </c>
      <c r="BH33" s="4" t="s">
        <v>200</v>
      </c>
      <c r="BI33" s="4" t="s">
        <v>200</v>
      </c>
      <c r="BJ33" s="4" t="s">
        <v>200</v>
      </c>
      <c r="BK33" s="4" t="s">
        <v>200</v>
      </c>
      <c r="BL33" s="4" t="s">
        <v>200</v>
      </c>
      <c r="BM33" s="4" t="s">
        <v>200</v>
      </c>
      <c r="BN33" s="4" t="s">
        <v>200</v>
      </c>
      <c r="BO33" s="4" t="s">
        <v>200</v>
      </c>
    </row>
    <row r="34" spans="1:67" ht="16" x14ac:dyDescent="0.4">
      <c r="A34" s="4" t="s">
        <v>313</v>
      </c>
      <c r="B34" s="4" t="s">
        <v>322</v>
      </c>
      <c r="C34" s="4" t="s">
        <v>127</v>
      </c>
      <c r="D34" s="4" t="s">
        <v>128</v>
      </c>
      <c r="E34" s="189">
        <v>44237</v>
      </c>
      <c r="F34" s="6">
        <f t="shared" si="0"/>
        <v>2021</v>
      </c>
      <c r="G34" s="4" t="s">
        <v>323</v>
      </c>
      <c r="H34" s="22" t="str">
        <f>VLOOKUP($G34,'Item Classification'!B:C,2,0)</f>
        <v>Anti-tank guided missile</v>
      </c>
      <c r="I34" s="6" t="str">
        <f>VLOOKUP($G34,'Item Classification'!B:D,3,0)</f>
        <v>Missile (Land)</v>
      </c>
      <c r="J34" s="23">
        <f>VLOOKUP($G34,'Item Classification'!B:E,4,0)</f>
        <v>6</v>
      </c>
      <c r="K34" s="116" t="s">
        <v>211</v>
      </c>
      <c r="L34" s="116" t="s">
        <v>211</v>
      </c>
      <c r="M34" s="116" t="str">
        <f>VLOOKUP(L34,'NATO Classifications'!$D$6:$E$647,2,0)</f>
        <v>Guided Missiles</v>
      </c>
      <c r="N34" s="4">
        <v>666</v>
      </c>
      <c r="O34" s="81"/>
      <c r="P34" s="81"/>
      <c r="Q34" s="4">
        <v>2022</v>
      </c>
      <c r="R34" s="4">
        <v>2024</v>
      </c>
      <c r="S34" s="4"/>
      <c r="T34" s="91" t="s">
        <v>132</v>
      </c>
      <c r="U34" s="104">
        <f>_xlfn.IFNA(S34/INDEX('Exchange Rates'!$C$7:$F$14,MATCH('MAIN DATA, Orders'!F34,'Exchange Rates'!$B$7:$B$14,0),MATCH('MAIN DATA, Orders'!T34,'Exchange Rates'!$C$6:$F$6,0)), "-")</f>
        <v>0</v>
      </c>
      <c r="V34" s="4" t="s">
        <v>133</v>
      </c>
      <c r="W34" s="4" t="s">
        <v>127</v>
      </c>
      <c r="X34" s="4" t="s">
        <v>128</v>
      </c>
      <c r="Y34" s="24">
        <f t="shared" si="3"/>
        <v>202102</v>
      </c>
      <c r="Z34" s="115">
        <v>1</v>
      </c>
      <c r="AA34" s="115">
        <v>0</v>
      </c>
      <c r="AB34" s="115">
        <v>0</v>
      </c>
      <c r="AC34" s="115">
        <v>1</v>
      </c>
      <c r="AD34" s="115">
        <v>1</v>
      </c>
      <c r="AE34" s="115">
        <v>0</v>
      </c>
      <c r="AF34" s="115">
        <v>1</v>
      </c>
      <c r="AG34" s="4" t="s">
        <v>316</v>
      </c>
      <c r="AH34" s="4" t="s">
        <v>128</v>
      </c>
      <c r="AI34" s="4" t="s">
        <v>127</v>
      </c>
      <c r="AJ34" s="4" t="s">
        <v>256</v>
      </c>
      <c r="AK34" s="4" t="s">
        <v>191</v>
      </c>
      <c r="AL34" s="4" t="s">
        <v>317</v>
      </c>
      <c r="AM34" s="4" t="s">
        <v>127</v>
      </c>
      <c r="AN34" s="4" t="s">
        <v>151</v>
      </c>
      <c r="AO34" s="4" t="s">
        <v>127</v>
      </c>
      <c r="AP34" s="4" t="s">
        <v>127</v>
      </c>
      <c r="AQ34" s="4" t="s">
        <v>127</v>
      </c>
      <c r="AR34" s="4" t="s">
        <v>127</v>
      </c>
      <c r="AS34" s="4" t="s">
        <v>127</v>
      </c>
      <c r="AT34" s="4" t="s">
        <v>127</v>
      </c>
      <c r="AU34" s="4" t="s">
        <v>127</v>
      </c>
      <c r="AV34" s="4" t="s">
        <v>127</v>
      </c>
      <c r="AW34" s="4" t="s">
        <v>127</v>
      </c>
      <c r="AX34" s="4" t="s">
        <v>127</v>
      </c>
      <c r="AY34" s="96" t="s">
        <v>318</v>
      </c>
      <c r="AZ34" s="96" t="s">
        <v>319</v>
      </c>
      <c r="BA34" s="4" t="s">
        <v>127</v>
      </c>
      <c r="BB34" s="4" t="s">
        <v>320</v>
      </c>
      <c r="BC34" s="4" t="s">
        <v>321</v>
      </c>
      <c r="BD34" s="4" t="s">
        <v>127</v>
      </c>
      <c r="BE34" s="4" t="s">
        <v>127</v>
      </c>
      <c r="BF34" s="4" t="s">
        <v>200</v>
      </c>
      <c r="BG34" s="4" t="s">
        <v>200</v>
      </c>
      <c r="BH34" s="4" t="s">
        <v>200</v>
      </c>
      <c r="BI34" s="4" t="s">
        <v>200</v>
      </c>
      <c r="BJ34" s="4" t="s">
        <v>200</v>
      </c>
      <c r="BK34" s="4" t="s">
        <v>200</v>
      </c>
      <c r="BL34" s="4" t="s">
        <v>200</v>
      </c>
      <c r="BM34" s="4" t="s">
        <v>200</v>
      </c>
      <c r="BN34" s="4" t="s">
        <v>200</v>
      </c>
      <c r="BO34" s="4" t="s">
        <v>200</v>
      </c>
    </row>
    <row r="35" spans="1:67" ht="16" x14ac:dyDescent="0.4">
      <c r="A35" s="4" t="s">
        <v>313</v>
      </c>
      <c r="B35" s="4" t="s">
        <v>324</v>
      </c>
      <c r="C35" s="4" t="s">
        <v>127</v>
      </c>
      <c r="D35" s="4" t="s">
        <v>128</v>
      </c>
      <c r="E35" s="189">
        <v>44237</v>
      </c>
      <c r="F35" s="6">
        <f t="shared" si="0"/>
        <v>2021</v>
      </c>
      <c r="G35" s="4" t="s">
        <v>325</v>
      </c>
      <c r="H35" s="22" t="str">
        <f>VLOOKUP($G35,'Item Classification'!B:C,2,0)</f>
        <v>Anti-tank guided missile system</v>
      </c>
      <c r="I35" s="6" t="str">
        <f>VLOOKUP($G35,'Item Classification'!B:D,3,0)</f>
        <v>Missile (Land)</v>
      </c>
      <c r="J35" s="23">
        <f>VLOOKUP($G35,'Item Classification'!B:E,4,0)</f>
        <v>6</v>
      </c>
      <c r="K35" s="116" t="s">
        <v>211</v>
      </c>
      <c r="L35" s="116" t="s">
        <v>326</v>
      </c>
      <c r="M35" s="116" t="str">
        <f>VLOOKUP(L35,'NATO Classifications'!$D$6:$E$647,2,0)</f>
        <v>Guided Missile Systems, Complete</v>
      </c>
      <c r="N35" s="4">
        <v>82</v>
      </c>
      <c r="O35" s="81"/>
      <c r="P35" s="81"/>
      <c r="Q35" s="4">
        <v>2022</v>
      </c>
      <c r="R35" s="4">
        <v>2024</v>
      </c>
      <c r="S35" s="4"/>
      <c r="T35" s="91" t="s">
        <v>132</v>
      </c>
      <c r="U35" s="104">
        <f>_xlfn.IFNA(S35/INDEX('Exchange Rates'!$C$7:$F$14,MATCH('MAIN DATA, Orders'!F35,'Exchange Rates'!$B$7:$B$14,0),MATCH('MAIN DATA, Orders'!T35,'Exchange Rates'!$C$6:$F$6,0)), "-")</f>
        <v>0</v>
      </c>
      <c r="V35" s="4" t="s">
        <v>133</v>
      </c>
      <c r="W35" s="4" t="s">
        <v>127</v>
      </c>
      <c r="X35" s="4" t="s">
        <v>128</v>
      </c>
      <c r="Y35" s="24">
        <f t="shared" si="3"/>
        <v>202102</v>
      </c>
      <c r="Z35" s="115">
        <v>1</v>
      </c>
      <c r="AA35" s="115">
        <v>0</v>
      </c>
      <c r="AB35" s="115">
        <v>0</v>
      </c>
      <c r="AC35" s="115">
        <v>1</v>
      </c>
      <c r="AD35" s="115">
        <v>1</v>
      </c>
      <c r="AE35" s="115">
        <v>0</v>
      </c>
      <c r="AF35" s="115">
        <v>1</v>
      </c>
      <c r="AG35" s="4" t="s">
        <v>316</v>
      </c>
      <c r="AH35" s="4" t="s">
        <v>128</v>
      </c>
      <c r="AI35" s="4" t="s">
        <v>127</v>
      </c>
      <c r="AJ35" s="4" t="s">
        <v>256</v>
      </c>
      <c r="AK35" s="4" t="s">
        <v>191</v>
      </c>
      <c r="AL35" s="4" t="s">
        <v>317</v>
      </c>
      <c r="AM35" s="4" t="s">
        <v>127</v>
      </c>
      <c r="AN35" s="4" t="s">
        <v>151</v>
      </c>
      <c r="AO35" s="4" t="s">
        <v>127</v>
      </c>
      <c r="AP35" s="4" t="s">
        <v>127</v>
      </c>
      <c r="AQ35" s="4" t="s">
        <v>127</v>
      </c>
      <c r="AR35" s="4" t="s">
        <v>127</v>
      </c>
      <c r="AS35" s="4" t="s">
        <v>127</v>
      </c>
      <c r="AT35" s="4" t="s">
        <v>127</v>
      </c>
      <c r="AU35" s="4" t="s">
        <v>127</v>
      </c>
      <c r="AV35" s="4" t="s">
        <v>127</v>
      </c>
      <c r="AW35" s="4" t="s">
        <v>127</v>
      </c>
      <c r="AX35" s="4" t="s">
        <v>127</v>
      </c>
      <c r="AY35" s="96" t="s">
        <v>318</v>
      </c>
      <c r="AZ35" s="96" t="s">
        <v>319</v>
      </c>
      <c r="BA35" s="4" t="s">
        <v>127</v>
      </c>
      <c r="BB35" s="4" t="s">
        <v>320</v>
      </c>
      <c r="BC35" s="4" t="s">
        <v>321</v>
      </c>
      <c r="BD35" s="4" t="s">
        <v>127</v>
      </c>
      <c r="BE35" s="4" t="s">
        <v>127</v>
      </c>
      <c r="BF35" s="4" t="s">
        <v>200</v>
      </c>
      <c r="BG35" s="4" t="s">
        <v>200</v>
      </c>
      <c r="BH35" s="4" t="s">
        <v>200</v>
      </c>
      <c r="BI35" s="4" t="s">
        <v>200</v>
      </c>
      <c r="BJ35" s="4" t="s">
        <v>200</v>
      </c>
      <c r="BK35" s="4" t="s">
        <v>200</v>
      </c>
      <c r="BL35" s="4" t="s">
        <v>200</v>
      </c>
      <c r="BM35" s="4" t="s">
        <v>200</v>
      </c>
      <c r="BN35" s="4" t="s">
        <v>200</v>
      </c>
      <c r="BO35" s="4" t="s">
        <v>200</v>
      </c>
    </row>
    <row r="36" spans="1:67" ht="16" x14ac:dyDescent="0.4">
      <c r="A36" s="4" t="s">
        <v>327</v>
      </c>
      <c r="B36" s="4" t="s">
        <v>327</v>
      </c>
      <c r="C36" s="4" t="s">
        <v>127</v>
      </c>
      <c r="D36" s="4" t="s">
        <v>128</v>
      </c>
      <c r="E36" s="189">
        <v>44300</v>
      </c>
      <c r="F36" s="6">
        <f t="shared" si="0"/>
        <v>2021</v>
      </c>
      <c r="G36" s="4" t="s">
        <v>328</v>
      </c>
      <c r="H36" s="22" t="str">
        <f>VLOOKUP($G36,'Item Classification'!B:C,2,0)</f>
        <v>Armoured engineer vehicle</v>
      </c>
      <c r="I36" s="6" t="str">
        <f>VLOOKUP($G36,'Item Classification'!B:D,3,0)</f>
        <v>Armoured vehicle</v>
      </c>
      <c r="J36" s="23">
        <f>VLOOKUP($G36,'Item Classification'!B:E,4,0)</f>
        <v>2</v>
      </c>
      <c r="K36" s="116" t="s">
        <v>274</v>
      </c>
      <c r="L36" s="116" t="s">
        <v>329</v>
      </c>
      <c r="M36" s="116" t="str">
        <f>VLOOKUP(L36,'NATO Classifications'!$D$6:$E$647,2,0)</f>
        <v>Combat, Assault, and Tactical Vehicles, Tracked</v>
      </c>
      <c r="N36" s="4">
        <v>44</v>
      </c>
      <c r="O36" s="81">
        <f t="shared" si="1"/>
        <v>6704545.4545454541</v>
      </c>
      <c r="P36" s="81">
        <f t="shared" si="2"/>
        <v>6704545.4545454541</v>
      </c>
      <c r="Q36" s="4">
        <v>2023</v>
      </c>
      <c r="R36" s="4">
        <v>2029</v>
      </c>
      <c r="S36" s="112">
        <v>295000000</v>
      </c>
      <c r="T36" s="91" t="s">
        <v>132</v>
      </c>
      <c r="U36" s="104">
        <f>_xlfn.IFNA(S36/INDEX('Exchange Rates'!$C$7:$F$14,MATCH('MAIN DATA, Orders'!F36,'Exchange Rates'!$B$7:$B$14,0),MATCH('MAIN DATA, Orders'!T36,'Exchange Rates'!$C$6:$F$6,0)), "-")</f>
        <v>295000000</v>
      </c>
      <c r="V36" s="4" t="s">
        <v>133</v>
      </c>
      <c r="W36" s="4" t="s">
        <v>127</v>
      </c>
      <c r="X36" s="4" t="s">
        <v>128</v>
      </c>
      <c r="Y36" s="24">
        <f t="shared" si="3"/>
        <v>202104</v>
      </c>
      <c r="Z36" s="115">
        <v>0</v>
      </c>
      <c r="AA36" s="115">
        <v>0</v>
      </c>
      <c r="AB36" s="115">
        <v>0</v>
      </c>
      <c r="AC36" s="115">
        <v>1</v>
      </c>
      <c r="AD36" s="115">
        <v>0</v>
      </c>
      <c r="AE36" s="115">
        <v>0</v>
      </c>
      <c r="AF36" s="115">
        <v>0</v>
      </c>
      <c r="AG36" s="4" t="s">
        <v>256</v>
      </c>
      <c r="AH36" s="4" t="s">
        <v>128</v>
      </c>
      <c r="AI36" s="4" t="s">
        <v>127</v>
      </c>
      <c r="AJ36" s="4" t="s">
        <v>127</v>
      </c>
      <c r="AK36" s="4" t="s">
        <v>127</v>
      </c>
      <c r="AL36" s="4" t="s">
        <v>127</v>
      </c>
      <c r="AM36" s="4" t="s">
        <v>127</v>
      </c>
      <c r="AN36" s="4" t="s">
        <v>127</v>
      </c>
      <c r="AO36" s="4" t="s">
        <v>127</v>
      </c>
      <c r="AP36" s="4" t="s">
        <v>127</v>
      </c>
      <c r="AQ36" s="4" t="s">
        <v>127</v>
      </c>
      <c r="AR36" s="4" t="s">
        <v>127</v>
      </c>
      <c r="AS36" s="4" t="s">
        <v>127</v>
      </c>
      <c r="AT36" s="4" t="s">
        <v>127</v>
      </c>
      <c r="AU36" s="4" t="s">
        <v>127</v>
      </c>
      <c r="AV36" s="4" t="s">
        <v>127</v>
      </c>
      <c r="AW36" s="4" t="s">
        <v>127</v>
      </c>
      <c r="AX36" s="4" t="s">
        <v>127</v>
      </c>
      <c r="AY36" s="96" t="s">
        <v>330</v>
      </c>
      <c r="AZ36" s="96" t="s">
        <v>331</v>
      </c>
      <c r="BA36" s="4" t="s">
        <v>127</v>
      </c>
      <c r="BB36" s="4" t="s">
        <v>332</v>
      </c>
      <c r="BC36" s="4" t="s">
        <v>333</v>
      </c>
      <c r="BD36" s="4" t="s">
        <v>127</v>
      </c>
      <c r="BE36" s="4" t="s">
        <v>127</v>
      </c>
      <c r="BF36" s="4"/>
      <c r="BG36" s="4"/>
      <c r="BH36" s="4"/>
      <c r="BI36" s="4"/>
      <c r="BJ36" s="4"/>
      <c r="BK36" s="4"/>
      <c r="BL36" s="4"/>
      <c r="BM36" s="4"/>
      <c r="BN36" s="4"/>
      <c r="BO36" s="4"/>
    </row>
    <row r="37" spans="1:67" ht="16" x14ac:dyDescent="0.4">
      <c r="A37" s="4" t="s">
        <v>334</v>
      </c>
      <c r="B37" s="4" t="s">
        <v>334</v>
      </c>
      <c r="C37" s="4" t="s">
        <v>127</v>
      </c>
      <c r="D37" s="4" t="s">
        <v>128</v>
      </c>
      <c r="E37" s="189">
        <v>44300</v>
      </c>
      <c r="F37" s="6">
        <f t="shared" si="0"/>
        <v>2021</v>
      </c>
      <c r="G37" s="4" t="s">
        <v>335</v>
      </c>
      <c r="H37" s="22" t="str">
        <f>VLOOKUP($G37,'Item Classification'!B:C,2,0)</f>
        <v>Naval reconnaissance drone</v>
      </c>
      <c r="I37" s="6" t="str">
        <f>VLOOKUP($G37,'Item Classification'!B:D,3,0)</f>
        <v>Naval</v>
      </c>
      <c r="J37" s="23">
        <f>VLOOKUP($G37,'Item Classification'!B:E,4,0)</f>
        <v>12</v>
      </c>
      <c r="K37" s="116" t="s">
        <v>130</v>
      </c>
      <c r="L37" s="116" t="s">
        <v>131</v>
      </c>
      <c r="M37" s="116" t="str">
        <f>VLOOKUP(L37,'NATO Classifications'!$D$6:$E$647,2,0)</f>
        <v>Unmanned Aircraft</v>
      </c>
      <c r="N37" s="4">
        <v>5</v>
      </c>
      <c r="O37" s="81">
        <f t="shared" si="1"/>
        <v>15600000</v>
      </c>
      <c r="P37" s="81">
        <f t="shared" si="2"/>
        <v>15600000</v>
      </c>
      <c r="Q37" s="4">
        <v>2021</v>
      </c>
      <c r="R37" s="4">
        <v>2025</v>
      </c>
      <c r="S37" s="112">
        <v>78000000</v>
      </c>
      <c r="T37" s="91" t="s">
        <v>132</v>
      </c>
      <c r="U37" s="104">
        <f>_xlfn.IFNA(S37/INDEX('Exchange Rates'!$C$7:$F$14,MATCH('MAIN DATA, Orders'!F37,'Exchange Rates'!$B$7:$B$14,0),MATCH('MAIN DATA, Orders'!T37,'Exchange Rates'!$C$6:$F$6,0)), "-")</f>
        <v>78000000</v>
      </c>
      <c r="V37" s="4" t="s">
        <v>133</v>
      </c>
      <c r="W37" s="4" t="s">
        <v>127</v>
      </c>
      <c r="X37" s="4" t="s">
        <v>128</v>
      </c>
      <c r="Y37" s="24">
        <f t="shared" si="3"/>
        <v>202104</v>
      </c>
      <c r="Z37" s="115">
        <v>0</v>
      </c>
      <c r="AA37" s="115">
        <v>0</v>
      </c>
      <c r="AB37" s="115">
        <v>0</v>
      </c>
      <c r="AC37" s="115">
        <v>1</v>
      </c>
      <c r="AD37" s="115">
        <v>1</v>
      </c>
      <c r="AE37" s="115">
        <v>0</v>
      </c>
      <c r="AF37" s="115">
        <v>1</v>
      </c>
      <c r="AG37" s="4" t="s">
        <v>336</v>
      </c>
      <c r="AH37" s="4" t="s">
        <v>128</v>
      </c>
      <c r="AI37" s="4" t="s">
        <v>128</v>
      </c>
      <c r="AJ37" s="4" t="s">
        <v>337</v>
      </c>
      <c r="AK37" s="4" t="s">
        <v>338</v>
      </c>
      <c r="AL37" s="4" t="s">
        <v>147</v>
      </c>
      <c r="AM37" s="4" t="s">
        <v>339</v>
      </c>
      <c r="AN37" s="4" t="s">
        <v>213</v>
      </c>
      <c r="AO37" s="4" t="s">
        <v>127</v>
      </c>
      <c r="AP37" s="4" t="s">
        <v>127</v>
      </c>
      <c r="AQ37" s="4" t="s">
        <v>127</v>
      </c>
      <c r="AR37" s="4" t="s">
        <v>127</v>
      </c>
      <c r="AS37" s="4" t="s">
        <v>127</v>
      </c>
      <c r="AT37" s="4" t="s">
        <v>127</v>
      </c>
      <c r="AU37" s="4" t="s">
        <v>127</v>
      </c>
      <c r="AV37" s="4" t="s">
        <v>127</v>
      </c>
      <c r="AW37" s="4" t="s">
        <v>213</v>
      </c>
      <c r="AX37" s="4" t="s">
        <v>127</v>
      </c>
      <c r="AY37" s="96" t="s">
        <v>330</v>
      </c>
      <c r="AZ37" s="96" t="s">
        <v>340</v>
      </c>
      <c r="BA37" s="4" t="s">
        <v>127</v>
      </c>
      <c r="BB37" s="4" t="s">
        <v>341</v>
      </c>
      <c r="BC37" s="4" t="s">
        <v>127</v>
      </c>
      <c r="BD37" s="4" t="s">
        <v>127</v>
      </c>
      <c r="BE37" s="4" t="s">
        <v>127</v>
      </c>
      <c r="BF37" s="4"/>
      <c r="BG37" s="4"/>
      <c r="BH37" s="4"/>
      <c r="BI37" s="4"/>
      <c r="BJ37" s="4"/>
      <c r="BK37" s="4"/>
      <c r="BL37" s="4"/>
      <c r="BM37" s="4"/>
      <c r="BN37" s="4"/>
      <c r="BO37" s="4"/>
    </row>
    <row r="38" spans="1:67" ht="16" x14ac:dyDescent="0.4">
      <c r="A38" s="4" t="s">
        <v>342</v>
      </c>
      <c r="B38" s="4" t="s">
        <v>342</v>
      </c>
      <c r="C38" s="4" t="s">
        <v>127</v>
      </c>
      <c r="D38" s="4" t="s">
        <v>128</v>
      </c>
      <c r="E38" s="189">
        <v>44300</v>
      </c>
      <c r="F38" s="6">
        <f t="shared" si="0"/>
        <v>2021</v>
      </c>
      <c r="G38" s="4" t="s">
        <v>343</v>
      </c>
      <c r="H38" s="22" t="str">
        <f>VLOOKUP($G38,'Item Classification'!B:C,2,0)</f>
        <v>Light utility helicopter</v>
      </c>
      <c r="I38" s="6" t="str">
        <f>VLOOKUP($G38,'Item Classification'!B:D,3,0)</f>
        <v>Helicopter</v>
      </c>
      <c r="J38" s="23">
        <f>VLOOKUP($G38,'Item Classification'!B:E,4,0)</f>
        <v>10</v>
      </c>
      <c r="K38" s="116" t="s">
        <v>130</v>
      </c>
      <c r="L38" s="116" t="s">
        <v>266</v>
      </c>
      <c r="M38" s="116" t="str">
        <f>VLOOKUP(L38,'NATO Classifications'!$D$6:$E$647,2,0)</f>
        <v>Aircraft, Rotary Wing</v>
      </c>
      <c r="N38" s="4">
        <v>7</v>
      </c>
      <c r="O38" s="81">
        <f t="shared" si="1"/>
        <v>9000000</v>
      </c>
      <c r="P38" s="81">
        <f t="shared" si="2"/>
        <v>9000000</v>
      </c>
      <c r="Q38" s="4">
        <v>2021</v>
      </c>
      <c r="R38" s="4">
        <v>2024</v>
      </c>
      <c r="S38" s="112">
        <v>63000000</v>
      </c>
      <c r="T38" s="91" t="s">
        <v>132</v>
      </c>
      <c r="U38" s="104">
        <f>_xlfn.IFNA(S38/INDEX('Exchange Rates'!$C$7:$F$14,MATCH('MAIN DATA, Orders'!F38,'Exchange Rates'!$B$7:$B$14,0),MATCH('MAIN DATA, Orders'!T38,'Exchange Rates'!$C$6:$F$6,0)), "-")</f>
        <v>63000000</v>
      </c>
      <c r="V38" s="4" t="s">
        <v>133</v>
      </c>
      <c r="W38" s="4" t="s">
        <v>127</v>
      </c>
      <c r="X38" s="4" t="s">
        <v>128</v>
      </c>
      <c r="Y38" s="24">
        <f t="shared" si="3"/>
        <v>202104</v>
      </c>
      <c r="Z38" s="115">
        <v>0</v>
      </c>
      <c r="AA38" s="115">
        <v>0</v>
      </c>
      <c r="AB38" s="115">
        <v>0</v>
      </c>
      <c r="AC38" s="115">
        <v>1</v>
      </c>
      <c r="AD38" s="115">
        <v>1</v>
      </c>
      <c r="AE38" s="115">
        <v>0</v>
      </c>
      <c r="AF38" s="115">
        <v>1</v>
      </c>
      <c r="AG38" s="4" t="s">
        <v>160</v>
      </c>
      <c r="AH38" s="4" t="s">
        <v>128</v>
      </c>
      <c r="AI38" s="4" t="s">
        <v>127</v>
      </c>
      <c r="AJ38" s="4" t="s">
        <v>344</v>
      </c>
      <c r="AK38" s="4" t="s">
        <v>127</v>
      </c>
      <c r="AL38" s="4" t="s">
        <v>127</v>
      </c>
      <c r="AM38" s="4" t="s">
        <v>127</v>
      </c>
      <c r="AN38" s="4" t="s">
        <v>151</v>
      </c>
      <c r="AO38" s="4" t="s">
        <v>127</v>
      </c>
      <c r="AP38" s="4" t="s">
        <v>127</v>
      </c>
      <c r="AQ38" s="4" t="s">
        <v>127</v>
      </c>
      <c r="AR38" s="4" t="s">
        <v>127</v>
      </c>
      <c r="AS38" s="4" t="s">
        <v>127</v>
      </c>
      <c r="AT38" s="4" t="s">
        <v>127</v>
      </c>
      <c r="AU38" s="4" t="s">
        <v>127</v>
      </c>
      <c r="AV38" s="4" t="s">
        <v>127</v>
      </c>
      <c r="AW38" s="4" t="s">
        <v>127</v>
      </c>
      <c r="AX38" s="4" t="s">
        <v>127</v>
      </c>
      <c r="AY38" s="96" t="s">
        <v>330</v>
      </c>
      <c r="AZ38" s="96" t="s">
        <v>345</v>
      </c>
      <c r="BA38" s="4" t="s">
        <v>127</v>
      </c>
      <c r="BB38" s="4" t="s">
        <v>346</v>
      </c>
      <c r="BC38" s="4" t="s">
        <v>127</v>
      </c>
      <c r="BD38" s="4" t="s">
        <v>127</v>
      </c>
      <c r="BE38" s="4" t="s">
        <v>127</v>
      </c>
      <c r="BF38" s="4"/>
      <c r="BG38" s="4"/>
      <c r="BH38" s="4"/>
      <c r="BI38" s="4"/>
      <c r="BJ38" s="4"/>
      <c r="BK38" s="4"/>
      <c r="BL38" s="4"/>
      <c r="BM38" s="4"/>
      <c r="BN38" s="4"/>
      <c r="BO38" s="4"/>
    </row>
    <row r="39" spans="1:67" ht="16" x14ac:dyDescent="0.4">
      <c r="A39" s="4" t="s">
        <v>347</v>
      </c>
      <c r="B39" s="4" t="s">
        <v>347</v>
      </c>
      <c r="C39" s="4" t="s">
        <v>127</v>
      </c>
      <c r="D39" s="4" t="s">
        <v>128</v>
      </c>
      <c r="E39" s="189">
        <v>44300</v>
      </c>
      <c r="F39" s="6">
        <f t="shared" si="0"/>
        <v>2021</v>
      </c>
      <c r="G39" s="4" t="s">
        <v>348</v>
      </c>
      <c r="H39" s="22" t="str">
        <f>VLOOKUP($G39,'Item Classification'!B:C,2,0)</f>
        <v>Radar warning system for fighter jet</v>
      </c>
      <c r="I39" s="6" t="str">
        <f>VLOOKUP($G39,'Item Classification'!B:D,3,0)</f>
        <v>Aircraft</v>
      </c>
      <c r="J39" s="23">
        <f>VLOOKUP($G39,'Item Classification'!B:E,4,0)</f>
        <v>11</v>
      </c>
      <c r="K39" s="116" t="s">
        <v>158</v>
      </c>
      <c r="L39" s="116" t="s">
        <v>159</v>
      </c>
      <c r="M39" s="116" t="str">
        <f>VLOOKUP(L39,'NATO Classifications'!$D$6:$E$647,2,0)</f>
        <v>Radar and Sensor</v>
      </c>
      <c r="N39" s="4"/>
      <c r="O39" s="81"/>
      <c r="P39" s="81"/>
      <c r="Q39" s="4">
        <v>2021</v>
      </c>
      <c r="R39" s="4">
        <v>2025</v>
      </c>
      <c r="S39" s="112">
        <v>105000000</v>
      </c>
      <c r="T39" s="91" t="s">
        <v>132</v>
      </c>
      <c r="U39" s="104">
        <f>_xlfn.IFNA(S39/INDEX('Exchange Rates'!$C$7:$F$14,MATCH('MAIN DATA, Orders'!F39,'Exchange Rates'!$B$7:$B$14,0),MATCH('MAIN DATA, Orders'!T39,'Exchange Rates'!$C$6:$F$6,0)), "-")</f>
        <v>105000000</v>
      </c>
      <c r="V39" s="4" t="s">
        <v>133</v>
      </c>
      <c r="W39" s="4" t="s">
        <v>127</v>
      </c>
      <c r="X39" s="4" t="s">
        <v>128</v>
      </c>
      <c r="Y39" s="24">
        <f t="shared" si="3"/>
        <v>202104</v>
      </c>
      <c r="Z39" s="115">
        <v>0</v>
      </c>
      <c r="AA39" s="115">
        <v>0</v>
      </c>
      <c r="AB39" s="115">
        <v>0</v>
      </c>
      <c r="AC39" s="115">
        <v>1</v>
      </c>
      <c r="AD39" s="115">
        <v>1</v>
      </c>
      <c r="AE39" s="115">
        <v>0</v>
      </c>
      <c r="AF39" s="115">
        <v>1</v>
      </c>
      <c r="AG39" s="4" t="s">
        <v>349</v>
      </c>
      <c r="AH39" s="4" t="s">
        <v>128</v>
      </c>
      <c r="AI39" s="4" t="s">
        <v>128</v>
      </c>
      <c r="AJ39" s="4" t="s">
        <v>212</v>
      </c>
      <c r="AK39" s="4"/>
      <c r="AL39" s="4"/>
      <c r="AM39" s="4" t="s">
        <v>127</v>
      </c>
      <c r="AN39" s="4" t="s">
        <v>213</v>
      </c>
      <c r="AO39" s="4"/>
      <c r="AP39" s="4"/>
      <c r="AQ39" s="4" t="s">
        <v>127</v>
      </c>
      <c r="AR39" s="4" t="s">
        <v>127</v>
      </c>
      <c r="AS39" s="4" t="s">
        <v>127</v>
      </c>
      <c r="AT39" s="4" t="s">
        <v>127</v>
      </c>
      <c r="AU39" s="4" t="s">
        <v>127</v>
      </c>
      <c r="AV39" s="4" t="s">
        <v>127</v>
      </c>
      <c r="AW39" s="4" t="s">
        <v>213</v>
      </c>
      <c r="AX39" s="4"/>
      <c r="AY39" s="96" t="s">
        <v>330</v>
      </c>
      <c r="AZ39" s="96" t="s">
        <v>350</v>
      </c>
      <c r="BA39" s="4" t="s">
        <v>127</v>
      </c>
      <c r="BB39" s="4" t="s">
        <v>351</v>
      </c>
      <c r="BC39" s="4" t="s">
        <v>127</v>
      </c>
      <c r="BD39" s="4" t="s">
        <v>127</v>
      </c>
      <c r="BE39" s="4" t="s">
        <v>127</v>
      </c>
      <c r="BF39" s="4"/>
      <c r="BG39" s="4"/>
      <c r="BH39" s="4"/>
      <c r="BI39" s="4"/>
      <c r="BJ39" s="4"/>
      <c r="BK39" s="4"/>
      <c r="BL39" s="4"/>
      <c r="BM39" s="4"/>
      <c r="BN39" s="4"/>
      <c r="BO39" s="4"/>
    </row>
    <row r="40" spans="1:67" ht="16" x14ac:dyDescent="0.4">
      <c r="A40" s="4" t="s">
        <v>352</v>
      </c>
      <c r="B40" s="4" t="s">
        <v>352</v>
      </c>
      <c r="C40" s="4" t="s">
        <v>127</v>
      </c>
      <c r="D40" s="4" t="s">
        <v>128</v>
      </c>
      <c r="E40" s="189">
        <v>44300</v>
      </c>
      <c r="F40" s="6">
        <f t="shared" si="0"/>
        <v>2021</v>
      </c>
      <c r="G40" s="4" t="s">
        <v>353</v>
      </c>
      <c r="H40" s="22" t="str">
        <f>VLOOKUP($G40,'Item Classification'!B:C,2,0)</f>
        <v>Communication equipment</v>
      </c>
      <c r="I40" s="6" t="str">
        <f>VLOOKUP($G40,'Item Classification'!B:D,3,0)</f>
        <v>Modernisation</v>
      </c>
      <c r="J40" s="23">
        <f>VLOOKUP($G40,'Item Classification'!B:E,4,0)</f>
        <v>13</v>
      </c>
      <c r="K40" s="116" t="s">
        <v>158</v>
      </c>
      <c r="L40" s="116" t="s">
        <v>354</v>
      </c>
      <c r="M40" s="116" t="str">
        <f>VLOOKUP(L40,'NATO Classifications'!$D$6:$E$647,2,0)</f>
        <v>Communication, Detection, and Coherent Radiation Equipment (other)</v>
      </c>
      <c r="N40" s="4"/>
      <c r="O40" s="81"/>
      <c r="P40" s="81"/>
      <c r="Q40" s="4"/>
      <c r="R40" s="4"/>
      <c r="S40" s="112">
        <v>59000000</v>
      </c>
      <c r="T40" s="91" t="s">
        <v>132</v>
      </c>
      <c r="U40" s="104">
        <f>_xlfn.IFNA(S40/INDEX('Exchange Rates'!$C$7:$F$14,MATCH('MAIN DATA, Orders'!F40,'Exchange Rates'!$B$7:$B$14,0),MATCH('MAIN DATA, Orders'!T40,'Exchange Rates'!$C$6:$F$6,0)), "-")</f>
        <v>59000000</v>
      </c>
      <c r="V40" s="4" t="s">
        <v>133</v>
      </c>
      <c r="W40" s="4" t="s">
        <v>127</v>
      </c>
      <c r="X40" s="4" t="s">
        <v>128</v>
      </c>
      <c r="Y40" s="24">
        <f t="shared" si="3"/>
        <v>202104</v>
      </c>
      <c r="Z40" s="115" t="s">
        <v>127</v>
      </c>
      <c r="AA40" s="115">
        <v>0</v>
      </c>
      <c r="AB40" s="115">
        <v>0</v>
      </c>
      <c r="AC40" s="115" t="s">
        <v>127</v>
      </c>
      <c r="AD40" s="115" t="s">
        <v>127</v>
      </c>
      <c r="AE40" s="115" t="s">
        <v>127</v>
      </c>
      <c r="AF40" s="115" t="s">
        <v>127</v>
      </c>
      <c r="AG40" s="4" t="s">
        <v>127</v>
      </c>
      <c r="AH40" s="4" t="s">
        <v>127</v>
      </c>
      <c r="AI40" s="4" t="s">
        <v>127</v>
      </c>
      <c r="AJ40" s="4" t="s">
        <v>127</v>
      </c>
      <c r="AK40" s="4" t="s">
        <v>127</v>
      </c>
      <c r="AL40" s="4" t="s">
        <v>127</v>
      </c>
      <c r="AM40" s="4" t="s">
        <v>127</v>
      </c>
      <c r="AN40" s="4" t="s">
        <v>127</v>
      </c>
      <c r="AO40" s="4" t="s">
        <v>127</v>
      </c>
      <c r="AP40" s="4" t="s">
        <v>127</v>
      </c>
      <c r="AQ40" s="4" t="s">
        <v>127</v>
      </c>
      <c r="AR40" s="4" t="s">
        <v>127</v>
      </c>
      <c r="AS40" s="4" t="s">
        <v>127</v>
      </c>
      <c r="AT40" s="4" t="s">
        <v>127</v>
      </c>
      <c r="AU40" s="4" t="s">
        <v>127</v>
      </c>
      <c r="AV40" s="4" t="s">
        <v>127</v>
      </c>
      <c r="AW40" s="4" t="s">
        <v>127</v>
      </c>
      <c r="AX40" s="4" t="s">
        <v>127</v>
      </c>
      <c r="AY40" s="96" t="s">
        <v>330</v>
      </c>
      <c r="AZ40" s="4" t="s">
        <v>127</v>
      </c>
      <c r="BA40" s="4" t="s">
        <v>127</v>
      </c>
      <c r="BB40" s="4" t="s">
        <v>355</v>
      </c>
      <c r="BC40" s="4" t="s">
        <v>127</v>
      </c>
      <c r="BD40" s="4" t="s">
        <v>127</v>
      </c>
      <c r="BE40" s="4" t="s">
        <v>127</v>
      </c>
      <c r="BF40" s="4"/>
      <c r="BG40" s="4"/>
      <c r="BH40" s="4"/>
      <c r="BI40" s="4"/>
      <c r="BJ40" s="4"/>
      <c r="BK40" s="4"/>
      <c r="BL40" s="4"/>
      <c r="BM40" s="4"/>
      <c r="BN40" s="4"/>
      <c r="BO40" s="4"/>
    </row>
    <row r="41" spans="1:67" ht="16" x14ac:dyDescent="0.4">
      <c r="A41" s="4" t="s">
        <v>356</v>
      </c>
      <c r="B41" s="4" t="s">
        <v>356</v>
      </c>
      <c r="C41" s="4" t="s">
        <v>357</v>
      </c>
      <c r="D41" s="4" t="s">
        <v>128</v>
      </c>
      <c r="E41" s="189">
        <v>44301</v>
      </c>
      <c r="F41" s="6">
        <f t="shared" si="0"/>
        <v>2021</v>
      </c>
      <c r="G41" s="4" t="s">
        <v>358</v>
      </c>
      <c r="H41" s="22" t="str">
        <f>VLOOKUP($G41,'Item Classification'!B:C,2,0)</f>
        <v>Medium Altitude Long Endurance Remotely Piloted Aircraft System development</v>
      </c>
      <c r="I41" s="6" t="str">
        <f>VLOOKUP($G41,'Item Classification'!B:D,3,0)</f>
        <v>Development - Drone</v>
      </c>
      <c r="J41" s="23">
        <f>VLOOKUP($G41,'Item Classification'!B:E,4,0)</f>
        <v>15</v>
      </c>
      <c r="K41" s="116" t="s">
        <v>130</v>
      </c>
      <c r="L41" s="116" t="s">
        <v>131</v>
      </c>
      <c r="M41" s="116" t="str">
        <f>VLOOKUP(L41,'NATO Classifications'!$D$6:$E$647,2,0)</f>
        <v>Unmanned Aircraft</v>
      </c>
      <c r="N41" s="4"/>
      <c r="O41" s="81"/>
      <c r="P41" s="81"/>
      <c r="Q41" s="4"/>
      <c r="R41" s="4"/>
      <c r="S41" s="112">
        <v>3100000000</v>
      </c>
      <c r="T41" s="91" t="s">
        <v>132</v>
      </c>
      <c r="U41" s="104">
        <f>_xlfn.IFNA(S41/INDEX('Exchange Rates'!$C$7:$F$14,MATCH('MAIN DATA, Orders'!F41,'Exchange Rates'!$B$7:$B$14,0),MATCH('MAIN DATA, Orders'!T41,'Exchange Rates'!$C$6:$F$6,0)), "-")</f>
        <v>3100000000</v>
      </c>
      <c r="V41" s="4" t="s">
        <v>133</v>
      </c>
      <c r="W41" s="4" t="s">
        <v>127</v>
      </c>
      <c r="X41" s="4" t="s">
        <v>128</v>
      </c>
      <c r="Y41" s="24">
        <f t="shared" si="3"/>
        <v>202104</v>
      </c>
      <c r="Z41" s="115">
        <v>0</v>
      </c>
      <c r="AA41" s="115">
        <v>0</v>
      </c>
      <c r="AB41" s="115">
        <v>0</v>
      </c>
      <c r="AC41" s="115">
        <v>1</v>
      </c>
      <c r="AD41" s="115">
        <v>1</v>
      </c>
      <c r="AE41" s="115">
        <v>0</v>
      </c>
      <c r="AF41" s="115">
        <v>1</v>
      </c>
      <c r="AG41" s="4" t="s">
        <v>136</v>
      </c>
      <c r="AH41" s="4" t="s">
        <v>128</v>
      </c>
      <c r="AI41" s="4" t="s">
        <v>127</v>
      </c>
      <c r="AJ41" s="4" t="s">
        <v>359</v>
      </c>
      <c r="AK41" s="4" t="s">
        <v>360</v>
      </c>
      <c r="AL41" s="4" t="s">
        <v>160</v>
      </c>
      <c r="AM41" s="4" t="s">
        <v>127</v>
      </c>
      <c r="AN41" s="4" t="s">
        <v>151</v>
      </c>
      <c r="AO41" s="4" t="s">
        <v>197</v>
      </c>
      <c r="AP41" s="4" t="s">
        <v>162</v>
      </c>
      <c r="AQ41" s="4" t="s">
        <v>127</v>
      </c>
      <c r="AR41" s="4" t="s">
        <v>127</v>
      </c>
      <c r="AS41" s="4" t="s">
        <v>127</v>
      </c>
      <c r="AT41" s="4" t="s">
        <v>127</v>
      </c>
      <c r="AU41" s="4" t="s">
        <v>127</v>
      </c>
      <c r="AV41" s="4" t="s">
        <v>127</v>
      </c>
      <c r="AW41" s="4" t="s">
        <v>127</v>
      </c>
      <c r="AX41" s="4" t="s">
        <v>127</v>
      </c>
      <c r="AY41" s="96" t="s">
        <v>361</v>
      </c>
      <c r="AZ41" s="96" t="s">
        <v>362</v>
      </c>
      <c r="BA41" s="96" t="s">
        <v>363</v>
      </c>
      <c r="BB41" s="4" t="s">
        <v>364</v>
      </c>
      <c r="BC41" s="4" t="s">
        <v>365</v>
      </c>
      <c r="BD41" s="4" t="s">
        <v>366</v>
      </c>
      <c r="BE41" s="4" t="s">
        <v>127</v>
      </c>
      <c r="BF41" s="4"/>
      <c r="BG41" s="4"/>
      <c r="BH41" s="4"/>
      <c r="BI41" s="4"/>
      <c r="BJ41" s="4"/>
      <c r="BK41" s="4"/>
      <c r="BL41" s="4"/>
      <c r="BM41" s="4"/>
      <c r="BN41" s="4"/>
      <c r="BO41" s="4"/>
    </row>
    <row r="42" spans="1:67" ht="16" x14ac:dyDescent="0.4">
      <c r="A42" s="4" t="s">
        <v>367</v>
      </c>
      <c r="B42" s="4" t="s">
        <v>367</v>
      </c>
      <c r="C42" s="4" t="s">
        <v>127</v>
      </c>
      <c r="D42" s="4" t="s">
        <v>128</v>
      </c>
      <c r="E42" s="189">
        <v>44307</v>
      </c>
      <c r="F42" s="6">
        <f t="shared" si="0"/>
        <v>2021</v>
      </c>
      <c r="G42" s="4" t="s">
        <v>368</v>
      </c>
      <c r="H42" s="22" t="str">
        <f>VLOOKUP($G42,'Item Classification'!B:C,2,0)</f>
        <v>Military equipment</v>
      </c>
      <c r="I42" s="6" t="str">
        <f>VLOOKUP($G42,'Item Classification'!B:D,3,0)</f>
        <v>Other</v>
      </c>
      <c r="J42" s="23">
        <f>VLOOKUP($G42,'Item Classification'!B:E,4,0)</f>
        <v>16</v>
      </c>
      <c r="K42" s="116" t="s">
        <v>158</v>
      </c>
      <c r="L42" s="116" t="s">
        <v>369</v>
      </c>
      <c r="M42" s="116" t="str">
        <f>VLOOKUP(L42,'NATO Classifications'!$D$6:$E$647,2,0)</f>
        <v>Communication, Detection, and Coherent Radiation Equipment (other)</v>
      </c>
      <c r="N42" s="4">
        <v>5000</v>
      </c>
      <c r="O42" s="81"/>
      <c r="P42" s="81"/>
      <c r="Q42" s="4">
        <v>2022</v>
      </c>
      <c r="R42" s="4">
        <v>2024</v>
      </c>
      <c r="S42" s="4"/>
      <c r="T42" s="91" t="s">
        <v>132</v>
      </c>
      <c r="U42" s="104">
        <f>_xlfn.IFNA(S42/INDEX('Exchange Rates'!$C$7:$F$14,MATCH('MAIN DATA, Orders'!F42,'Exchange Rates'!$B$7:$B$14,0),MATCH('MAIN DATA, Orders'!T42,'Exchange Rates'!$C$6:$F$6,0)), "-")</f>
        <v>0</v>
      </c>
      <c r="V42" s="4" t="s">
        <v>133</v>
      </c>
      <c r="W42" s="4" t="s">
        <v>127</v>
      </c>
      <c r="X42" s="4" t="s">
        <v>128</v>
      </c>
      <c r="Y42" s="24">
        <f t="shared" si="3"/>
        <v>202104</v>
      </c>
      <c r="Z42" s="115">
        <v>1</v>
      </c>
      <c r="AA42" s="115">
        <v>0</v>
      </c>
      <c r="AB42" s="115">
        <v>0</v>
      </c>
      <c r="AC42" s="115">
        <v>1</v>
      </c>
      <c r="AD42" s="115">
        <v>1</v>
      </c>
      <c r="AE42" s="115">
        <v>0</v>
      </c>
      <c r="AF42" s="115">
        <v>1</v>
      </c>
      <c r="AG42" s="4" t="s">
        <v>370</v>
      </c>
      <c r="AH42" s="4" t="s">
        <v>128</v>
      </c>
      <c r="AI42" s="4" t="s">
        <v>127</v>
      </c>
      <c r="AJ42" s="4" t="s">
        <v>371</v>
      </c>
      <c r="AK42" s="4" t="s">
        <v>127</v>
      </c>
      <c r="AL42" s="4" t="s">
        <v>127</v>
      </c>
      <c r="AM42" s="4" t="s">
        <v>127</v>
      </c>
      <c r="AN42" s="4" t="s">
        <v>372</v>
      </c>
      <c r="AO42" s="4" t="s">
        <v>127</v>
      </c>
      <c r="AP42" s="4" t="s">
        <v>127</v>
      </c>
      <c r="AQ42" s="4" t="s">
        <v>127</v>
      </c>
      <c r="AR42" s="4" t="s">
        <v>127</v>
      </c>
      <c r="AS42" s="4" t="s">
        <v>127</v>
      </c>
      <c r="AT42" s="4" t="s">
        <v>127</v>
      </c>
      <c r="AU42" s="4" t="s">
        <v>127</v>
      </c>
      <c r="AV42" s="4" t="s">
        <v>127</v>
      </c>
      <c r="AW42" s="4" t="s">
        <v>127</v>
      </c>
      <c r="AX42" s="4" t="s">
        <v>127</v>
      </c>
      <c r="AY42" s="96" t="s">
        <v>373</v>
      </c>
      <c r="AZ42" s="96" t="s">
        <v>374</v>
      </c>
      <c r="BA42" s="96" t="s">
        <v>375</v>
      </c>
      <c r="BB42" s="4" t="s">
        <v>376</v>
      </c>
      <c r="BC42" s="4" t="s">
        <v>127</v>
      </c>
      <c r="BD42" s="4" t="s">
        <v>127</v>
      </c>
      <c r="BE42" s="4" t="s">
        <v>127</v>
      </c>
      <c r="BF42" s="4"/>
      <c r="BG42" s="4"/>
      <c r="BH42" s="4"/>
      <c r="BI42" s="4"/>
      <c r="BJ42" s="4"/>
      <c r="BK42" s="4"/>
      <c r="BL42" s="4"/>
      <c r="BM42" s="4"/>
      <c r="BN42" s="4"/>
      <c r="BO42" s="4"/>
    </row>
    <row r="43" spans="1:67" ht="16" x14ac:dyDescent="0.4">
      <c r="A43" s="4" t="s">
        <v>377</v>
      </c>
      <c r="B43" s="4" t="s">
        <v>377</v>
      </c>
      <c r="C43" s="4" t="s">
        <v>127</v>
      </c>
      <c r="D43" s="4" t="s">
        <v>128</v>
      </c>
      <c r="E43" s="189">
        <v>44307</v>
      </c>
      <c r="F43" s="6">
        <f t="shared" si="0"/>
        <v>2021</v>
      </c>
      <c r="G43" s="4" t="s">
        <v>378</v>
      </c>
      <c r="H43" s="22" t="str">
        <f>VLOOKUP($G43,'Item Classification'!B:C,2,0)</f>
        <v>Medium transport helicopter equipment</v>
      </c>
      <c r="I43" s="6" t="str">
        <f>VLOOKUP($G43,'Item Classification'!B:D,3,0)</f>
        <v>Helicopter</v>
      </c>
      <c r="J43" s="23">
        <f>VLOOKUP($G43,'Item Classification'!B:E,4,0)</f>
        <v>10</v>
      </c>
      <c r="K43" s="116" t="s">
        <v>158</v>
      </c>
      <c r="L43" s="116" t="s">
        <v>379</v>
      </c>
      <c r="M43" s="116" t="str">
        <f>VLOOKUP(L43,'NATO Classifications'!$D$6:$E$647,2,0)</f>
        <v>Communication, Detection, and Coherent Radiation Equipment (other)</v>
      </c>
      <c r="N43" s="4">
        <v>14</v>
      </c>
      <c r="O43" s="81"/>
      <c r="P43" s="81"/>
      <c r="Q43" s="4"/>
      <c r="R43" s="4"/>
      <c r="S43" s="4"/>
      <c r="T43" s="91" t="s">
        <v>132</v>
      </c>
      <c r="U43" s="104">
        <f>_xlfn.IFNA(S43/INDEX('Exchange Rates'!$C$7:$F$14,MATCH('MAIN DATA, Orders'!F43,'Exchange Rates'!$B$7:$B$14,0),MATCH('MAIN DATA, Orders'!T43,'Exchange Rates'!$C$6:$F$6,0)), "-")</f>
        <v>0</v>
      </c>
      <c r="V43" s="4" t="s">
        <v>133</v>
      </c>
      <c r="W43" s="4" t="s">
        <v>127</v>
      </c>
      <c r="X43" s="4" t="s">
        <v>128</v>
      </c>
      <c r="Y43" s="24">
        <f t="shared" si="3"/>
        <v>202104</v>
      </c>
      <c r="Z43" s="115">
        <v>1</v>
      </c>
      <c r="AA43" s="115">
        <v>0</v>
      </c>
      <c r="AB43" s="115">
        <v>0</v>
      </c>
      <c r="AC43" s="115">
        <v>1</v>
      </c>
      <c r="AD43" s="115">
        <v>0</v>
      </c>
      <c r="AE43" s="115">
        <v>0</v>
      </c>
      <c r="AF43" s="115">
        <v>0</v>
      </c>
      <c r="AG43" s="4" t="s">
        <v>380</v>
      </c>
      <c r="AH43" s="4" t="s">
        <v>128</v>
      </c>
      <c r="AI43" s="4" t="s">
        <v>128</v>
      </c>
      <c r="AJ43" s="4" t="s">
        <v>127</v>
      </c>
      <c r="AK43" s="4" t="s">
        <v>127</v>
      </c>
      <c r="AL43" s="4" t="s">
        <v>127</v>
      </c>
      <c r="AM43" s="4" t="s">
        <v>127</v>
      </c>
      <c r="AN43" s="4" t="s">
        <v>127</v>
      </c>
      <c r="AO43" s="4" t="s">
        <v>127</v>
      </c>
      <c r="AP43" s="4" t="s">
        <v>127</v>
      </c>
      <c r="AQ43" s="4" t="s">
        <v>127</v>
      </c>
      <c r="AR43" s="4" t="s">
        <v>127</v>
      </c>
      <c r="AS43" s="4" t="s">
        <v>127</v>
      </c>
      <c r="AT43" s="4" t="s">
        <v>127</v>
      </c>
      <c r="AU43" s="4" t="s">
        <v>127</v>
      </c>
      <c r="AV43" s="4" t="s">
        <v>127</v>
      </c>
      <c r="AW43" s="4" t="s">
        <v>127</v>
      </c>
      <c r="AX43" s="4" t="s">
        <v>127</v>
      </c>
      <c r="AY43" s="96" t="s">
        <v>373</v>
      </c>
      <c r="AZ43" s="96" t="s">
        <v>381</v>
      </c>
      <c r="BA43" s="96" t="s">
        <v>382</v>
      </c>
      <c r="BB43" s="4" t="s">
        <v>383</v>
      </c>
      <c r="BC43" s="4" t="s">
        <v>127</v>
      </c>
      <c r="BD43" s="4" t="s">
        <v>127</v>
      </c>
      <c r="BE43" s="4" t="s">
        <v>127</v>
      </c>
      <c r="BF43" s="4"/>
      <c r="BG43" s="4"/>
      <c r="BH43" s="4"/>
      <c r="BI43" s="4"/>
      <c r="BJ43" s="4"/>
      <c r="BK43" s="4"/>
      <c r="BL43" s="4"/>
      <c r="BM43" s="4"/>
      <c r="BN43" s="4"/>
      <c r="BO43" s="4"/>
    </row>
    <row r="44" spans="1:67" ht="16" x14ac:dyDescent="0.4">
      <c r="A44" s="4" t="s">
        <v>384</v>
      </c>
      <c r="B44" s="4" t="s">
        <v>384</v>
      </c>
      <c r="C44" s="4" t="s">
        <v>127</v>
      </c>
      <c r="D44" s="4" t="s">
        <v>128</v>
      </c>
      <c r="E44" s="189">
        <v>44330</v>
      </c>
      <c r="F44" s="6">
        <f t="shared" si="0"/>
        <v>2021</v>
      </c>
      <c r="G44" s="4" t="s">
        <v>385</v>
      </c>
      <c r="H44" s="22" t="str">
        <f>VLOOKUP($G44,'Item Classification'!B:C,2,0)</f>
        <v>Military vehicle maintentance support</v>
      </c>
      <c r="I44" s="6" t="str">
        <f>VLOOKUP($G44,'Item Classification'!B:D,3,0)</f>
        <v>Maintenance</v>
      </c>
      <c r="J44" s="23">
        <f>VLOOKUP($G44,'Item Classification'!B:E,4,0)</f>
        <v>14</v>
      </c>
      <c r="K44" s="116" t="s">
        <v>386</v>
      </c>
      <c r="L44" s="116" t="s">
        <v>387</v>
      </c>
      <c r="M44" s="116" t="str">
        <f>VLOOKUP(L44,'NATO Classifications'!$D$6:$E$647,2,0)</f>
        <v>Prefabricated and Portable Buildings</v>
      </c>
      <c r="N44" s="4"/>
      <c r="O44" s="81"/>
      <c r="P44" s="81"/>
      <c r="Q44" s="4">
        <v>2021</v>
      </c>
      <c r="R44" s="4">
        <v>2031</v>
      </c>
      <c r="S44" s="112">
        <v>42000000</v>
      </c>
      <c r="T44" s="91" t="s">
        <v>132</v>
      </c>
      <c r="U44" s="104">
        <f>_xlfn.IFNA(S44/INDEX('Exchange Rates'!$C$7:$F$14,MATCH('MAIN DATA, Orders'!F44,'Exchange Rates'!$B$7:$B$14,0),MATCH('MAIN DATA, Orders'!T44,'Exchange Rates'!$C$6:$F$6,0)), "-")</f>
        <v>42000000</v>
      </c>
      <c r="V44" s="4" t="s">
        <v>133</v>
      </c>
      <c r="W44" s="4" t="s">
        <v>127</v>
      </c>
      <c r="X44" s="4" t="s">
        <v>128</v>
      </c>
      <c r="Y44" s="24">
        <f t="shared" si="3"/>
        <v>202105</v>
      </c>
      <c r="Z44" s="115">
        <v>0</v>
      </c>
      <c r="AA44" s="115">
        <v>0</v>
      </c>
      <c r="AB44" s="115">
        <v>0</v>
      </c>
      <c r="AC44" s="115">
        <v>1</v>
      </c>
      <c r="AD44" s="115">
        <v>0</v>
      </c>
      <c r="AE44" s="115">
        <v>0</v>
      </c>
      <c r="AF44" s="115">
        <v>0</v>
      </c>
      <c r="AG44" s="4" t="s">
        <v>127</v>
      </c>
      <c r="AH44" s="4" t="s">
        <v>128</v>
      </c>
      <c r="AI44" s="4" t="s">
        <v>127</v>
      </c>
      <c r="AJ44" s="4" t="s">
        <v>127</v>
      </c>
      <c r="AK44" s="4" t="s">
        <v>127</v>
      </c>
      <c r="AL44" s="4" t="s">
        <v>127</v>
      </c>
      <c r="AM44" s="4" t="s">
        <v>127</v>
      </c>
      <c r="AN44" s="4" t="s">
        <v>127</v>
      </c>
      <c r="AO44" s="4" t="s">
        <v>127</v>
      </c>
      <c r="AP44" s="4" t="s">
        <v>127</v>
      </c>
      <c r="AQ44" s="4" t="s">
        <v>127</v>
      </c>
      <c r="AR44" s="4" t="s">
        <v>127</v>
      </c>
      <c r="AS44" s="4" t="s">
        <v>127</v>
      </c>
      <c r="AT44" s="4" t="s">
        <v>127</v>
      </c>
      <c r="AU44" s="4" t="s">
        <v>127</v>
      </c>
      <c r="AV44" s="4" t="s">
        <v>127</v>
      </c>
      <c r="AW44" s="4" t="s">
        <v>127</v>
      </c>
      <c r="AX44" s="4" t="s">
        <v>127</v>
      </c>
      <c r="AY44" s="96" t="s">
        <v>388</v>
      </c>
      <c r="AZ44" s="96" t="s">
        <v>389</v>
      </c>
      <c r="BA44" s="4" t="s">
        <v>127</v>
      </c>
      <c r="BB44" s="4" t="s">
        <v>390</v>
      </c>
      <c r="BC44" s="4" t="s">
        <v>127</v>
      </c>
      <c r="BD44" s="4" t="s">
        <v>127</v>
      </c>
      <c r="BE44" s="4" t="s">
        <v>127</v>
      </c>
      <c r="BF44" s="4"/>
      <c r="BG44" s="4"/>
      <c r="BH44" s="4"/>
      <c r="BI44" s="4"/>
      <c r="BJ44" s="4"/>
      <c r="BK44" s="4"/>
      <c r="BL44" s="4"/>
      <c r="BM44" s="4"/>
      <c r="BN44" s="4"/>
      <c r="BO44" s="4"/>
    </row>
    <row r="45" spans="1:67" ht="16" x14ac:dyDescent="0.4">
      <c r="A45" s="4" t="s">
        <v>391</v>
      </c>
      <c r="B45" s="4" t="s">
        <v>391</v>
      </c>
      <c r="C45" s="4" t="s">
        <v>127</v>
      </c>
      <c r="D45" s="4" t="s">
        <v>128</v>
      </c>
      <c r="E45" s="189">
        <v>44335</v>
      </c>
      <c r="F45" s="6">
        <f t="shared" si="0"/>
        <v>2021</v>
      </c>
      <c r="G45" s="4" t="s">
        <v>392</v>
      </c>
      <c r="H45" s="22" t="str">
        <f>VLOOKUP($G45,'Item Classification'!B:C,2,0)</f>
        <v>Non-combat military vehicle part</v>
      </c>
      <c r="I45" s="6" t="str">
        <f>VLOOKUP($G45,'Item Classification'!B:D,3,0)</f>
        <v>Other</v>
      </c>
      <c r="J45" s="23">
        <f>VLOOKUP($G45,'Item Classification'!B:E,4,0)</f>
        <v>16</v>
      </c>
      <c r="K45" s="116" t="s">
        <v>300</v>
      </c>
      <c r="L45" s="116" t="s">
        <v>301</v>
      </c>
      <c r="M45" s="116" t="str">
        <f>VLOOKUP(L45,'NATO Classifications'!$D$6:$E$647,2,0)</f>
        <v>Specialized Shipping and Storage Containers</v>
      </c>
      <c r="N45" s="4">
        <v>200</v>
      </c>
      <c r="O45" s="81">
        <f t="shared" si="1"/>
        <v>145000</v>
      </c>
      <c r="P45" s="81">
        <f t="shared" si="2"/>
        <v>145000</v>
      </c>
      <c r="Q45" s="4">
        <v>2023</v>
      </c>
      <c r="R45" s="4"/>
      <c r="S45" s="112">
        <v>29000000</v>
      </c>
      <c r="T45" s="91" t="s">
        <v>132</v>
      </c>
      <c r="U45" s="104">
        <f>_xlfn.IFNA(S45/INDEX('Exchange Rates'!$C$7:$F$14,MATCH('MAIN DATA, Orders'!F45,'Exchange Rates'!$B$7:$B$14,0),MATCH('MAIN DATA, Orders'!T45,'Exchange Rates'!$C$6:$F$6,0)), "-")</f>
        <v>29000000</v>
      </c>
      <c r="V45" s="4" t="s">
        <v>133</v>
      </c>
      <c r="W45" s="4" t="s">
        <v>127</v>
      </c>
      <c r="X45" s="4" t="s">
        <v>128</v>
      </c>
      <c r="Y45" s="24">
        <f t="shared" si="3"/>
        <v>202105</v>
      </c>
      <c r="Z45" s="115">
        <v>1</v>
      </c>
      <c r="AA45" s="115">
        <v>0</v>
      </c>
      <c r="AB45" s="115">
        <v>0</v>
      </c>
      <c r="AC45" s="115">
        <v>1</v>
      </c>
      <c r="AD45" s="115">
        <v>0</v>
      </c>
      <c r="AE45" s="115">
        <v>0</v>
      </c>
      <c r="AF45" s="115">
        <v>0</v>
      </c>
      <c r="AG45" s="4" t="s">
        <v>393</v>
      </c>
      <c r="AH45" s="4" t="s">
        <v>128</v>
      </c>
      <c r="AI45" s="4" t="s">
        <v>127</v>
      </c>
      <c r="AJ45" s="4" t="s">
        <v>127</v>
      </c>
      <c r="AK45" s="4" t="s">
        <v>127</v>
      </c>
      <c r="AL45" s="4" t="s">
        <v>127</v>
      </c>
      <c r="AM45" s="4" t="s">
        <v>127</v>
      </c>
      <c r="AN45" s="4" t="s">
        <v>127</v>
      </c>
      <c r="AO45" s="4" t="s">
        <v>127</v>
      </c>
      <c r="AP45" s="4" t="s">
        <v>127</v>
      </c>
      <c r="AQ45" s="4" t="s">
        <v>127</v>
      </c>
      <c r="AR45" s="4" t="s">
        <v>127</v>
      </c>
      <c r="AS45" s="4" t="s">
        <v>127</v>
      </c>
      <c r="AT45" s="4" t="s">
        <v>127</v>
      </c>
      <c r="AU45" s="4" t="s">
        <v>127</v>
      </c>
      <c r="AV45" s="4" t="s">
        <v>127</v>
      </c>
      <c r="AW45" s="4" t="s">
        <v>127</v>
      </c>
      <c r="AX45" s="4" t="s">
        <v>127</v>
      </c>
      <c r="AY45" s="96" t="s">
        <v>394</v>
      </c>
      <c r="AZ45" s="96" t="s">
        <v>395</v>
      </c>
      <c r="BA45" s="4" t="s">
        <v>127</v>
      </c>
      <c r="BB45" s="4" t="s">
        <v>396</v>
      </c>
      <c r="BC45" s="4" t="s">
        <v>127</v>
      </c>
      <c r="BD45" s="4" t="s">
        <v>127</v>
      </c>
      <c r="BE45" s="4" t="s">
        <v>127</v>
      </c>
      <c r="BF45" s="4"/>
      <c r="BG45" s="4"/>
      <c r="BH45" s="4"/>
      <c r="BI45" s="4"/>
      <c r="BJ45" s="4"/>
      <c r="BK45" s="4"/>
      <c r="BL45" s="4"/>
      <c r="BM45" s="4"/>
      <c r="BN45" s="4"/>
      <c r="BO45" s="4"/>
    </row>
    <row r="46" spans="1:67" ht="16" x14ac:dyDescent="0.4">
      <c r="A46" s="4" t="s">
        <v>397</v>
      </c>
      <c r="B46" s="4" t="s">
        <v>397</v>
      </c>
      <c r="C46" s="4" t="s">
        <v>127</v>
      </c>
      <c r="D46" s="4" t="s">
        <v>128</v>
      </c>
      <c r="E46" s="189">
        <v>44335</v>
      </c>
      <c r="F46" s="6">
        <f t="shared" si="0"/>
        <v>2021</v>
      </c>
      <c r="G46" s="4" t="s">
        <v>398</v>
      </c>
      <c r="H46" s="22" t="str">
        <f>VLOOKUP($G46,'Item Classification'!B:C,2,0)</f>
        <v>Communication and digitalisation</v>
      </c>
      <c r="I46" s="6" t="str">
        <f>VLOOKUP($G46,'Item Classification'!B:D,3,0)</f>
        <v>Modernisation</v>
      </c>
      <c r="J46" s="23">
        <f>VLOOKUP($G46,'Item Classification'!B:E,4,0)</f>
        <v>13</v>
      </c>
      <c r="K46" s="116" t="s">
        <v>158</v>
      </c>
      <c r="L46" s="116" t="s">
        <v>399</v>
      </c>
      <c r="M46" s="116" t="str">
        <f>VLOOKUP(L46,'NATO Classifications'!$D$6:$E$647,2,0)</f>
        <v>Radar and Sensor</v>
      </c>
      <c r="N46" s="4">
        <v>69</v>
      </c>
      <c r="O46" s="81">
        <f t="shared" si="1"/>
        <v>521739.13043478259</v>
      </c>
      <c r="P46" s="81">
        <f t="shared" si="2"/>
        <v>521739.13043478259</v>
      </c>
      <c r="Q46" s="4">
        <v>2022</v>
      </c>
      <c r="R46" s="4">
        <v>2024</v>
      </c>
      <c r="S46" s="112">
        <v>36000000</v>
      </c>
      <c r="T46" s="91" t="s">
        <v>132</v>
      </c>
      <c r="U46" s="104">
        <f>_xlfn.IFNA(S46/INDEX('Exchange Rates'!$C$7:$F$14,MATCH('MAIN DATA, Orders'!F46,'Exchange Rates'!$B$7:$B$14,0),MATCH('MAIN DATA, Orders'!T46,'Exchange Rates'!$C$6:$F$6,0)), "-")</f>
        <v>36000000</v>
      </c>
      <c r="V46" s="4" t="s">
        <v>133</v>
      </c>
      <c r="W46" s="4" t="s">
        <v>127</v>
      </c>
      <c r="X46" s="4" t="s">
        <v>128</v>
      </c>
      <c r="Y46" s="24">
        <f t="shared" si="3"/>
        <v>202105</v>
      </c>
      <c r="Z46" s="115">
        <v>0</v>
      </c>
      <c r="AA46" s="115">
        <v>0</v>
      </c>
      <c r="AB46" s="115">
        <v>0</v>
      </c>
      <c r="AC46" s="115">
        <v>1</v>
      </c>
      <c r="AD46" s="115">
        <v>0</v>
      </c>
      <c r="AE46" s="115">
        <v>0</v>
      </c>
      <c r="AF46" s="115">
        <v>0</v>
      </c>
      <c r="AG46" s="4" t="s">
        <v>336</v>
      </c>
      <c r="AH46" s="4" t="s">
        <v>128</v>
      </c>
      <c r="AI46" s="4" t="s">
        <v>127</v>
      </c>
      <c r="AJ46" s="4" t="s">
        <v>127</v>
      </c>
      <c r="AK46" s="4" t="s">
        <v>127</v>
      </c>
      <c r="AL46" s="4" t="s">
        <v>127</v>
      </c>
      <c r="AM46" s="4" t="s">
        <v>127</v>
      </c>
      <c r="AN46" s="4" t="s">
        <v>127</v>
      </c>
      <c r="AO46" s="4" t="s">
        <v>127</v>
      </c>
      <c r="AP46" s="4" t="s">
        <v>127</v>
      </c>
      <c r="AQ46" s="4" t="s">
        <v>127</v>
      </c>
      <c r="AR46" s="4" t="s">
        <v>127</v>
      </c>
      <c r="AS46" s="4" t="s">
        <v>127</v>
      </c>
      <c r="AT46" s="4" t="s">
        <v>127</v>
      </c>
      <c r="AU46" s="4" t="s">
        <v>127</v>
      </c>
      <c r="AV46" s="4" t="s">
        <v>127</v>
      </c>
      <c r="AW46" s="4" t="s">
        <v>127</v>
      </c>
      <c r="AX46" s="4" t="s">
        <v>127</v>
      </c>
      <c r="AY46" s="96" t="s">
        <v>394</v>
      </c>
      <c r="AZ46" s="96" t="s">
        <v>400</v>
      </c>
      <c r="BA46" s="4" t="s">
        <v>127</v>
      </c>
      <c r="BB46" s="4" t="s">
        <v>401</v>
      </c>
      <c r="BC46" s="4" t="s">
        <v>402</v>
      </c>
      <c r="BD46" s="4" t="s">
        <v>127</v>
      </c>
      <c r="BE46" s="4" t="s">
        <v>127</v>
      </c>
      <c r="BF46" s="4"/>
      <c r="BG46" s="4"/>
      <c r="BH46" s="4"/>
      <c r="BI46" s="4"/>
      <c r="BJ46" s="4"/>
      <c r="BK46" s="4"/>
      <c r="BL46" s="4"/>
      <c r="BM46" s="4"/>
      <c r="BN46" s="4"/>
      <c r="BO46" s="4"/>
    </row>
    <row r="47" spans="1:67" ht="16" x14ac:dyDescent="0.4">
      <c r="A47" s="4" t="s">
        <v>403</v>
      </c>
      <c r="B47" s="4" t="s">
        <v>403</v>
      </c>
      <c r="C47" s="4" t="s">
        <v>404</v>
      </c>
      <c r="D47" s="4" t="s">
        <v>128</v>
      </c>
      <c r="E47" s="189">
        <v>44335</v>
      </c>
      <c r="F47" s="6">
        <f t="shared" si="0"/>
        <v>2021</v>
      </c>
      <c r="G47" s="4" t="s">
        <v>220</v>
      </c>
      <c r="H47" s="22" t="str">
        <f>VLOOKUP($G47,'Item Classification'!B:C,2,0)</f>
        <v>Clothing and personal equipment</v>
      </c>
      <c r="I47" s="6" t="str">
        <f>VLOOKUP($G47,'Item Classification'!B:D,3,0)</f>
        <v>Modernisation</v>
      </c>
      <c r="J47" s="23">
        <f>VLOOKUP($G47,'Item Classification'!B:E,4,0)</f>
        <v>13</v>
      </c>
      <c r="K47" s="116" t="s">
        <v>221</v>
      </c>
      <c r="L47" s="116" t="s">
        <v>222</v>
      </c>
      <c r="M47" s="116" t="str">
        <f>VLOOKUP(L47,'NATO Classifications'!$D$6:$E$647,2,0)</f>
        <v>Clothing, Special Purpose</v>
      </c>
      <c r="N47" s="4">
        <v>2</v>
      </c>
      <c r="O47" s="81">
        <f t="shared" si="1"/>
        <v>47500000</v>
      </c>
      <c r="P47" s="81">
        <f t="shared" si="2"/>
        <v>47500000</v>
      </c>
      <c r="Q47" s="4">
        <v>2021</v>
      </c>
      <c r="R47" s="4">
        <v>2023</v>
      </c>
      <c r="S47" s="112">
        <v>95000000</v>
      </c>
      <c r="T47" s="91" t="s">
        <v>132</v>
      </c>
      <c r="U47" s="104">
        <f>_xlfn.IFNA(S47/INDEX('Exchange Rates'!$C$7:$F$14,MATCH('MAIN DATA, Orders'!F47,'Exchange Rates'!$B$7:$B$14,0),MATCH('MAIN DATA, Orders'!T47,'Exchange Rates'!$C$6:$F$6,0)), "-")</f>
        <v>95000000</v>
      </c>
      <c r="V47" s="4" t="s">
        <v>133</v>
      </c>
      <c r="W47" s="4" t="s">
        <v>127</v>
      </c>
      <c r="X47" s="4" t="s">
        <v>128</v>
      </c>
      <c r="Y47" s="24">
        <f t="shared" si="3"/>
        <v>202105</v>
      </c>
      <c r="Z47" s="115">
        <v>0</v>
      </c>
      <c r="AA47" s="115">
        <v>1</v>
      </c>
      <c r="AB47" s="115">
        <v>0</v>
      </c>
      <c r="AC47" s="115">
        <v>1</v>
      </c>
      <c r="AD47" s="115">
        <v>0</v>
      </c>
      <c r="AE47" s="115">
        <v>0</v>
      </c>
      <c r="AF47" s="115">
        <v>0</v>
      </c>
      <c r="AG47" s="4" t="s">
        <v>223</v>
      </c>
      <c r="AH47" s="4" t="s">
        <v>128</v>
      </c>
      <c r="AI47" s="4" t="s">
        <v>127</v>
      </c>
      <c r="AJ47" s="4" t="s">
        <v>127</v>
      </c>
      <c r="AK47" s="4" t="s">
        <v>127</v>
      </c>
      <c r="AL47" s="4" t="s">
        <v>127</v>
      </c>
      <c r="AM47" s="4" t="s">
        <v>127</v>
      </c>
      <c r="AN47" s="4" t="s">
        <v>127</v>
      </c>
      <c r="AO47" s="4" t="s">
        <v>127</v>
      </c>
      <c r="AP47" s="4" t="s">
        <v>127</v>
      </c>
      <c r="AQ47" s="4" t="s">
        <v>127</v>
      </c>
      <c r="AR47" s="4" t="s">
        <v>127</v>
      </c>
      <c r="AS47" s="4" t="s">
        <v>127</v>
      </c>
      <c r="AT47" s="4" t="s">
        <v>127</v>
      </c>
      <c r="AU47" s="4" t="s">
        <v>127</v>
      </c>
      <c r="AV47" s="4" t="s">
        <v>127</v>
      </c>
      <c r="AW47" s="4" t="s">
        <v>127</v>
      </c>
      <c r="AX47" s="4" t="s">
        <v>127</v>
      </c>
      <c r="AY47" s="96" t="s">
        <v>394</v>
      </c>
      <c r="AZ47" s="96" t="s">
        <v>405</v>
      </c>
      <c r="BA47" s="96" t="s">
        <v>406</v>
      </c>
      <c r="BB47" s="4" t="s">
        <v>407</v>
      </c>
      <c r="BC47" s="4" t="s">
        <v>127</v>
      </c>
      <c r="BD47" s="4" t="s">
        <v>127</v>
      </c>
      <c r="BE47" s="4" t="s">
        <v>127</v>
      </c>
      <c r="BF47" s="4"/>
      <c r="BG47" s="4"/>
      <c r="BH47" s="4"/>
      <c r="BI47" s="4"/>
      <c r="BJ47" s="4"/>
      <c r="BK47" s="4"/>
      <c r="BL47" s="4"/>
      <c r="BM47" s="4"/>
      <c r="BN47" s="4"/>
      <c r="BO47" s="4"/>
    </row>
    <row r="48" spans="1:67" ht="16" x14ac:dyDescent="0.4">
      <c r="A48" s="4" t="s">
        <v>408</v>
      </c>
      <c r="B48" s="4" t="s">
        <v>408</v>
      </c>
      <c r="C48" s="4" t="s">
        <v>166</v>
      </c>
      <c r="D48" s="4" t="s">
        <v>128</v>
      </c>
      <c r="E48" s="189">
        <v>44335</v>
      </c>
      <c r="F48" s="6">
        <f t="shared" si="0"/>
        <v>2021</v>
      </c>
      <c r="G48" s="4" t="s">
        <v>409</v>
      </c>
      <c r="H48" s="22" t="str">
        <f>VLOOKUP($G48,'Item Classification'!B:C,2,0)</f>
        <v>Communication and digitalisation</v>
      </c>
      <c r="I48" s="6" t="str">
        <f>VLOOKUP($G48,'Item Classification'!B:D,3,0)</f>
        <v>Modernisation</v>
      </c>
      <c r="J48" s="23">
        <f>VLOOKUP($G48,'Item Classification'!B:E,4,0)</f>
        <v>13</v>
      </c>
      <c r="K48" s="116" t="s">
        <v>168</v>
      </c>
      <c r="L48" s="116" t="s">
        <v>182</v>
      </c>
      <c r="M48" s="116" t="str">
        <f>VLOOKUP(L48,'NATO Classifications'!$D$6:$E$647,2,0)</f>
        <v>ADP Software</v>
      </c>
      <c r="N48" s="4"/>
      <c r="O48" s="81"/>
      <c r="P48" s="81"/>
      <c r="Q48" s="4">
        <v>2021</v>
      </c>
      <c r="R48" s="4">
        <v>2027</v>
      </c>
      <c r="S48" s="112">
        <v>2200000000</v>
      </c>
      <c r="T48" s="91" t="s">
        <v>132</v>
      </c>
      <c r="U48" s="104">
        <f>_xlfn.IFNA(S48/INDEX('Exchange Rates'!$C$7:$F$14,MATCH('MAIN DATA, Orders'!F48,'Exchange Rates'!$B$7:$B$14,0),MATCH('MAIN DATA, Orders'!T48,'Exchange Rates'!$C$6:$F$6,0)), "-")</f>
        <v>2200000000</v>
      </c>
      <c r="V48" s="4" t="s">
        <v>133</v>
      </c>
      <c r="W48" s="4" t="s">
        <v>127</v>
      </c>
      <c r="X48" s="4" t="s">
        <v>128</v>
      </c>
      <c r="Y48" s="24">
        <f t="shared" si="3"/>
        <v>202105</v>
      </c>
      <c r="Z48" s="115">
        <v>0</v>
      </c>
      <c r="AA48" s="115">
        <v>0</v>
      </c>
      <c r="AB48" s="115">
        <v>0</v>
      </c>
      <c r="AC48" s="115">
        <v>1</v>
      </c>
      <c r="AD48" s="115">
        <v>0</v>
      </c>
      <c r="AE48" s="115">
        <v>0</v>
      </c>
      <c r="AF48" s="115">
        <v>0</v>
      </c>
      <c r="AG48" s="4" t="s">
        <v>166</v>
      </c>
      <c r="AH48" s="4" t="s">
        <v>128</v>
      </c>
      <c r="AI48" s="4" t="s">
        <v>127</v>
      </c>
      <c r="AJ48" s="4" t="s">
        <v>127</v>
      </c>
      <c r="AK48" s="4" t="s">
        <v>127</v>
      </c>
      <c r="AL48" s="4" t="s">
        <v>127</v>
      </c>
      <c r="AM48" s="4" t="s">
        <v>127</v>
      </c>
      <c r="AN48" s="4" t="s">
        <v>127</v>
      </c>
      <c r="AO48" s="4" t="s">
        <v>127</v>
      </c>
      <c r="AP48" s="4" t="s">
        <v>127</v>
      </c>
      <c r="AQ48" s="4" t="s">
        <v>127</v>
      </c>
      <c r="AR48" s="4" t="s">
        <v>127</v>
      </c>
      <c r="AS48" s="4" t="s">
        <v>127</v>
      </c>
      <c r="AT48" s="4" t="s">
        <v>127</v>
      </c>
      <c r="AU48" s="4" t="s">
        <v>127</v>
      </c>
      <c r="AV48" s="4" t="s">
        <v>127</v>
      </c>
      <c r="AW48" s="4" t="s">
        <v>127</v>
      </c>
      <c r="AX48" s="4" t="s">
        <v>127</v>
      </c>
      <c r="AY48" s="96" t="s">
        <v>394</v>
      </c>
      <c r="AZ48" s="96" t="s">
        <v>410</v>
      </c>
      <c r="BA48" s="96" t="s">
        <v>411</v>
      </c>
      <c r="BB48" s="4" t="s">
        <v>412</v>
      </c>
      <c r="BC48" s="4" t="s">
        <v>413</v>
      </c>
      <c r="BD48" s="4" t="s">
        <v>127</v>
      </c>
      <c r="BE48" s="4" t="s">
        <v>127</v>
      </c>
      <c r="BF48" s="4"/>
      <c r="BG48" s="4"/>
      <c r="BH48" s="4"/>
      <c r="BI48" s="4"/>
      <c r="BJ48" s="4"/>
      <c r="BK48" s="4"/>
      <c r="BL48" s="4"/>
      <c r="BM48" s="4"/>
      <c r="BN48" s="4"/>
      <c r="BO48" s="4"/>
    </row>
    <row r="49" spans="1:67" ht="16" x14ac:dyDescent="0.4">
      <c r="A49" s="4" t="s">
        <v>414</v>
      </c>
      <c r="B49" s="4" t="s">
        <v>414</v>
      </c>
      <c r="C49" s="4" t="s">
        <v>415</v>
      </c>
      <c r="D49" s="4" t="s">
        <v>128</v>
      </c>
      <c r="E49" s="189">
        <v>44370</v>
      </c>
      <c r="F49" s="6">
        <f t="shared" si="0"/>
        <v>2021</v>
      </c>
      <c r="G49" s="4" t="s">
        <v>416</v>
      </c>
      <c r="H49" s="22" t="str">
        <f>VLOOKUP($G49,'Item Classification'!B:C,2,0)</f>
        <v>Maritime reconnaissance patrol aircraft</v>
      </c>
      <c r="I49" s="6" t="str">
        <f>VLOOKUP($G49,'Item Classification'!B:D,3,0)</f>
        <v>Naval</v>
      </c>
      <c r="J49" s="23">
        <f>VLOOKUP($G49,'Item Classification'!B:E,4,0)</f>
        <v>12</v>
      </c>
      <c r="K49" s="116" t="s">
        <v>130</v>
      </c>
      <c r="L49" s="116" t="s">
        <v>237</v>
      </c>
      <c r="M49" s="116" t="str">
        <f>VLOOKUP(L49,'NATO Classifications'!$D$6:$E$647,2,0)</f>
        <v>Aircraft, Fixed Wing</v>
      </c>
      <c r="N49" s="4">
        <v>5</v>
      </c>
      <c r="O49" s="81">
        <f t="shared" si="1"/>
        <v>220000000</v>
      </c>
      <c r="P49" s="81">
        <f t="shared" si="2"/>
        <v>220000000</v>
      </c>
      <c r="Q49" s="4">
        <v>2024</v>
      </c>
      <c r="R49" s="4">
        <v>2025</v>
      </c>
      <c r="S49" s="112">
        <v>1100000000</v>
      </c>
      <c r="T49" s="91" t="s">
        <v>132</v>
      </c>
      <c r="U49" s="104">
        <f>_xlfn.IFNA(S49/INDEX('Exchange Rates'!$C$7:$F$14,MATCH('MAIN DATA, Orders'!F49,'Exchange Rates'!$B$7:$B$14,0),MATCH('MAIN DATA, Orders'!T49,'Exchange Rates'!$C$6:$F$6,0)), "-")</f>
        <v>1100000000</v>
      </c>
      <c r="V49" s="4" t="s">
        <v>133</v>
      </c>
      <c r="W49" s="4" t="s">
        <v>127</v>
      </c>
      <c r="X49" s="4" t="s">
        <v>128</v>
      </c>
      <c r="Y49" s="24">
        <f t="shared" si="3"/>
        <v>202106</v>
      </c>
      <c r="Z49" s="115">
        <v>0</v>
      </c>
      <c r="AA49" s="115">
        <v>0</v>
      </c>
      <c r="AB49" s="115">
        <v>1</v>
      </c>
      <c r="AC49" s="115">
        <v>0</v>
      </c>
      <c r="AD49" s="115">
        <v>0</v>
      </c>
      <c r="AE49" s="115">
        <v>0</v>
      </c>
      <c r="AF49" s="115">
        <v>0</v>
      </c>
      <c r="AG49" s="4" t="s">
        <v>192</v>
      </c>
      <c r="AH49" s="4" t="s">
        <v>196</v>
      </c>
      <c r="AI49" s="4" t="s">
        <v>196</v>
      </c>
      <c r="AJ49" s="4" t="s">
        <v>127</v>
      </c>
      <c r="AK49" s="4" t="s">
        <v>127</v>
      </c>
      <c r="AL49" s="4" t="s">
        <v>127</v>
      </c>
      <c r="AM49" s="4" t="s">
        <v>127</v>
      </c>
      <c r="AN49" s="4" t="s">
        <v>127</v>
      </c>
      <c r="AO49" s="4" t="s">
        <v>127</v>
      </c>
      <c r="AP49" s="4" t="s">
        <v>127</v>
      </c>
      <c r="AQ49" s="4" t="s">
        <v>127</v>
      </c>
      <c r="AR49" s="4" t="s">
        <v>127</v>
      </c>
      <c r="AS49" s="4" t="s">
        <v>127</v>
      </c>
      <c r="AT49" s="4" t="s">
        <v>127</v>
      </c>
      <c r="AU49" s="4" t="s">
        <v>127</v>
      </c>
      <c r="AV49" s="4" t="s">
        <v>127</v>
      </c>
      <c r="AW49" s="4" t="s">
        <v>127</v>
      </c>
      <c r="AX49" s="4" t="s">
        <v>127</v>
      </c>
      <c r="AY49" s="96" t="s">
        <v>417</v>
      </c>
      <c r="AZ49" s="96" t="s">
        <v>418</v>
      </c>
      <c r="BA49" s="96" t="s">
        <v>419</v>
      </c>
      <c r="BB49" s="4" t="s">
        <v>420</v>
      </c>
      <c r="BC49" s="4" t="s">
        <v>127</v>
      </c>
      <c r="BD49" s="4" t="s">
        <v>127</v>
      </c>
      <c r="BE49" s="4" t="s">
        <v>127</v>
      </c>
      <c r="BF49" s="4"/>
      <c r="BG49" s="4"/>
      <c r="BH49" s="4"/>
      <c r="BI49" s="4"/>
      <c r="BJ49" s="4"/>
      <c r="BK49" s="4"/>
      <c r="BL49" s="4"/>
      <c r="BM49" s="4"/>
      <c r="BN49" s="4"/>
      <c r="BO49" s="4"/>
    </row>
    <row r="50" spans="1:67" ht="16" x14ac:dyDescent="0.4">
      <c r="A50" s="4" t="s">
        <v>421</v>
      </c>
      <c r="B50" s="4" t="s">
        <v>421</v>
      </c>
      <c r="C50" s="4" t="s">
        <v>422</v>
      </c>
      <c r="D50" s="4" t="s">
        <v>128</v>
      </c>
      <c r="E50" s="189">
        <v>44370</v>
      </c>
      <c r="F50" s="6">
        <f t="shared" si="0"/>
        <v>2021</v>
      </c>
      <c r="G50" s="4" t="s">
        <v>423</v>
      </c>
      <c r="H50" s="22" t="str">
        <f>VLOOKUP($G50,'Item Classification'!B:C,2,0)</f>
        <v>Combat aircraft system development</v>
      </c>
      <c r="I50" s="6" t="str">
        <f>VLOOKUP($G50,'Item Classification'!B:D,3,0)</f>
        <v>Development - Aircraft</v>
      </c>
      <c r="J50" s="23">
        <f>VLOOKUP($G50,'Item Classification'!B:E,4,0)</f>
        <v>15</v>
      </c>
      <c r="K50" s="116" t="s">
        <v>130</v>
      </c>
      <c r="L50" s="116" t="s">
        <v>237</v>
      </c>
      <c r="M50" s="116" t="str">
        <f>VLOOKUP(L50,'NATO Classifications'!$D$6:$E$647,2,0)</f>
        <v>Aircraft, Fixed Wing</v>
      </c>
      <c r="N50" s="4">
        <v>7</v>
      </c>
      <c r="O50" s="81">
        <f t="shared" si="1"/>
        <v>628571428.57142854</v>
      </c>
      <c r="P50" s="81">
        <f t="shared" si="2"/>
        <v>628571428.57142854</v>
      </c>
      <c r="Q50" s="4">
        <v>2021</v>
      </c>
      <c r="R50" s="4">
        <v>2027</v>
      </c>
      <c r="S50" s="112">
        <v>4400000000</v>
      </c>
      <c r="T50" s="91" t="s">
        <v>132</v>
      </c>
      <c r="U50" s="104">
        <f>_xlfn.IFNA(S50/INDEX('Exchange Rates'!$C$7:$F$14,MATCH('MAIN DATA, Orders'!F50,'Exchange Rates'!$B$7:$B$14,0),MATCH('MAIN DATA, Orders'!T50,'Exchange Rates'!$C$6:$F$6,0)), "-")</f>
        <v>4400000000</v>
      </c>
      <c r="V50" s="4" t="s">
        <v>133</v>
      </c>
      <c r="W50" s="4" t="s">
        <v>127</v>
      </c>
      <c r="X50" s="4" t="s">
        <v>128</v>
      </c>
      <c r="Y50" s="24">
        <f t="shared" si="3"/>
        <v>202106</v>
      </c>
      <c r="Z50" s="115">
        <v>1</v>
      </c>
      <c r="AA50" s="115">
        <v>1</v>
      </c>
      <c r="AB50" s="115">
        <v>0</v>
      </c>
      <c r="AC50" s="115">
        <v>1</v>
      </c>
      <c r="AD50" s="115">
        <v>1</v>
      </c>
      <c r="AE50" s="115">
        <v>0</v>
      </c>
      <c r="AF50" s="115">
        <v>1</v>
      </c>
      <c r="AG50" s="4" t="s">
        <v>160</v>
      </c>
      <c r="AH50" s="4" t="s">
        <v>128</v>
      </c>
      <c r="AI50" s="4" t="s">
        <v>127</v>
      </c>
      <c r="AJ50" s="4" t="s">
        <v>359</v>
      </c>
      <c r="AK50" s="4" t="s">
        <v>161</v>
      </c>
      <c r="AL50" s="4" t="s">
        <v>127</v>
      </c>
      <c r="AM50" s="4" t="s">
        <v>127</v>
      </c>
      <c r="AN50" s="4" t="s">
        <v>151</v>
      </c>
      <c r="AO50" s="4" t="s">
        <v>162</v>
      </c>
      <c r="AP50" s="4" t="s">
        <v>127</v>
      </c>
      <c r="AQ50" s="4" t="s">
        <v>127</v>
      </c>
      <c r="AR50" s="4" t="s">
        <v>127</v>
      </c>
      <c r="AS50" s="4" t="s">
        <v>127</v>
      </c>
      <c r="AT50" s="4" t="s">
        <v>127</v>
      </c>
      <c r="AU50" s="4" t="s">
        <v>127</v>
      </c>
      <c r="AV50" s="4" t="s">
        <v>127</v>
      </c>
      <c r="AW50" s="4" t="s">
        <v>127</v>
      </c>
      <c r="AX50" s="4" t="s">
        <v>127</v>
      </c>
      <c r="AY50" s="96" t="s">
        <v>424</v>
      </c>
      <c r="AZ50" s="96" t="s">
        <v>425</v>
      </c>
      <c r="BA50" s="4" t="s">
        <v>127</v>
      </c>
      <c r="BB50" s="4" t="s">
        <v>426</v>
      </c>
      <c r="BC50" s="4" t="s">
        <v>127</v>
      </c>
      <c r="BD50" s="4" t="s">
        <v>127</v>
      </c>
      <c r="BE50" s="4" t="s">
        <v>127</v>
      </c>
      <c r="BF50" s="4"/>
      <c r="BG50" s="4"/>
      <c r="BH50" s="4"/>
      <c r="BI50" s="4"/>
      <c r="BJ50" s="4"/>
      <c r="BK50" s="4"/>
      <c r="BL50" s="4"/>
      <c r="BM50" s="4"/>
      <c r="BN50" s="4"/>
      <c r="BO50" s="4"/>
    </row>
    <row r="51" spans="1:67" ht="16" x14ac:dyDescent="0.4">
      <c r="A51" s="4" t="s">
        <v>427</v>
      </c>
      <c r="B51" s="4" t="s">
        <v>427</v>
      </c>
      <c r="C51" s="4" t="s">
        <v>127</v>
      </c>
      <c r="D51" s="4" t="s">
        <v>128</v>
      </c>
      <c r="E51" s="189">
        <v>44370</v>
      </c>
      <c r="F51" s="6">
        <f t="shared" si="0"/>
        <v>2021</v>
      </c>
      <c r="G51" s="4" t="s">
        <v>428</v>
      </c>
      <c r="H51" s="22" t="str">
        <f>VLOOKUP($G51,'Item Classification'!B:C,2,0)</f>
        <v>Airborne surveillance system</v>
      </c>
      <c r="I51" s="6" t="str">
        <f>VLOOKUP($G51,'Item Classification'!B:D,3,0)</f>
        <v>Aircraft</v>
      </c>
      <c r="J51" s="23">
        <f>VLOOKUP($G51,'Item Classification'!B:E,4,0)</f>
        <v>11</v>
      </c>
      <c r="K51" s="116" t="s">
        <v>130</v>
      </c>
      <c r="L51" s="116" t="s">
        <v>237</v>
      </c>
      <c r="M51" s="116" t="str">
        <f>VLOOKUP(L51,'NATO Classifications'!$D$6:$E$647,2,0)</f>
        <v>Aircraft, Fixed Wing</v>
      </c>
      <c r="N51" s="4">
        <v>1</v>
      </c>
      <c r="O51" s="81">
        <f t="shared" si="1"/>
        <v>1540000000</v>
      </c>
      <c r="P51" s="81">
        <f t="shared" si="2"/>
        <v>1540000000</v>
      </c>
      <c r="Q51" s="4">
        <v>2026</v>
      </c>
      <c r="R51" s="4">
        <v>2028</v>
      </c>
      <c r="S51" s="112">
        <v>1540000000</v>
      </c>
      <c r="T51" s="91" t="s">
        <v>132</v>
      </c>
      <c r="U51" s="104">
        <f>_xlfn.IFNA(S51/INDEX('Exchange Rates'!$C$7:$F$14,MATCH('MAIN DATA, Orders'!F51,'Exchange Rates'!$B$7:$B$14,0),MATCH('MAIN DATA, Orders'!T51,'Exchange Rates'!$C$6:$F$6,0)), "-")</f>
        <v>1540000000</v>
      </c>
      <c r="V51" s="4" t="s">
        <v>133</v>
      </c>
      <c r="W51" s="4" t="s">
        <v>127</v>
      </c>
      <c r="X51" s="4" t="s">
        <v>128</v>
      </c>
      <c r="Y51" s="24">
        <f t="shared" si="3"/>
        <v>202106</v>
      </c>
      <c r="Z51" s="115">
        <v>0</v>
      </c>
      <c r="AA51" s="115">
        <v>0</v>
      </c>
      <c r="AB51" s="115">
        <v>0</v>
      </c>
      <c r="AC51" s="115">
        <v>1</v>
      </c>
      <c r="AD51" s="115">
        <v>0</v>
      </c>
      <c r="AE51" s="115">
        <v>1</v>
      </c>
      <c r="AF51" s="115">
        <v>1</v>
      </c>
      <c r="AG51" s="4" t="s">
        <v>149</v>
      </c>
      <c r="AH51" s="4" t="s">
        <v>128</v>
      </c>
      <c r="AI51" s="4" t="s">
        <v>127</v>
      </c>
      <c r="AJ51" s="4" t="s">
        <v>429</v>
      </c>
      <c r="AK51" s="4" t="s">
        <v>430</v>
      </c>
      <c r="AL51" s="4" t="s">
        <v>127</v>
      </c>
      <c r="AM51" s="4" t="s">
        <v>127</v>
      </c>
      <c r="AN51" s="4" t="s">
        <v>431</v>
      </c>
      <c r="AO51" s="4" t="s">
        <v>127</v>
      </c>
      <c r="AP51" s="4" t="s">
        <v>127</v>
      </c>
      <c r="AQ51" s="4" t="s">
        <v>127</v>
      </c>
      <c r="AR51" s="4" t="s">
        <v>127</v>
      </c>
      <c r="AS51" s="4" t="s">
        <v>127</v>
      </c>
      <c r="AT51" s="4" t="s">
        <v>127</v>
      </c>
      <c r="AU51" s="4" t="s">
        <v>127</v>
      </c>
      <c r="AV51" s="4" t="s">
        <v>127</v>
      </c>
      <c r="AW51" s="4" t="s">
        <v>127</v>
      </c>
      <c r="AX51" s="4" t="s">
        <v>127</v>
      </c>
      <c r="AY51" s="96" t="s">
        <v>424</v>
      </c>
      <c r="AZ51" s="96" t="s">
        <v>432</v>
      </c>
      <c r="BA51" s="96" t="s">
        <v>433</v>
      </c>
      <c r="BB51" s="4" t="s">
        <v>434</v>
      </c>
      <c r="BC51" s="4" t="s">
        <v>127</v>
      </c>
      <c r="BD51" s="4" t="s">
        <v>127</v>
      </c>
      <c r="BE51" s="4" t="s">
        <v>127</v>
      </c>
      <c r="BF51" s="4"/>
      <c r="BG51" s="4"/>
      <c r="BH51" s="4"/>
      <c r="BI51" s="4"/>
      <c r="BJ51" s="4"/>
      <c r="BK51" s="4"/>
      <c r="BL51" s="4"/>
      <c r="BM51" s="4"/>
      <c r="BN51" s="4"/>
      <c r="BO51" s="4"/>
    </row>
    <row r="52" spans="1:67" ht="16" x14ac:dyDescent="0.4">
      <c r="A52" s="4" t="s">
        <v>435</v>
      </c>
      <c r="B52" s="4" t="s">
        <v>435</v>
      </c>
      <c r="C52" s="4" t="s">
        <v>127</v>
      </c>
      <c r="D52" s="4" t="s">
        <v>128</v>
      </c>
      <c r="E52" s="189">
        <v>44370</v>
      </c>
      <c r="F52" s="6">
        <f t="shared" si="0"/>
        <v>2021</v>
      </c>
      <c r="G52" s="4" t="s">
        <v>436</v>
      </c>
      <c r="H52" s="22" t="str">
        <f>VLOOKUP($G52,'Item Classification'!B:C,2,0)</f>
        <v>Communication and digitalisation</v>
      </c>
      <c r="I52" s="6" t="str">
        <f>VLOOKUP($G52,'Item Classification'!B:D,3,0)</f>
        <v>Modernisation</v>
      </c>
      <c r="J52" s="23">
        <f>VLOOKUP($G52,'Item Classification'!B:E,4,0)</f>
        <v>13</v>
      </c>
      <c r="K52" s="116" t="s">
        <v>158</v>
      </c>
      <c r="L52" s="116" t="s">
        <v>399</v>
      </c>
      <c r="M52" s="116" t="str">
        <f>VLOOKUP(L52,'NATO Classifications'!$D$6:$E$647,2,0)</f>
        <v>Radar and Sensor</v>
      </c>
      <c r="N52" s="4">
        <v>4</v>
      </c>
      <c r="O52" s="81"/>
      <c r="P52" s="81"/>
      <c r="Q52" s="4"/>
      <c r="R52" s="4"/>
      <c r="S52" s="4"/>
      <c r="T52" s="91" t="s">
        <v>132</v>
      </c>
      <c r="U52" s="104">
        <f>_xlfn.IFNA(S52/INDEX('Exchange Rates'!$C$7:$F$14,MATCH('MAIN DATA, Orders'!F52,'Exchange Rates'!$B$7:$B$14,0),MATCH('MAIN DATA, Orders'!T52,'Exchange Rates'!$C$6:$F$6,0)), "-")</f>
        <v>0</v>
      </c>
      <c r="V52" s="4" t="s">
        <v>133</v>
      </c>
      <c r="W52" s="4" t="s">
        <v>127</v>
      </c>
      <c r="X52" s="4" t="s">
        <v>128</v>
      </c>
      <c r="Y52" s="24">
        <f t="shared" si="3"/>
        <v>202106</v>
      </c>
      <c r="Z52" s="115">
        <v>0</v>
      </c>
      <c r="AA52" s="115">
        <v>0</v>
      </c>
      <c r="AB52" s="115">
        <v>0</v>
      </c>
      <c r="AC52" s="115">
        <v>1</v>
      </c>
      <c r="AD52" s="115">
        <v>0</v>
      </c>
      <c r="AE52" s="115">
        <v>1</v>
      </c>
      <c r="AF52" s="115">
        <v>1</v>
      </c>
      <c r="AG52" s="4" t="s">
        <v>149</v>
      </c>
      <c r="AH52" s="4" t="s">
        <v>128</v>
      </c>
      <c r="AI52" s="4" t="s">
        <v>127</v>
      </c>
      <c r="AJ52" s="4" t="s">
        <v>437</v>
      </c>
      <c r="AK52" s="4" t="s">
        <v>127</v>
      </c>
      <c r="AL52" s="4" t="s">
        <v>127</v>
      </c>
      <c r="AM52" s="4" t="s">
        <v>127</v>
      </c>
      <c r="AN52" s="4" t="s">
        <v>135</v>
      </c>
      <c r="AO52" s="4" t="s">
        <v>127</v>
      </c>
      <c r="AP52" s="4" t="s">
        <v>127</v>
      </c>
      <c r="AQ52" s="4" t="s">
        <v>127</v>
      </c>
      <c r="AR52" s="4" t="s">
        <v>127</v>
      </c>
      <c r="AS52" s="4" t="s">
        <v>127</v>
      </c>
      <c r="AT52" s="4" t="s">
        <v>127</v>
      </c>
      <c r="AU52" s="4" t="s">
        <v>127</v>
      </c>
      <c r="AV52" s="4" t="s">
        <v>127</v>
      </c>
      <c r="AW52" s="4" t="s">
        <v>127</v>
      </c>
      <c r="AX52" s="4" t="s">
        <v>127</v>
      </c>
      <c r="AY52" s="96" t="s">
        <v>424</v>
      </c>
      <c r="AZ52" s="96" t="s">
        <v>438</v>
      </c>
      <c r="BA52" s="96" t="s">
        <v>439</v>
      </c>
      <c r="BB52" s="4" t="s">
        <v>440</v>
      </c>
      <c r="BC52" s="4" t="s">
        <v>127</v>
      </c>
      <c r="BD52" s="4" t="s">
        <v>127</v>
      </c>
      <c r="BE52" s="4" t="s">
        <v>127</v>
      </c>
      <c r="BF52" s="4"/>
      <c r="BG52" s="4"/>
      <c r="BH52" s="4"/>
      <c r="BI52" s="4"/>
      <c r="BJ52" s="4"/>
      <c r="BK52" s="4"/>
      <c r="BL52" s="4"/>
      <c r="BM52" s="4"/>
      <c r="BN52" s="4"/>
      <c r="BO52" s="4"/>
    </row>
    <row r="53" spans="1:67" ht="16" x14ac:dyDescent="0.4">
      <c r="A53" s="4" t="s">
        <v>441</v>
      </c>
      <c r="B53" s="4" t="s">
        <v>441</v>
      </c>
      <c r="C53" s="4" t="s">
        <v>127</v>
      </c>
      <c r="D53" s="4" t="s">
        <v>128</v>
      </c>
      <c r="E53" s="189">
        <v>44370</v>
      </c>
      <c r="F53" s="6">
        <f t="shared" si="0"/>
        <v>2021</v>
      </c>
      <c r="G53" s="4" t="s">
        <v>442</v>
      </c>
      <c r="H53" s="22" t="str">
        <f>VLOOKUP($G53,'Item Classification'!B:C,2,0)</f>
        <v>Air traffic control system</v>
      </c>
      <c r="I53" s="6" t="str">
        <f>VLOOKUP($G53,'Item Classification'!B:D,3,0)</f>
        <v>Aircraft</v>
      </c>
      <c r="J53" s="23">
        <f>VLOOKUP($G53,'Item Classification'!B:E,4,0)</f>
        <v>11</v>
      </c>
      <c r="K53" s="116" t="s">
        <v>158</v>
      </c>
      <c r="L53" s="116" t="s">
        <v>443</v>
      </c>
      <c r="M53" s="116" t="str">
        <f>VLOOKUP(L53,'NATO Classifications'!$D$6:$E$647,2,0)</f>
        <v>Communication, Detection, and Coherent Radiation Equipment (other)</v>
      </c>
      <c r="N53" s="4">
        <v>1</v>
      </c>
      <c r="O53" s="81">
        <f t="shared" si="1"/>
        <v>67000000</v>
      </c>
      <c r="P53" s="81">
        <f t="shared" si="2"/>
        <v>67000000</v>
      </c>
      <c r="Q53" s="4">
        <v>2023</v>
      </c>
      <c r="R53" s="4">
        <v>2026</v>
      </c>
      <c r="S53" s="112">
        <v>67000000</v>
      </c>
      <c r="T53" s="91" t="s">
        <v>132</v>
      </c>
      <c r="U53" s="104">
        <f>_xlfn.IFNA(S53/INDEX('Exchange Rates'!$C$7:$F$14,MATCH('MAIN DATA, Orders'!F53,'Exchange Rates'!$B$7:$B$14,0),MATCH('MAIN DATA, Orders'!T53,'Exchange Rates'!$C$6:$F$6,0)), "-")</f>
        <v>67000000</v>
      </c>
      <c r="V53" s="4" t="s">
        <v>133</v>
      </c>
      <c r="W53" s="4" t="s">
        <v>127</v>
      </c>
      <c r="X53" s="4" t="s">
        <v>128</v>
      </c>
      <c r="Y53" s="24">
        <f t="shared" si="3"/>
        <v>202106</v>
      </c>
      <c r="Z53" s="115">
        <v>0</v>
      </c>
      <c r="AA53" s="115">
        <v>0</v>
      </c>
      <c r="AB53" s="115">
        <v>0</v>
      </c>
      <c r="AC53" s="115">
        <v>1</v>
      </c>
      <c r="AD53" s="115">
        <v>0</v>
      </c>
      <c r="AE53" s="115">
        <v>0</v>
      </c>
      <c r="AF53" s="115">
        <v>0</v>
      </c>
      <c r="AG53" s="4" t="s">
        <v>444</v>
      </c>
      <c r="AH53" s="4" t="s">
        <v>128</v>
      </c>
      <c r="AI53" s="4" t="s">
        <v>127</v>
      </c>
      <c r="AJ53" s="4" t="s">
        <v>336</v>
      </c>
      <c r="AK53" s="4" t="s">
        <v>127</v>
      </c>
      <c r="AL53" s="4" t="s">
        <v>127</v>
      </c>
      <c r="AM53" s="4" t="s">
        <v>127</v>
      </c>
      <c r="AN53" s="4" t="s">
        <v>127</v>
      </c>
      <c r="AO53" s="4" t="s">
        <v>127</v>
      </c>
      <c r="AP53" s="4" t="s">
        <v>127</v>
      </c>
      <c r="AQ53" s="4" t="s">
        <v>127</v>
      </c>
      <c r="AR53" s="4" t="s">
        <v>127</v>
      </c>
      <c r="AS53" s="4" t="s">
        <v>127</v>
      </c>
      <c r="AT53" s="4" t="s">
        <v>127</v>
      </c>
      <c r="AU53" s="4" t="s">
        <v>127</v>
      </c>
      <c r="AV53" s="4" t="s">
        <v>127</v>
      </c>
      <c r="AW53" s="4" t="s">
        <v>127</v>
      </c>
      <c r="AX53" s="4" t="s">
        <v>127</v>
      </c>
      <c r="AY53" s="96" t="s">
        <v>424</v>
      </c>
      <c r="AZ53" s="96" t="s">
        <v>445</v>
      </c>
      <c r="BA53" s="96" t="s">
        <v>446</v>
      </c>
      <c r="BB53" s="4" t="s">
        <v>447</v>
      </c>
      <c r="BC53" s="4" t="s">
        <v>448</v>
      </c>
      <c r="BD53" s="4" t="s">
        <v>127</v>
      </c>
      <c r="BE53" s="4" t="s">
        <v>127</v>
      </c>
      <c r="BF53" s="4"/>
      <c r="BG53" s="4"/>
      <c r="BH53" s="4"/>
      <c r="BI53" s="4"/>
      <c r="BJ53" s="4"/>
      <c r="BK53" s="4"/>
      <c r="BL53" s="4"/>
      <c r="BM53" s="4"/>
      <c r="BN53" s="4"/>
      <c r="BO53" s="4"/>
    </row>
    <row r="54" spans="1:67" ht="16" x14ac:dyDescent="0.4">
      <c r="A54" s="4" t="s">
        <v>449</v>
      </c>
      <c r="B54" s="4" t="s">
        <v>449</v>
      </c>
      <c r="C54" s="4" t="s">
        <v>450</v>
      </c>
      <c r="D54" s="4" t="s">
        <v>128</v>
      </c>
      <c r="E54" s="189">
        <v>44370</v>
      </c>
      <c r="F54" s="6">
        <f t="shared" si="0"/>
        <v>2021</v>
      </c>
      <c r="G54" s="4" t="s">
        <v>451</v>
      </c>
      <c r="H54" s="22" t="str">
        <f>VLOOKUP($G54,'Item Classification'!B:C,2,0)</f>
        <v>Reconnaissance ship</v>
      </c>
      <c r="I54" s="6" t="str">
        <f>VLOOKUP($G54,'Item Classification'!B:D,3,0)</f>
        <v>Naval</v>
      </c>
      <c r="J54" s="23">
        <f>VLOOKUP($G54,'Item Classification'!B:E,4,0)</f>
        <v>12</v>
      </c>
      <c r="K54" s="116" t="s">
        <v>143</v>
      </c>
      <c r="L54" s="116" t="s">
        <v>452</v>
      </c>
      <c r="M54" s="116" t="str">
        <f>VLOOKUP(L54,'NATO Classifications'!$D$6:$E$647,2,0)</f>
        <v>Special Service Vessels</v>
      </c>
      <c r="N54" s="4">
        <v>3</v>
      </c>
      <c r="O54" s="81">
        <f t="shared" si="1"/>
        <v>700000000</v>
      </c>
      <c r="P54" s="81">
        <f t="shared" si="2"/>
        <v>700000000</v>
      </c>
      <c r="Q54" s="4">
        <v>2027</v>
      </c>
      <c r="R54" s="4"/>
      <c r="S54" s="112">
        <v>2100000000</v>
      </c>
      <c r="T54" s="91" t="s">
        <v>132</v>
      </c>
      <c r="U54" s="104">
        <f>_xlfn.IFNA(S54/INDEX('Exchange Rates'!$C$7:$F$14,MATCH('MAIN DATA, Orders'!F54,'Exchange Rates'!$B$7:$B$14,0),MATCH('MAIN DATA, Orders'!T54,'Exchange Rates'!$C$6:$F$6,0)), "-")</f>
        <v>2100000000</v>
      </c>
      <c r="V54" s="4" t="s">
        <v>133</v>
      </c>
      <c r="W54" s="4" t="s">
        <v>127</v>
      </c>
      <c r="X54" s="4" t="s">
        <v>128</v>
      </c>
      <c r="Y54" s="24">
        <f t="shared" si="3"/>
        <v>202106</v>
      </c>
      <c r="Z54" s="115">
        <v>0</v>
      </c>
      <c r="AA54" s="115">
        <v>0</v>
      </c>
      <c r="AB54" s="115">
        <v>0</v>
      </c>
      <c r="AC54" s="115">
        <v>1</v>
      </c>
      <c r="AD54" s="115">
        <v>0</v>
      </c>
      <c r="AE54" s="115">
        <v>0</v>
      </c>
      <c r="AF54" s="115">
        <v>0</v>
      </c>
      <c r="AG54" s="4" t="s">
        <v>147</v>
      </c>
      <c r="AH54" s="4" t="s">
        <v>128</v>
      </c>
      <c r="AI54" s="4" t="s">
        <v>128</v>
      </c>
      <c r="AJ54" s="4" t="s">
        <v>127</v>
      </c>
      <c r="AK54" s="4" t="s">
        <v>127</v>
      </c>
      <c r="AL54" s="4" t="s">
        <v>127</v>
      </c>
      <c r="AM54" s="4" t="s">
        <v>127</v>
      </c>
      <c r="AN54" s="4" t="s">
        <v>127</v>
      </c>
      <c r="AO54" s="4" t="s">
        <v>127</v>
      </c>
      <c r="AP54" s="4" t="s">
        <v>127</v>
      </c>
      <c r="AQ54" s="4" t="s">
        <v>127</v>
      </c>
      <c r="AR54" s="4" t="s">
        <v>127</v>
      </c>
      <c r="AS54" s="4" t="s">
        <v>127</v>
      </c>
      <c r="AT54" s="4" t="s">
        <v>127</v>
      </c>
      <c r="AU54" s="4" t="s">
        <v>127</v>
      </c>
      <c r="AV54" s="4" t="s">
        <v>127</v>
      </c>
      <c r="AW54" s="4" t="s">
        <v>127</v>
      </c>
      <c r="AX54" s="4" t="s">
        <v>127</v>
      </c>
      <c r="AY54" s="96" t="s">
        <v>453</v>
      </c>
      <c r="AZ54" s="96" t="s">
        <v>454</v>
      </c>
      <c r="BA54" s="96" t="s">
        <v>455</v>
      </c>
      <c r="BB54" s="4" t="s">
        <v>456</v>
      </c>
      <c r="BC54" s="4" t="s">
        <v>457</v>
      </c>
      <c r="BD54" s="4" t="s">
        <v>127</v>
      </c>
      <c r="BE54" s="4" t="s">
        <v>127</v>
      </c>
      <c r="BF54" s="4"/>
      <c r="BG54" s="4"/>
      <c r="BH54" s="4"/>
      <c r="BI54" s="4"/>
      <c r="BJ54" s="4"/>
      <c r="BK54" s="4"/>
      <c r="BL54" s="4"/>
      <c r="BM54" s="4"/>
      <c r="BN54" s="4"/>
      <c r="BO54" s="4"/>
    </row>
    <row r="55" spans="1:67" ht="16" x14ac:dyDescent="0.4">
      <c r="A55" s="4" t="s">
        <v>458</v>
      </c>
      <c r="B55" s="4" t="s">
        <v>458</v>
      </c>
      <c r="C55" s="4" t="s">
        <v>127</v>
      </c>
      <c r="D55" s="4" t="s">
        <v>128</v>
      </c>
      <c r="E55" s="189">
        <v>44370</v>
      </c>
      <c r="F55" s="6">
        <f t="shared" si="0"/>
        <v>2021</v>
      </c>
      <c r="G55" s="4" t="s">
        <v>459</v>
      </c>
      <c r="H55" s="22" t="str">
        <f>VLOOKUP($G55,'Item Classification'!B:C,2,0)</f>
        <v>Replenishment auxiliary ship</v>
      </c>
      <c r="I55" s="6" t="str">
        <f>VLOOKUP($G55,'Item Classification'!B:D,3,0)</f>
        <v>Naval</v>
      </c>
      <c r="J55" s="23">
        <f>VLOOKUP($G55,'Item Classification'!B:E,4,0)</f>
        <v>12</v>
      </c>
      <c r="K55" s="116" t="s">
        <v>143</v>
      </c>
      <c r="L55" s="116" t="s">
        <v>460</v>
      </c>
      <c r="M55" s="116" t="str">
        <f>VLOOKUP(L55,'NATO Classifications'!$D$6:$E$647,2,0)</f>
        <v>Cargo and Tanker Vessels</v>
      </c>
      <c r="N55" s="4">
        <v>2</v>
      </c>
      <c r="O55" s="81">
        <f t="shared" si="1"/>
        <v>457000000</v>
      </c>
      <c r="P55" s="81">
        <f t="shared" si="2"/>
        <v>457000000</v>
      </c>
      <c r="Q55" s="4">
        <v>2026</v>
      </c>
      <c r="R55" s="4"/>
      <c r="S55" s="112">
        <v>914000000</v>
      </c>
      <c r="T55" s="91" t="s">
        <v>132</v>
      </c>
      <c r="U55" s="104">
        <f>_xlfn.IFNA(S55/INDEX('Exchange Rates'!$C$7:$F$14,MATCH('MAIN DATA, Orders'!F55,'Exchange Rates'!$B$7:$B$14,0),MATCH('MAIN DATA, Orders'!T55,'Exchange Rates'!$C$6:$F$6,0)), "-")</f>
        <v>914000000</v>
      </c>
      <c r="V55" s="4" t="s">
        <v>133</v>
      </c>
      <c r="W55" s="4" t="s">
        <v>127</v>
      </c>
      <c r="X55" s="4" t="s">
        <v>128</v>
      </c>
      <c r="Y55" s="24">
        <f t="shared" si="3"/>
        <v>202106</v>
      </c>
      <c r="Z55" s="115">
        <v>0</v>
      </c>
      <c r="AA55" s="115">
        <v>0</v>
      </c>
      <c r="AB55" s="115">
        <v>0</v>
      </c>
      <c r="AC55" s="115">
        <v>1</v>
      </c>
      <c r="AD55" s="115">
        <v>0</v>
      </c>
      <c r="AE55" s="115">
        <v>0</v>
      </c>
      <c r="AF55" s="115">
        <v>0</v>
      </c>
      <c r="AG55" s="4" t="s">
        <v>147</v>
      </c>
      <c r="AH55" s="4" t="s">
        <v>128</v>
      </c>
      <c r="AI55" s="4" t="s">
        <v>128</v>
      </c>
      <c r="AJ55" s="4" t="s">
        <v>461</v>
      </c>
      <c r="AK55" s="4" t="s">
        <v>127</v>
      </c>
      <c r="AL55" s="4" t="s">
        <v>127</v>
      </c>
      <c r="AM55" s="4" t="s">
        <v>127</v>
      </c>
      <c r="AN55" s="4" t="s">
        <v>127</v>
      </c>
      <c r="AO55" s="4" t="s">
        <v>127</v>
      </c>
      <c r="AP55" s="4" t="s">
        <v>127</v>
      </c>
      <c r="AQ55" s="4" t="s">
        <v>127</v>
      </c>
      <c r="AR55" s="4" t="s">
        <v>127</v>
      </c>
      <c r="AS55" s="4" t="s">
        <v>127</v>
      </c>
      <c r="AT55" s="4" t="s">
        <v>127</v>
      </c>
      <c r="AU55" s="4" t="s">
        <v>127</v>
      </c>
      <c r="AV55" s="4" t="s">
        <v>127</v>
      </c>
      <c r="AW55" s="4" t="s">
        <v>127</v>
      </c>
      <c r="AX55" s="4" t="s">
        <v>127</v>
      </c>
      <c r="AY55" s="96" t="s">
        <v>453</v>
      </c>
      <c r="AZ55" s="96" t="s">
        <v>462</v>
      </c>
      <c r="BA55" s="96" t="s">
        <v>463</v>
      </c>
      <c r="BB55" s="4" t="s">
        <v>464</v>
      </c>
      <c r="BC55" s="4" t="s">
        <v>127</v>
      </c>
      <c r="BD55" s="4" t="s">
        <v>127</v>
      </c>
      <c r="BE55" s="4" t="s">
        <v>127</v>
      </c>
      <c r="BF55" s="4"/>
      <c r="BG55" s="4"/>
      <c r="BH55" s="4"/>
      <c r="BI55" s="4"/>
      <c r="BJ55" s="4"/>
      <c r="BK55" s="4"/>
      <c r="BL55" s="4"/>
      <c r="BM55" s="4"/>
      <c r="BN55" s="4"/>
      <c r="BO55" s="4"/>
    </row>
    <row r="56" spans="1:67" ht="16" x14ac:dyDescent="0.4">
      <c r="A56" s="4" t="s">
        <v>465</v>
      </c>
      <c r="B56" s="4" t="s">
        <v>465</v>
      </c>
      <c r="C56" s="4" t="s">
        <v>127</v>
      </c>
      <c r="D56" s="4" t="s">
        <v>128</v>
      </c>
      <c r="E56" s="189">
        <v>44370</v>
      </c>
      <c r="F56" s="6">
        <f t="shared" si="0"/>
        <v>2021</v>
      </c>
      <c r="G56" s="4" t="s">
        <v>466</v>
      </c>
      <c r="H56" s="22" t="str">
        <f>VLOOKUP($G56,'Item Classification'!B:C,2,0)</f>
        <v>Submarine</v>
      </c>
      <c r="I56" s="6" t="str">
        <f>VLOOKUP($G56,'Item Classification'!B:D,3,0)</f>
        <v>Naval</v>
      </c>
      <c r="J56" s="23">
        <f>VLOOKUP($G56,'Item Classification'!B:E,4,0)</f>
        <v>12</v>
      </c>
      <c r="K56" s="116" t="s">
        <v>143</v>
      </c>
      <c r="L56" s="116" t="s">
        <v>144</v>
      </c>
      <c r="M56" s="116" t="str">
        <f>VLOOKUP(L56,'NATO Classifications'!$D$6:$E$647,2,0)</f>
        <v>Combat Ships and Landing Vessels</v>
      </c>
      <c r="N56" s="4">
        <v>2</v>
      </c>
      <c r="O56" s="81">
        <f t="shared" si="1"/>
        <v>1000000000</v>
      </c>
      <c r="P56" s="81">
        <f t="shared" si="2"/>
        <v>1000000000</v>
      </c>
      <c r="Q56" s="4">
        <v>2032</v>
      </c>
      <c r="R56" s="4"/>
      <c r="S56" s="112">
        <v>2000000000</v>
      </c>
      <c r="T56" s="91" t="s">
        <v>132</v>
      </c>
      <c r="U56" s="104">
        <f>_xlfn.IFNA(S56/INDEX('Exchange Rates'!$C$7:$F$14,MATCH('MAIN DATA, Orders'!F56,'Exchange Rates'!$B$7:$B$14,0),MATCH('MAIN DATA, Orders'!T56,'Exchange Rates'!$C$6:$F$6,0)), "-")</f>
        <v>2000000000</v>
      </c>
      <c r="V56" s="4" t="s">
        <v>133</v>
      </c>
      <c r="W56" s="4" t="s">
        <v>127</v>
      </c>
      <c r="X56" s="4" t="s">
        <v>128</v>
      </c>
      <c r="Y56" s="24">
        <f t="shared" si="3"/>
        <v>202106</v>
      </c>
      <c r="Z56" s="115">
        <v>0</v>
      </c>
      <c r="AA56" s="115">
        <v>0</v>
      </c>
      <c r="AB56" s="115">
        <v>0</v>
      </c>
      <c r="AC56" s="115">
        <v>1</v>
      </c>
      <c r="AD56" s="115">
        <v>1</v>
      </c>
      <c r="AE56" s="115">
        <v>0</v>
      </c>
      <c r="AF56" s="115">
        <v>1</v>
      </c>
      <c r="AG56" s="4" t="s">
        <v>467</v>
      </c>
      <c r="AH56" s="4" t="s">
        <v>128</v>
      </c>
      <c r="AI56" s="4" t="s">
        <v>127</v>
      </c>
      <c r="AJ56" s="4" t="s">
        <v>127</v>
      </c>
      <c r="AK56" s="4" t="s">
        <v>127</v>
      </c>
      <c r="AL56" s="4" t="s">
        <v>127</v>
      </c>
      <c r="AM56" s="4" t="s">
        <v>127</v>
      </c>
      <c r="AN56" s="4" t="s">
        <v>468</v>
      </c>
      <c r="AO56" s="4" t="s">
        <v>127</v>
      </c>
      <c r="AP56" s="4" t="s">
        <v>127</v>
      </c>
      <c r="AQ56" s="4" t="s">
        <v>127</v>
      </c>
      <c r="AR56" s="4" t="s">
        <v>127</v>
      </c>
      <c r="AS56" s="4" t="s">
        <v>127</v>
      </c>
      <c r="AT56" s="4" t="s">
        <v>127</v>
      </c>
      <c r="AU56" s="4" t="s">
        <v>127</v>
      </c>
      <c r="AV56" s="4" t="s">
        <v>127</v>
      </c>
      <c r="AW56" s="4" t="s">
        <v>127</v>
      </c>
      <c r="AX56" s="4" t="s">
        <v>127</v>
      </c>
      <c r="AY56" s="96" t="s">
        <v>453</v>
      </c>
      <c r="AZ56" s="96" t="s">
        <v>469</v>
      </c>
      <c r="BA56" s="96" t="s">
        <v>470</v>
      </c>
      <c r="BB56" s="4" t="s">
        <v>471</v>
      </c>
      <c r="BC56" s="4" t="s">
        <v>472</v>
      </c>
      <c r="BD56" s="4" t="s">
        <v>127</v>
      </c>
      <c r="BE56" s="4" t="s">
        <v>127</v>
      </c>
      <c r="BF56" s="4"/>
      <c r="BG56" s="4"/>
      <c r="BH56" s="4"/>
      <c r="BI56" s="4"/>
      <c r="BJ56" s="4"/>
      <c r="BK56" s="4"/>
      <c r="BL56" s="4"/>
      <c r="BM56" s="4"/>
      <c r="BN56" s="4"/>
      <c r="BO56" s="4"/>
    </row>
    <row r="57" spans="1:67" ht="16" x14ac:dyDescent="0.4">
      <c r="A57" s="4" t="s">
        <v>473</v>
      </c>
      <c r="B57" s="4" t="s">
        <v>473</v>
      </c>
      <c r="C57" s="4" t="s">
        <v>127</v>
      </c>
      <c r="D57" s="4" t="s">
        <v>128</v>
      </c>
      <c r="E57" s="189">
        <v>44370</v>
      </c>
      <c r="F57" s="6">
        <f t="shared" si="0"/>
        <v>2021</v>
      </c>
      <c r="G57" s="4" t="s">
        <v>474</v>
      </c>
      <c r="H57" s="22" t="str">
        <f>VLOOKUP($G57,'Item Classification'!B:C,2,0)</f>
        <v>Anti-ship missile (long-range)</v>
      </c>
      <c r="I57" s="6" t="str">
        <f>VLOOKUP($G57,'Item Classification'!B:D,3,0)</f>
        <v>Missile (Naval)</v>
      </c>
      <c r="J57" s="23">
        <f>VLOOKUP($G57,'Item Classification'!B:E,4,0)</f>
        <v>6</v>
      </c>
      <c r="K57" s="116" t="s">
        <v>211</v>
      </c>
      <c r="L57" s="116" t="s">
        <v>211</v>
      </c>
      <c r="M57" s="116" t="str">
        <f>VLOOKUP(L57,'NATO Classifications'!$D$6:$E$647,2,0)</f>
        <v>Guided Missiles</v>
      </c>
      <c r="N57" s="4"/>
      <c r="O57" s="81"/>
      <c r="P57" s="81"/>
      <c r="Q57" s="4"/>
      <c r="R57" s="4"/>
      <c r="S57" s="112">
        <v>425000000</v>
      </c>
      <c r="T57" s="91" t="s">
        <v>132</v>
      </c>
      <c r="U57" s="104">
        <f>_xlfn.IFNA(S57/INDEX('Exchange Rates'!$C$7:$F$14,MATCH('MAIN DATA, Orders'!F57,'Exchange Rates'!$B$7:$B$14,0),MATCH('MAIN DATA, Orders'!T57,'Exchange Rates'!$C$6:$F$6,0)), "-")</f>
        <v>425000000</v>
      </c>
      <c r="V57" s="4" t="s">
        <v>133</v>
      </c>
      <c r="W57" s="4" t="s">
        <v>127</v>
      </c>
      <c r="X57" s="4" t="s">
        <v>128</v>
      </c>
      <c r="Y57" s="24">
        <f t="shared" si="3"/>
        <v>202106</v>
      </c>
      <c r="Z57" s="115">
        <v>0</v>
      </c>
      <c r="AA57" s="115">
        <v>0</v>
      </c>
      <c r="AB57" s="115">
        <v>0</v>
      </c>
      <c r="AC57" s="115">
        <v>1</v>
      </c>
      <c r="AD57" s="115">
        <v>1</v>
      </c>
      <c r="AE57" s="115">
        <v>0</v>
      </c>
      <c r="AF57" s="115">
        <v>1</v>
      </c>
      <c r="AG57" s="4" t="s">
        <v>475</v>
      </c>
      <c r="AH57" s="4" t="s">
        <v>128</v>
      </c>
      <c r="AI57" s="4" t="s">
        <v>127</v>
      </c>
      <c r="AJ57" s="4" t="s">
        <v>476</v>
      </c>
      <c r="AK57" s="4" t="s">
        <v>127</v>
      </c>
      <c r="AL57" s="4" t="s">
        <v>127</v>
      </c>
      <c r="AM57" s="4" t="s">
        <v>127</v>
      </c>
      <c r="AN57" s="4" t="s">
        <v>468</v>
      </c>
      <c r="AO57" s="4" t="s">
        <v>127</v>
      </c>
      <c r="AP57" s="4" t="s">
        <v>127</v>
      </c>
      <c r="AQ57" s="4" t="s">
        <v>127</v>
      </c>
      <c r="AR57" s="4" t="s">
        <v>127</v>
      </c>
      <c r="AS57" s="4" t="s">
        <v>127</v>
      </c>
      <c r="AT57" s="4" t="s">
        <v>127</v>
      </c>
      <c r="AU57" s="4" t="s">
        <v>127</v>
      </c>
      <c r="AV57" s="4" t="s">
        <v>127</v>
      </c>
      <c r="AW57" s="4" t="s">
        <v>127</v>
      </c>
      <c r="AX57" s="4" t="s">
        <v>127</v>
      </c>
      <c r="AY57" s="96" t="s">
        <v>453</v>
      </c>
      <c r="AZ57" s="96" t="s">
        <v>477</v>
      </c>
      <c r="BA57" s="96" t="s">
        <v>478</v>
      </c>
      <c r="BB57" s="4" t="s">
        <v>479</v>
      </c>
      <c r="BC57" s="4" t="s">
        <v>480</v>
      </c>
      <c r="BD57" s="4" t="s">
        <v>481</v>
      </c>
      <c r="BE57" s="4" t="s">
        <v>127</v>
      </c>
      <c r="BF57" s="4"/>
      <c r="BG57" s="4"/>
      <c r="BH57" s="4"/>
      <c r="BI57" s="4"/>
      <c r="BJ57" s="4"/>
      <c r="BK57" s="4"/>
      <c r="BL57" s="4"/>
      <c r="BM57" s="4"/>
      <c r="BN57" s="4"/>
      <c r="BO57" s="4"/>
    </row>
    <row r="58" spans="1:67" ht="16" x14ac:dyDescent="0.4">
      <c r="A58" s="4" t="s">
        <v>482</v>
      </c>
      <c r="B58" s="4" t="s">
        <v>482</v>
      </c>
      <c r="C58" s="4" t="s">
        <v>127</v>
      </c>
      <c r="D58" s="4" t="s">
        <v>128</v>
      </c>
      <c r="E58" s="189">
        <v>44370</v>
      </c>
      <c r="F58" s="6">
        <f t="shared" si="0"/>
        <v>2021</v>
      </c>
      <c r="G58" s="4" t="s">
        <v>483</v>
      </c>
      <c r="H58" s="22" t="str">
        <f>VLOOKUP($G58,'Item Classification'!B:C,2,0)</f>
        <v>Anti-ship missile system (long-range) development</v>
      </c>
      <c r="I58" s="6" t="str">
        <f>VLOOKUP($G58,'Item Classification'!B:D,3,0)</f>
        <v>Development - Missile (Naval)</v>
      </c>
      <c r="J58" s="23">
        <f>VLOOKUP($G58,'Item Classification'!B:E,4,0)</f>
        <v>15</v>
      </c>
      <c r="K58" s="116" t="s">
        <v>211</v>
      </c>
      <c r="L58" s="116" t="s">
        <v>211</v>
      </c>
      <c r="M58" s="116" t="str">
        <f>VLOOKUP(L58,'NATO Classifications'!$D$6:$E$647,2,0)</f>
        <v>Guided Missiles</v>
      </c>
      <c r="N58" s="4"/>
      <c r="O58" s="81"/>
      <c r="P58" s="81"/>
      <c r="Q58" s="4"/>
      <c r="R58" s="4"/>
      <c r="S58" s="4"/>
      <c r="T58" s="91" t="s">
        <v>132</v>
      </c>
      <c r="U58" s="104">
        <f>_xlfn.IFNA(S58/INDEX('Exchange Rates'!$C$7:$F$14,MATCH('MAIN DATA, Orders'!F58,'Exchange Rates'!$B$7:$B$14,0),MATCH('MAIN DATA, Orders'!T58,'Exchange Rates'!$C$6:$F$6,0)), "-")</f>
        <v>0</v>
      </c>
      <c r="V58" s="4" t="s">
        <v>133</v>
      </c>
      <c r="W58" s="4" t="s">
        <v>127</v>
      </c>
      <c r="X58" s="4" t="s">
        <v>128</v>
      </c>
      <c r="Y58" s="24">
        <f t="shared" si="3"/>
        <v>202106</v>
      </c>
      <c r="Z58" s="115">
        <v>0</v>
      </c>
      <c r="AA58" s="115">
        <v>0</v>
      </c>
      <c r="AB58" s="115">
        <v>0</v>
      </c>
      <c r="AC58" s="115">
        <v>1</v>
      </c>
      <c r="AD58" s="115">
        <v>1</v>
      </c>
      <c r="AE58" s="115">
        <v>0</v>
      </c>
      <c r="AF58" s="115">
        <v>1</v>
      </c>
      <c r="AG58" s="4" t="s">
        <v>127</v>
      </c>
      <c r="AH58" s="4" t="s">
        <v>128</v>
      </c>
      <c r="AI58" s="4" t="s">
        <v>127</v>
      </c>
      <c r="AJ58" s="4" t="s">
        <v>127</v>
      </c>
      <c r="AK58" s="4" t="s">
        <v>127</v>
      </c>
      <c r="AL58" s="4" t="s">
        <v>127</v>
      </c>
      <c r="AM58" s="4" t="s">
        <v>127</v>
      </c>
      <c r="AN58" s="4" t="s">
        <v>468</v>
      </c>
      <c r="AO58" s="4" t="s">
        <v>127</v>
      </c>
      <c r="AP58" s="4" t="s">
        <v>127</v>
      </c>
      <c r="AQ58" s="4" t="s">
        <v>127</v>
      </c>
      <c r="AR58" s="4" t="s">
        <v>127</v>
      </c>
      <c r="AS58" s="4" t="s">
        <v>127</v>
      </c>
      <c r="AT58" s="4" t="s">
        <v>127</v>
      </c>
      <c r="AU58" s="4" t="s">
        <v>127</v>
      </c>
      <c r="AV58" s="4" t="s">
        <v>127</v>
      </c>
      <c r="AW58" s="4" t="s">
        <v>127</v>
      </c>
      <c r="AX58" s="4" t="s">
        <v>127</v>
      </c>
      <c r="AY58" s="96" t="s">
        <v>453</v>
      </c>
      <c r="AZ58" s="4" t="s">
        <v>127</v>
      </c>
      <c r="BA58" s="4" t="s">
        <v>127</v>
      </c>
      <c r="BB58" s="4" t="s">
        <v>484</v>
      </c>
      <c r="BC58" s="4" t="s">
        <v>127</v>
      </c>
      <c r="BD58" s="4" t="s">
        <v>127</v>
      </c>
      <c r="BE58" s="4" t="s">
        <v>127</v>
      </c>
      <c r="BF58" s="4"/>
      <c r="BG58" s="4"/>
      <c r="BH58" s="4"/>
      <c r="BI58" s="4"/>
      <c r="BJ58" s="4"/>
      <c r="BK58" s="4"/>
      <c r="BL58" s="4"/>
      <c r="BM58" s="4"/>
      <c r="BN58" s="4"/>
      <c r="BO58" s="4"/>
    </row>
    <row r="59" spans="1:67" ht="16" x14ac:dyDescent="0.4">
      <c r="A59" s="4" t="s">
        <v>485</v>
      </c>
      <c r="B59" s="4" t="s">
        <v>485</v>
      </c>
      <c r="C59" s="4" t="s">
        <v>486</v>
      </c>
      <c r="D59" s="4" t="s">
        <v>128</v>
      </c>
      <c r="E59" s="189">
        <v>44370</v>
      </c>
      <c r="F59" s="6">
        <f t="shared" si="0"/>
        <v>2021</v>
      </c>
      <c r="G59" s="4" t="s">
        <v>487</v>
      </c>
      <c r="H59" s="22" t="str">
        <f>VLOOKUP($G59,'Item Classification'!B:C,2,0)</f>
        <v>Infantry fighting vehicle (IFV)</v>
      </c>
      <c r="I59" s="6" t="str">
        <f>VLOOKUP($G59,'Item Classification'!B:D,3,0)</f>
        <v>Armoured vehicle</v>
      </c>
      <c r="J59" s="23">
        <f>VLOOKUP($G59,'Item Classification'!B:E,4,0)</f>
        <v>2</v>
      </c>
      <c r="K59" s="116" t="s">
        <v>274</v>
      </c>
      <c r="L59" s="116" t="s">
        <v>329</v>
      </c>
      <c r="M59" s="116" t="str">
        <f>VLOOKUP(L59,'NATO Classifications'!$D$6:$E$647,2,0)</f>
        <v>Combat, Assault, and Tactical Vehicles, Tracked</v>
      </c>
      <c r="N59" s="4">
        <v>154</v>
      </c>
      <c r="O59" s="81">
        <f t="shared" si="1"/>
        <v>6753246.7532467535</v>
      </c>
      <c r="P59" s="81">
        <f t="shared" si="2"/>
        <v>6753246.7532467535</v>
      </c>
      <c r="Q59" s="4"/>
      <c r="R59" s="4">
        <v>2029</v>
      </c>
      <c r="S59" s="112">
        <v>1040000000</v>
      </c>
      <c r="T59" s="91" t="s">
        <v>132</v>
      </c>
      <c r="U59" s="104">
        <f>_xlfn.IFNA(S59/INDEX('Exchange Rates'!$C$7:$F$14,MATCH('MAIN DATA, Orders'!F59,'Exchange Rates'!$B$7:$B$14,0),MATCH('MAIN DATA, Orders'!T59,'Exchange Rates'!$C$6:$F$6,0)), "-")</f>
        <v>1040000000</v>
      </c>
      <c r="V59" s="4" t="s">
        <v>133</v>
      </c>
      <c r="W59" s="4" t="s">
        <v>127</v>
      </c>
      <c r="X59" s="4" t="s">
        <v>128</v>
      </c>
      <c r="Y59" s="24">
        <f t="shared" si="3"/>
        <v>202106</v>
      </c>
      <c r="Z59" s="115">
        <v>1</v>
      </c>
      <c r="AA59" s="115">
        <v>0</v>
      </c>
      <c r="AB59" s="115">
        <v>0</v>
      </c>
      <c r="AC59" s="115">
        <v>1</v>
      </c>
      <c r="AD59" s="115">
        <v>0</v>
      </c>
      <c r="AE59" s="115">
        <v>0</v>
      </c>
      <c r="AF59" s="115">
        <v>0</v>
      </c>
      <c r="AG59" s="4" t="s">
        <v>256</v>
      </c>
      <c r="AH59" s="4" t="s">
        <v>128</v>
      </c>
      <c r="AI59" s="4" t="s">
        <v>128</v>
      </c>
      <c r="AJ59" s="4" t="s">
        <v>488</v>
      </c>
      <c r="AK59" s="4" t="s">
        <v>127</v>
      </c>
      <c r="AL59" s="4" t="s">
        <v>127</v>
      </c>
      <c r="AM59" s="4" t="s">
        <v>127</v>
      </c>
      <c r="AN59" s="4" t="s">
        <v>127</v>
      </c>
      <c r="AO59" s="4" t="s">
        <v>127</v>
      </c>
      <c r="AP59" s="4" t="s">
        <v>127</v>
      </c>
      <c r="AQ59" s="4" t="s">
        <v>127</v>
      </c>
      <c r="AR59" s="4" t="s">
        <v>127</v>
      </c>
      <c r="AS59" s="4" t="s">
        <v>127</v>
      </c>
      <c r="AT59" s="4" t="s">
        <v>127</v>
      </c>
      <c r="AU59" s="4" t="s">
        <v>127</v>
      </c>
      <c r="AV59" s="4" t="s">
        <v>127</v>
      </c>
      <c r="AW59" s="4" t="s">
        <v>127</v>
      </c>
      <c r="AX59" s="4" t="s">
        <v>127</v>
      </c>
      <c r="AY59" s="96" t="s">
        <v>417</v>
      </c>
      <c r="AZ59" s="96" t="s">
        <v>489</v>
      </c>
      <c r="BA59" s="4" t="s">
        <v>127</v>
      </c>
      <c r="BB59" s="4" t="s">
        <v>490</v>
      </c>
      <c r="BC59" s="4" t="s">
        <v>127</v>
      </c>
      <c r="BD59" s="4" t="s">
        <v>127</v>
      </c>
      <c r="BE59" s="4" t="s">
        <v>127</v>
      </c>
      <c r="BF59" s="4"/>
      <c r="BG59" s="4"/>
      <c r="BH59" s="4"/>
      <c r="BI59" s="4"/>
      <c r="BJ59" s="4"/>
      <c r="BK59" s="4"/>
      <c r="BL59" s="4"/>
      <c r="BM59" s="4"/>
      <c r="BN59" s="4"/>
      <c r="BO59" s="4"/>
    </row>
    <row r="60" spans="1:67" ht="16" x14ac:dyDescent="0.4">
      <c r="A60" s="4" t="s">
        <v>491</v>
      </c>
      <c r="B60" s="4" t="s">
        <v>491</v>
      </c>
      <c r="C60" s="4" t="s">
        <v>127</v>
      </c>
      <c r="D60" s="4" t="s">
        <v>128</v>
      </c>
      <c r="E60" s="189">
        <v>44370</v>
      </c>
      <c r="F60" s="6">
        <f t="shared" si="0"/>
        <v>2021</v>
      </c>
      <c r="G60" s="4" t="s">
        <v>492</v>
      </c>
      <c r="H60" s="22" t="str">
        <f>VLOOKUP($G60,'Item Classification'!B:C,2,0)</f>
        <v>Joint tactical fire support vehicle</v>
      </c>
      <c r="I60" s="6" t="str">
        <f>VLOOKUP($G60,'Item Classification'!B:D,3,0)</f>
        <v>Development - Armoured vehicle</v>
      </c>
      <c r="J60" s="23">
        <f>VLOOKUP($G60,'Item Classification'!B:E,4,0)</f>
        <v>15</v>
      </c>
      <c r="K60" s="116" t="s">
        <v>274</v>
      </c>
      <c r="L60" s="116" t="s">
        <v>493</v>
      </c>
      <c r="M60" s="116" t="str">
        <f>VLOOKUP(L60,'NATO Classifications'!$D$6:$E$647,2,0)</f>
        <v>Combat, Assault, and Tactical Vehicles, Wheeled</v>
      </c>
      <c r="N60" s="4">
        <v>2</v>
      </c>
      <c r="O60" s="81">
        <f t="shared" si="1"/>
        <v>35000000</v>
      </c>
      <c r="P60" s="81">
        <f t="shared" si="2"/>
        <v>35000000</v>
      </c>
      <c r="Q60" s="4"/>
      <c r="R60" s="4"/>
      <c r="S60" s="112">
        <v>70000000</v>
      </c>
      <c r="T60" s="91" t="s">
        <v>132</v>
      </c>
      <c r="U60" s="104">
        <f>_xlfn.IFNA(S60/INDEX('Exchange Rates'!$C$7:$F$14,MATCH('MAIN DATA, Orders'!F60,'Exchange Rates'!$B$7:$B$14,0),MATCH('MAIN DATA, Orders'!T60,'Exchange Rates'!$C$6:$F$6,0)), "-")</f>
        <v>70000000</v>
      </c>
      <c r="V60" s="4" t="s">
        <v>133</v>
      </c>
      <c r="W60" s="4" t="s">
        <v>127</v>
      </c>
      <c r="X60" s="4" t="s">
        <v>128</v>
      </c>
      <c r="Y60" s="24">
        <f t="shared" si="3"/>
        <v>202106</v>
      </c>
      <c r="Z60" s="115">
        <v>0</v>
      </c>
      <c r="AA60" s="115">
        <v>0</v>
      </c>
      <c r="AB60" s="115">
        <v>0</v>
      </c>
      <c r="AC60" s="115">
        <v>1</v>
      </c>
      <c r="AD60" s="115">
        <v>1</v>
      </c>
      <c r="AE60" s="115">
        <v>0</v>
      </c>
      <c r="AF60" s="115">
        <v>1</v>
      </c>
      <c r="AG60" s="4" t="s">
        <v>256</v>
      </c>
      <c r="AH60" s="4" t="s">
        <v>128</v>
      </c>
      <c r="AI60" s="4" t="s">
        <v>128</v>
      </c>
      <c r="AJ60" s="4" t="s">
        <v>488</v>
      </c>
      <c r="AK60" s="4" t="s">
        <v>148</v>
      </c>
      <c r="AL60" s="4" t="s">
        <v>476</v>
      </c>
      <c r="AM60" s="4" t="s">
        <v>127</v>
      </c>
      <c r="AN60" s="4" t="s">
        <v>151</v>
      </c>
      <c r="AO60" s="4" t="s">
        <v>468</v>
      </c>
      <c r="AP60" s="4" t="s">
        <v>127</v>
      </c>
      <c r="AQ60" s="4" t="s">
        <v>127</v>
      </c>
      <c r="AR60" s="4" t="s">
        <v>127</v>
      </c>
      <c r="AS60" s="4" t="s">
        <v>127</v>
      </c>
      <c r="AT60" s="4" t="s">
        <v>127</v>
      </c>
      <c r="AU60" s="4" t="s">
        <v>127</v>
      </c>
      <c r="AV60" s="4" t="s">
        <v>127</v>
      </c>
      <c r="AW60" s="4" t="s">
        <v>127</v>
      </c>
      <c r="AX60" s="4" t="s">
        <v>127</v>
      </c>
      <c r="AY60" s="96" t="s">
        <v>417</v>
      </c>
      <c r="AZ60" s="96" t="s">
        <v>494</v>
      </c>
      <c r="BA60" s="96" t="s">
        <v>495</v>
      </c>
      <c r="BB60" s="4" t="s">
        <v>496</v>
      </c>
      <c r="BC60" s="4" t="s">
        <v>497</v>
      </c>
      <c r="BD60" s="4" t="s">
        <v>127</v>
      </c>
      <c r="BE60" s="4" t="s">
        <v>127</v>
      </c>
      <c r="BF60" s="4"/>
      <c r="BG60" s="4"/>
      <c r="BH60" s="4"/>
      <c r="BI60" s="4"/>
      <c r="BJ60" s="4"/>
      <c r="BK60" s="4"/>
      <c r="BL60" s="4"/>
      <c r="BM60" s="4"/>
      <c r="BN60" s="4"/>
      <c r="BO60" s="4"/>
    </row>
    <row r="61" spans="1:67" ht="16" x14ac:dyDescent="0.4">
      <c r="A61" s="4" t="s">
        <v>498</v>
      </c>
      <c r="B61" s="4" t="s">
        <v>498</v>
      </c>
      <c r="C61" s="4" t="s">
        <v>127</v>
      </c>
      <c r="D61" s="4" t="s">
        <v>128</v>
      </c>
      <c r="E61" s="189">
        <v>44370</v>
      </c>
      <c r="F61" s="6">
        <f t="shared" si="0"/>
        <v>2021</v>
      </c>
      <c r="G61" s="4" t="s">
        <v>499</v>
      </c>
      <c r="H61" s="22" t="str">
        <f>VLOOKUP($G61,'Item Classification'!B:C,2,0)</f>
        <v>Special forces vehicle</v>
      </c>
      <c r="I61" s="6" t="str">
        <f>VLOOKUP($G61,'Item Classification'!B:D,3,0)</f>
        <v>Armoured vehicle</v>
      </c>
      <c r="J61" s="23">
        <f>VLOOKUP($G61,'Item Classification'!B:E,4,0)</f>
        <v>2</v>
      </c>
      <c r="K61" s="116" t="s">
        <v>274</v>
      </c>
      <c r="L61" s="116" t="s">
        <v>493</v>
      </c>
      <c r="M61" s="116" t="str">
        <f>VLOOKUP(L61,'NATO Classifications'!$D$6:$E$647,2,0)</f>
        <v>Combat, Assault, and Tactical Vehicles, Wheeled</v>
      </c>
      <c r="N61" s="4">
        <v>4</v>
      </c>
      <c r="O61" s="81"/>
      <c r="P61" s="81"/>
      <c r="Q61" s="4"/>
      <c r="R61" s="4"/>
      <c r="S61" s="4"/>
      <c r="T61" s="91" t="s">
        <v>132</v>
      </c>
      <c r="U61" s="104">
        <f>_xlfn.IFNA(S61/INDEX('Exchange Rates'!$C$7:$F$14,MATCH('MAIN DATA, Orders'!F61,'Exchange Rates'!$B$7:$B$14,0),MATCH('MAIN DATA, Orders'!T61,'Exchange Rates'!$C$6:$F$6,0)), "-")</f>
        <v>0</v>
      </c>
      <c r="V61" s="4" t="s">
        <v>133</v>
      </c>
      <c r="W61" s="4" t="s">
        <v>127</v>
      </c>
      <c r="X61" s="4" t="s">
        <v>128</v>
      </c>
      <c r="Y61" s="24">
        <f t="shared" si="3"/>
        <v>202106</v>
      </c>
      <c r="Z61" s="115">
        <v>1</v>
      </c>
      <c r="AA61" s="115">
        <v>0</v>
      </c>
      <c r="AB61" s="115">
        <v>0</v>
      </c>
      <c r="AC61" s="115">
        <v>1</v>
      </c>
      <c r="AD61" s="115">
        <v>0</v>
      </c>
      <c r="AE61" s="115">
        <v>0</v>
      </c>
      <c r="AF61" s="115">
        <v>1</v>
      </c>
      <c r="AG61" s="4" t="s">
        <v>500</v>
      </c>
      <c r="AH61" s="4" t="s">
        <v>146</v>
      </c>
      <c r="AI61" s="4" t="s">
        <v>127</v>
      </c>
      <c r="AJ61" s="4" t="s">
        <v>127</v>
      </c>
      <c r="AK61" s="4" t="s">
        <v>127</v>
      </c>
      <c r="AL61" s="4" t="s">
        <v>127</v>
      </c>
      <c r="AM61" s="4" t="s">
        <v>127</v>
      </c>
      <c r="AN61" s="4" t="s">
        <v>127</v>
      </c>
      <c r="AO61" s="4" t="s">
        <v>127</v>
      </c>
      <c r="AP61" s="4" t="s">
        <v>127</v>
      </c>
      <c r="AQ61" s="4" t="s">
        <v>127</v>
      </c>
      <c r="AR61" s="4" t="s">
        <v>127</v>
      </c>
      <c r="AS61" s="4" t="s">
        <v>127</v>
      </c>
      <c r="AT61" s="4" t="s">
        <v>127</v>
      </c>
      <c r="AU61" s="4" t="s">
        <v>127</v>
      </c>
      <c r="AV61" s="4" t="s">
        <v>127</v>
      </c>
      <c r="AW61" s="4" t="s">
        <v>127</v>
      </c>
      <c r="AX61" s="4" t="s">
        <v>127</v>
      </c>
      <c r="AY61" s="96" t="s">
        <v>417</v>
      </c>
      <c r="AZ61" s="96" t="s">
        <v>501</v>
      </c>
      <c r="BA61" s="96" t="s">
        <v>502</v>
      </c>
      <c r="BB61" s="4" t="s">
        <v>503</v>
      </c>
      <c r="BC61" s="4" t="s">
        <v>504</v>
      </c>
      <c r="BD61" s="4" t="s">
        <v>127</v>
      </c>
      <c r="BE61" s="4" t="s">
        <v>127</v>
      </c>
      <c r="BF61" s="4"/>
      <c r="BG61" s="4"/>
      <c r="BH61" s="4"/>
      <c r="BI61" s="4"/>
      <c r="BJ61" s="4"/>
      <c r="BK61" s="4"/>
      <c r="BL61" s="4"/>
      <c r="BM61" s="4"/>
      <c r="BN61" s="4"/>
      <c r="BO61" s="4"/>
    </row>
    <row r="62" spans="1:67" ht="16" x14ac:dyDescent="0.4">
      <c r="A62" s="4" t="s">
        <v>505</v>
      </c>
      <c r="B62" s="4" t="s">
        <v>505</v>
      </c>
      <c r="C62" s="4" t="s">
        <v>127</v>
      </c>
      <c r="D62" s="4" t="s">
        <v>128</v>
      </c>
      <c r="E62" s="189">
        <v>44370</v>
      </c>
      <c r="F62" s="6">
        <f t="shared" si="0"/>
        <v>2021</v>
      </c>
      <c r="G62" s="4" t="s">
        <v>506</v>
      </c>
      <c r="H62" s="22" t="str">
        <f>VLOOKUP($G62,'Item Classification'!B:C,2,0)</f>
        <v>Communication and digitalisation</v>
      </c>
      <c r="I62" s="6" t="str">
        <f>VLOOKUP($G62,'Item Classification'!B:D,3,0)</f>
        <v>Modernisation</v>
      </c>
      <c r="J62" s="23">
        <f>VLOOKUP($G62,'Item Classification'!B:E,4,0)</f>
        <v>13</v>
      </c>
      <c r="K62" s="116" t="s">
        <v>158</v>
      </c>
      <c r="L62" s="116" t="s">
        <v>174</v>
      </c>
      <c r="M62" s="116" t="str">
        <f>VLOOKUP(L62,'NATO Classifications'!$D$6:$E$647,2,0)</f>
        <v>Communication, Detection, and Coherent Radiation Equipment (other)</v>
      </c>
      <c r="N62" s="4">
        <v>4</v>
      </c>
      <c r="O62" s="81">
        <f t="shared" si="1"/>
        <v>218500000</v>
      </c>
      <c r="P62" s="81">
        <f t="shared" si="2"/>
        <v>218500000</v>
      </c>
      <c r="Q62" s="4">
        <v>2022</v>
      </c>
      <c r="R62" s="4">
        <v>2025</v>
      </c>
      <c r="S62" s="112">
        <v>874000000</v>
      </c>
      <c r="T62" s="91" t="s">
        <v>132</v>
      </c>
      <c r="U62" s="104">
        <f>_xlfn.IFNA(S62/INDEX('Exchange Rates'!$C$7:$F$14,MATCH('MAIN DATA, Orders'!F62,'Exchange Rates'!$B$7:$B$14,0),MATCH('MAIN DATA, Orders'!T62,'Exchange Rates'!$C$6:$F$6,0)), "-")</f>
        <v>874000000</v>
      </c>
      <c r="V62" s="4" t="s">
        <v>133</v>
      </c>
      <c r="W62" s="4" t="s">
        <v>127</v>
      </c>
      <c r="X62" s="4" t="s">
        <v>128</v>
      </c>
      <c r="Y62" s="24">
        <f t="shared" si="3"/>
        <v>202106</v>
      </c>
      <c r="Z62" s="115">
        <v>1</v>
      </c>
      <c r="AA62" s="115">
        <v>1</v>
      </c>
      <c r="AB62" s="115">
        <v>0</v>
      </c>
      <c r="AC62" s="115">
        <v>1</v>
      </c>
      <c r="AD62" s="115">
        <v>0</v>
      </c>
      <c r="AE62" s="115">
        <v>0</v>
      </c>
      <c r="AF62" s="115">
        <v>0</v>
      </c>
      <c r="AG62" s="4" t="s">
        <v>507</v>
      </c>
      <c r="AH62" s="4" t="s">
        <v>128</v>
      </c>
      <c r="AI62" s="4" t="s">
        <v>127</v>
      </c>
      <c r="AJ62" s="4" t="s">
        <v>127</v>
      </c>
      <c r="AK62" s="4" t="s">
        <v>127</v>
      </c>
      <c r="AL62" s="4" t="s">
        <v>127</v>
      </c>
      <c r="AM62" s="4" t="s">
        <v>127</v>
      </c>
      <c r="AN62" s="4" t="s">
        <v>127</v>
      </c>
      <c r="AO62" s="4" t="s">
        <v>127</v>
      </c>
      <c r="AP62" s="4" t="s">
        <v>127</v>
      </c>
      <c r="AQ62" s="4" t="s">
        <v>127</v>
      </c>
      <c r="AR62" s="4" t="s">
        <v>127</v>
      </c>
      <c r="AS62" s="4" t="s">
        <v>127</v>
      </c>
      <c r="AT62" s="4" t="s">
        <v>127</v>
      </c>
      <c r="AU62" s="4" t="s">
        <v>127</v>
      </c>
      <c r="AV62" s="4" t="s">
        <v>127</v>
      </c>
      <c r="AW62" s="4" t="s">
        <v>127</v>
      </c>
      <c r="AX62" s="4" t="s">
        <v>127</v>
      </c>
      <c r="AY62" s="96" t="s">
        <v>417</v>
      </c>
      <c r="AZ62" s="96" t="s">
        <v>508</v>
      </c>
      <c r="BA62" s="96" t="s">
        <v>509</v>
      </c>
      <c r="BB62" s="4" t="s">
        <v>510</v>
      </c>
      <c r="BC62" s="4" t="s">
        <v>127</v>
      </c>
      <c r="BD62" s="4" t="s">
        <v>127</v>
      </c>
      <c r="BE62" s="4" t="s">
        <v>127</v>
      </c>
      <c r="BF62" s="4"/>
      <c r="BG62" s="4"/>
      <c r="BH62" s="4"/>
      <c r="BI62" s="4"/>
      <c r="BJ62" s="4"/>
      <c r="BK62" s="4"/>
      <c r="BL62" s="4"/>
      <c r="BM62" s="4"/>
      <c r="BN62" s="4"/>
      <c r="BO62" s="4"/>
    </row>
    <row r="63" spans="1:67" ht="16" x14ac:dyDescent="0.4">
      <c r="A63" s="4" t="s">
        <v>511</v>
      </c>
      <c r="B63" s="4" t="s">
        <v>511</v>
      </c>
      <c r="C63" s="4" t="s">
        <v>127</v>
      </c>
      <c r="D63" s="4" t="s">
        <v>128</v>
      </c>
      <c r="E63" s="189">
        <v>44370</v>
      </c>
      <c r="F63" s="6">
        <f t="shared" si="0"/>
        <v>2021</v>
      </c>
      <c r="G63" s="4" t="s">
        <v>512</v>
      </c>
      <c r="H63" s="22" t="str">
        <f>VLOOKUP($G63,'Item Classification'!B:C,2,0)</f>
        <v>Armoured personnel carrier (APC)</v>
      </c>
      <c r="I63" s="6" t="str">
        <f>VLOOKUP($G63,'Item Classification'!B:D,3,0)</f>
        <v>Armoured vehicle</v>
      </c>
      <c r="J63" s="23">
        <f>VLOOKUP($G63,'Item Classification'!B:E,4,0)</f>
        <v>2</v>
      </c>
      <c r="K63" s="116" t="s">
        <v>274</v>
      </c>
      <c r="L63" s="116" t="s">
        <v>493</v>
      </c>
      <c r="M63" s="116" t="str">
        <f>VLOOKUP(L63,'NATO Classifications'!$D$6:$E$647,2,0)</f>
        <v>Combat, Assault, and Tactical Vehicles, Wheeled</v>
      </c>
      <c r="N63" s="4">
        <v>12</v>
      </c>
      <c r="O63" s="81">
        <f t="shared" si="1"/>
        <v>3250000</v>
      </c>
      <c r="P63" s="81">
        <f t="shared" si="2"/>
        <v>3250000</v>
      </c>
      <c r="Q63" s="4">
        <v>2024</v>
      </c>
      <c r="R63" s="4">
        <v>2026</v>
      </c>
      <c r="S63" s="112">
        <v>39000000</v>
      </c>
      <c r="T63" s="91" t="s">
        <v>132</v>
      </c>
      <c r="U63" s="104">
        <f>_xlfn.IFNA(S63/INDEX('Exchange Rates'!$C$7:$F$14,MATCH('MAIN DATA, Orders'!F63,'Exchange Rates'!$B$7:$B$14,0),MATCH('MAIN DATA, Orders'!T63,'Exchange Rates'!$C$6:$F$6,0)), "-")</f>
        <v>39000000</v>
      </c>
      <c r="V63" s="4" t="s">
        <v>133</v>
      </c>
      <c r="W63" s="4" t="s">
        <v>127</v>
      </c>
      <c r="X63" s="4" t="s">
        <v>128</v>
      </c>
      <c r="Y63" s="24">
        <f t="shared" si="3"/>
        <v>202106</v>
      </c>
      <c r="Z63" s="115">
        <v>0</v>
      </c>
      <c r="AA63" s="115">
        <v>0</v>
      </c>
      <c r="AB63" s="115">
        <v>0</v>
      </c>
      <c r="AC63" s="115">
        <v>1</v>
      </c>
      <c r="AD63" s="115">
        <v>0</v>
      </c>
      <c r="AE63" s="115">
        <v>0</v>
      </c>
      <c r="AF63" s="115">
        <v>0</v>
      </c>
      <c r="AG63" s="4" t="s">
        <v>136</v>
      </c>
      <c r="AH63" s="4" t="s">
        <v>128</v>
      </c>
      <c r="AI63" s="4" t="s">
        <v>127</v>
      </c>
      <c r="AJ63" s="4" t="s">
        <v>513</v>
      </c>
      <c r="AK63" s="4" t="s">
        <v>514</v>
      </c>
      <c r="AL63" s="4" t="s">
        <v>127</v>
      </c>
      <c r="AM63" s="4" t="s">
        <v>127</v>
      </c>
      <c r="AN63" s="4" t="s">
        <v>127</v>
      </c>
      <c r="AO63" s="4" t="s">
        <v>127</v>
      </c>
      <c r="AP63" s="4" t="s">
        <v>127</v>
      </c>
      <c r="AQ63" s="4" t="s">
        <v>127</v>
      </c>
      <c r="AR63" s="4" t="s">
        <v>127</v>
      </c>
      <c r="AS63" s="4" t="s">
        <v>127</v>
      </c>
      <c r="AT63" s="4" t="s">
        <v>127</v>
      </c>
      <c r="AU63" s="4" t="s">
        <v>127</v>
      </c>
      <c r="AV63" s="4" t="s">
        <v>127</v>
      </c>
      <c r="AW63" s="4" t="s">
        <v>127</v>
      </c>
      <c r="AX63" s="4" t="s">
        <v>127</v>
      </c>
      <c r="AY63" s="96" t="s">
        <v>417</v>
      </c>
      <c r="AZ63" s="96" t="s">
        <v>515</v>
      </c>
      <c r="BA63" s="96" t="s">
        <v>516</v>
      </c>
      <c r="BB63" s="4" t="s">
        <v>517</v>
      </c>
      <c r="BC63" s="4" t="s">
        <v>518</v>
      </c>
      <c r="BD63" s="4" t="s">
        <v>127</v>
      </c>
      <c r="BE63" s="4" t="s">
        <v>127</v>
      </c>
      <c r="BF63" s="4"/>
      <c r="BG63" s="4"/>
      <c r="BH63" s="4"/>
      <c r="BI63" s="4"/>
      <c r="BJ63" s="4"/>
      <c r="BK63" s="4"/>
      <c r="BL63" s="4"/>
      <c r="BM63" s="4"/>
      <c r="BN63" s="4"/>
      <c r="BO63" s="4"/>
    </row>
    <row r="64" spans="1:67" ht="16" x14ac:dyDescent="0.4">
      <c r="A64" s="4" t="s">
        <v>519</v>
      </c>
      <c r="B64" s="4" t="s">
        <v>519</v>
      </c>
      <c r="C64" s="4" t="s">
        <v>127</v>
      </c>
      <c r="D64" s="4" t="s">
        <v>128</v>
      </c>
      <c r="E64" s="189">
        <v>44370</v>
      </c>
      <c r="F64" s="6">
        <f t="shared" si="0"/>
        <v>2021</v>
      </c>
      <c r="G64" s="4" t="s">
        <v>520</v>
      </c>
      <c r="H64" s="22" t="str">
        <f>VLOOKUP($G64,'Item Classification'!B:C,2,0)</f>
        <v>Non-combat military vehicle</v>
      </c>
      <c r="I64" s="6" t="str">
        <f>VLOOKUP($G64,'Item Classification'!B:D,3,0)</f>
        <v>Other</v>
      </c>
      <c r="J64" s="23">
        <f>VLOOKUP($G64,'Item Classification'!B:E,4,0)</f>
        <v>16</v>
      </c>
      <c r="K64" s="116" t="s">
        <v>274</v>
      </c>
      <c r="L64" s="116" t="s">
        <v>275</v>
      </c>
      <c r="M64" s="116" t="str">
        <f>VLOOKUP(L64,'NATO Classifications'!$D$6:$E$647,2,0)</f>
        <v>Trucks and Truck Tractors, Wheeled</v>
      </c>
      <c r="N64" s="4">
        <v>294</v>
      </c>
      <c r="O64" s="81">
        <f t="shared" si="1"/>
        <v>829931.97278911562</v>
      </c>
      <c r="P64" s="81">
        <f t="shared" si="2"/>
        <v>829931.97278911562</v>
      </c>
      <c r="Q64" s="4">
        <v>2023</v>
      </c>
      <c r="R64" s="4">
        <v>2027</v>
      </c>
      <c r="S64" s="112">
        <v>244000000</v>
      </c>
      <c r="T64" s="91" t="s">
        <v>132</v>
      </c>
      <c r="U64" s="104">
        <f>_xlfn.IFNA(S64/INDEX('Exchange Rates'!$C$7:$F$14,MATCH('MAIN DATA, Orders'!F64,'Exchange Rates'!$B$7:$B$14,0),MATCH('MAIN DATA, Orders'!T64,'Exchange Rates'!$C$6:$F$6,0)), "-")</f>
        <v>244000000</v>
      </c>
      <c r="V64" s="4" t="s">
        <v>133</v>
      </c>
      <c r="W64" s="4" t="s">
        <v>127</v>
      </c>
      <c r="X64" s="4" t="s">
        <v>128</v>
      </c>
      <c r="Y64" s="24">
        <f t="shared" si="3"/>
        <v>202106</v>
      </c>
      <c r="Z64" s="115">
        <v>1</v>
      </c>
      <c r="AA64" s="115">
        <v>0</v>
      </c>
      <c r="AB64" s="115">
        <v>0</v>
      </c>
      <c r="AC64" s="115">
        <v>1</v>
      </c>
      <c r="AD64" s="115">
        <v>0</v>
      </c>
      <c r="AE64" s="115">
        <v>0</v>
      </c>
      <c r="AF64" s="115">
        <v>0</v>
      </c>
      <c r="AG64" s="4" t="s">
        <v>521</v>
      </c>
      <c r="AH64" s="4" t="s">
        <v>128</v>
      </c>
      <c r="AI64" s="4" t="s">
        <v>127</v>
      </c>
      <c r="AJ64" s="4" t="s">
        <v>522</v>
      </c>
      <c r="AK64" s="4" t="s">
        <v>127</v>
      </c>
      <c r="AL64" s="4" t="s">
        <v>127</v>
      </c>
      <c r="AM64" s="4" t="s">
        <v>127</v>
      </c>
      <c r="AN64" s="4" t="s">
        <v>127</v>
      </c>
      <c r="AO64" s="4" t="s">
        <v>127</v>
      </c>
      <c r="AP64" s="4" t="s">
        <v>127</v>
      </c>
      <c r="AQ64" s="4" t="s">
        <v>127</v>
      </c>
      <c r="AR64" s="4" t="s">
        <v>127</v>
      </c>
      <c r="AS64" s="4" t="s">
        <v>127</v>
      </c>
      <c r="AT64" s="4" t="s">
        <v>127</v>
      </c>
      <c r="AU64" s="4" t="s">
        <v>127</v>
      </c>
      <c r="AV64" s="4" t="s">
        <v>127</v>
      </c>
      <c r="AW64" s="4" t="s">
        <v>127</v>
      </c>
      <c r="AX64" s="4" t="s">
        <v>127</v>
      </c>
      <c r="AY64" s="96" t="s">
        <v>417</v>
      </c>
      <c r="AZ64" s="96" t="s">
        <v>523</v>
      </c>
      <c r="BA64" s="96" t="s">
        <v>524</v>
      </c>
      <c r="BB64" s="4" t="s">
        <v>525</v>
      </c>
      <c r="BC64" s="4" t="s">
        <v>526</v>
      </c>
      <c r="BD64" s="4" t="s">
        <v>127</v>
      </c>
      <c r="BE64" s="4" t="s">
        <v>127</v>
      </c>
      <c r="BF64" s="4"/>
      <c r="BG64" s="4"/>
      <c r="BH64" s="4"/>
      <c r="BI64" s="4"/>
      <c r="BJ64" s="4"/>
      <c r="BK64" s="4"/>
      <c r="BL64" s="4"/>
      <c r="BM64" s="4"/>
      <c r="BN64" s="4"/>
      <c r="BO64" s="4"/>
    </row>
    <row r="65" spans="1:67" ht="16" x14ac:dyDescent="0.4">
      <c r="A65" s="4" t="s">
        <v>527</v>
      </c>
      <c r="B65" s="4" t="s">
        <v>527</v>
      </c>
      <c r="C65" s="4" t="s">
        <v>528</v>
      </c>
      <c r="D65" s="4" t="s">
        <v>128</v>
      </c>
      <c r="E65" s="189">
        <v>44370</v>
      </c>
      <c r="F65" s="6">
        <f t="shared" si="0"/>
        <v>2021</v>
      </c>
      <c r="G65" s="4" t="s">
        <v>529</v>
      </c>
      <c r="H65" s="22" t="str">
        <f>VLOOKUP($G65,'Item Classification'!B:C,2,0)</f>
        <v>Frigate modernisation</v>
      </c>
      <c r="I65" s="6" t="str">
        <f>VLOOKUP($G65,'Item Classification'!B:D,3,0)</f>
        <v>Naval</v>
      </c>
      <c r="J65" s="23">
        <f>VLOOKUP($G65,'Item Classification'!B:E,4,0)</f>
        <v>12</v>
      </c>
      <c r="K65" s="116" t="s">
        <v>143</v>
      </c>
      <c r="L65" s="116" t="s">
        <v>144</v>
      </c>
      <c r="M65" s="116" t="str">
        <f>VLOOKUP(L65,'NATO Classifications'!$D$6:$E$647,2,0)</f>
        <v>Combat Ships and Landing Vessels</v>
      </c>
      <c r="N65" s="4">
        <v>4</v>
      </c>
      <c r="O65" s="81">
        <f t="shared" si="1"/>
        <v>116000000</v>
      </c>
      <c r="P65" s="81">
        <f t="shared" si="2"/>
        <v>116000000</v>
      </c>
      <c r="Q65" s="4">
        <v>2024</v>
      </c>
      <c r="R65" s="4">
        <v>2027</v>
      </c>
      <c r="S65" s="112">
        <v>464000000</v>
      </c>
      <c r="T65" s="91" t="s">
        <v>132</v>
      </c>
      <c r="U65" s="104">
        <f>_xlfn.IFNA(S65/INDEX('Exchange Rates'!$C$7:$F$14,MATCH('MAIN DATA, Orders'!F65,'Exchange Rates'!$B$7:$B$14,0),MATCH('MAIN DATA, Orders'!T65,'Exchange Rates'!$C$6:$F$6,0)), "-")</f>
        <v>464000000</v>
      </c>
      <c r="V65" s="4" t="s">
        <v>133</v>
      </c>
      <c r="W65" s="4" t="s">
        <v>127</v>
      </c>
      <c r="X65" s="4" t="s">
        <v>128</v>
      </c>
      <c r="Y65" s="24">
        <f t="shared" si="3"/>
        <v>202106</v>
      </c>
      <c r="Z65" s="115">
        <v>0</v>
      </c>
      <c r="AA65" s="115">
        <v>0</v>
      </c>
      <c r="AB65" s="115">
        <v>0</v>
      </c>
      <c r="AC65" s="115">
        <v>1</v>
      </c>
      <c r="AD65" s="115">
        <v>1</v>
      </c>
      <c r="AE65" s="115">
        <v>1</v>
      </c>
      <c r="AF65" s="115">
        <v>1</v>
      </c>
      <c r="AG65" s="4" t="s">
        <v>212</v>
      </c>
      <c r="AH65" s="4" t="s">
        <v>213</v>
      </c>
      <c r="AI65" s="4" t="s">
        <v>128</v>
      </c>
      <c r="AJ65" s="4" t="s">
        <v>530</v>
      </c>
      <c r="AK65" s="4" t="s">
        <v>336</v>
      </c>
      <c r="AL65" s="4" t="s">
        <v>127</v>
      </c>
      <c r="AM65" s="4" t="s">
        <v>127</v>
      </c>
      <c r="AN65" s="4" t="s">
        <v>128</v>
      </c>
      <c r="AO65" s="4" t="s">
        <v>127</v>
      </c>
      <c r="AP65" s="4" t="s">
        <v>127</v>
      </c>
      <c r="AQ65" s="4" t="s">
        <v>127</v>
      </c>
      <c r="AR65" s="4" t="s">
        <v>127</v>
      </c>
      <c r="AS65" s="4" t="s">
        <v>127</v>
      </c>
      <c r="AT65" s="4" t="s">
        <v>127</v>
      </c>
      <c r="AU65" s="4" t="s">
        <v>127</v>
      </c>
      <c r="AV65" s="4" t="s">
        <v>127</v>
      </c>
      <c r="AW65" s="4" t="s">
        <v>213</v>
      </c>
      <c r="AX65" s="4" t="s">
        <v>531</v>
      </c>
      <c r="AY65" s="96" t="s">
        <v>417</v>
      </c>
      <c r="AZ65" s="96" t="s">
        <v>532</v>
      </c>
      <c r="BA65" s="96" t="s">
        <v>533</v>
      </c>
      <c r="BB65" s="4" t="s">
        <v>534</v>
      </c>
      <c r="BC65" s="4" t="s">
        <v>535</v>
      </c>
      <c r="BD65" s="4" t="s">
        <v>536</v>
      </c>
      <c r="BE65" s="4" t="s">
        <v>127</v>
      </c>
      <c r="BF65" s="4"/>
      <c r="BG65" s="4"/>
      <c r="BH65" s="4"/>
      <c r="BI65" s="4"/>
      <c r="BJ65" s="4"/>
      <c r="BK65" s="4"/>
      <c r="BL65" s="4"/>
      <c r="BM65" s="4"/>
      <c r="BN65" s="4"/>
      <c r="BO65" s="4"/>
    </row>
    <row r="66" spans="1:67" ht="16" x14ac:dyDescent="0.4">
      <c r="A66" s="4" t="s">
        <v>537</v>
      </c>
      <c r="B66" s="4" t="s">
        <v>537</v>
      </c>
      <c r="C66" s="4" t="s">
        <v>209</v>
      </c>
      <c r="D66" s="4" t="s">
        <v>128</v>
      </c>
      <c r="E66" s="189">
        <v>44370</v>
      </c>
      <c r="F66" s="6">
        <f t="shared" ref="F66:F129" si="4">YEAR(E66)</f>
        <v>2021</v>
      </c>
      <c r="G66" s="4" t="s">
        <v>538</v>
      </c>
      <c r="H66" s="22" t="str">
        <f>VLOOKUP($G66,'Item Classification'!B:C,2,0)</f>
        <v>Repair equipment for surface-to-surface (SSM) missile</v>
      </c>
      <c r="I66" s="6" t="str">
        <f>VLOOKUP($G66,'Item Classification'!B:D,3,0)</f>
        <v>Missile (Naval)</v>
      </c>
      <c r="J66" s="23">
        <f>VLOOKUP($G66,'Item Classification'!B:E,4,0)</f>
        <v>6</v>
      </c>
      <c r="K66" s="116" t="s">
        <v>539</v>
      </c>
      <c r="L66" s="116" t="s">
        <v>540</v>
      </c>
      <c r="M66" s="116" t="str">
        <f>VLOOKUP(L66,'NATO Classifications'!$D$6:$E$647,2,0)</f>
        <v>Guided Missile Maintenance, Repair, and Checkout Specialized Equipment</v>
      </c>
      <c r="N66" s="4"/>
      <c r="O66" s="81"/>
      <c r="P66" s="81"/>
      <c r="Q66" s="4">
        <v>2025</v>
      </c>
      <c r="R66" s="4"/>
      <c r="S66" s="4"/>
      <c r="T66" s="91" t="s">
        <v>132</v>
      </c>
      <c r="U66" s="104">
        <f>_xlfn.IFNA(S66/INDEX('Exchange Rates'!$C$7:$F$14,MATCH('MAIN DATA, Orders'!F66,'Exchange Rates'!$B$7:$B$14,0),MATCH('MAIN DATA, Orders'!T66,'Exchange Rates'!$C$6:$F$6,0)), "-")</f>
        <v>0</v>
      </c>
      <c r="V66" s="4" t="s">
        <v>133</v>
      </c>
      <c r="W66" s="4" t="s">
        <v>127</v>
      </c>
      <c r="X66" s="4" t="s">
        <v>128</v>
      </c>
      <c r="Y66" s="24">
        <f t="shared" ref="Y66:Y129" si="5">_xlfn.NUMBERVALUE(_xlfn.CONCAT(YEAR(E66),TEXT(E66, "mm")))</f>
        <v>202106</v>
      </c>
      <c r="Z66" s="115">
        <v>0</v>
      </c>
      <c r="AA66" s="115">
        <v>0</v>
      </c>
      <c r="AB66" s="115">
        <v>0</v>
      </c>
      <c r="AC66" s="115">
        <v>1</v>
      </c>
      <c r="AD66" s="115">
        <v>0</v>
      </c>
      <c r="AE66" s="115">
        <v>0</v>
      </c>
      <c r="AF66" s="115">
        <v>0</v>
      </c>
      <c r="AG66" s="4" t="s">
        <v>191</v>
      </c>
      <c r="AH66" s="4" t="s">
        <v>128</v>
      </c>
      <c r="AI66" s="4" t="s">
        <v>128</v>
      </c>
      <c r="AJ66" s="4" t="s">
        <v>127</v>
      </c>
      <c r="AK66" s="4" t="s">
        <v>127</v>
      </c>
      <c r="AL66" s="4" t="s">
        <v>127</v>
      </c>
      <c r="AM66" s="4" t="s">
        <v>127</v>
      </c>
      <c r="AN66" s="4" t="s">
        <v>127</v>
      </c>
      <c r="AO66" s="4" t="s">
        <v>127</v>
      </c>
      <c r="AP66" s="4" t="s">
        <v>127</v>
      </c>
      <c r="AQ66" s="4" t="s">
        <v>127</v>
      </c>
      <c r="AR66" s="4" t="s">
        <v>127</v>
      </c>
      <c r="AS66" s="4" t="s">
        <v>127</v>
      </c>
      <c r="AT66" s="4" t="s">
        <v>127</v>
      </c>
      <c r="AU66" s="4" t="s">
        <v>127</v>
      </c>
      <c r="AV66" s="4" t="s">
        <v>127</v>
      </c>
      <c r="AW66" s="4" t="s">
        <v>127</v>
      </c>
      <c r="AX66" s="4" t="s">
        <v>127</v>
      </c>
      <c r="AY66" s="96" t="s">
        <v>417</v>
      </c>
      <c r="AZ66" s="96" t="s">
        <v>541</v>
      </c>
      <c r="BA66" s="96" t="s">
        <v>542</v>
      </c>
      <c r="BB66" s="4" t="s">
        <v>543</v>
      </c>
      <c r="BC66" s="4" t="s">
        <v>544</v>
      </c>
      <c r="BD66" s="4" t="s">
        <v>127</v>
      </c>
      <c r="BE66" s="4" t="s">
        <v>127</v>
      </c>
      <c r="BF66" s="4"/>
      <c r="BG66" s="4"/>
      <c r="BH66" s="4"/>
      <c r="BI66" s="4"/>
      <c r="BJ66" s="4"/>
      <c r="BK66" s="4"/>
      <c r="BL66" s="4"/>
      <c r="BM66" s="4"/>
      <c r="BN66" s="4"/>
      <c r="BO66" s="4"/>
    </row>
    <row r="67" spans="1:67" ht="16" x14ac:dyDescent="0.4">
      <c r="A67" s="4" t="s">
        <v>545</v>
      </c>
      <c r="B67" s="4" t="s">
        <v>545</v>
      </c>
      <c r="C67" s="4" t="s">
        <v>127</v>
      </c>
      <c r="D67" s="4" t="s">
        <v>128</v>
      </c>
      <c r="E67" s="189">
        <v>44370</v>
      </c>
      <c r="F67" s="6">
        <f t="shared" si="4"/>
        <v>2021</v>
      </c>
      <c r="G67" s="4" t="s">
        <v>546</v>
      </c>
      <c r="H67" s="22" t="str">
        <f>VLOOKUP($G67,'Item Classification'!B:C,2,0)</f>
        <v>Frigate modernisation</v>
      </c>
      <c r="I67" s="6" t="str">
        <f>VLOOKUP($G67,'Item Classification'!B:D,3,0)</f>
        <v>Naval</v>
      </c>
      <c r="J67" s="23">
        <f>VLOOKUP($G67,'Item Classification'!B:E,4,0)</f>
        <v>12</v>
      </c>
      <c r="K67" s="116" t="s">
        <v>158</v>
      </c>
      <c r="L67" s="116" t="s">
        <v>399</v>
      </c>
      <c r="M67" s="116" t="str">
        <f>VLOOKUP(L67,'NATO Classifications'!$D$6:$E$647,2,0)</f>
        <v>Radar and Sensor</v>
      </c>
      <c r="N67" s="4">
        <v>4</v>
      </c>
      <c r="O67" s="81">
        <f t="shared" ref="O67:O120" si="6">S67/N67</f>
        <v>55000000</v>
      </c>
      <c r="P67" s="81">
        <f t="shared" ref="P67:P120" si="7">U67/N67</f>
        <v>55000000</v>
      </c>
      <c r="Q67" s="4">
        <v>2024</v>
      </c>
      <c r="R67" s="4">
        <v>2028</v>
      </c>
      <c r="S67" s="112">
        <v>220000000</v>
      </c>
      <c r="T67" s="91" t="s">
        <v>132</v>
      </c>
      <c r="U67" s="104">
        <f>_xlfn.IFNA(S67/INDEX('Exchange Rates'!$C$7:$F$14,MATCH('MAIN DATA, Orders'!F67,'Exchange Rates'!$B$7:$B$14,0),MATCH('MAIN DATA, Orders'!T67,'Exchange Rates'!$C$6:$F$6,0)), "-")</f>
        <v>220000000</v>
      </c>
      <c r="V67" s="4" t="s">
        <v>133</v>
      </c>
      <c r="W67" s="4" t="s">
        <v>127</v>
      </c>
      <c r="X67" s="4" t="s">
        <v>128</v>
      </c>
      <c r="Y67" s="24">
        <f t="shared" si="5"/>
        <v>202106</v>
      </c>
      <c r="Z67" s="115">
        <v>0</v>
      </c>
      <c r="AA67" s="115">
        <v>0</v>
      </c>
      <c r="AB67" s="115">
        <v>0</v>
      </c>
      <c r="AC67" s="115">
        <v>1</v>
      </c>
      <c r="AD67" s="115">
        <v>0</v>
      </c>
      <c r="AE67" s="115">
        <v>0</v>
      </c>
      <c r="AF67" s="115">
        <v>0</v>
      </c>
      <c r="AG67" s="4" t="s">
        <v>547</v>
      </c>
      <c r="AH67" s="4" t="s">
        <v>128</v>
      </c>
      <c r="AI67" s="4" t="s">
        <v>127</v>
      </c>
      <c r="AJ67" s="4" t="s">
        <v>127</v>
      </c>
      <c r="AK67" s="4" t="s">
        <v>127</v>
      </c>
      <c r="AL67" s="4" t="s">
        <v>127</v>
      </c>
      <c r="AM67" s="4" t="s">
        <v>127</v>
      </c>
      <c r="AN67" s="4" t="s">
        <v>127</v>
      </c>
      <c r="AO67" s="4" t="s">
        <v>127</v>
      </c>
      <c r="AP67" s="4" t="s">
        <v>127</v>
      </c>
      <c r="AQ67" s="4" t="s">
        <v>127</v>
      </c>
      <c r="AR67" s="4" t="s">
        <v>127</v>
      </c>
      <c r="AS67" s="4" t="s">
        <v>127</v>
      </c>
      <c r="AT67" s="4" t="s">
        <v>127</v>
      </c>
      <c r="AU67" s="4" t="s">
        <v>127</v>
      </c>
      <c r="AV67" s="4" t="s">
        <v>127</v>
      </c>
      <c r="AW67" s="4" t="s">
        <v>127</v>
      </c>
      <c r="AX67" s="4" t="s">
        <v>127</v>
      </c>
      <c r="AY67" s="96" t="s">
        <v>417</v>
      </c>
      <c r="AZ67" s="96" t="s">
        <v>548</v>
      </c>
      <c r="BA67" s="4" t="s">
        <v>127</v>
      </c>
      <c r="BB67" s="4" t="s">
        <v>549</v>
      </c>
      <c r="BC67" s="4" t="s">
        <v>550</v>
      </c>
      <c r="BD67" s="4" t="s">
        <v>127</v>
      </c>
      <c r="BE67" s="4" t="s">
        <v>127</v>
      </c>
      <c r="BF67" s="4"/>
      <c r="BG67" s="4"/>
      <c r="BH67" s="4"/>
      <c r="BI67" s="4"/>
      <c r="BJ67" s="4"/>
      <c r="BK67" s="4"/>
      <c r="BL67" s="4"/>
      <c r="BM67" s="4"/>
      <c r="BN67" s="4"/>
      <c r="BO67" s="4"/>
    </row>
    <row r="68" spans="1:67" ht="16" x14ac:dyDescent="0.4">
      <c r="A68" s="4" t="s">
        <v>551</v>
      </c>
      <c r="B68" s="4" t="s">
        <v>551</v>
      </c>
      <c r="C68" s="4" t="s">
        <v>127</v>
      </c>
      <c r="D68" s="4" t="s">
        <v>128</v>
      </c>
      <c r="E68" s="189">
        <v>44370</v>
      </c>
      <c r="F68" s="6">
        <f t="shared" si="4"/>
        <v>2021</v>
      </c>
      <c r="G68" s="4" t="s">
        <v>552</v>
      </c>
      <c r="H68" s="22" t="str">
        <f>VLOOKUP($G68,'Item Classification'!B:C,2,0)</f>
        <v>Coastal trial support ship</v>
      </c>
      <c r="I68" s="6" t="str">
        <f>VLOOKUP($G68,'Item Classification'!B:D,3,0)</f>
        <v>Naval</v>
      </c>
      <c r="J68" s="23">
        <f>VLOOKUP($G68,'Item Classification'!B:E,4,0)</f>
        <v>12</v>
      </c>
      <c r="K68" s="116" t="s">
        <v>143</v>
      </c>
      <c r="L68" s="116" t="s">
        <v>452</v>
      </c>
      <c r="M68" s="116" t="str">
        <f>VLOOKUP(L68,'NATO Classifications'!$D$6:$E$647,2,0)</f>
        <v>Special Service Vessels</v>
      </c>
      <c r="N68" s="4">
        <v>2</v>
      </c>
      <c r="O68" s="81">
        <f t="shared" si="6"/>
        <v>47500000</v>
      </c>
      <c r="P68" s="81">
        <f t="shared" si="7"/>
        <v>47500000</v>
      </c>
      <c r="Q68" s="4">
        <v>2023</v>
      </c>
      <c r="R68" s="4">
        <v>2023</v>
      </c>
      <c r="S68" s="112">
        <v>95000000</v>
      </c>
      <c r="T68" s="91" t="s">
        <v>132</v>
      </c>
      <c r="U68" s="104">
        <f>_xlfn.IFNA(S68/INDEX('Exchange Rates'!$C$7:$F$14,MATCH('MAIN DATA, Orders'!F68,'Exchange Rates'!$B$7:$B$14,0),MATCH('MAIN DATA, Orders'!T68,'Exchange Rates'!$C$6:$F$6,0)), "-")</f>
        <v>95000000</v>
      </c>
      <c r="V68" s="4" t="s">
        <v>133</v>
      </c>
      <c r="W68" s="4" t="s">
        <v>127</v>
      </c>
      <c r="X68" s="4" t="s">
        <v>128</v>
      </c>
      <c r="Y68" s="24">
        <f t="shared" si="5"/>
        <v>202106</v>
      </c>
      <c r="Z68" s="115">
        <v>0</v>
      </c>
      <c r="AA68" s="115">
        <v>0</v>
      </c>
      <c r="AB68" s="115">
        <v>0</v>
      </c>
      <c r="AC68" s="115">
        <v>1</v>
      </c>
      <c r="AD68" s="115">
        <v>1</v>
      </c>
      <c r="AE68" s="115">
        <v>0</v>
      </c>
      <c r="AF68" s="115">
        <v>1</v>
      </c>
      <c r="AG68" s="4" t="s">
        <v>553</v>
      </c>
      <c r="AH68" s="4" t="s">
        <v>128</v>
      </c>
      <c r="AI68" s="4" t="s">
        <v>128</v>
      </c>
      <c r="AJ68" s="4" t="s">
        <v>127</v>
      </c>
      <c r="AK68" s="4" t="s">
        <v>127</v>
      </c>
      <c r="AL68" s="4" t="s">
        <v>127</v>
      </c>
      <c r="AM68" s="4" t="s">
        <v>127</v>
      </c>
      <c r="AN68" s="4" t="s">
        <v>127</v>
      </c>
      <c r="AO68" s="4" t="s">
        <v>127</v>
      </c>
      <c r="AP68" s="4" t="s">
        <v>127</v>
      </c>
      <c r="AQ68" s="4" t="s">
        <v>127</v>
      </c>
      <c r="AR68" s="4" t="s">
        <v>127</v>
      </c>
      <c r="AS68" s="4" t="s">
        <v>127</v>
      </c>
      <c r="AT68" s="4" t="s">
        <v>127</v>
      </c>
      <c r="AU68" s="4" t="s">
        <v>127</v>
      </c>
      <c r="AV68" s="4" t="s">
        <v>127</v>
      </c>
      <c r="AW68" s="4" t="s">
        <v>554</v>
      </c>
      <c r="AX68" s="4" t="s">
        <v>127</v>
      </c>
      <c r="AY68" s="96" t="s">
        <v>417</v>
      </c>
      <c r="AZ68" s="96" t="s">
        <v>555</v>
      </c>
      <c r="BA68" s="96" t="s">
        <v>556</v>
      </c>
      <c r="BB68" s="4" t="s">
        <v>557</v>
      </c>
      <c r="BC68" s="4" t="s">
        <v>558</v>
      </c>
      <c r="BD68" s="4" t="s">
        <v>559</v>
      </c>
      <c r="BE68" s="4" t="s">
        <v>127</v>
      </c>
      <c r="BF68" s="4"/>
      <c r="BG68" s="4"/>
      <c r="BH68" s="4"/>
      <c r="BI68" s="4"/>
      <c r="BJ68" s="4"/>
      <c r="BK68" s="4"/>
      <c r="BL68" s="4"/>
      <c r="BM68" s="4"/>
      <c r="BN68" s="4"/>
      <c r="BO68" s="4"/>
    </row>
    <row r="69" spans="1:67" ht="16" x14ac:dyDescent="0.4">
      <c r="A69" s="4" t="s">
        <v>560</v>
      </c>
      <c r="B69" s="4" t="s">
        <v>560</v>
      </c>
      <c r="C69" s="4" t="s">
        <v>127</v>
      </c>
      <c r="D69" s="4" t="s">
        <v>128</v>
      </c>
      <c r="E69" s="189">
        <v>44370</v>
      </c>
      <c r="F69" s="6">
        <f t="shared" si="4"/>
        <v>2021</v>
      </c>
      <c r="G69" s="4" t="s">
        <v>561</v>
      </c>
      <c r="H69" s="22" t="str">
        <f>VLOOKUP($G69,'Item Classification'!B:C,2,0)</f>
        <v>Minehunter ship modernisation</v>
      </c>
      <c r="I69" s="6" t="str">
        <f>VLOOKUP($G69,'Item Classification'!B:D,3,0)</f>
        <v>Naval</v>
      </c>
      <c r="J69" s="23">
        <f>VLOOKUP($G69,'Item Classification'!B:E,4,0)</f>
        <v>12</v>
      </c>
      <c r="K69" s="116" t="s">
        <v>143</v>
      </c>
      <c r="L69" s="116" t="s">
        <v>144</v>
      </c>
      <c r="M69" s="116" t="str">
        <f>VLOOKUP(L69,'NATO Classifications'!$D$6:$E$647,2,0)</f>
        <v>Combat Ships and Landing Vessels</v>
      </c>
      <c r="N69" s="4">
        <v>5</v>
      </c>
      <c r="O69" s="81">
        <f t="shared" si="6"/>
        <v>8800000</v>
      </c>
      <c r="P69" s="81">
        <f t="shared" si="7"/>
        <v>8800000</v>
      </c>
      <c r="Q69" s="4">
        <v>2022</v>
      </c>
      <c r="R69" s="4">
        <v>2025</v>
      </c>
      <c r="S69" s="112">
        <v>44000000</v>
      </c>
      <c r="T69" s="91" t="s">
        <v>132</v>
      </c>
      <c r="U69" s="104">
        <f>_xlfn.IFNA(S69/INDEX('Exchange Rates'!$C$7:$F$14,MATCH('MAIN DATA, Orders'!F69,'Exchange Rates'!$B$7:$B$14,0),MATCH('MAIN DATA, Orders'!T69,'Exchange Rates'!$C$6:$F$6,0)), "-")</f>
        <v>44000000</v>
      </c>
      <c r="V69" s="4" t="s">
        <v>133</v>
      </c>
      <c r="W69" s="4" t="s">
        <v>127</v>
      </c>
      <c r="X69" s="4" t="s">
        <v>128</v>
      </c>
      <c r="Y69" s="24">
        <f t="shared" si="5"/>
        <v>202106</v>
      </c>
      <c r="Z69" s="115">
        <v>0</v>
      </c>
      <c r="AA69" s="115">
        <v>0</v>
      </c>
      <c r="AB69" s="115">
        <v>0</v>
      </c>
      <c r="AC69" s="115">
        <v>1</v>
      </c>
      <c r="AD69" s="115">
        <v>0</v>
      </c>
      <c r="AE69" s="115">
        <v>0</v>
      </c>
      <c r="AF69" s="115">
        <v>0</v>
      </c>
      <c r="AG69" s="4" t="s">
        <v>247</v>
      </c>
      <c r="AH69" s="4" t="s">
        <v>128</v>
      </c>
      <c r="AI69" s="4" t="s">
        <v>127</v>
      </c>
      <c r="AJ69" s="4" t="s">
        <v>127</v>
      </c>
      <c r="AK69" s="4" t="s">
        <v>127</v>
      </c>
      <c r="AL69" s="4" t="s">
        <v>127</v>
      </c>
      <c r="AM69" s="4" t="s">
        <v>127</v>
      </c>
      <c r="AN69" s="4" t="s">
        <v>127</v>
      </c>
      <c r="AO69" s="4" t="s">
        <v>127</v>
      </c>
      <c r="AP69" s="4" t="s">
        <v>127</v>
      </c>
      <c r="AQ69" s="4" t="s">
        <v>127</v>
      </c>
      <c r="AR69" s="4" t="s">
        <v>127</v>
      </c>
      <c r="AS69" s="4" t="s">
        <v>127</v>
      </c>
      <c r="AT69" s="4" t="s">
        <v>127</v>
      </c>
      <c r="AU69" s="4" t="s">
        <v>127</v>
      </c>
      <c r="AV69" s="4" t="s">
        <v>127</v>
      </c>
      <c r="AW69" s="4" t="s">
        <v>127</v>
      </c>
      <c r="AX69" s="4" t="s">
        <v>127</v>
      </c>
      <c r="AY69" s="96" t="s">
        <v>417</v>
      </c>
      <c r="AZ69" s="96" t="s">
        <v>562</v>
      </c>
      <c r="BA69" s="96" t="s">
        <v>470</v>
      </c>
      <c r="BB69" s="4" t="s">
        <v>563</v>
      </c>
      <c r="BC69" s="4" t="s">
        <v>564</v>
      </c>
      <c r="BD69" s="4" t="s">
        <v>127</v>
      </c>
      <c r="BE69" s="4" t="s">
        <v>127</v>
      </c>
      <c r="BF69" s="4"/>
      <c r="BG69" s="4"/>
      <c r="BH69" s="4"/>
      <c r="BI69" s="4"/>
      <c r="BJ69" s="4"/>
      <c r="BK69" s="4"/>
      <c r="BL69" s="4"/>
      <c r="BM69" s="4"/>
      <c r="BN69" s="4"/>
      <c r="BO69" s="4"/>
    </row>
    <row r="70" spans="1:67" ht="16" x14ac:dyDescent="0.4">
      <c r="A70" s="4" t="s">
        <v>565</v>
      </c>
      <c r="B70" s="4" t="s">
        <v>565</v>
      </c>
      <c r="C70" s="4" t="s">
        <v>127</v>
      </c>
      <c r="D70" s="4" t="s">
        <v>128</v>
      </c>
      <c r="E70" s="189">
        <v>44370</v>
      </c>
      <c r="F70" s="6">
        <f t="shared" si="4"/>
        <v>2021</v>
      </c>
      <c r="G70" s="4" t="s">
        <v>566</v>
      </c>
      <c r="H70" s="22" t="str">
        <f>VLOOKUP($G70,'Item Classification'!B:C,2,0)</f>
        <v>Naval communication system</v>
      </c>
      <c r="I70" s="6" t="str">
        <f>VLOOKUP($G70,'Item Classification'!B:D,3,0)</f>
        <v>Naval</v>
      </c>
      <c r="J70" s="23">
        <f>VLOOKUP($G70,'Item Classification'!B:E,4,0)</f>
        <v>12</v>
      </c>
      <c r="K70" s="116" t="s">
        <v>158</v>
      </c>
      <c r="L70" s="116" t="s">
        <v>567</v>
      </c>
      <c r="M70" s="116" t="str">
        <f>VLOOKUP(L70,'NATO Classifications'!$D$6:$E$647,2,0)</f>
        <v>Communication, Detection, and Coherent Radiation Equipment (other)</v>
      </c>
      <c r="N70" s="4">
        <v>16</v>
      </c>
      <c r="O70" s="81">
        <f t="shared" si="6"/>
        <v>4368750</v>
      </c>
      <c r="P70" s="81">
        <f t="shared" si="7"/>
        <v>4368750</v>
      </c>
      <c r="Q70" s="4"/>
      <c r="R70" s="4"/>
      <c r="S70" s="112">
        <v>69900000</v>
      </c>
      <c r="T70" s="91" t="s">
        <v>132</v>
      </c>
      <c r="U70" s="104">
        <f>_xlfn.IFNA(S70/INDEX('Exchange Rates'!$C$7:$F$14,MATCH('MAIN DATA, Orders'!F70,'Exchange Rates'!$B$7:$B$14,0),MATCH('MAIN DATA, Orders'!T70,'Exchange Rates'!$C$6:$F$6,0)), "-")</f>
        <v>69900000</v>
      </c>
      <c r="V70" s="4" t="s">
        <v>133</v>
      </c>
      <c r="W70" s="4" t="s">
        <v>127</v>
      </c>
      <c r="X70" s="4" t="s">
        <v>128</v>
      </c>
      <c r="Y70" s="24">
        <f t="shared" si="5"/>
        <v>202106</v>
      </c>
      <c r="Z70" s="115">
        <v>0</v>
      </c>
      <c r="AA70" s="115">
        <v>0</v>
      </c>
      <c r="AB70" s="115">
        <v>0</v>
      </c>
      <c r="AC70" s="115">
        <v>1</v>
      </c>
      <c r="AD70" s="115">
        <v>0</v>
      </c>
      <c r="AE70" s="115">
        <v>0</v>
      </c>
      <c r="AF70" s="115">
        <v>1</v>
      </c>
      <c r="AG70" s="4" t="s">
        <v>568</v>
      </c>
      <c r="AH70" s="4" t="s">
        <v>128</v>
      </c>
      <c r="AI70" s="4" t="s">
        <v>127</v>
      </c>
      <c r="AJ70" s="4" t="s">
        <v>127</v>
      </c>
      <c r="AK70" s="4" t="s">
        <v>127</v>
      </c>
      <c r="AL70" s="4" t="s">
        <v>127</v>
      </c>
      <c r="AM70" s="4" t="s">
        <v>127</v>
      </c>
      <c r="AN70" s="4" t="s">
        <v>196</v>
      </c>
      <c r="AO70" s="4" t="s">
        <v>127</v>
      </c>
      <c r="AP70" s="4" t="s">
        <v>127</v>
      </c>
      <c r="AQ70" s="4" t="s">
        <v>127</v>
      </c>
      <c r="AR70" s="4" t="s">
        <v>127</v>
      </c>
      <c r="AS70" s="4" t="s">
        <v>127</v>
      </c>
      <c r="AT70" s="4" t="s">
        <v>127</v>
      </c>
      <c r="AU70" s="4" t="s">
        <v>127</v>
      </c>
      <c r="AV70" s="4" t="s">
        <v>127</v>
      </c>
      <c r="AW70" s="4" t="s">
        <v>127</v>
      </c>
      <c r="AX70" s="4" t="s">
        <v>127</v>
      </c>
      <c r="AY70" s="96" t="s">
        <v>417</v>
      </c>
      <c r="AZ70" s="96" t="s">
        <v>569</v>
      </c>
      <c r="BA70" s="96" t="s">
        <v>570</v>
      </c>
      <c r="BB70" s="4" t="s">
        <v>571</v>
      </c>
      <c r="BC70" s="4" t="s">
        <v>572</v>
      </c>
      <c r="BD70" s="4" t="s">
        <v>127</v>
      </c>
      <c r="BE70" s="4" t="s">
        <v>127</v>
      </c>
      <c r="BF70" s="4"/>
      <c r="BG70" s="4"/>
      <c r="BH70" s="4"/>
      <c r="BI70" s="4"/>
      <c r="BJ70" s="4"/>
      <c r="BK70" s="4"/>
      <c r="BL70" s="4"/>
      <c r="BM70" s="4"/>
      <c r="BN70" s="4"/>
      <c r="BO70" s="4"/>
    </row>
    <row r="71" spans="1:67" ht="16" x14ac:dyDescent="0.4">
      <c r="A71" s="4" t="s">
        <v>573</v>
      </c>
      <c r="B71" s="4" t="s">
        <v>573</v>
      </c>
      <c r="C71" s="4" t="s">
        <v>127</v>
      </c>
      <c r="D71" s="4" t="s">
        <v>128</v>
      </c>
      <c r="E71" s="189">
        <v>44370</v>
      </c>
      <c r="F71" s="6">
        <f t="shared" si="4"/>
        <v>2021</v>
      </c>
      <c r="G71" s="4" t="s">
        <v>574</v>
      </c>
      <c r="H71" s="22" t="str">
        <f>VLOOKUP($G71,'Item Classification'!B:C,2,0)</f>
        <v>Naval radar navigation system</v>
      </c>
      <c r="I71" s="6" t="str">
        <f>VLOOKUP($G71,'Item Classification'!B:D,3,0)</f>
        <v>Naval</v>
      </c>
      <c r="J71" s="23">
        <f>VLOOKUP($G71,'Item Classification'!B:E,4,0)</f>
        <v>12</v>
      </c>
      <c r="K71" s="116" t="s">
        <v>158</v>
      </c>
      <c r="L71" s="116" t="s">
        <v>443</v>
      </c>
      <c r="M71" s="116" t="str">
        <f>VLOOKUP(L71,'NATO Classifications'!$D$6:$E$647,2,0)</f>
        <v>Communication, Detection, and Coherent Radiation Equipment (other)</v>
      </c>
      <c r="N71" s="4">
        <v>40</v>
      </c>
      <c r="O71" s="81">
        <f t="shared" si="6"/>
        <v>999450</v>
      </c>
      <c r="P71" s="81">
        <f t="shared" si="7"/>
        <v>999450</v>
      </c>
      <c r="Q71" s="4"/>
      <c r="R71" s="4"/>
      <c r="S71" s="112">
        <v>39978000</v>
      </c>
      <c r="T71" s="91" t="s">
        <v>132</v>
      </c>
      <c r="U71" s="104">
        <f>_xlfn.IFNA(S71/INDEX('Exchange Rates'!$C$7:$F$14,MATCH('MAIN DATA, Orders'!F71,'Exchange Rates'!$B$7:$B$14,0),MATCH('MAIN DATA, Orders'!T71,'Exchange Rates'!$C$6:$F$6,0)), "-")</f>
        <v>39978000</v>
      </c>
      <c r="V71" s="4" t="s">
        <v>133</v>
      </c>
      <c r="W71" s="4" t="s">
        <v>127</v>
      </c>
      <c r="X71" s="4" t="s">
        <v>128</v>
      </c>
      <c r="Y71" s="24">
        <f t="shared" si="5"/>
        <v>202106</v>
      </c>
      <c r="Z71" s="115">
        <v>0</v>
      </c>
      <c r="AA71" s="115">
        <v>0</v>
      </c>
      <c r="AB71" s="115">
        <v>0</v>
      </c>
      <c r="AC71" s="115" t="s">
        <v>127</v>
      </c>
      <c r="AD71" s="115" t="s">
        <v>127</v>
      </c>
      <c r="AE71" s="115" t="s">
        <v>127</v>
      </c>
      <c r="AF71" s="115" t="s">
        <v>127</v>
      </c>
      <c r="AG71" s="4" t="s">
        <v>127</v>
      </c>
      <c r="AH71" s="4" t="s">
        <v>127</v>
      </c>
      <c r="AI71" s="4" t="s">
        <v>127</v>
      </c>
      <c r="AJ71" s="4" t="s">
        <v>127</v>
      </c>
      <c r="AK71" s="4" t="s">
        <v>127</v>
      </c>
      <c r="AL71" s="4" t="s">
        <v>127</v>
      </c>
      <c r="AM71" s="4" t="s">
        <v>127</v>
      </c>
      <c r="AN71" s="4" t="s">
        <v>127</v>
      </c>
      <c r="AO71" s="4" t="s">
        <v>127</v>
      </c>
      <c r="AP71" s="4" t="s">
        <v>127</v>
      </c>
      <c r="AQ71" s="4" t="s">
        <v>127</v>
      </c>
      <c r="AR71" s="4" t="s">
        <v>127</v>
      </c>
      <c r="AS71" s="4" t="s">
        <v>127</v>
      </c>
      <c r="AT71" s="4" t="s">
        <v>127</v>
      </c>
      <c r="AU71" s="4" t="s">
        <v>127</v>
      </c>
      <c r="AV71" s="4" t="s">
        <v>127</v>
      </c>
      <c r="AW71" s="4" t="s">
        <v>127</v>
      </c>
      <c r="AX71" s="4" t="s">
        <v>127</v>
      </c>
      <c r="AY71" s="96" t="s">
        <v>417</v>
      </c>
      <c r="AZ71" s="96" t="s">
        <v>470</v>
      </c>
      <c r="BA71" s="96" t="s">
        <v>575</v>
      </c>
      <c r="BB71" s="4" t="s">
        <v>576</v>
      </c>
      <c r="BC71" s="4" t="s">
        <v>577</v>
      </c>
      <c r="BD71" s="4" t="s">
        <v>127</v>
      </c>
      <c r="BE71" s="4" t="s">
        <v>127</v>
      </c>
      <c r="BF71" s="4"/>
      <c r="BG71" s="4"/>
      <c r="BH71" s="4"/>
      <c r="BI71" s="4"/>
      <c r="BJ71" s="4"/>
      <c r="BK71" s="4"/>
      <c r="BL71" s="4"/>
      <c r="BM71" s="4"/>
      <c r="BN71" s="4"/>
      <c r="BO71" s="4"/>
    </row>
    <row r="72" spans="1:67" ht="16" x14ac:dyDescent="0.4">
      <c r="A72" s="4" t="s">
        <v>578</v>
      </c>
      <c r="B72" s="4" t="s">
        <v>578</v>
      </c>
      <c r="C72" s="4" t="s">
        <v>127</v>
      </c>
      <c r="D72" s="4" t="s">
        <v>128</v>
      </c>
      <c r="E72" s="189">
        <v>44370</v>
      </c>
      <c r="F72" s="6">
        <f t="shared" si="4"/>
        <v>2021</v>
      </c>
      <c r="G72" s="4" t="s">
        <v>579</v>
      </c>
      <c r="H72" s="22" t="str">
        <f>VLOOKUP($G72,'Item Classification'!B:C,2,0)</f>
        <v>Equipment for Small Arms and Light Weapons (SALW)</v>
      </c>
      <c r="I72" s="6" t="str">
        <f>VLOOKUP($G72,'Item Classification'!B:D,3,0)</f>
        <v>Infantry</v>
      </c>
      <c r="J72" s="23">
        <f>VLOOKUP($G72,'Item Classification'!B:E,4,0)</f>
        <v>8</v>
      </c>
      <c r="K72" s="116" t="s">
        <v>580</v>
      </c>
      <c r="L72" s="116" t="s">
        <v>581</v>
      </c>
      <c r="M72" s="116" t="str">
        <f>VLOOKUP(L72,'NATO Classifications'!$D$6:$E$647,2,0)</f>
        <v>Optical Sighting and Ranging Equipment</v>
      </c>
      <c r="N72" s="4"/>
      <c r="O72" s="81"/>
      <c r="P72" s="81"/>
      <c r="Q72" s="4"/>
      <c r="R72" s="4"/>
      <c r="S72" s="4"/>
      <c r="T72" s="91" t="s">
        <v>132</v>
      </c>
      <c r="U72" s="104">
        <f>_xlfn.IFNA(S72/INDEX('Exchange Rates'!$C$7:$F$14,MATCH('MAIN DATA, Orders'!F72,'Exchange Rates'!$B$7:$B$14,0),MATCH('MAIN DATA, Orders'!T72,'Exchange Rates'!$C$6:$F$6,0)), "-")</f>
        <v>0</v>
      </c>
      <c r="V72" s="4" t="s">
        <v>133</v>
      </c>
      <c r="W72" s="4" t="s">
        <v>127</v>
      </c>
      <c r="X72" s="4" t="s">
        <v>128</v>
      </c>
      <c r="Y72" s="24">
        <f t="shared" si="5"/>
        <v>202106</v>
      </c>
      <c r="Z72" s="115">
        <v>1</v>
      </c>
      <c r="AA72" s="115">
        <v>0</v>
      </c>
      <c r="AB72" s="115">
        <v>0</v>
      </c>
      <c r="AC72" s="115">
        <v>1</v>
      </c>
      <c r="AD72" s="115">
        <v>1</v>
      </c>
      <c r="AE72" s="115">
        <v>1</v>
      </c>
      <c r="AF72" s="115">
        <v>1</v>
      </c>
      <c r="AG72" s="4" t="s">
        <v>582</v>
      </c>
      <c r="AH72" s="4" t="s">
        <v>128</v>
      </c>
      <c r="AI72" s="4" t="s">
        <v>431</v>
      </c>
      <c r="AJ72" s="4" t="s">
        <v>583</v>
      </c>
      <c r="AK72" s="4" t="s">
        <v>127</v>
      </c>
      <c r="AL72" s="4" t="s">
        <v>127</v>
      </c>
      <c r="AM72" s="4" t="s">
        <v>127</v>
      </c>
      <c r="AN72" s="4" t="s">
        <v>197</v>
      </c>
      <c r="AO72" s="4" t="s">
        <v>431</v>
      </c>
      <c r="AP72" s="4" t="s">
        <v>127</v>
      </c>
      <c r="AQ72" s="4" t="s">
        <v>127</v>
      </c>
      <c r="AR72" s="4" t="s">
        <v>127</v>
      </c>
      <c r="AS72" s="4" t="s">
        <v>127</v>
      </c>
      <c r="AT72" s="4" t="s">
        <v>127</v>
      </c>
      <c r="AU72" s="4" t="s">
        <v>127</v>
      </c>
      <c r="AV72" s="4" t="s">
        <v>127</v>
      </c>
      <c r="AW72" s="4" t="s">
        <v>127</v>
      </c>
      <c r="AX72" s="4" t="s">
        <v>127</v>
      </c>
      <c r="AY72" s="96" t="s">
        <v>417</v>
      </c>
      <c r="AZ72" s="96" t="s">
        <v>584</v>
      </c>
      <c r="BA72" s="96" t="s">
        <v>585</v>
      </c>
      <c r="BB72" s="4" t="s">
        <v>586</v>
      </c>
      <c r="BC72" s="4" t="s">
        <v>587</v>
      </c>
      <c r="BD72" s="4" t="s">
        <v>127</v>
      </c>
      <c r="BE72" s="4" t="s">
        <v>127</v>
      </c>
      <c r="BF72" s="4"/>
      <c r="BG72" s="4"/>
      <c r="BH72" s="4"/>
      <c r="BI72" s="4"/>
      <c r="BJ72" s="4"/>
      <c r="BK72" s="4"/>
      <c r="BL72" s="4"/>
      <c r="BM72" s="4"/>
      <c r="BN72" s="4"/>
      <c r="BO72" s="4"/>
    </row>
    <row r="73" spans="1:67" ht="16" x14ac:dyDescent="0.4">
      <c r="A73" s="4" t="s">
        <v>588</v>
      </c>
      <c r="B73" s="4" t="s">
        <v>588</v>
      </c>
      <c r="C73" s="4" t="s">
        <v>127</v>
      </c>
      <c r="D73" s="4" t="s">
        <v>128</v>
      </c>
      <c r="E73" s="189">
        <v>44370</v>
      </c>
      <c r="F73" s="6">
        <f t="shared" si="4"/>
        <v>2021</v>
      </c>
      <c r="G73" s="4" t="s">
        <v>589</v>
      </c>
      <c r="H73" s="22" t="str">
        <f>VLOOKUP($G73,'Item Classification'!B:C,2,0)</f>
        <v>Equipment for Small Arms and Light Weapons (SALW)</v>
      </c>
      <c r="I73" s="6" t="str">
        <f>VLOOKUP($G73,'Item Classification'!B:D,3,0)</f>
        <v>Infantry</v>
      </c>
      <c r="J73" s="23">
        <f>VLOOKUP($G73,'Item Classification'!B:E,4,0)</f>
        <v>8</v>
      </c>
      <c r="K73" s="116" t="s">
        <v>158</v>
      </c>
      <c r="L73" s="116" t="s">
        <v>369</v>
      </c>
      <c r="M73" s="116" t="str">
        <f>VLOOKUP(L73,'NATO Classifications'!$D$6:$E$647,2,0)</f>
        <v>Communication, Detection, and Coherent Radiation Equipment (other)</v>
      </c>
      <c r="N73" s="4">
        <v>2460</v>
      </c>
      <c r="O73" s="81">
        <f t="shared" si="6"/>
        <v>1219.5121951219512</v>
      </c>
      <c r="P73" s="81">
        <f t="shared" si="7"/>
        <v>1219.5121951219512</v>
      </c>
      <c r="Q73" s="4">
        <v>2021</v>
      </c>
      <c r="R73" s="4"/>
      <c r="S73" s="112">
        <v>3000000</v>
      </c>
      <c r="T73" s="91" t="s">
        <v>132</v>
      </c>
      <c r="U73" s="104">
        <f>_xlfn.IFNA(S73/INDEX('Exchange Rates'!$C$7:$F$14,MATCH('MAIN DATA, Orders'!F73,'Exchange Rates'!$B$7:$B$14,0),MATCH('MAIN DATA, Orders'!T73,'Exchange Rates'!$C$6:$F$6,0)), "-")</f>
        <v>3000000</v>
      </c>
      <c r="V73" s="4" t="s">
        <v>133</v>
      </c>
      <c r="W73" s="4" t="s">
        <v>127</v>
      </c>
      <c r="X73" s="4" t="s">
        <v>128</v>
      </c>
      <c r="Y73" s="24">
        <f t="shared" si="5"/>
        <v>202106</v>
      </c>
      <c r="Z73" s="115">
        <v>1</v>
      </c>
      <c r="AA73" s="115">
        <v>0</v>
      </c>
      <c r="AB73" s="115">
        <v>0</v>
      </c>
      <c r="AC73" s="115">
        <v>1</v>
      </c>
      <c r="AD73" s="115">
        <v>0</v>
      </c>
      <c r="AE73" s="115">
        <v>0</v>
      </c>
      <c r="AF73" s="115">
        <v>0</v>
      </c>
      <c r="AG73" s="4" t="s">
        <v>256</v>
      </c>
      <c r="AH73" s="4" t="s">
        <v>128</v>
      </c>
      <c r="AI73" s="4" t="s">
        <v>128</v>
      </c>
      <c r="AJ73" s="4" t="s">
        <v>127</v>
      </c>
      <c r="AK73" s="4" t="s">
        <v>127</v>
      </c>
      <c r="AL73" s="4" t="s">
        <v>127</v>
      </c>
      <c r="AM73" s="4" t="s">
        <v>127</v>
      </c>
      <c r="AN73" s="4" t="s">
        <v>127</v>
      </c>
      <c r="AO73" s="4" t="s">
        <v>127</v>
      </c>
      <c r="AP73" s="4" t="s">
        <v>127</v>
      </c>
      <c r="AQ73" s="4" t="s">
        <v>127</v>
      </c>
      <c r="AR73" s="4" t="s">
        <v>127</v>
      </c>
      <c r="AS73" s="4" t="s">
        <v>127</v>
      </c>
      <c r="AT73" s="4" t="s">
        <v>127</v>
      </c>
      <c r="AU73" s="4" t="s">
        <v>127</v>
      </c>
      <c r="AV73" s="4" t="s">
        <v>127</v>
      </c>
      <c r="AW73" s="4" t="s">
        <v>127</v>
      </c>
      <c r="AX73" s="4" t="s">
        <v>127</v>
      </c>
      <c r="AY73" s="96" t="s">
        <v>417</v>
      </c>
      <c r="AZ73" s="96" t="s">
        <v>590</v>
      </c>
      <c r="BA73" s="96" t="s">
        <v>591</v>
      </c>
      <c r="BB73" s="4" t="s">
        <v>586</v>
      </c>
      <c r="BC73" s="4" t="s">
        <v>592</v>
      </c>
      <c r="BD73" s="4" t="s">
        <v>127</v>
      </c>
      <c r="BE73" s="4" t="s">
        <v>127</v>
      </c>
      <c r="BF73" s="4"/>
      <c r="BG73" s="4"/>
      <c r="BH73" s="4"/>
      <c r="BI73" s="4"/>
      <c r="BJ73" s="4"/>
      <c r="BK73" s="4"/>
      <c r="BL73" s="4"/>
      <c r="BM73" s="4"/>
      <c r="BN73" s="4"/>
      <c r="BO73" s="4"/>
    </row>
    <row r="74" spans="1:67" ht="16" x14ac:dyDescent="0.4">
      <c r="A74" s="4" t="s">
        <v>593</v>
      </c>
      <c r="B74" s="4" t="s">
        <v>593</v>
      </c>
      <c r="C74" s="4" t="s">
        <v>127</v>
      </c>
      <c r="D74" s="4" t="s">
        <v>128</v>
      </c>
      <c r="E74" s="189">
        <v>44370</v>
      </c>
      <c r="F74" s="6">
        <f t="shared" si="4"/>
        <v>2021</v>
      </c>
      <c r="G74" s="4" t="s">
        <v>594</v>
      </c>
      <c r="H74" s="22" t="str">
        <f>VLOOKUP($G74,'Item Classification'!B:C,2,0)</f>
        <v>Ammunition equipment</v>
      </c>
      <c r="I74" s="6" t="str">
        <f>VLOOKUP($G74,'Item Classification'!B:D,3,0)</f>
        <v>Ammunition</v>
      </c>
      <c r="J74" s="23">
        <f>VLOOKUP($G74,'Item Classification'!B:E,4,0)</f>
        <v>4</v>
      </c>
      <c r="K74" s="116" t="s">
        <v>189</v>
      </c>
      <c r="L74" s="116" t="s">
        <v>205</v>
      </c>
      <c r="M74" s="116" t="str">
        <f>VLOOKUP(L74,'NATO Classifications'!$D$6:$E$647,2,0)</f>
        <v>Bombs (including Fuzes)</v>
      </c>
      <c r="N74" s="4"/>
      <c r="O74" s="81"/>
      <c r="P74" s="81"/>
      <c r="Q74" s="4"/>
      <c r="R74" s="4"/>
      <c r="S74" s="112">
        <v>52000000</v>
      </c>
      <c r="T74" s="91" t="s">
        <v>132</v>
      </c>
      <c r="U74" s="104">
        <f>_xlfn.IFNA(S74/INDEX('Exchange Rates'!$C$7:$F$14,MATCH('MAIN DATA, Orders'!F74,'Exchange Rates'!$B$7:$B$14,0),MATCH('MAIN DATA, Orders'!T74,'Exchange Rates'!$C$6:$F$6,0)), "-")</f>
        <v>52000000</v>
      </c>
      <c r="V74" s="4" t="s">
        <v>133</v>
      </c>
      <c r="W74" s="4" t="s">
        <v>127</v>
      </c>
      <c r="X74" s="4" t="s">
        <v>128</v>
      </c>
      <c r="Y74" s="24">
        <f t="shared" si="5"/>
        <v>202106</v>
      </c>
      <c r="Z74" s="115">
        <v>0</v>
      </c>
      <c r="AA74" s="115">
        <v>0</v>
      </c>
      <c r="AB74" s="115">
        <v>0</v>
      </c>
      <c r="AC74" s="115" t="s">
        <v>127</v>
      </c>
      <c r="AD74" s="115" t="s">
        <v>127</v>
      </c>
      <c r="AE74" s="115" t="s">
        <v>127</v>
      </c>
      <c r="AF74" s="115" t="s">
        <v>127</v>
      </c>
      <c r="AG74" s="4" t="s">
        <v>127</v>
      </c>
      <c r="AH74" s="4" t="s">
        <v>127</v>
      </c>
      <c r="AI74" s="4" t="s">
        <v>127</v>
      </c>
      <c r="AJ74" s="4" t="s">
        <v>127</v>
      </c>
      <c r="AK74" s="4" t="s">
        <v>127</v>
      </c>
      <c r="AL74" s="4" t="s">
        <v>127</v>
      </c>
      <c r="AM74" s="4" t="s">
        <v>127</v>
      </c>
      <c r="AN74" s="4" t="s">
        <v>127</v>
      </c>
      <c r="AO74" s="4" t="s">
        <v>127</v>
      </c>
      <c r="AP74" s="4" t="s">
        <v>127</v>
      </c>
      <c r="AQ74" s="4" t="s">
        <v>127</v>
      </c>
      <c r="AR74" s="4" t="s">
        <v>127</v>
      </c>
      <c r="AS74" s="4" t="s">
        <v>127</v>
      </c>
      <c r="AT74" s="4" t="s">
        <v>127</v>
      </c>
      <c r="AU74" s="4" t="s">
        <v>127</v>
      </c>
      <c r="AV74" s="4" t="s">
        <v>127</v>
      </c>
      <c r="AW74" s="4" t="s">
        <v>127</v>
      </c>
      <c r="AX74" s="4" t="s">
        <v>127</v>
      </c>
      <c r="AY74" s="96" t="s">
        <v>417</v>
      </c>
      <c r="AZ74" s="96" t="s">
        <v>595</v>
      </c>
      <c r="BA74" s="96" t="s">
        <v>596</v>
      </c>
      <c r="BB74" s="4" t="s">
        <v>597</v>
      </c>
      <c r="BC74" s="4" t="s">
        <v>598</v>
      </c>
      <c r="BD74" s="4" t="s">
        <v>127</v>
      </c>
      <c r="BE74" s="4" t="s">
        <v>127</v>
      </c>
      <c r="BF74" s="4"/>
      <c r="BG74" s="4"/>
      <c r="BH74" s="4"/>
      <c r="BI74" s="4"/>
      <c r="BJ74" s="4"/>
      <c r="BK74" s="4"/>
      <c r="BL74" s="4"/>
      <c r="BM74" s="4"/>
      <c r="BN74" s="4"/>
      <c r="BO74" s="4"/>
    </row>
    <row r="75" spans="1:67" ht="16" x14ac:dyDescent="0.4">
      <c r="A75" s="4" t="s">
        <v>599</v>
      </c>
      <c r="B75" s="4" t="s">
        <v>599</v>
      </c>
      <c r="C75" s="4" t="s">
        <v>127</v>
      </c>
      <c r="D75" s="4" t="s">
        <v>128</v>
      </c>
      <c r="E75" s="189">
        <v>44370</v>
      </c>
      <c r="F75" s="6">
        <f t="shared" si="4"/>
        <v>2021</v>
      </c>
      <c r="G75" s="4" t="s">
        <v>600</v>
      </c>
      <c r="H75" s="22" t="str">
        <f>VLOOKUP($G75,'Item Classification'!B:C,2,0)</f>
        <v>Airforce operational readiness</v>
      </c>
      <c r="I75" s="6" t="str">
        <f>VLOOKUP($G75,'Item Classification'!B:D,3,0)</f>
        <v>Aircraft</v>
      </c>
      <c r="J75" s="23">
        <f>VLOOKUP($G75,'Item Classification'!B:E,4,0)</f>
        <v>11</v>
      </c>
      <c r="K75" s="116" t="s">
        <v>130</v>
      </c>
      <c r="L75" s="116" t="s">
        <v>237</v>
      </c>
      <c r="M75" s="116" t="str">
        <f>VLOOKUP(L75,'NATO Classifications'!$D$6:$E$647,2,0)</f>
        <v>Aircraft, Fixed Wing</v>
      </c>
      <c r="N75" s="4">
        <v>5</v>
      </c>
      <c r="O75" s="81">
        <f t="shared" si="6"/>
        <v>41200000</v>
      </c>
      <c r="P75" s="81">
        <f t="shared" si="7"/>
        <v>41200000</v>
      </c>
      <c r="Q75" s="4">
        <v>2022</v>
      </c>
      <c r="R75" s="4">
        <v>2026</v>
      </c>
      <c r="S75" s="112">
        <v>206000000</v>
      </c>
      <c r="T75" s="91" t="s">
        <v>132</v>
      </c>
      <c r="U75" s="104">
        <f>_xlfn.IFNA(S75/INDEX('Exchange Rates'!$C$7:$F$14,MATCH('MAIN DATA, Orders'!F75,'Exchange Rates'!$B$7:$B$14,0),MATCH('MAIN DATA, Orders'!T75,'Exchange Rates'!$C$6:$F$6,0)), "-")</f>
        <v>206000000</v>
      </c>
      <c r="V75" s="4" t="s">
        <v>133</v>
      </c>
      <c r="W75" s="4" t="s">
        <v>127</v>
      </c>
      <c r="X75" s="4" t="s">
        <v>128</v>
      </c>
      <c r="Y75" s="24">
        <f t="shared" si="5"/>
        <v>202106</v>
      </c>
      <c r="Z75" s="115">
        <v>1</v>
      </c>
      <c r="AA75" s="115">
        <v>1</v>
      </c>
      <c r="AB75" s="115">
        <v>0</v>
      </c>
      <c r="AC75" s="115">
        <v>1</v>
      </c>
      <c r="AD75" s="115">
        <v>0</v>
      </c>
      <c r="AE75" s="115">
        <v>1</v>
      </c>
      <c r="AF75" s="115">
        <v>0</v>
      </c>
      <c r="AG75" s="4" t="s">
        <v>601</v>
      </c>
      <c r="AH75" s="4" t="s">
        <v>128</v>
      </c>
      <c r="AI75" s="4" t="s">
        <v>127</v>
      </c>
      <c r="AJ75" s="4" t="s">
        <v>127</v>
      </c>
      <c r="AK75" s="4" t="s">
        <v>127</v>
      </c>
      <c r="AL75" s="4" t="s">
        <v>127</v>
      </c>
      <c r="AM75" s="4" t="s">
        <v>127</v>
      </c>
      <c r="AN75" s="4" t="s">
        <v>127</v>
      </c>
      <c r="AO75" s="4" t="s">
        <v>127</v>
      </c>
      <c r="AP75" s="4" t="s">
        <v>127</v>
      </c>
      <c r="AQ75" s="4" t="s">
        <v>127</v>
      </c>
      <c r="AR75" s="4" t="s">
        <v>127</v>
      </c>
      <c r="AS75" s="4" t="s">
        <v>127</v>
      </c>
      <c r="AT75" s="4" t="s">
        <v>127</v>
      </c>
      <c r="AU75" s="4" t="s">
        <v>127</v>
      </c>
      <c r="AV75" s="4" t="s">
        <v>127</v>
      </c>
      <c r="AW75" s="4" t="s">
        <v>127</v>
      </c>
      <c r="AX75" s="4" t="s">
        <v>127</v>
      </c>
      <c r="AY75" s="96" t="s">
        <v>417</v>
      </c>
      <c r="AZ75" s="96" t="s">
        <v>602</v>
      </c>
      <c r="BA75" s="96" t="s">
        <v>603</v>
      </c>
      <c r="BB75" s="4" t="s">
        <v>604</v>
      </c>
      <c r="BC75" s="4" t="s">
        <v>605</v>
      </c>
      <c r="BD75" s="4" t="s">
        <v>127</v>
      </c>
      <c r="BE75" s="4" t="s">
        <v>127</v>
      </c>
      <c r="BF75" s="4"/>
      <c r="BG75" s="4"/>
      <c r="BH75" s="4"/>
      <c r="BI75" s="4"/>
      <c r="BJ75" s="4"/>
      <c r="BK75" s="4"/>
      <c r="BL75" s="4"/>
      <c r="BM75" s="4"/>
      <c r="BN75" s="4"/>
      <c r="BO75" s="4"/>
    </row>
    <row r="76" spans="1:67" ht="16" x14ac:dyDescent="0.4">
      <c r="A76" s="4" t="s">
        <v>606</v>
      </c>
      <c r="B76" s="4" t="s">
        <v>606</v>
      </c>
      <c r="C76" s="4" t="s">
        <v>127</v>
      </c>
      <c r="D76" s="4" t="s">
        <v>128</v>
      </c>
      <c r="E76" s="189">
        <v>44370</v>
      </c>
      <c r="F76" s="6">
        <f t="shared" si="4"/>
        <v>2021</v>
      </c>
      <c r="G76" s="4" t="s">
        <v>127</v>
      </c>
      <c r="H76" s="22" t="s">
        <v>607</v>
      </c>
      <c r="I76" s="6" t="s">
        <v>608</v>
      </c>
      <c r="J76" s="23">
        <v>10</v>
      </c>
      <c r="K76" s="116" t="s">
        <v>580</v>
      </c>
      <c r="L76" s="116" t="s">
        <v>609</v>
      </c>
      <c r="M76" s="116" t="str">
        <f>VLOOKUP(L76,'NATO Classifications'!$D$6:$E$647,2,0)</f>
        <v>Aircraft Gunnery Fire Control Components</v>
      </c>
      <c r="N76" s="4"/>
      <c r="O76" s="81"/>
      <c r="P76" s="81"/>
      <c r="Q76" s="4"/>
      <c r="R76" s="4"/>
      <c r="S76" s="112">
        <v>116000000</v>
      </c>
      <c r="T76" s="91" t="s">
        <v>132</v>
      </c>
      <c r="U76" s="104">
        <f>_xlfn.IFNA(S76/INDEX('Exchange Rates'!$C$7:$F$14,MATCH('MAIN DATA, Orders'!F76,'Exchange Rates'!$B$7:$B$14,0),MATCH('MAIN DATA, Orders'!T76,'Exchange Rates'!$C$6:$F$6,0)), "-")</f>
        <v>116000000</v>
      </c>
      <c r="V76" s="4" t="s">
        <v>133</v>
      </c>
      <c r="W76" s="4" t="s">
        <v>127</v>
      </c>
      <c r="X76" s="4" t="s">
        <v>128</v>
      </c>
      <c r="Y76" s="24">
        <f t="shared" si="5"/>
        <v>202106</v>
      </c>
      <c r="Z76" s="115">
        <v>0</v>
      </c>
      <c r="AA76" s="115">
        <v>0</v>
      </c>
      <c r="AB76" s="115">
        <v>0</v>
      </c>
      <c r="AC76" s="115" t="s">
        <v>127</v>
      </c>
      <c r="AD76" s="115" t="s">
        <v>127</v>
      </c>
      <c r="AE76" s="115" t="s">
        <v>127</v>
      </c>
      <c r="AF76" s="115">
        <v>1</v>
      </c>
      <c r="AG76" s="4" t="s">
        <v>127</v>
      </c>
      <c r="AH76" s="4" t="s">
        <v>128</v>
      </c>
      <c r="AI76" s="4" t="s">
        <v>127</v>
      </c>
      <c r="AJ76" s="4" t="s">
        <v>127</v>
      </c>
      <c r="AK76" s="4" t="s">
        <v>127</v>
      </c>
      <c r="AL76" s="4" t="s">
        <v>127</v>
      </c>
      <c r="AM76" s="4" t="s">
        <v>127</v>
      </c>
      <c r="AN76" s="4" t="s">
        <v>196</v>
      </c>
      <c r="AO76" s="4" t="s">
        <v>127</v>
      </c>
      <c r="AP76" s="4" t="s">
        <v>127</v>
      </c>
      <c r="AQ76" s="4" t="s">
        <v>127</v>
      </c>
      <c r="AR76" s="4" t="s">
        <v>127</v>
      </c>
      <c r="AS76" s="4" t="s">
        <v>127</v>
      </c>
      <c r="AT76" s="4" t="s">
        <v>127</v>
      </c>
      <c r="AU76" s="4" t="s">
        <v>127</v>
      </c>
      <c r="AV76" s="4" t="s">
        <v>127</v>
      </c>
      <c r="AW76" s="4" t="s">
        <v>127</v>
      </c>
      <c r="AX76" s="4" t="s">
        <v>127</v>
      </c>
      <c r="AY76" s="96" t="s">
        <v>417</v>
      </c>
      <c r="AZ76" s="96" t="s">
        <v>610</v>
      </c>
      <c r="BA76" s="96" t="s">
        <v>611</v>
      </c>
      <c r="BB76" s="4" t="s">
        <v>612</v>
      </c>
      <c r="BC76" s="4" t="s">
        <v>613</v>
      </c>
      <c r="BD76" s="4" t="s">
        <v>614</v>
      </c>
      <c r="BE76" s="4" t="s">
        <v>127</v>
      </c>
      <c r="BF76" s="4" t="s">
        <v>200</v>
      </c>
      <c r="BG76" s="4" t="s">
        <v>200</v>
      </c>
      <c r="BH76" s="4" t="s">
        <v>200</v>
      </c>
      <c r="BI76" s="4" t="s">
        <v>200</v>
      </c>
      <c r="BJ76" s="4" t="s">
        <v>200</v>
      </c>
      <c r="BK76" s="4" t="s">
        <v>200</v>
      </c>
      <c r="BL76" s="4" t="s">
        <v>200</v>
      </c>
      <c r="BM76" s="4" t="s">
        <v>200</v>
      </c>
      <c r="BN76" s="4" t="s">
        <v>200</v>
      </c>
      <c r="BO76" s="4" t="s">
        <v>200</v>
      </c>
    </row>
    <row r="77" spans="1:67" ht="16" x14ac:dyDescent="0.4">
      <c r="A77" s="4" t="s">
        <v>606</v>
      </c>
      <c r="B77" s="4" t="s">
        <v>615</v>
      </c>
      <c r="C77" s="4" t="s">
        <v>127</v>
      </c>
      <c r="D77" s="4" t="s">
        <v>128</v>
      </c>
      <c r="E77" s="189">
        <v>44370</v>
      </c>
      <c r="F77" s="6">
        <f t="shared" si="4"/>
        <v>2021</v>
      </c>
      <c r="G77" s="4" t="s">
        <v>616</v>
      </c>
      <c r="H77" s="22" t="str">
        <f>VLOOKUP($G77,'Item Classification'!B:C,2,0)</f>
        <v>Helicopter weapons system</v>
      </c>
      <c r="I77" s="6" t="str">
        <f>VLOOKUP($G77,'Item Classification'!B:D,3,0)</f>
        <v>Helicopter</v>
      </c>
      <c r="J77" s="23">
        <f>VLOOKUP($G77,'Item Classification'!B:E,4,0)</f>
        <v>10</v>
      </c>
      <c r="K77" s="116" t="s">
        <v>158</v>
      </c>
      <c r="L77" s="116" t="s">
        <v>379</v>
      </c>
      <c r="M77" s="116" t="str">
        <f>VLOOKUP(L77,'NATO Classifications'!$D$6:$E$647,2,0)</f>
        <v>Communication, Detection, and Coherent Radiation Equipment (other)</v>
      </c>
      <c r="N77" s="4"/>
      <c r="O77" s="81"/>
      <c r="P77" s="81"/>
      <c r="Q77" s="4"/>
      <c r="R77" s="4"/>
      <c r="S77" s="4"/>
      <c r="T77" s="91" t="s">
        <v>132</v>
      </c>
      <c r="U77" s="104">
        <f>_xlfn.IFNA(S77/INDEX('Exchange Rates'!$C$7:$F$14,MATCH('MAIN DATA, Orders'!F77,'Exchange Rates'!$B$7:$B$14,0),MATCH('MAIN DATA, Orders'!T77,'Exchange Rates'!$C$6:$F$6,0)), "-")</f>
        <v>0</v>
      </c>
      <c r="V77" s="4" t="s">
        <v>133</v>
      </c>
      <c r="W77" s="4" t="s">
        <v>127</v>
      </c>
      <c r="X77" s="4" t="s">
        <v>128</v>
      </c>
      <c r="Y77" s="24">
        <f t="shared" si="5"/>
        <v>202106</v>
      </c>
      <c r="Z77" s="115">
        <v>0</v>
      </c>
      <c r="AA77" s="115">
        <v>0</v>
      </c>
      <c r="AB77" s="115">
        <v>0</v>
      </c>
      <c r="AC77" s="115">
        <v>1</v>
      </c>
      <c r="AD77" s="115">
        <v>0</v>
      </c>
      <c r="AE77" s="115">
        <v>0</v>
      </c>
      <c r="AF77" s="115">
        <v>0</v>
      </c>
      <c r="AG77" s="4" t="s">
        <v>617</v>
      </c>
      <c r="AH77" s="4" t="s">
        <v>128</v>
      </c>
      <c r="AI77" s="4" t="s">
        <v>127</v>
      </c>
      <c r="AJ77" s="4" t="s">
        <v>127</v>
      </c>
      <c r="AK77" s="4" t="s">
        <v>127</v>
      </c>
      <c r="AL77" s="4" t="s">
        <v>127</v>
      </c>
      <c r="AM77" s="4" t="s">
        <v>127</v>
      </c>
      <c r="AN77" s="4" t="s">
        <v>127</v>
      </c>
      <c r="AO77" s="4" t="s">
        <v>127</v>
      </c>
      <c r="AP77" s="4" t="s">
        <v>127</v>
      </c>
      <c r="AQ77" s="4" t="s">
        <v>127</v>
      </c>
      <c r="AR77" s="4" t="s">
        <v>127</v>
      </c>
      <c r="AS77" s="4" t="s">
        <v>127</v>
      </c>
      <c r="AT77" s="4" t="s">
        <v>127</v>
      </c>
      <c r="AU77" s="4" t="s">
        <v>127</v>
      </c>
      <c r="AV77" s="4" t="s">
        <v>127</v>
      </c>
      <c r="AW77" s="4" t="s">
        <v>127</v>
      </c>
      <c r="AX77" s="4" t="s">
        <v>127</v>
      </c>
      <c r="AY77" s="96" t="s">
        <v>417</v>
      </c>
      <c r="AZ77" s="96" t="s">
        <v>610</v>
      </c>
      <c r="BA77" s="96" t="s">
        <v>611</v>
      </c>
      <c r="BB77" s="4" t="s">
        <v>612</v>
      </c>
      <c r="BC77" s="4" t="s">
        <v>613</v>
      </c>
      <c r="BD77" s="4" t="s">
        <v>614</v>
      </c>
      <c r="BE77" s="4" t="s">
        <v>127</v>
      </c>
      <c r="BF77" s="4" t="s">
        <v>200</v>
      </c>
      <c r="BG77" s="4" t="s">
        <v>200</v>
      </c>
      <c r="BH77" s="4" t="s">
        <v>200</v>
      </c>
      <c r="BI77" s="4" t="s">
        <v>200</v>
      </c>
      <c r="BJ77" s="4" t="s">
        <v>200</v>
      </c>
      <c r="BK77" s="4" t="s">
        <v>200</v>
      </c>
      <c r="BL77" s="4" t="s">
        <v>200</v>
      </c>
      <c r="BM77" s="4" t="s">
        <v>200</v>
      </c>
      <c r="BN77" s="4" t="s">
        <v>200</v>
      </c>
      <c r="BO77" s="4" t="s">
        <v>200</v>
      </c>
    </row>
    <row r="78" spans="1:67" ht="16" x14ac:dyDescent="0.4">
      <c r="A78" s="4" t="s">
        <v>606</v>
      </c>
      <c r="B78" s="4" t="s">
        <v>618</v>
      </c>
      <c r="C78" s="4" t="s">
        <v>127</v>
      </c>
      <c r="D78" s="4" t="s">
        <v>128</v>
      </c>
      <c r="E78" s="189">
        <v>44370</v>
      </c>
      <c r="F78" s="6">
        <f t="shared" si="4"/>
        <v>2021</v>
      </c>
      <c r="G78" s="4" t="s">
        <v>619</v>
      </c>
      <c r="H78" s="22" t="str">
        <f>VLOOKUP($G78,'Item Classification'!B:C,2,0)</f>
        <v>Helicopter communication system</v>
      </c>
      <c r="I78" s="6" t="str">
        <f>VLOOKUP($G78,'Item Classification'!B:D,3,0)</f>
        <v>Helicopter</v>
      </c>
      <c r="J78" s="23">
        <f>VLOOKUP($G78,'Item Classification'!B:E,4,0)</f>
        <v>10</v>
      </c>
      <c r="K78" s="116" t="s">
        <v>158</v>
      </c>
      <c r="L78" s="116" t="s">
        <v>620</v>
      </c>
      <c r="M78" s="116" t="str">
        <f>VLOOKUP(L78,'NATO Classifications'!$D$6:$E$647,2,0)</f>
        <v>Communication, Detection, and Coherent Radiation Equipment (other)</v>
      </c>
      <c r="N78" s="4"/>
      <c r="O78" s="81"/>
      <c r="P78" s="81"/>
      <c r="Q78" s="4"/>
      <c r="R78" s="4"/>
      <c r="S78" s="4"/>
      <c r="T78" s="91" t="s">
        <v>132</v>
      </c>
      <c r="U78" s="104">
        <f>_xlfn.IFNA(S78/INDEX('Exchange Rates'!$C$7:$F$14,MATCH('MAIN DATA, Orders'!F78,'Exchange Rates'!$B$7:$B$14,0),MATCH('MAIN DATA, Orders'!T78,'Exchange Rates'!$C$6:$F$6,0)), "-")</f>
        <v>0</v>
      </c>
      <c r="V78" s="4" t="s">
        <v>133</v>
      </c>
      <c r="W78" s="4" t="s">
        <v>127</v>
      </c>
      <c r="X78" s="4" t="s">
        <v>128</v>
      </c>
      <c r="Y78" s="24">
        <f t="shared" si="5"/>
        <v>202106</v>
      </c>
      <c r="Z78" s="115">
        <v>0</v>
      </c>
      <c r="AA78" s="115">
        <v>0</v>
      </c>
      <c r="AB78" s="115">
        <v>0</v>
      </c>
      <c r="AC78" s="115">
        <v>0</v>
      </c>
      <c r="AD78" s="115">
        <v>0</v>
      </c>
      <c r="AE78" s="115">
        <v>0</v>
      </c>
      <c r="AF78" s="115">
        <v>0</v>
      </c>
      <c r="AG78" s="4" t="s">
        <v>621</v>
      </c>
      <c r="AH78" s="4" t="s">
        <v>196</v>
      </c>
      <c r="AI78" s="4" t="s">
        <v>127</v>
      </c>
      <c r="AJ78" s="4" t="s">
        <v>127</v>
      </c>
      <c r="AK78" s="4" t="s">
        <v>127</v>
      </c>
      <c r="AL78" s="4" t="s">
        <v>127</v>
      </c>
      <c r="AM78" s="4" t="s">
        <v>127</v>
      </c>
      <c r="AN78" s="4" t="s">
        <v>127</v>
      </c>
      <c r="AO78" s="4" t="s">
        <v>127</v>
      </c>
      <c r="AP78" s="4" t="s">
        <v>127</v>
      </c>
      <c r="AQ78" s="4" t="s">
        <v>127</v>
      </c>
      <c r="AR78" s="4" t="s">
        <v>127</v>
      </c>
      <c r="AS78" s="4" t="s">
        <v>127</v>
      </c>
      <c r="AT78" s="4" t="s">
        <v>127</v>
      </c>
      <c r="AU78" s="4" t="s">
        <v>127</v>
      </c>
      <c r="AV78" s="4" t="s">
        <v>127</v>
      </c>
      <c r="AW78" s="4" t="s">
        <v>127</v>
      </c>
      <c r="AX78" s="4" t="s">
        <v>127</v>
      </c>
      <c r="AY78" s="96" t="s">
        <v>417</v>
      </c>
      <c r="AZ78" s="96" t="s">
        <v>610</v>
      </c>
      <c r="BA78" s="96" t="s">
        <v>611</v>
      </c>
      <c r="BB78" s="4" t="s">
        <v>612</v>
      </c>
      <c r="BC78" s="4" t="s">
        <v>613</v>
      </c>
      <c r="BD78" s="4" t="s">
        <v>614</v>
      </c>
      <c r="BE78" s="4" t="s">
        <v>127</v>
      </c>
      <c r="BF78" s="4" t="s">
        <v>200</v>
      </c>
      <c r="BG78" s="4" t="s">
        <v>200</v>
      </c>
      <c r="BH78" s="4" t="s">
        <v>200</v>
      </c>
      <c r="BI78" s="4" t="s">
        <v>200</v>
      </c>
      <c r="BJ78" s="4" t="s">
        <v>200</v>
      </c>
      <c r="BK78" s="4" t="s">
        <v>200</v>
      </c>
      <c r="BL78" s="4" t="s">
        <v>200</v>
      </c>
      <c r="BM78" s="4" t="s">
        <v>200</v>
      </c>
      <c r="BN78" s="4" t="s">
        <v>200</v>
      </c>
      <c r="BO78" s="4" t="s">
        <v>200</v>
      </c>
    </row>
    <row r="79" spans="1:67" ht="16" x14ac:dyDescent="0.4">
      <c r="A79" s="4" t="s">
        <v>622</v>
      </c>
      <c r="B79" s="4" t="s">
        <v>622</v>
      </c>
      <c r="C79" s="4" t="s">
        <v>623</v>
      </c>
      <c r="D79" s="4" t="s">
        <v>128</v>
      </c>
      <c r="E79" s="189">
        <v>44370</v>
      </c>
      <c r="F79" s="6">
        <f t="shared" si="4"/>
        <v>2021</v>
      </c>
      <c r="G79" s="4" t="s">
        <v>127</v>
      </c>
      <c r="H79" s="22" t="s">
        <v>624</v>
      </c>
      <c r="I79" s="6" t="s">
        <v>287</v>
      </c>
      <c r="J79" s="23">
        <v>16</v>
      </c>
      <c r="K79" s="116" t="s">
        <v>625</v>
      </c>
      <c r="L79" s="116" t="s">
        <v>626</v>
      </c>
      <c r="M79" s="116" t="str">
        <f>VLOOKUP(L79,'NATO Classifications'!$D$6:$E$647,2,0)</f>
        <v>Parachutes, Aerial Pick Up, Delivery, Recovery Systems, and Cargo Tie Down Equipment</v>
      </c>
      <c r="N79" s="4"/>
      <c r="O79" s="81"/>
      <c r="P79" s="81"/>
      <c r="Q79" s="4">
        <v>2022</v>
      </c>
      <c r="R79" s="4"/>
      <c r="S79" s="112">
        <v>24000000</v>
      </c>
      <c r="T79" s="91" t="s">
        <v>132</v>
      </c>
      <c r="U79" s="104">
        <f>_xlfn.IFNA(S79/INDEX('Exchange Rates'!$C$7:$F$14,MATCH('MAIN DATA, Orders'!F79,'Exchange Rates'!$B$7:$B$14,0),MATCH('MAIN DATA, Orders'!T79,'Exchange Rates'!$C$6:$F$6,0)), "-")</f>
        <v>24000000</v>
      </c>
      <c r="V79" s="4" t="s">
        <v>133</v>
      </c>
      <c r="W79" s="4" t="s">
        <v>127</v>
      </c>
      <c r="X79" s="4" t="s">
        <v>128</v>
      </c>
      <c r="Y79" s="24">
        <f t="shared" si="5"/>
        <v>202106</v>
      </c>
      <c r="Z79" s="115">
        <v>1</v>
      </c>
      <c r="AA79" s="115">
        <v>0</v>
      </c>
      <c r="AB79" s="115">
        <v>0</v>
      </c>
      <c r="AC79" s="115">
        <v>1</v>
      </c>
      <c r="AD79" s="115">
        <v>0</v>
      </c>
      <c r="AE79" s="115">
        <v>0</v>
      </c>
      <c r="AF79" s="115">
        <v>0</v>
      </c>
      <c r="AG79" s="4" t="s">
        <v>627</v>
      </c>
      <c r="AH79" s="4" t="s">
        <v>151</v>
      </c>
      <c r="AI79" s="4" t="s">
        <v>127</v>
      </c>
      <c r="AJ79" s="4" t="s">
        <v>127</v>
      </c>
      <c r="AK79" s="4" t="s">
        <v>127</v>
      </c>
      <c r="AL79" s="4" t="s">
        <v>127</v>
      </c>
      <c r="AM79" s="4" t="s">
        <v>127</v>
      </c>
      <c r="AN79" s="4" t="s">
        <v>127</v>
      </c>
      <c r="AO79" s="4" t="s">
        <v>127</v>
      </c>
      <c r="AP79" s="4" t="s">
        <v>127</v>
      </c>
      <c r="AQ79" s="4" t="s">
        <v>127</v>
      </c>
      <c r="AR79" s="4" t="s">
        <v>127</v>
      </c>
      <c r="AS79" s="4" t="s">
        <v>127</v>
      </c>
      <c r="AT79" s="4" t="s">
        <v>127</v>
      </c>
      <c r="AU79" s="4" t="s">
        <v>127</v>
      </c>
      <c r="AV79" s="4" t="s">
        <v>127</v>
      </c>
      <c r="AW79" s="4" t="s">
        <v>127</v>
      </c>
      <c r="AX79" s="4" t="s">
        <v>127</v>
      </c>
      <c r="AY79" s="96" t="s">
        <v>417</v>
      </c>
      <c r="AZ79" s="96" t="s">
        <v>628</v>
      </c>
      <c r="BA79" s="96" t="s">
        <v>629</v>
      </c>
      <c r="BB79" s="4" t="s">
        <v>630</v>
      </c>
      <c r="BC79" s="4" t="s">
        <v>631</v>
      </c>
      <c r="BD79" s="4" t="s">
        <v>127</v>
      </c>
      <c r="BE79" s="4" t="s">
        <v>127</v>
      </c>
      <c r="BF79" s="4" t="s">
        <v>200</v>
      </c>
      <c r="BG79" s="4" t="s">
        <v>200</v>
      </c>
      <c r="BH79" s="4" t="s">
        <v>200</v>
      </c>
      <c r="BI79" s="4" t="s">
        <v>200</v>
      </c>
      <c r="BJ79" s="4" t="s">
        <v>200</v>
      </c>
      <c r="BK79" s="4" t="s">
        <v>200</v>
      </c>
      <c r="BL79" s="4" t="s">
        <v>200</v>
      </c>
      <c r="BM79" s="4" t="s">
        <v>200</v>
      </c>
      <c r="BN79" s="4" t="s">
        <v>200</v>
      </c>
      <c r="BO79" s="4" t="s">
        <v>200</v>
      </c>
    </row>
    <row r="80" spans="1:67" ht="16" x14ac:dyDescent="0.4">
      <c r="A80" s="4" t="s">
        <v>622</v>
      </c>
      <c r="B80" s="4" t="s">
        <v>632</v>
      </c>
      <c r="C80" s="4" t="s">
        <v>623</v>
      </c>
      <c r="D80" s="4" t="s">
        <v>128</v>
      </c>
      <c r="E80" s="189">
        <v>44370</v>
      </c>
      <c r="F80" s="6">
        <f t="shared" si="4"/>
        <v>2021</v>
      </c>
      <c r="G80" s="4" t="s">
        <v>633</v>
      </c>
      <c r="H80" s="22" t="str">
        <f>VLOOKUP($G80,'Item Classification'!B:C,2,0)</f>
        <v>Military equipment</v>
      </c>
      <c r="I80" s="6" t="str">
        <f>VLOOKUP($G80,'Item Classification'!B:D,3,0)</f>
        <v>Other</v>
      </c>
      <c r="J80" s="23">
        <f>VLOOKUP($G80,'Item Classification'!B:E,4,0)</f>
        <v>16</v>
      </c>
      <c r="K80" s="116" t="s">
        <v>625</v>
      </c>
      <c r="L80" s="116" t="s">
        <v>626</v>
      </c>
      <c r="M80" s="116" t="str">
        <f>VLOOKUP(L80,'NATO Classifications'!$D$6:$E$647,2,0)</f>
        <v>Parachutes, Aerial Pick Up, Delivery, Recovery Systems, and Cargo Tie Down Equipment</v>
      </c>
      <c r="N80" s="4">
        <v>1662</v>
      </c>
      <c r="O80" s="81"/>
      <c r="P80" s="81"/>
      <c r="Q80" s="4">
        <v>2022</v>
      </c>
      <c r="R80" s="4"/>
      <c r="S80" s="4"/>
      <c r="T80" s="91" t="s">
        <v>132</v>
      </c>
      <c r="U80" s="104">
        <f>_xlfn.IFNA(S80/INDEX('Exchange Rates'!$C$7:$F$14,MATCH('MAIN DATA, Orders'!F80,'Exchange Rates'!$B$7:$B$14,0),MATCH('MAIN DATA, Orders'!T80,'Exchange Rates'!$C$6:$F$6,0)), "-")</f>
        <v>0</v>
      </c>
      <c r="V80" s="4" t="s">
        <v>133</v>
      </c>
      <c r="W80" s="4" t="s">
        <v>127</v>
      </c>
      <c r="X80" s="4" t="s">
        <v>128</v>
      </c>
      <c r="Y80" s="24">
        <f t="shared" si="5"/>
        <v>202106</v>
      </c>
      <c r="Z80" s="115">
        <v>1</v>
      </c>
      <c r="AA80" s="115">
        <v>0</v>
      </c>
      <c r="AB80" s="115">
        <v>0</v>
      </c>
      <c r="AC80" s="115">
        <v>1</v>
      </c>
      <c r="AD80" s="115">
        <v>0</v>
      </c>
      <c r="AE80" s="115">
        <v>0</v>
      </c>
      <c r="AF80" s="115">
        <v>0</v>
      </c>
      <c r="AG80" s="4" t="s">
        <v>627</v>
      </c>
      <c r="AH80" s="4" t="s">
        <v>151</v>
      </c>
      <c r="AI80" s="4" t="s">
        <v>127</v>
      </c>
      <c r="AJ80" s="4" t="s">
        <v>127</v>
      </c>
      <c r="AK80" s="4" t="s">
        <v>127</v>
      </c>
      <c r="AL80" s="4" t="s">
        <v>127</v>
      </c>
      <c r="AM80" s="4" t="s">
        <v>127</v>
      </c>
      <c r="AN80" s="4" t="s">
        <v>127</v>
      </c>
      <c r="AO80" s="4" t="s">
        <v>127</v>
      </c>
      <c r="AP80" s="4" t="s">
        <v>127</v>
      </c>
      <c r="AQ80" s="4" t="s">
        <v>127</v>
      </c>
      <c r="AR80" s="4" t="s">
        <v>127</v>
      </c>
      <c r="AS80" s="4" t="s">
        <v>127</v>
      </c>
      <c r="AT80" s="4" t="s">
        <v>127</v>
      </c>
      <c r="AU80" s="4" t="s">
        <v>127</v>
      </c>
      <c r="AV80" s="4" t="s">
        <v>127</v>
      </c>
      <c r="AW80" s="4" t="s">
        <v>127</v>
      </c>
      <c r="AX80" s="4" t="s">
        <v>127</v>
      </c>
      <c r="AY80" s="96" t="s">
        <v>417</v>
      </c>
      <c r="AZ80" s="96" t="s">
        <v>628</v>
      </c>
      <c r="BA80" s="96" t="s">
        <v>629</v>
      </c>
      <c r="BB80" s="4" t="s">
        <v>630</v>
      </c>
      <c r="BC80" s="4" t="s">
        <v>631</v>
      </c>
      <c r="BD80" s="4" t="s">
        <v>127</v>
      </c>
      <c r="BE80" s="4" t="s">
        <v>127</v>
      </c>
      <c r="BF80" s="4" t="s">
        <v>200</v>
      </c>
      <c r="BG80" s="4" t="s">
        <v>200</v>
      </c>
      <c r="BH80" s="4" t="s">
        <v>200</v>
      </c>
      <c r="BI80" s="4" t="s">
        <v>200</v>
      </c>
      <c r="BJ80" s="4" t="s">
        <v>200</v>
      </c>
      <c r="BK80" s="4" t="s">
        <v>200</v>
      </c>
      <c r="BL80" s="4" t="s">
        <v>200</v>
      </c>
      <c r="BM80" s="4" t="s">
        <v>200</v>
      </c>
      <c r="BN80" s="4" t="s">
        <v>200</v>
      </c>
      <c r="BO80" s="4" t="s">
        <v>200</v>
      </c>
    </row>
    <row r="81" spans="1:67" ht="16" x14ac:dyDescent="0.4">
      <c r="A81" s="4" t="s">
        <v>622</v>
      </c>
      <c r="B81" s="4" t="s">
        <v>634</v>
      </c>
      <c r="C81" s="4" t="s">
        <v>623</v>
      </c>
      <c r="D81" s="4" t="s">
        <v>128</v>
      </c>
      <c r="E81" s="189">
        <v>44370</v>
      </c>
      <c r="F81" s="6">
        <f t="shared" si="4"/>
        <v>2021</v>
      </c>
      <c r="G81" s="4" t="s">
        <v>635</v>
      </c>
      <c r="H81" s="22" t="str">
        <f>VLOOKUP($G81,'Item Classification'!B:C,2,0)</f>
        <v>Military equipment</v>
      </c>
      <c r="I81" s="6" t="str">
        <f>VLOOKUP($G81,'Item Classification'!B:D,3,0)</f>
        <v>Other</v>
      </c>
      <c r="J81" s="23">
        <f>VLOOKUP($G81,'Item Classification'!B:E,4,0)</f>
        <v>16</v>
      </c>
      <c r="K81" s="116" t="s">
        <v>625</v>
      </c>
      <c r="L81" s="116" t="s">
        <v>626</v>
      </c>
      <c r="M81" s="116" t="str">
        <f>VLOOKUP(L81,'NATO Classifications'!$D$6:$E$647,2,0)</f>
        <v>Parachutes, Aerial Pick Up, Delivery, Recovery Systems, and Cargo Tie Down Equipment</v>
      </c>
      <c r="N81" s="4">
        <v>1162</v>
      </c>
      <c r="O81" s="81"/>
      <c r="P81" s="81"/>
      <c r="Q81" s="4">
        <v>2022</v>
      </c>
      <c r="R81" s="4"/>
      <c r="S81" s="4"/>
      <c r="T81" s="91" t="s">
        <v>132</v>
      </c>
      <c r="U81" s="104">
        <f>_xlfn.IFNA(S81/INDEX('Exchange Rates'!$C$7:$F$14,MATCH('MAIN DATA, Orders'!F81,'Exchange Rates'!$B$7:$B$14,0),MATCH('MAIN DATA, Orders'!T81,'Exchange Rates'!$C$6:$F$6,0)), "-")</f>
        <v>0</v>
      </c>
      <c r="V81" s="4" t="s">
        <v>133</v>
      </c>
      <c r="W81" s="4" t="s">
        <v>127</v>
      </c>
      <c r="X81" s="4" t="s">
        <v>128</v>
      </c>
      <c r="Y81" s="24">
        <f t="shared" si="5"/>
        <v>202106</v>
      </c>
      <c r="Z81" s="115">
        <v>1</v>
      </c>
      <c r="AA81" s="115">
        <v>0</v>
      </c>
      <c r="AB81" s="115">
        <v>0</v>
      </c>
      <c r="AC81" s="115">
        <v>1</v>
      </c>
      <c r="AD81" s="115">
        <v>0</v>
      </c>
      <c r="AE81" s="115">
        <v>0</v>
      </c>
      <c r="AF81" s="115">
        <v>0</v>
      </c>
      <c r="AG81" s="4" t="s">
        <v>627</v>
      </c>
      <c r="AH81" s="4" t="s">
        <v>151</v>
      </c>
      <c r="AI81" s="4" t="s">
        <v>127</v>
      </c>
      <c r="AJ81" s="4" t="s">
        <v>127</v>
      </c>
      <c r="AK81" s="4" t="s">
        <v>127</v>
      </c>
      <c r="AL81" s="4" t="s">
        <v>127</v>
      </c>
      <c r="AM81" s="4" t="s">
        <v>127</v>
      </c>
      <c r="AN81" s="4" t="s">
        <v>127</v>
      </c>
      <c r="AO81" s="4" t="s">
        <v>127</v>
      </c>
      <c r="AP81" s="4" t="s">
        <v>127</v>
      </c>
      <c r="AQ81" s="4" t="s">
        <v>127</v>
      </c>
      <c r="AR81" s="4" t="s">
        <v>127</v>
      </c>
      <c r="AS81" s="4" t="s">
        <v>127</v>
      </c>
      <c r="AT81" s="4" t="s">
        <v>127</v>
      </c>
      <c r="AU81" s="4" t="s">
        <v>127</v>
      </c>
      <c r="AV81" s="4" t="s">
        <v>127</v>
      </c>
      <c r="AW81" s="4" t="s">
        <v>127</v>
      </c>
      <c r="AX81" s="4" t="s">
        <v>127</v>
      </c>
      <c r="AY81" s="96" t="s">
        <v>417</v>
      </c>
      <c r="AZ81" s="96" t="s">
        <v>628</v>
      </c>
      <c r="BA81" s="96" t="s">
        <v>629</v>
      </c>
      <c r="BB81" s="4" t="s">
        <v>630</v>
      </c>
      <c r="BC81" s="4" t="s">
        <v>631</v>
      </c>
      <c r="BD81" s="4" t="s">
        <v>127</v>
      </c>
      <c r="BE81" s="4" t="s">
        <v>127</v>
      </c>
      <c r="BF81" s="4" t="s">
        <v>200</v>
      </c>
      <c r="BG81" s="4" t="s">
        <v>200</v>
      </c>
      <c r="BH81" s="4" t="s">
        <v>200</v>
      </c>
      <c r="BI81" s="4" t="s">
        <v>200</v>
      </c>
      <c r="BJ81" s="4" t="s">
        <v>200</v>
      </c>
      <c r="BK81" s="4" t="s">
        <v>200</v>
      </c>
      <c r="BL81" s="4" t="s">
        <v>200</v>
      </c>
      <c r="BM81" s="4" t="s">
        <v>200</v>
      </c>
      <c r="BN81" s="4" t="s">
        <v>200</v>
      </c>
      <c r="BO81" s="4" t="s">
        <v>200</v>
      </c>
    </row>
    <row r="82" spans="1:67" ht="16" x14ac:dyDescent="0.4">
      <c r="A82" s="4" t="s">
        <v>636</v>
      </c>
      <c r="B82" s="4" t="s">
        <v>636</v>
      </c>
      <c r="C82" s="4" t="s">
        <v>127</v>
      </c>
      <c r="D82" s="4" t="s">
        <v>128</v>
      </c>
      <c r="E82" s="189">
        <v>44657</v>
      </c>
      <c r="F82" s="6">
        <f t="shared" si="4"/>
        <v>2022</v>
      </c>
      <c r="G82" s="4" t="s">
        <v>637</v>
      </c>
      <c r="H82" s="22" t="str">
        <f>VLOOKUP($G82,'Item Classification'!B:C,2,0)</f>
        <v>Guided missile for medium-altitude long-endurance (MALE) unmanned aerial vehicle (UAV)</v>
      </c>
      <c r="I82" s="6" t="str">
        <f>VLOOKUP($G82,'Item Classification'!B:D,3,0)</f>
        <v>Missile (Land)</v>
      </c>
      <c r="J82" s="23">
        <f>VLOOKUP($G82,'Item Classification'!B:E,4,0)</f>
        <v>6</v>
      </c>
      <c r="K82" s="116" t="s">
        <v>211</v>
      </c>
      <c r="L82" s="116" t="s">
        <v>211</v>
      </c>
      <c r="M82" s="116" t="str">
        <f>VLOOKUP(L82,'NATO Classifications'!$D$6:$E$647,2,0)</f>
        <v>Guided Missiles</v>
      </c>
      <c r="N82" s="4"/>
      <c r="O82" s="81"/>
      <c r="P82" s="81"/>
      <c r="Q82" s="4"/>
      <c r="R82" s="4"/>
      <c r="S82" s="112">
        <v>150000000</v>
      </c>
      <c r="T82" s="91" t="s">
        <v>132</v>
      </c>
      <c r="U82" s="104">
        <f>_xlfn.IFNA(S82/INDEX('Exchange Rates'!$C$7:$F$14,MATCH('MAIN DATA, Orders'!F82,'Exchange Rates'!$B$7:$B$14,0),MATCH('MAIN DATA, Orders'!T82,'Exchange Rates'!$C$6:$F$6,0)), "-")</f>
        <v>150000000</v>
      </c>
      <c r="V82" s="4" t="s">
        <v>133</v>
      </c>
      <c r="W82" s="4" t="s">
        <v>127</v>
      </c>
      <c r="X82" s="4" t="s">
        <v>128</v>
      </c>
      <c r="Y82" s="24">
        <f t="shared" si="5"/>
        <v>202204</v>
      </c>
      <c r="Z82" s="115">
        <v>0</v>
      </c>
      <c r="AA82" s="115">
        <v>0</v>
      </c>
      <c r="AB82" s="115">
        <v>0</v>
      </c>
      <c r="AC82" s="115">
        <v>0</v>
      </c>
      <c r="AD82" s="115">
        <v>0</v>
      </c>
      <c r="AE82" s="115">
        <v>0</v>
      </c>
      <c r="AF82" s="115">
        <v>0</v>
      </c>
      <c r="AG82" s="4" t="s">
        <v>134</v>
      </c>
      <c r="AH82" s="4" t="s">
        <v>135</v>
      </c>
      <c r="AI82" s="4" t="s">
        <v>127</v>
      </c>
      <c r="AJ82" s="4" t="s">
        <v>127</v>
      </c>
      <c r="AK82" s="4" t="s">
        <v>127</v>
      </c>
      <c r="AL82" s="4" t="s">
        <v>127</v>
      </c>
      <c r="AM82" s="4" t="s">
        <v>127</v>
      </c>
      <c r="AN82" s="4" t="s">
        <v>127</v>
      </c>
      <c r="AO82" s="4" t="s">
        <v>127</v>
      </c>
      <c r="AP82" s="4" t="s">
        <v>127</v>
      </c>
      <c r="AQ82" s="4" t="s">
        <v>127</v>
      </c>
      <c r="AR82" s="4" t="s">
        <v>127</v>
      </c>
      <c r="AS82" s="4" t="s">
        <v>127</v>
      </c>
      <c r="AT82" s="4" t="s">
        <v>127</v>
      </c>
      <c r="AU82" s="4" t="s">
        <v>127</v>
      </c>
      <c r="AV82" s="4" t="s">
        <v>127</v>
      </c>
      <c r="AW82" s="4" t="s">
        <v>127</v>
      </c>
      <c r="AX82" s="4" t="s">
        <v>127</v>
      </c>
      <c r="AY82" s="96" t="s">
        <v>638</v>
      </c>
      <c r="AZ82" s="96" t="s">
        <v>639</v>
      </c>
      <c r="BA82" s="96" t="s">
        <v>640</v>
      </c>
      <c r="BB82" s="4" t="s">
        <v>641</v>
      </c>
      <c r="BC82" s="4" t="s">
        <v>642</v>
      </c>
      <c r="BD82" s="4" t="s">
        <v>127</v>
      </c>
      <c r="BE82" s="4" t="s">
        <v>127</v>
      </c>
      <c r="BF82" s="4"/>
      <c r="BG82" s="4"/>
      <c r="BH82" s="4"/>
      <c r="BI82" s="4"/>
      <c r="BJ82" s="4"/>
      <c r="BK82" s="4"/>
      <c r="BL82" s="4"/>
      <c r="BM82" s="4"/>
      <c r="BN82" s="4"/>
      <c r="BO82" s="4"/>
    </row>
    <row r="83" spans="1:67" ht="16" x14ac:dyDescent="0.4">
      <c r="A83" s="4" t="s">
        <v>643</v>
      </c>
      <c r="B83" s="4" t="s">
        <v>643</v>
      </c>
      <c r="C83" s="4" t="s">
        <v>127</v>
      </c>
      <c r="D83" s="4" t="s">
        <v>128</v>
      </c>
      <c r="E83" s="189">
        <v>44693</v>
      </c>
      <c r="F83" s="6">
        <f t="shared" si="4"/>
        <v>2022</v>
      </c>
      <c r="G83" s="4" t="s">
        <v>644</v>
      </c>
      <c r="H83" s="22" t="str">
        <f>VLOOKUP($G83,'Item Classification'!B:C,2,0)</f>
        <v>Non-combat military vehicle</v>
      </c>
      <c r="I83" s="6" t="str">
        <f>VLOOKUP($G83,'Item Classification'!B:D,3,0)</f>
        <v>Other</v>
      </c>
      <c r="J83" s="23">
        <f>VLOOKUP($G83,'Item Classification'!B:E,4,0)</f>
        <v>16</v>
      </c>
      <c r="K83" s="116" t="s">
        <v>274</v>
      </c>
      <c r="L83" s="116" t="s">
        <v>645</v>
      </c>
      <c r="M83" s="116" t="str">
        <f>VLOOKUP(L83,'NATO Classifications'!$D$6:$E$647,2,0)</f>
        <v>Trailers</v>
      </c>
      <c r="N83" s="4">
        <v>31</v>
      </c>
      <c r="O83" s="81"/>
      <c r="P83" s="81"/>
      <c r="Q83" s="4">
        <v>2023</v>
      </c>
      <c r="R83" s="4"/>
      <c r="S83" s="4"/>
      <c r="T83" s="91" t="s">
        <v>132</v>
      </c>
      <c r="U83" s="104">
        <f>_xlfn.IFNA(S83/INDEX('Exchange Rates'!$C$7:$F$14,MATCH('MAIN DATA, Orders'!F83,'Exchange Rates'!$B$7:$B$14,0),MATCH('MAIN DATA, Orders'!T83,'Exchange Rates'!$C$6:$F$6,0)), "-")</f>
        <v>0</v>
      </c>
      <c r="V83" s="4" t="s">
        <v>133</v>
      </c>
      <c r="W83" s="4" t="s">
        <v>127</v>
      </c>
      <c r="X83" s="4" t="s">
        <v>128</v>
      </c>
      <c r="Y83" s="24">
        <f t="shared" si="5"/>
        <v>202205</v>
      </c>
      <c r="Z83" s="115">
        <v>1</v>
      </c>
      <c r="AA83" s="115">
        <v>0</v>
      </c>
      <c r="AB83" s="115">
        <v>0</v>
      </c>
      <c r="AC83" s="115">
        <v>1</v>
      </c>
      <c r="AD83" s="115">
        <v>0</v>
      </c>
      <c r="AE83" s="115">
        <v>0</v>
      </c>
      <c r="AF83" s="115">
        <v>0</v>
      </c>
      <c r="AG83" s="4" t="s">
        <v>646</v>
      </c>
      <c r="AH83" s="4" t="s">
        <v>128</v>
      </c>
      <c r="AI83" s="4" t="s">
        <v>128</v>
      </c>
      <c r="AJ83" s="4" t="s">
        <v>127</v>
      </c>
      <c r="AK83" s="4" t="s">
        <v>127</v>
      </c>
      <c r="AL83" s="4" t="s">
        <v>127</v>
      </c>
      <c r="AM83" s="4" t="s">
        <v>127</v>
      </c>
      <c r="AN83" s="4" t="s">
        <v>127</v>
      </c>
      <c r="AO83" s="4" t="s">
        <v>127</v>
      </c>
      <c r="AP83" s="4" t="s">
        <v>127</v>
      </c>
      <c r="AQ83" s="4" t="s">
        <v>127</v>
      </c>
      <c r="AR83" s="4" t="s">
        <v>127</v>
      </c>
      <c r="AS83" s="4" t="s">
        <v>127</v>
      </c>
      <c r="AT83" s="4" t="s">
        <v>127</v>
      </c>
      <c r="AU83" s="4" t="s">
        <v>127</v>
      </c>
      <c r="AV83" s="4" t="s">
        <v>127</v>
      </c>
      <c r="AW83" s="4" t="s">
        <v>127</v>
      </c>
      <c r="AX83" s="4" t="s">
        <v>127</v>
      </c>
      <c r="AY83" s="96" t="s">
        <v>647</v>
      </c>
      <c r="AZ83" s="96" t="s">
        <v>648</v>
      </c>
      <c r="BA83" s="96" t="s">
        <v>649</v>
      </c>
      <c r="BB83" s="4" t="s">
        <v>650</v>
      </c>
      <c r="BC83" s="4" t="s">
        <v>127</v>
      </c>
      <c r="BD83" s="4" t="s">
        <v>127</v>
      </c>
      <c r="BE83" s="4" t="s">
        <v>127</v>
      </c>
      <c r="BF83" s="4"/>
      <c r="BG83" s="4"/>
      <c r="BH83" s="4"/>
      <c r="BI83" s="4"/>
      <c r="BJ83" s="4"/>
      <c r="BK83" s="4"/>
      <c r="BL83" s="4"/>
      <c r="BM83" s="4"/>
      <c r="BN83" s="4"/>
      <c r="BO83" s="4"/>
    </row>
    <row r="84" spans="1:67" ht="16" x14ac:dyDescent="0.4">
      <c r="A84" s="4" t="s">
        <v>651</v>
      </c>
      <c r="B84" s="4" t="s">
        <v>651</v>
      </c>
      <c r="C84" s="4" t="s">
        <v>652</v>
      </c>
      <c r="D84" s="4" t="s">
        <v>128</v>
      </c>
      <c r="E84" s="189">
        <v>44693</v>
      </c>
      <c r="F84" s="6">
        <f t="shared" si="4"/>
        <v>2022</v>
      </c>
      <c r="G84" s="4" t="s">
        <v>653</v>
      </c>
      <c r="H84" s="22" t="str">
        <f>VLOOKUP($G84,'Item Classification'!B:C,2,0)</f>
        <v>Spare parts logistics</v>
      </c>
      <c r="I84" s="6" t="str">
        <f>VLOOKUP($G84,'Item Classification'!B:D,3,0)</f>
        <v>Maintenance</v>
      </c>
      <c r="J84" s="23">
        <f>VLOOKUP($G84,'Item Classification'!B:E,4,0)</f>
        <v>14</v>
      </c>
      <c r="K84" s="116" t="s">
        <v>229</v>
      </c>
      <c r="L84" s="116" t="s">
        <v>230</v>
      </c>
      <c r="M84" s="116" t="str">
        <f>VLOOKUP(L84,'NATO Classifications'!$D$6:$E$647,2,0)</f>
        <v>Miscellaneous Items</v>
      </c>
      <c r="N84" s="4">
        <v>2</v>
      </c>
      <c r="O84" s="81">
        <f t="shared" si="6"/>
        <v>25950000</v>
      </c>
      <c r="P84" s="81">
        <f t="shared" si="7"/>
        <v>25950000</v>
      </c>
      <c r="Q84" s="4">
        <v>2024</v>
      </c>
      <c r="R84" s="4">
        <v>2026</v>
      </c>
      <c r="S84" s="112">
        <v>51900000</v>
      </c>
      <c r="T84" s="91" t="s">
        <v>132</v>
      </c>
      <c r="U84" s="104">
        <f>_xlfn.IFNA(S84/INDEX('Exchange Rates'!$C$7:$F$14,MATCH('MAIN DATA, Orders'!F84,'Exchange Rates'!$B$7:$B$14,0),MATCH('MAIN DATA, Orders'!T84,'Exchange Rates'!$C$6:$F$6,0)), "-")</f>
        <v>51900000</v>
      </c>
      <c r="V84" s="4" t="s">
        <v>133</v>
      </c>
      <c r="W84" s="4" t="s">
        <v>127</v>
      </c>
      <c r="X84" s="4" t="s">
        <v>128</v>
      </c>
      <c r="Y84" s="24">
        <f t="shared" si="5"/>
        <v>202205</v>
      </c>
      <c r="Z84" s="115">
        <v>1</v>
      </c>
      <c r="AA84" s="115">
        <v>1</v>
      </c>
      <c r="AB84" s="115">
        <v>0</v>
      </c>
      <c r="AC84" s="115">
        <v>1</v>
      </c>
      <c r="AD84" s="115">
        <v>0</v>
      </c>
      <c r="AE84" s="115">
        <v>0</v>
      </c>
      <c r="AF84" s="115">
        <v>0</v>
      </c>
      <c r="AG84" s="4" t="s">
        <v>336</v>
      </c>
      <c r="AH84" s="4" t="s">
        <v>128</v>
      </c>
      <c r="AI84" s="4" t="s">
        <v>127</v>
      </c>
      <c r="AJ84" s="4" t="s">
        <v>127</v>
      </c>
      <c r="AK84" s="4" t="s">
        <v>127</v>
      </c>
      <c r="AL84" s="4" t="s">
        <v>127</v>
      </c>
      <c r="AM84" s="4" t="s">
        <v>127</v>
      </c>
      <c r="AN84" s="4" t="s">
        <v>127</v>
      </c>
      <c r="AO84" s="4" t="s">
        <v>127</v>
      </c>
      <c r="AP84" s="4" t="s">
        <v>127</v>
      </c>
      <c r="AQ84" s="4" t="s">
        <v>127</v>
      </c>
      <c r="AR84" s="4" t="s">
        <v>127</v>
      </c>
      <c r="AS84" s="4" t="s">
        <v>127</v>
      </c>
      <c r="AT84" s="4" t="s">
        <v>127</v>
      </c>
      <c r="AU84" s="4" t="s">
        <v>127</v>
      </c>
      <c r="AV84" s="4" t="s">
        <v>127</v>
      </c>
      <c r="AW84" s="4" t="s">
        <v>127</v>
      </c>
      <c r="AX84" s="4" t="s">
        <v>127</v>
      </c>
      <c r="AY84" s="96" t="s">
        <v>647</v>
      </c>
      <c r="AZ84" s="96" t="s">
        <v>654</v>
      </c>
      <c r="BA84" s="96" t="s">
        <v>655</v>
      </c>
      <c r="BB84" s="4" t="s">
        <v>656</v>
      </c>
      <c r="BC84" s="4" t="s">
        <v>127</v>
      </c>
      <c r="BD84" s="4" t="s">
        <v>127</v>
      </c>
      <c r="BE84" s="4" t="s">
        <v>127</v>
      </c>
      <c r="BF84" s="4"/>
      <c r="BG84" s="4"/>
      <c r="BH84" s="4"/>
      <c r="BI84" s="4"/>
      <c r="BJ84" s="4"/>
      <c r="BK84" s="4"/>
      <c r="BL84" s="4"/>
      <c r="BM84" s="4"/>
      <c r="BN84" s="4"/>
      <c r="BO84" s="4"/>
    </row>
    <row r="85" spans="1:67" ht="16" x14ac:dyDescent="0.4">
      <c r="A85" s="4" t="s">
        <v>657</v>
      </c>
      <c r="B85" s="4" t="s">
        <v>657</v>
      </c>
      <c r="C85" s="4" t="s">
        <v>404</v>
      </c>
      <c r="D85" s="4" t="s">
        <v>128</v>
      </c>
      <c r="E85" s="189">
        <v>44693</v>
      </c>
      <c r="F85" s="6">
        <f t="shared" si="4"/>
        <v>2022</v>
      </c>
      <c r="G85" s="4" t="s">
        <v>127</v>
      </c>
      <c r="H85" s="22" t="s">
        <v>658</v>
      </c>
      <c r="I85" s="6" t="s">
        <v>659</v>
      </c>
      <c r="J85" s="23">
        <v>13</v>
      </c>
      <c r="K85" s="116" t="s">
        <v>221</v>
      </c>
      <c r="L85" s="116" t="s">
        <v>222</v>
      </c>
      <c r="M85" s="116" t="str">
        <f>VLOOKUP(L85,'NATO Classifications'!$D$6:$E$647,2,0)</f>
        <v>Clothing, Special Purpose</v>
      </c>
      <c r="N85" s="4"/>
      <c r="O85" s="81"/>
      <c r="P85" s="81"/>
      <c r="Q85" s="4"/>
      <c r="R85" s="4">
        <v>2025</v>
      </c>
      <c r="S85" s="112">
        <v>2400000000</v>
      </c>
      <c r="T85" s="91" t="s">
        <v>132</v>
      </c>
      <c r="U85" s="104">
        <f>_xlfn.IFNA(S85/INDEX('Exchange Rates'!$C$7:$F$14,MATCH('MAIN DATA, Orders'!F85,'Exchange Rates'!$B$7:$B$14,0),MATCH('MAIN DATA, Orders'!T85,'Exchange Rates'!$C$6:$F$6,0)), "-")</f>
        <v>2400000000</v>
      </c>
      <c r="V85" s="4" t="s">
        <v>133</v>
      </c>
      <c r="W85" s="4" t="s">
        <v>127</v>
      </c>
      <c r="X85" s="4" t="s">
        <v>128</v>
      </c>
      <c r="Y85" s="24">
        <f t="shared" si="5"/>
        <v>202205</v>
      </c>
      <c r="Z85" s="115">
        <v>0</v>
      </c>
      <c r="AA85" s="115">
        <v>0</v>
      </c>
      <c r="AB85" s="115">
        <v>0</v>
      </c>
      <c r="AC85" s="115">
        <v>1</v>
      </c>
      <c r="AD85" s="115">
        <v>0</v>
      </c>
      <c r="AE85" s="115">
        <v>0</v>
      </c>
      <c r="AF85" s="115">
        <v>0</v>
      </c>
      <c r="AG85" s="4" t="s">
        <v>223</v>
      </c>
      <c r="AH85" s="4" t="s">
        <v>128</v>
      </c>
      <c r="AI85" s="4" t="s">
        <v>127</v>
      </c>
      <c r="AJ85" s="4" t="s">
        <v>127</v>
      </c>
      <c r="AK85" s="4" t="s">
        <v>127</v>
      </c>
      <c r="AL85" s="4" t="s">
        <v>127</v>
      </c>
      <c r="AM85" s="4" t="s">
        <v>127</v>
      </c>
      <c r="AN85" s="4" t="s">
        <v>127</v>
      </c>
      <c r="AO85" s="4" t="s">
        <v>127</v>
      </c>
      <c r="AP85" s="4" t="s">
        <v>127</v>
      </c>
      <c r="AQ85" s="4" t="s">
        <v>127</v>
      </c>
      <c r="AR85" s="4" t="s">
        <v>127</v>
      </c>
      <c r="AS85" s="4" t="s">
        <v>127</v>
      </c>
      <c r="AT85" s="4" t="s">
        <v>127</v>
      </c>
      <c r="AU85" s="4" t="s">
        <v>127</v>
      </c>
      <c r="AV85" s="4" t="s">
        <v>127</v>
      </c>
      <c r="AW85" s="4" t="s">
        <v>127</v>
      </c>
      <c r="AX85" s="4" t="s">
        <v>127</v>
      </c>
      <c r="AY85" s="96" t="s">
        <v>647</v>
      </c>
      <c r="AZ85" s="96" t="s">
        <v>660</v>
      </c>
      <c r="BA85" s="96" t="s">
        <v>661</v>
      </c>
      <c r="BB85" s="4" t="s">
        <v>662</v>
      </c>
      <c r="BC85" s="4" t="s">
        <v>663</v>
      </c>
      <c r="BD85" s="4" t="s">
        <v>127</v>
      </c>
      <c r="BE85" s="4" t="s">
        <v>127</v>
      </c>
      <c r="BF85" s="4" t="s">
        <v>200</v>
      </c>
      <c r="BG85" s="4" t="s">
        <v>200</v>
      </c>
      <c r="BH85" s="4" t="s">
        <v>200</v>
      </c>
      <c r="BI85" s="4" t="s">
        <v>200</v>
      </c>
      <c r="BJ85" s="4" t="s">
        <v>200</v>
      </c>
      <c r="BK85" s="4" t="s">
        <v>200</v>
      </c>
      <c r="BL85" s="4" t="s">
        <v>200</v>
      </c>
      <c r="BM85" s="4" t="s">
        <v>200</v>
      </c>
      <c r="BN85" s="4" t="s">
        <v>200</v>
      </c>
      <c r="BO85" s="4" t="s">
        <v>200</v>
      </c>
    </row>
    <row r="86" spans="1:67" ht="16" x14ac:dyDescent="0.4">
      <c r="A86" s="4" t="s">
        <v>657</v>
      </c>
      <c r="B86" s="4" t="s">
        <v>664</v>
      </c>
      <c r="C86" s="4" t="s">
        <v>404</v>
      </c>
      <c r="D86" s="4" t="s">
        <v>128</v>
      </c>
      <c r="E86" s="189">
        <v>44693</v>
      </c>
      <c r="F86" s="6">
        <f t="shared" si="4"/>
        <v>2022</v>
      </c>
      <c r="G86" s="4" t="s">
        <v>665</v>
      </c>
      <c r="H86" s="22" t="str">
        <f>VLOOKUP($G86,'Item Classification'!B:C,2,0)</f>
        <v>Clothing and personal equipment</v>
      </c>
      <c r="I86" s="6" t="str">
        <f>VLOOKUP($G86,'Item Classification'!B:D,3,0)</f>
        <v>Modernisation</v>
      </c>
      <c r="J86" s="23">
        <f>VLOOKUP($G86,'Item Classification'!B:E,4,0)</f>
        <v>13</v>
      </c>
      <c r="K86" s="116" t="s">
        <v>221</v>
      </c>
      <c r="L86" s="116" t="s">
        <v>666</v>
      </c>
      <c r="M86" s="116" t="str">
        <f>VLOOKUP(L86,'NATO Classifications'!$D$6:$E$647,2,0)</f>
        <v>Armor, Personal</v>
      </c>
      <c r="N86" s="4">
        <v>305000</v>
      </c>
      <c r="O86" s="81"/>
      <c r="P86" s="81"/>
      <c r="Q86" s="4"/>
      <c r="R86" s="4">
        <v>2025</v>
      </c>
      <c r="S86" s="4"/>
      <c r="T86" s="91" t="s">
        <v>132</v>
      </c>
      <c r="U86" s="104">
        <f>_xlfn.IFNA(S86/INDEX('Exchange Rates'!$C$7:$F$14,MATCH('MAIN DATA, Orders'!F86,'Exchange Rates'!$B$7:$B$14,0),MATCH('MAIN DATA, Orders'!T86,'Exchange Rates'!$C$6:$F$6,0)), "-")</f>
        <v>0</v>
      </c>
      <c r="V86" s="4" t="s">
        <v>133</v>
      </c>
      <c r="W86" s="4" t="s">
        <v>127</v>
      </c>
      <c r="X86" s="4" t="s">
        <v>128</v>
      </c>
      <c r="Y86" s="24">
        <f t="shared" si="5"/>
        <v>202205</v>
      </c>
      <c r="Z86" s="115">
        <v>0</v>
      </c>
      <c r="AA86" s="115">
        <v>0</v>
      </c>
      <c r="AB86" s="115">
        <v>0</v>
      </c>
      <c r="AC86" s="115">
        <v>1</v>
      </c>
      <c r="AD86" s="115">
        <v>0</v>
      </c>
      <c r="AE86" s="115">
        <v>0</v>
      </c>
      <c r="AF86" s="115">
        <v>0</v>
      </c>
      <c r="AG86" s="4" t="s">
        <v>223</v>
      </c>
      <c r="AH86" s="4" t="s">
        <v>128</v>
      </c>
      <c r="AI86" s="4" t="s">
        <v>127</v>
      </c>
      <c r="AJ86" s="4" t="s">
        <v>127</v>
      </c>
      <c r="AK86" s="4" t="s">
        <v>127</v>
      </c>
      <c r="AL86" s="4" t="s">
        <v>127</v>
      </c>
      <c r="AM86" s="4" t="s">
        <v>127</v>
      </c>
      <c r="AN86" s="4" t="s">
        <v>127</v>
      </c>
      <c r="AO86" s="4" t="s">
        <v>127</v>
      </c>
      <c r="AP86" s="4" t="s">
        <v>127</v>
      </c>
      <c r="AQ86" s="4" t="s">
        <v>127</v>
      </c>
      <c r="AR86" s="4" t="s">
        <v>127</v>
      </c>
      <c r="AS86" s="4" t="s">
        <v>127</v>
      </c>
      <c r="AT86" s="4" t="s">
        <v>127</v>
      </c>
      <c r="AU86" s="4" t="s">
        <v>127</v>
      </c>
      <c r="AV86" s="4" t="s">
        <v>127</v>
      </c>
      <c r="AW86" s="4" t="s">
        <v>127</v>
      </c>
      <c r="AX86" s="4" t="s">
        <v>127</v>
      </c>
      <c r="AY86" s="96" t="s">
        <v>647</v>
      </c>
      <c r="AZ86" s="96" t="s">
        <v>660</v>
      </c>
      <c r="BA86" s="96" t="s">
        <v>661</v>
      </c>
      <c r="BB86" s="4" t="s">
        <v>662</v>
      </c>
      <c r="BC86" s="4" t="s">
        <v>663</v>
      </c>
      <c r="BD86" s="4" t="s">
        <v>127</v>
      </c>
      <c r="BE86" s="4" t="s">
        <v>127</v>
      </c>
      <c r="BF86" s="4" t="s">
        <v>200</v>
      </c>
      <c r="BG86" s="4" t="s">
        <v>200</v>
      </c>
      <c r="BH86" s="4" t="s">
        <v>200</v>
      </c>
      <c r="BI86" s="4" t="s">
        <v>200</v>
      </c>
      <c r="BJ86" s="4" t="s">
        <v>200</v>
      </c>
      <c r="BK86" s="4" t="s">
        <v>200</v>
      </c>
      <c r="BL86" s="4" t="s">
        <v>200</v>
      </c>
      <c r="BM86" s="4" t="s">
        <v>200</v>
      </c>
      <c r="BN86" s="4" t="s">
        <v>200</v>
      </c>
      <c r="BO86" s="4" t="s">
        <v>200</v>
      </c>
    </row>
    <row r="87" spans="1:67" ht="16" x14ac:dyDescent="0.4">
      <c r="A87" s="4" t="s">
        <v>657</v>
      </c>
      <c r="B87" s="4" t="s">
        <v>667</v>
      </c>
      <c r="C87" s="4" t="s">
        <v>404</v>
      </c>
      <c r="D87" s="4" t="s">
        <v>128</v>
      </c>
      <c r="E87" s="189">
        <v>44693</v>
      </c>
      <c r="F87" s="6">
        <f t="shared" si="4"/>
        <v>2022</v>
      </c>
      <c r="G87" s="4" t="s">
        <v>668</v>
      </c>
      <c r="H87" s="22" t="str">
        <f>VLOOKUP($G87,'Item Classification'!B:C,2,0)</f>
        <v>Clothing and personal equipment</v>
      </c>
      <c r="I87" s="6" t="str">
        <f>VLOOKUP($G87,'Item Classification'!B:D,3,0)</f>
        <v>Modernisation</v>
      </c>
      <c r="J87" s="23">
        <f>VLOOKUP($G87,'Item Classification'!B:E,4,0)</f>
        <v>13</v>
      </c>
      <c r="K87" s="116" t="s">
        <v>221</v>
      </c>
      <c r="L87" s="116" t="s">
        <v>222</v>
      </c>
      <c r="M87" s="116" t="str">
        <f>VLOOKUP(L87,'NATO Classifications'!$D$6:$E$647,2,0)</f>
        <v>Clothing, Special Purpose</v>
      </c>
      <c r="N87" s="4">
        <v>150000</v>
      </c>
      <c r="O87" s="81"/>
      <c r="P87" s="81"/>
      <c r="Q87" s="4"/>
      <c r="R87" s="4">
        <v>2025</v>
      </c>
      <c r="S87" s="4"/>
      <c r="T87" s="91" t="s">
        <v>132</v>
      </c>
      <c r="U87" s="104">
        <f>_xlfn.IFNA(S87/INDEX('Exchange Rates'!$C$7:$F$14,MATCH('MAIN DATA, Orders'!F87,'Exchange Rates'!$B$7:$B$14,0),MATCH('MAIN DATA, Orders'!T87,'Exchange Rates'!$C$6:$F$6,0)), "-")</f>
        <v>0</v>
      </c>
      <c r="V87" s="4" t="s">
        <v>133</v>
      </c>
      <c r="W87" s="4" t="s">
        <v>127</v>
      </c>
      <c r="X87" s="4" t="s">
        <v>128</v>
      </c>
      <c r="Y87" s="24">
        <f t="shared" si="5"/>
        <v>202205</v>
      </c>
      <c r="Z87" s="115">
        <v>0</v>
      </c>
      <c r="AA87" s="115">
        <v>0</v>
      </c>
      <c r="AB87" s="115">
        <v>0</v>
      </c>
      <c r="AC87" s="115">
        <v>1</v>
      </c>
      <c r="AD87" s="115">
        <v>0</v>
      </c>
      <c r="AE87" s="115">
        <v>0</v>
      </c>
      <c r="AF87" s="115">
        <v>0</v>
      </c>
      <c r="AG87" s="4" t="s">
        <v>223</v>
      </c>
      <c r="AH87" s="4" t="s">
        <v>128</v>
      </c>
      <c r="AI87" s="4" t="s">
        <v>127</v>
      </c>
      <c r="AJ87" s="4" t="s">
        <v>127</v>
      </c>
      <c r="AK87" s="4" t="s">
        <v>127</v>
      </c>
      <c r="AL87" s="4" t="s">
        <v>127</v>
      </c>
      <c r="AM87" s="4" t="s">
        <v>127</v>
      </c>
      <c r="AN87" s="4" t="s">
        <v>127</v>
      </c>
      <c r="AO87" s="4" t="s">
        <v>127</v>
      </c>
      <c r="AP87" s="4" t="s">
        <v>127</v>
      </c>
      <c r="AQ87" s="4" t="s">
        <v>127</v>
      </c>
      <c r="AR87" s="4" t="s">
        <v>127</v>
      </c>
      <c r="AS87" s="4" t="s">
        <v>127</v>
      </c>
      <c r="AT87" s="4" t="s">
        <v>127</v>
      </c>
      <c r="AU87" s="4" t="s">
        <v>127</v>
      </c>
      <c r="AV87" s="4" t="s">
        <v>127</v>
      </c>
      <c r="AW87" s="4" t="s">
        <v>127</v>
      </c>
      <c r="AX87" s="4" t="s">
        <v>127</v>
      </c>
      <c r="AY87" s="96" t="s">
        <v>647</v>
      </c>
      <c r="AZ87" s="96" t="s">
        <v>660</v>
      </c>
      <c r="BA87" s="96" t="s">
        <v>661</v>
      </c>
      <c r="BB87" s="4" t="s">
        <v>662</v>
      </c>
      <c r="BC87" s="4" t="s">
        <v>663</v>
      </c>
      <c r="BD87" s="4" t="s">
        <v>127</v>
      </c>
      <c r="BE87" s="4" t="s">
        <v>127</v>
      </c>
      <c r="BF87" s="4" t="s">
        <v>200</v>
      </c>
      <c r="BG87" s="4" t="s">
        <v>200</v>
      </c>
      <c r="BH87" s="4" t="s">
        <v>200</v>
      </c>
      <c r="BI87" s="4" t="s">
        <v>200</v>
      </c>
      <c r="BJ87" s="4" t="s">
        <v>200</v>
      </c>
      <c r="BK87" s="4" t="s">
        <v>200</v>
      </c>
      <c r="BL87" s="4" t="s">
        <v>200</v>
      </c>
      <c r="BM87" s="4" t="s">
        <v>200</v>
      </c>
      <c r="BN87" s="4" t="s">
        <v>200</v>
      </c>
      <c r="BO87" s="4" t="s">
        <v>200</v>
      </c>
    </row>
    <row r="88" spans="1:67" ht="16" x14ac:dyDescent="0.4">
      <c r="A88" s="4" t="s">
        <v>657</v>
      </c>
      <c r="B88" s="4" t="s">
        <v>669</v>
      </c>
      <c r="C88" s="4" t="s">
        <v>404</v>
      </c>
      <c r="D88" s="4" t="s">
        <v>128</v>
      </c>
      <c r="E88" s="189">
        <v>44693</v>
      </c>
      <c r="F88" s="6">
        <f t="shared" si="4"/>
        <v>2022</v>
      </c>
      <c r="G88" s="4" t="s">
        <v>670</v>
      </c>
      <c r="H88" s="22" t="str">
        <f>VLOOKUP($G88,'Item Classification'!B:C,2,0)</f>
        <v>Clothing and personal equipment</v>
      </c>
      <c r="I88" s="6" t="str">
        <f>VLOOKUP($G88,'Item Classification'!B:D,3,0)</f>
        <v>Modernisation</v>
      </c>
      <c r="J88" s="23">
        <f>VLOOKUP($G88,'Item Classification'!B:E,4,0)</f>
        <v>13</v>
      </c>
      <c r="K88" s="116" t="s">
        <v>221</v>
      </c>
      <c r="L88" s="116" t="s">
        <v>671</v>
      </c>
      <c r="M88" s="116" t="str">
        <f>VLOOKUP(L88,'NATO Classifications'!$D$6:$E$647,2,0)</f>
        <v>Individual Equipment</v>
      </c>
      <c r="N88" s="4">
        <v>250000</v>
      </c>
      <c r="O88" s="81"/>
      <c r="P88" s="81"/>
      <c r="Q88" s="4"/>
      <c r="R88" s="4">
        <v>2025</v>
      </c>
      <c r="S88" s="4"/>
      <c r="T88" s="91" t="s">
        <v>132</v>
      </c>
      <c r="U88" s="104">
        <f>_xlfn.IFNA(S88/INDEX('Exchange Rates'!$C$7:$F$14,MATCH('MAIN DATA, Orders'!F88,'Exchange Rates'!$B$7:$B$14,0),MATCH('MAIN DATA, Orders'!T88,'Exchange Rates'!$C$6:$F$6,0)), "-")</f>
        <v>0</v>
      </c>
      <c r="V88" s="4" t="s">
        <v>133</v>
      </c>
      <c r="W88" s="4" t="s">
        <v>127</v>
      </c>
      <c r="X88" s="4" t="s">
        <v>128</v>
      </c>
      <c r="Y88" s="24">
        <f t="shared" si="5"/>
        <v>202205</v>
      </c>
      <c r="Z88" s="115">
        <v>0</v>
      </c>
      <c r="AA88" s="115">
        <v>0</v>
      </c>
      <c r="AB88" s="115">
        <v>0</v>
      </c>
      <c r="AC88" s="115">
        <v>1</v>
      </c>
      <c r="AD88" s="115">
        <v>0</v>
      </c>
      <c r="AE88" s="115">
        <v>0</v>
      </c>
      <c r="AF88" s="115">
        <v>0</v>
      </c>
      <c r="AG88" s="4" t="s">
        <v>223</v>
      </c>
      <c r="AH88" s="4" t="s">
        <v>128</v>
      </c>
      <c r="AI88" s="4" t="s">
        <v>127</v>
      </c>
      <c r="AJ88" s="4" t="s">
        <v>127</v>
      </c>
      <c r="AK88" s="4" t="s">
        <v>127</v>
      </c>
      <c r="AL88" s="4" t="s">
        <v>127</v>
      </c>
      <c r="AM88" s="4" t="s">
        <v>127</v>
      </c>
      <c r="AN88" s="4" t="s">
        <v>127</v>
      </c>
      <c r="AO88" s="4" t="s">
        <v>127</v>
      </c>
      <c r="AP88" s="4" t="s">
        <v>127</v>
      </c>
      <c r="AQ88" s="4" t="s">
        <v>127</v>
      </c>
      <c r="AR88" s="4" t="s">
        <v>127</v>
      </c>
      <c r="AS88" s="4" t="s">
        <v>127</v>
      </c>
      <c r="AT88" s="4" t="s">
        <v>127</v>
      </c>
      <c r="AU88" s="4" t="s">
        <v>127</v>
      </c>
      <c r="AV88" s="4" t="s">
        <v>127</v>
      </c>
      <c r="AW88" s="4" t="s">
        <v>127</v>
      </c>
      <c r="AX88" s="4" t="s">
        <v>127</v>
      </c>
      <c r="AY88" s="96" t="s">
        <v>647</v>
      </c>
      <c r="AZ88" s="96" t="s">
        <v>660</v>
      </c>
      <c r="BA88" s="96" t="s">
        <v>661</v>
      </c>
      <c r="BB88" s="4" t="s">
        <v>662</v>
      </c>
      <c r="BC88" s="4" t="s">
        <v>663</v>
      </c>
      <c r="BD88" s="4" t="s">
        <v>127</v>
      </c>
      <c r="BE88" s="4" t="s">
        <v>127</v>
      </c>
      <c r="BF88" s="4" t="s">
        <v>200</v>
      </c>
      <c r="BG88" s="4" t="s">
        <v>200</v>
      </c>
      <c r="BH88" s="4" t="s">
        <v>200</v>
      </c>
      <c r="BI88" s="4" t="s">
        <v>200</v>
      </c>
      <c r="BJ88" s="4" t="s">
        <v>200</v>
      </c>
      <c r="BK88" s="4" t="s">
        <v>200</v>
      </c>
      <c r="BL88" s="4" t="s">
        <v>200</v>
      </c>
      <c r="BM88" s="4" t="s">
        <v>200</v>
      </c>
      <c r="BN88" s="4" t="s">
        <v>200</v>
      </c>
      <c r="BO88" s="4" t="s">
        <v>200</v>
      </c>
    </row>
    <row r="89" spans="1:67" ht="16" x14ac:dyDescent="0.4">
      <c r="A89" s="4" t="s">
        <v>657</v>
      </c>
      <c r="B89" s="4" t="s">
        <v>672</v>
      </c>
      <c r="C89" s="4" t="s">
        <v>404</v>
      </c>
      <c r="D89" s="4" t="s">
        <v>128</v>
      </c>
      <c r="E89" s="189">
        <v>44693</v>
      </c>
      <c r="F89" s="6">
        <f t="shared" si="4"/>
        <v>2022</v>
      </c>
      <c r="G89" s="4" t="s">
        <v>673</v>
      </c>
      <c r="H89" s="22" t="str">
        <f>VLOOKUP($G89,'Item Classification'!B:C,2,0)</f>
        <v>Clothing and personal equipment</v>
      </c>
      <c r="I89" s="6" t="str">
        <f>VLOOKUP($G89,'Item Classification'!B:D,3,0)</f>
        <v>Modernisation</v>
      </c>
      <c r="J89" s="23">
        <f>VLOOKUP($G89,'Item Classification'!B:E,4,0)</f>
        <v>13</v>
      </c>
      <c r="K89" s="116" t="s">
        <v>221</v>
      </c>
      <c r="L89" s="116" t="s">
        <v>666</v>
      </c>
      <c r="M89" s="116" t="str">
        <f>VLOOKUP(L89,'NATO Classifications'!$D$6:$E$647,2,0)</f>
        <v>Armor, Personal</v>
      </c>
      <c r="N89" s="4">
        <v>122000</v>
      </c>
      <c r="O89" s="81"/>
      <c r="P89" s="81"/>
      <c r="Q89" s="4"/>
      <c r="R89" s="4">
        <v>2025</v>
      </c>
      <c r="S89" s="4"/>
      <c r="T89" s="91" t="s">
        <v>132</v>
      </c>
      <c r="U89" s="104">
        <f>_xlfn.IFNA(S89/INDEX('Exchange Rates'!$C$7:$F$14,MATCH('MAIN DATA, Orders'!F89,'Exchange Rates'!$B$7:$B$14,0),MATCH('MAIN DATA, Orders'!T89,'Exchange Rates'!$C$6:$F$6,0)), "-")</f>
        <v>0</v>
      </c>
      <c r="V89" s="4" t="s">
        <v>133</v>
      </c>
      <c r="W89" s="4" t="s">
        <v>127</v>
      </c>
      <c r="X89" s="4" t="s">
        <v>128</v>
      </c>
      <c r="Y89" s="24">
        <f t="shared" si="5"/>
        <v>202205</v>
      </c>
      <c r="Z89" s="115">
        <v>0</v>
      </c>
      <c r="AA89" s="115">
        <v>0</v>
      </c>
      <c r="AB89" s="115">
        <v>0</v>
      </c>
      <c r="AC89" s="115">
        <v>1</v>
      </c>
      <c r="AD89" s="115">
        <v>0</v>
      </c>
      <c r="AE89" s="115">
        <v>0</v>
      </c>
      <c r="AF89" s="115">
        <v>0</v>
      </c>
      <c r="AG89" s="4" t="s">
        <v>223</v>
      </c>
      <c r="AH89" s="4" t="s">
        <v>128</v>
      </c>
      <c r="AI89" s="4" t="s">
        <v>127</v>
      </c>
      <c r="AJ89" s="4" t="s">
        <v>127</v>
      </c>
      <c r="AK89" s="4" t="s">
        <v>127</v>
      </c>
      <c r="AL89" s="4" t="s">
        <v>127</v>
      </c>
      <c r="AM89" s="4" t="s">
        <v>127</v>
      </c>
      <c r="AN89" s="4" t="s">
        <v>127</v>
      </c>
      <c r="AO89" s="4" t="s">
        <v>127</v>
      </c>
      <c r="AP89" s="4" t="s">
        <v>127</v>
      </c>
      <c r="AQ89" s="4" t="s">
        <v>127</v>
      </c>
      <c r="AR89" s="4" t="s">
        <v>127</v>
      </c>
      <c r="AS89" s="4" t="s">
        <v>127</v>
      </c>
      <c r="AT89" s="4" t="s">
        <v>127</v>
      </c>
      <c r="AU89" s="4" t="s">
        <v>127</v>
      </c>
      <c r="AV89" s="4" t="s">
        <v>127</v>
      </c>
      <c r="AW89" s="4" t="s">
        <v>127</v>
      </c>
      <c r="AX89" s="4" t="s">
        <v>127</v>
      </c>
      <c r="AY89" s="96" t="s">
        <v>647</v>
      </c>
      <c r="AZ89" s="96" t="s">
        <v>660</v>
      </c>
      <c r="BA89" s="96" t="s">
        <v>661</v>
      </c>
      <c r="BB89" s="4" t="s">
        <v>662</v>
      </c>
      <c r="BC89" s="4" t="s">
        <v>663</v>
      </c>
      <c r="BD89" s="4" t="s">
        <v>127</v>
      </c>
      <c r="BE89" s="4" t="s">
        <v>127</v>
      </c>
      <c r="BF89" s="4" t="s">
        <v>200</v>
      </c>
      <c r="BG89" s="4" t="s">
        <v>200</v>
      </c>
      <c r="BH89" s="4" t="s">
        <v>200</v>
      </c>
      <c r="BI89" s="4" t="s">
        <v>200</v>
      </c>
      <c r="BJ89" s="4" t="s">
        <v>200</v>
      </c>
      <c r="BK89" s="4" t="s">
        <v>200</v>
      </c>
      <c r="BL89" s="4" t="s">
        <v>200</v>
      </c>
      <c r="BM89" s="4" t="s">
        <v>200</v>
      </c>
      <c r="BN89" s="4" t="s">
        <v>200</v>
      </c>
      <c r="BO89" s="4" t="s">
        <v>200</v>
      </c>
    </row>
    <row r="90" spans="1:67" ht="16" x14ac:dyDescent="0.4">
      <c r="A90" s="4" t="s">
        <v>674</v>
      </c>
      <c r="B90" s="4" t="s">
        <v>674</v>
      </c>
      <c r="C90" s="4" t="s">
        <v>127</v>
      </c>
      <c r="D90" s="4" t="s">
        <v>128</v>
      </c>
      <c r="E90" s="189">
        <v>44710</v>
      </c>
      <c r="F90" s="6">
        <f t="shared" si="4"/>
        <v>2022</v>
      </c>
      <c r="G90" s="4" t="s">
        <v>675</v>
      </c>
      <c r="H90" s="22" t="str">
        <f>VLOOKUP($G90,'Item Classification'!B:C,2,0)</f>
        <v>Communication and digitalisation</v>
      </c>
      <c r="I90" s="6" t="str">
        <f>VLOOKUP($G90,'Item Classification'!B:D,3,0)</f>
        <v>Modernisation</v>
      </c>
      <c r="J90" s="23">
        <f>VLOOKUP($G90,'Item Classification'!B:E,4,0)</f>
        <v>13</v>
      </c>
      <c r="K90" s="116" t="s">
        <v>158</v>
      </c>
      <c r="L90" s="116" t="s">
        <v>567</v>
      </c>
      <c r="M90" s="116" t="str">
        <f>VLOOKUP(L90,'NATO Classifications'!$D$6:$E$647,2,0)</f>
        <v>Communication, Detection, and Coherent Radiation Equipment (other)</v>
      </c>
      <c r="N90" s="4">
        <v>5</v>
      </c>
      <c r="O90" s="81">
        <f t="shared" si="6"/>
        <v>12400000</v>
      </c>
      <c r="P90" s="81">
        <f t="shared" si="7"/>
        <v>12400000</v>
      </c>
      <c r="Q90" s="4">
        <v>2024</v>
      </c>
      <c r="R90" s="4">
        <v>2028</v>
      </c>
      <c r="S90" s="112">
        <v>62000000</v>
      </c>
      <c r="T90" s="91" t="s">
        <v>132</v>
      </c>
      <c r="U90" s="104">
        <f>_xlfn.IFNA(S90/INDEX('Exchange Rates'!$C$7:$F$14,MATCH('MAIN DATA, Orders'!F90,'Exchange Rates'!$B$7:$B$14,0),MATCH('MAIN DATA, Orders'!T90,'Exchange Rates'!$C$6:$F$6,0)), "-")</f>
        <v>62000000</v>
      </c>
      <c r="V90" s="4" t="s">
        <v>133</v>
      </c>
      <c r="W90" s="4" t="s">
        <v>127</v>
      </c>
      <c r="X90" s="4" t="s">
        <v>128</v>
      </c>
      <c r="Y90" s="24">
        <f t="shared" si="5"/>
        <v>202205</v>
      </c>
      <c r="Z90" s="115">
        <v>1</v>
      </c>
      <c r="AA90" s="115">
        <v>1</v>
      </c>
      <c r="AB90" s="115">
        <v>0</v>
      </c>
      <c r="AC90" s="115">
        <v>1</v>
      </c>
      <c r="AD90" s="115">
        <v>1</v>
      </c>
      <c r="AE90" s="115">
        <v>0</v>
      </c>
      <c r="AF90" s="115">
        <v>0</v>
      </c>
      <c r="AG90" s="4" t="s">
        <v>136</v>
      </c>
      <c r="AH90" s="4" t="s">
        <v>128</v>
      </c>
      <c r="AI90" s="4" t="s">
        <v>127</v>
      </c>
      <c r="AJ90" s="4" t="s">
        <v>127</v>
      </c>
      <c r="AK90" s="4" t="s">
        <v>127</v>
      </c>
      <c r="AL90" s="4" t="s">
        <v>127</v>
      </c>
      <c r="AM90" s="4" t="s">
        <v>127</v>
      </c>
      <c r="AN90" s="4" t="s">
        <v>127</v>
      </c>
      <c r="AO90" s="4" t="s">
        <v>127</v>
      </c>
      <c r="AP90" s="4" t="s">
        <v>127</v>
      </c>
      <c r="AQ90" s="4" t="s">
        <v>127</v>
      </c>
      <c r="AR90" s="4" t="s">
        <v>127</v>
      </c>
      <c r="AS90" s="4" t="s">
        <v>127</v>
      </c>
      <c r="AT90" s="4" t="s">
        <v>127</v>
      </c>
      <c r="AU90" s="4" t="s">
        <v>127</v>
      </c>
      <c r="AV90" s="4" t="s">
        <v>127</v>
      </c>
      <c r="AW90" s="4" t="s">
        <v>127</v>
      </c>
      <c r="AX90" s="4" t="s">
        <v>127</v>
      </c>
      <c r="AY90" s="96" t="s">
        <v>676</v>
      </c>
      <c r="AZ90" s="96" t="s">
        <v>677</v>
      </c>
      <c r="BA90" s="4" t="s">
        <v>127</v>
      </c>
      <c r="BB90" s="4" t="s">
        <v>678</v>
      </c>
      <c r="BC90" s="4" t="s">
        <v>127</v>
      </c>
      <c r="BD90" s="4" t="s">
        <v>127</v>
      </c>
      <c r="BE90" s="4" t="s">
        <v>127</v>
      </c>
      <c r="BF90" s="4"/>
      <c r="BG90" s="4"/>
      <c r="BH90" s="4"/>
      <c r="BI90" s="4"/>
      <c r="BJ90" s="4"/>
      <c r="BK90" s="4"/>
      <c r="BL90" s="4"/>
      <c r="BM90" s="4"/>
      <c r="BN90" s="4"/>
      <c r="BO90" s="4"/>
    </row>
    <row r="91" spans="1:67" ht="16" x14ac:dyDescent="0.4">
      <c r="A91" s="4" t="s">
        <v>679</v>
      </c>
      <c r="B91" s="4" t="s">
        <v>679</v>
      </c>
      <c r="C91" s="4" t="s">
        <v>127</v>
      </c>
      <c r="D91" s="4" t="s">
        <v>128</v>
      </c>
      <c r="E91" s="189">
        <v>44735</v>
      </c>
      <c r="F91" s="6">
        <f t="shared" si="4"/>
        <v>2022</v>
      </c>
      <c r="G91" s="4" t="s">
        <v>680</v>
      </c>
      <c r="H91" s="22" t="str">
        <f>VLOOKUP($G91,'Item Classification'!B:C,2,0)</f>
        <v>Medium-range operational boat</v>
      </c>
      <c r="I91" s="6" t="str">
        <f>VLOOKUP($G91,'Item Classification'!B:D,3,0)</f>
        <v>Naval</v>
      </c>
      <c r="J91" s="23">
        <f>VLOOKUP($G91,'Item Classification'!B:E,4,0)</f>
        <v>12</v>
      </c>
      <c r="K91" s="116" t="s">
        <v>143</v>
      </c>
      <c r="L91" s="116" t="s">
        <v>681</v>
      </c>
      <c r="M91" s="116" t="str">
        <f>VLOOKUP(L91,'NATO Classifications'!$D$6:$E$647,2,0)</f>
        <v>Small Craft</v>
      </c>
      <c r="N91" s="4">
        <v>9</v>
      </c>
      <c r="O91" s="81">
        <f t="shared" si="6"/>
        <v>3888888.888888889</v>
      </c>
      <c r="P91" s="81">
        <f t="shared" si="7"/>
        <v>3888888.888888889</v>
      </c>
      <c r="Q91" s="4">
        <v>2024</v>
      </c>
      <c r="R91" s="4">
        <v>2025</v>
      </c>
      <c r="S91" s="112">
        <v>35000000</v>
      </c>
      <c r="T91" s="91" t="s">
        <v>132</v>
      </c>
      <c r="U91" s="104">
        <f>_xlfn.IFNA(S91/INDEX('Exchange Rates'!$C$7:$F$14,MATCH('MAIN DATA, Orders'!F91,'Exchange Rates'!$B$7:$B$14,0),MATCH('MAIN DATA, Orders'!T91,'Exchange Rates'!$C$6:$F$6,0)), "-")</f>
        <v>35000000</v>
      </c>
      <c r="V91" s="4" t="s">
        <v>682</v>
      </c>
      <c r="W91" s="4" t="s">
        <v>133</v>
      </c>
      <c r="X91" s="4" t="s">
        <v>128</v>
      </c>
      <c r="Y91" s="24">
        <f t="shared" si="5"/>
        <v>202206</v>
      </c>
      <c r="Z91" s="115">
        <v>1</v>
      </c>
      <c r="AA91" s="115">
        <v>0</v>
      </c>
      <c r="AB91" s="115">
        <v>0</v>
      </c>
      <c r="AC91" s="115">
        <v>1</v>
      </c>
      <c r="AD91" s="115">
        <v>1</v>
      </c>
      <c r="AE91" s="115">
        <v>0</v>
      </c>
      <c r="AF91" s="115">
        <v>1</v>
      </c>
      <c r="AG91" s="4" t="s">
        <v>683</v>
      </c>
      <c r="AH91" s="4" t="s">
        <v>684</v>
      </c>
      <c r="AI91" s="4" t="s">
        <v>127</v>
      </c>
      <c r="AJ91" s="4" t="s">
        <v>685</v>
      </c>
      <c r="AK91" s="4" t="s">
        <v>256</v>
      </c>
      <c r="AL91" s="4" t="s">
        <v>686</v>
      </c>
      <c r="AM91" s="4" t="s">
        <v>687</v>
      </c>
      <c r="AN91" s="4" t="s">
        <v>128</v>
      </c>
      <c r="AO91" s="4" t="s">
        <v>127</v>
      </c>
      <c r="AP91" s="4" t="s">
        <v>127</v>
      </c>
      <c r="AQ91" s="4" t="s">
        <v>127</v>
      </c>
      <c r="AR91" s="4" t="s">
        <v>127</v>
      </c>
      <c r="AS91" s="4" t="s">
        <v>127</v>
      </c>
      <c r="AT91" s="4" t="s">
        <v>127</v>
      </c>
      <c r="AU91" s="4" t="s">
        <v>127</v>
      </c>
      <c r="AV91" s="4" t="s">
        <v>127</v>
      </c>
      <c r="AW91" s="4" t="s">
        <v>127</v>
      </c>
      <c r="AX91" s="4" t="s">
        <v>127</v>
      </c>
      <c r="AY91" s="96" t="s">
        <v>688</v>
      </c>
      <c r="AZ91" s="96" t="s">
        <v>689</v>
      </c>
      <c r="BA91" s="4" t="s">
        <v>127</v>
      </c>
      <c r="BB91" s="4" t="s">
        <v>690</v>
      </c>
      <c r="BC91" s="4" t="s">
        <v>127</v>
      </c>
      <c r="BD91" s="4" t="s">
        <v>127</v>
      </c>
      <c r="BE91" s="4" t="s">
        <v>127</v>
      </c>
      <c r="BF91" s="4"/>
      <c r="BG91" s="4"/>
      <c r="BH91" s="4"/>
      <c r="BI91" s="4"/>
      <c r="BJ91" s="4"/>
      <c r="BK91" s="4"/>
      <c r="BL91" s="4"/>
      <c r="BM91" s="4"/>
      <c r="BN91" s="4"/>
      <c r="BO91" s="4"/>
    </row>
    <row r="92" spans="1:67" ht="16" x14ac:dyDescent="0.4">
      <c r="A92" s="4" t="s">
        <v>691</v>
      </c>
      <c r="B92" s="4" t="s">
        <v>691</v>
      </c>
      <c r="C92" s="4" t="s">
        <v>127</v>
      </c>
      <c r="D92" s="4" t="s">
        <v>128</v>
      </c>
      <c r="E92" s="189">
        <v>44735</v>
      </c>
      <c r="F92" s="6">
        <f t="shared" si="4"/>
        <v>2022</v>
      </c>
      <c r="G92" s="4" t="s">
        <v>692</v>
      </c>
      <c r="H92" s="22" t="str">
        <f>VLOOKUP($G92,'Item Classification'!B:C,2,0)</f>
        <v>Communication and digitalisation</v>
      </c>
      <c r="I92" s="6" t="str">
        <f>VLOOKUP($G92,'Item Classification'!B:D,3,0)</f>
        <v>Modernisation</v>
      </c>
      <c r="J92" s="23">
        <f>VLOOKUP($G92,'Item Classification'!B:E,4,0)</f>
        <v>13</v>
      </c>
      <c r="K92" s="116" t="s">
        <v>168</v>
      </c>
      <c r="L92" s="116" t="s">
        <v>169</v>
      </c>
      <c r="M92" s="116" t="str">
        <f>VLOOKUP(L92,'NATO Classifications'!$D$6:$E$647,2,0)</f>
        <v>ADPE System Configuration</v>
      </c>
      <c r="N92" s="4">
        <v>4</v>
      </c>
      <c r="O92" s="81">
        <f t="shared" si="6"/>
        <v>25250000</v>
      </c>
      <c r="P92" s="81">
        <f t="shared" si="7"/>
        <v>25250000</v>
      </c>
      <c r="Q92" s="4">
        <v>2024</v>
      </c>
      <c r="R92" s="4">
        <v>2026</v>
      </c>
      <c r="S92" s="112">
        <v>101000000</v>
      </c>
      <c r="T92" s="91" t="s">
        <v>132</v>
      </c>
      <c r="U92" s="104">
        <f>_xlfn.IFNA(S92/INDEX('Exchange Rates'!$C$7:$F$14,MATCH('MAIN DATA, Orders'!F92,'Exchange Rates'!$B$7:$B$14,0),MATCH('MAIN DATA, Orders'!T92,'Exchange Rates'!$C$6:$F$6,0)), "-")</f>
        <v>101000000</v>
      </c>
      <c r="V92" s="4" t="s">
        <v>133</v>
      </c>
      <c r="W92" s="4" t="s">
        <v>127</v>
      </c>
      <c r="X92" s="4" t="s">
        <v>128</v>
      </c>
      <c r="Y92" s="24">
        <f t="shared" si="5"/>
        <v>202206</v>
      </c>
      <c r="Z92" s="115">
        <v>1</v>
      </c>
      <c r="AA92" s="115">
        <v>0</v>
      </c>
      <c r="AB92" s="115">
        <v>0</v>
      </c>
      <c r="AC92" s="115">
        <v>0</v>
      </c>
      <c r="AD92" s="115">
        <v>0</v>
      </c>
      <c r="AE92" s="115">
        <v>0</v>
      </c>
      <c r="AF92" s="115">
        <v>0</v>
      </c>
      <c r="AG92" s="4" t="s">
        <v>693</v>
      </c>
      <c r="AH92" s="4" t="s">
        <v>135</v>
      </c>
      <c r="AI92" s="4" t="s">
        <v>127</v>
      </c>
      <c r="AJ92" s="4" t="s">
        <v>127</v>
      </c>
      <c r="AK92" s="4" t="s">
        <v>127</v>
      </c>
      <c r="AL92" s="4" t="s">
        <v>127</v>
      </c>
      <c r="AM92" s="4" t="s">
        <v>127</v>
      </c>
      <c r="AN92" s="4" t="s">
        <v>127</v>
      </c>
      <c r="AO92" s="4" t="s">
        <v>127</v>
      </c>
      <c r="AP92" s="4" t="s">
        <v>127</v>
      </c>
      <c r="AQ92" s="4" t="s">
        <v>127</v>
      </c>
      <c r="AR92" s="4" t="s">
        <v>127</v>
      </c>
      <c r="AS92" s="4" t="s">
        <v>127</v>
      </c>
      <c r="AT92" s="4" t="s">
        <v>127</v>
      </c>
      <c r="AU92" s="4" t="s">
        <v>127</v>
      </c>
      <c r="AV92" s="4" t="s">
        <v>127</v>
      </c>
      <c r="AW92" s="4" t="s">
        <v>127</v>
      </c>
      <c r="AX92" s="4" t="s">
        <v>127</v>
      </c>
      <c r="AY92" s="96" t="s">
        <v>688</v>
      </c>
      <c r="AZ92" s="96" t="s">
        <v>694</v>
      </c>
      <c r="BA92" s="96" t="s">
        <v>695</v>
      </c>
      <c r="BB92" s="4" t="s">
        <v>696</v>
      </c>
      <c r="BC92" s="4" t="s">
        <v>127</v>
      </c>
      <c r="BD92" s="4" t="s">
        <v>127</v>
      </c>
      <c r="BE92" s="4" t="s">
        <v>127</v>
      </c>
      <c r="BF92" s="4"/>
      <c r="BG92" s="4"/>
      <c r="BH92" s="4"/>
      <c r="BI92" s="4"/>
      <c r="BJ92" s="4"/>
      <c r="BK92" s="4"/>
      <c r="BL92" s="4"/>
      <c r="BM92" s="4"/>
      <c r="BN92" s="4"/>
      <c r="BO92" s="4"/>
    </row>
    <row r="93" spans="1:67" ht="16" x14ac:dyDescent="0.4">
      <c r="A93" s="4" t="s">
        <v>697</v>
      </c>
      <c r="B93" s="4" t="s">
        <v>697</v>
      </c>
      <c r="C93" s="4" t="s">
        <v>415</v>
      </c>
      <c r="D93" s="4" t="s">
        <v>128</v>
      </c>
      <c r="E93" s="189">
        <v>44749</v>
      </c>
      <c r="F93" s="6">
        <f t="shared" si="4"/>
        <v>2022</v>
      </c>
      <c r="G93" s="4" t="s">
        <v>698</v>
      </c>
      <c r="H93" s="22" t="str">
        <f>VLOOKUP($G93,'Item Classification'!B:C,2,0)</f>
        <v>Maritime reconnaissance patrol aircraft - contract adjustment</v>
      </c>
      <c r="I93" s="6" t="str">
        <f>VLOOKUP($G93,'Item Classification'!B:D,3,0)</f>
        <v>Naval</v>
      </c>
      <c r="J93" s="23">
        <f>VLOOKUP($G93,'Item Classification'!B:E,4,0)</f>
        <v>12</v>
      </c>
      <c r="K93" s="116" t="s">
        <v>130</v>
      </c>
      <c r="L93" s="116" t="s">
        <v>237</v>
      </c>
      <c r="M93" s="116" t="str">
        <f>VLOOKUP(L93,'NATO Classifications'!$D$6:$E$647,2,0)</f>
        <v>Aircraft, Fixed Wing</v>
      </c>
      <c r="N93" s="4">
        <v>5</v>
      </c>
      <c r="O93" s="81">
        <f t="shared" si="6"/>
        <v>68360000</v>
      </c>
      <c r="P93" s="81">
        <f t="shared" si="7"/>
        <v>68360000</v>
      </c>
      <c r="Q93" s="4">
        <v>2024</v>
      </c>
      <c r="R93" s="4">
        <v>2025</v>
      </c>
      <c r="S93" s="112">
        <v>341800000</v>
      </c>
      <c r="T93" s="91" t="s">
        <v>132</v>
      </c>
      <c r="U93" s="104">
        <f>_xlfn.IFNA(S93/INDEX('Exchange Rates'!$C$7:$F$14,MATCH('MAIN DATA, Orders'!F93,'Exchange Rates'!$B$7:$B$14,0),MATCH('MAIN DATA, Orders'!T93,'Exchange Rates'!$C$6:$F$6,0)), "-")</f>
        <v>341800000</v>
      </c>
      <c r="V93" s="4" t="s">
        <v>133</v>
      </c>
      <c r="W93" s="4" t="s">
        <v>127</v>
      </c>
      <c r="X93" s="4" t="s">
        <v>128</v>
      </c>
      <c r="Y93" s="24">
        <f t="shared" si="5"/>
        <v>202207</v>
      </c>
      <c r="Z93" s="115">
        <v>0</v>
      </c>
      <c r="AA93" s="115">
        <v>0</v>
      </c>
      <c r="AB93" s="115">
        <v>1</v>
      </c>
      <c r="AC93" s="115">
        <v>0</v>
      </c>
      <c r="AD93" s="115">
        <v>0</v>
      </c>
      <c r="AE93" s="115">
        <v>0</v>
      </c>
      <c r="AF93" s="115">
        <v>0</v>
      </c>
      <c r="AG93" s="4" t="s">
        <v>192</v>
      </c>
      <c r="AH93" s="4" t="s">
        <v>196</v>
      </c>
      <c r="AI93" s="4" t="s">
        <v>127</v>
      </c>
      <c r="AJ93" s="4" t="s">
        <v>127</v>
      </c>
      <c r="AK93" s="4" t="s">
        <v>127</v>
      </c>
      <c r="AL93" s="4" t="s">
        <v>127</v>
      </c>
      <c r="AM93" s="4" t="s">
        <v>127</v>
      </c>
      <c r="AN93" s="4" t="s">
        <v>127</v>
      </c>
      <c r="AO93" s="4" t="s">
        <v>127</v>
      </c>
      <c r="AP93" s="4" t="s">
        <v>127</v>
      </c>
      <c r="AQ93" s="4" t="s">
        <v>127</v>
      </c>
      <c r="AR93" s="4" t="s">
        <v>127</v>
      </c>
      <c r="AS93" s="4" t="s">
        <v>127</v>
      </c>
      <c r="AT93" s="4" t="s">
        <v>127</v>
      </c>
      <c r="AU93" s="4" t="s">
        <v>127</v>
      </c>
      <c r="AV93" s="4" t="s">
        <v>127</v>
      </c>
      <c r="AW93" s="4" t="s">
        <v>127</v>
      </c>
      <c r="AX93" s="4" t="s">
        <v>127</v>
      </c>
      <c r="AY93" s="96" t="s">
        <v>699</v>
      </c>
      <c r="AZ93" s="96" t="s">
        <v>700</v>
      </c>
      <c r="BA93" s="4" t="s">
        <v>127</v>
      </c>
      <c r="BB93" s="4" t="s">
        <v>701</v>
      </c>
      <c r="BC93" s="4" t="s">
        <v>702</v>
      </c>
      <c r="BD93" s="4" t="s">
        <v>127</v>
      </c>
      <c r="BE93" s="4" t="s">
        <v>127</v>
      </c>
      <c r="BF93" s="4"/>
      <c r="BG93" s="4"/>
      <c r="BH93" s="4"/>
      <c r="BI93" s="4"/>
      <c r="BJ93" s="4"/>
      <c r="BK93" s="4"/>
      <c r="BL93" s="4"/>
      <c r="BM93" s="4"/>
      <c r="BN93" s="4"/>
      <c r="BO93" s="4"/>
    </row>
    <row r="94" spans="1:67" ht="16" x14ac:dyDescent="0.4">
      <c r="A94" s="4" t="s">
        <v>703</v>
      </c>
      <c r="B94" s="4" t="s">
        <v>703</v>
      </c>
      <c r="C94" s="4" t="s">
        <v>127</v>
      </c>
      <c r="D94" s="4" t="s">
        <v>128</v>
      </c>
      <c r="E94" s="189">
        <v>44749</v>
      </c>
      <c r="F94" s="6">
        <f t="shared" si="4"/>
        <v>2022</v>
      </c>
      <c r="G94" s="4" t="s">
        <v>704</v>
      </c>
      <c r="H94" s="22" t="str">
        <f>VLOOKUP($G94,'Item Classification'!B:C,2,0)</f>
        <v>Weapon system development</v>
      </c>
      <c r="I94" s="6" t="str">
        <f>VLOOKUP($G94,'Item Classification'!B:D,3,0)</f>
        <v>Development - Aircraft</v>
      </c>
      <c r="J94" s="23">
        <f>VLOOKUP($G94,'Item Classification'!B:E,4,0)</f>
        <v>15</v>
      </c>
      <c r="K94" s="116" t="s">
        <v>580</v>
      </c>
      <c r="L94" s="116" t="s">
        <v>609</v>
      </c>
      <c r="M94" s="116" t="str">
        <f>VLOOKUP(L94,'NATO Classifications'!$D$6:$E$647,2,0)</f>
        <v>Aircraft Gunnery Fire Control Components</v>
      </c>
      <c r="N94" s="4"/>
      <c r="O94" s="81"/>
      <c r="P94" s="81"/>
      <c r="Q94" s="4">
        <v>2022</v>
      </c>
      <c r="R94" s="4"/>
      <c r="S94" s="112">
        <v>242000000</v>
      </c>
      <c r="T94" s="91" t="s">
        <v>132</v>
      </c>
      <c r="U94" s="104">
        <f>_xlfn.IFNA(S94/INDEX('Exchange Rates'!$C$7:$F$14,MATCH('MAIN DATA, Orders'!F94,'Exchange Rates'!$B$7:$B$14,0),MATCH('MAIN DATA, Orders'!T94,'Exchange Rates'!$C$6:$F$6,0)), "-")</f>
        <v>242000000</v>
      </c>
      <c r="V94" s="4" t="s">
        <v>133</v>
      </c>
      <c r="W94" s="4" t="s">
        <v>127</v>
      </c>
      <c r="X94" s="4" t="s">
        <v>128</v>
      </c>
      <c r="Y94" s="24">
        <f t="shared" si="5"/>
        <v>202207</v>
      </c>
      <c r="Z94" s="115">
        <v>0</v>
      </c>
      <c r="AA94" s="115">
        <v>0</v>
      </c>
      <c r="AB94" s="115">
        <v>0</v>
      </c>
      <c r="AC94" s="115">
        <v>1</v>
      </c>
      <c r="AD94" s="115">
        <v>1</v>
      </c>
      <c r="AE94" s="115">
        <v>0</v>
      </c>
      <c r="AF94" s="115">
        <v>1</v>
      </c>
      <c r="AG94" s="4" t="s">
        <v>705</v>
      </c>
      <c r="AH94" s="4" t="s">
        <v>128</v>
      </c>
      <c r="AI94" s="4" t="s">
        <v>127</v>
      </c>
      <c r="AJ94" s="4" t="s">
        <v>127</v>
      </c>
      <c r="AK94" s="4" t="s">
        <v>127</v>
      </c>
      <c r="AL94" s="4" t="s">
        <v>127</v>
      </c>
      <c r="AM94" s="4" t="s">
        <v>127</v>
      </c>
      <c r="AN94" s="4" t="s">
        <v>238</v>
      </c>
      <c r="AO94" s="4" t="s">
        <v>197</v>
      </c>
      <c r="AP94" s="4" t="s">
        <v>162</v>
      </c>
      <c r="AQ94" s="4" t="s">
        <v>127</v>
      </c>
      <c r="AR94" s="4" t="s">
        <v>127</v>
      </c>
      <c r="AS94" s="4" t="s">
        <v>127</v>
      </c>
      <c r="AT94" s="4" t="s">
        <v>127</v>
      </c>
      <c r="AU94" s="4" t="s">
        <v>127</v>
      </c>
      <c r="AV94" s="4" t="s">
        <v>127</v>
      </c>
      <c r="AW94" s="4" t="s">
        <v>127</v>
      </c>
      <c r="AX94" s="4" t="s">
        <v>127</v>
      </c>
      <c r="AY94" s="96" t="s">
        <v>699</v>
      </c>
      <c r="AZ94" s="4" t="s">
        <v>127</v>
      </c>
      <c r="BA94" s="4" t="s">
        <v>127</v>
      </c>
      <c r="BB94" s="4" t="s">
        <v>706</v>
      </c>
      <c r="BC94" s="4" t="s">
        <v>127</v>
      </c>
      <c r="BD94" s="4" t="s">
        <v>127</v>
      </c>
      <c r="BE94" s="4" t="s">
        <v>127</v>
      </c>
      <c r="BF94" s="4"/>
      <c r="BG94" s="4"/>
      <c r="BH94" s="4"/>
      <c r="BI94" s="4"/>
      <c r="BJ94" s="4"/>
      <c r="BK94" s="4"/>
      <c r="BL94" s="4"/>
      <c r="BM94" s="4"/>
      <c r="BN94" s="4"/>
      <c r="BO94" s="4"/>
    </row>
    <row r="95" spans="1:67" ht="16" x14ac:dyDescent="0.4">
      <c r="A95" s="4" t="s">
        <v>707</v>
      </c>
      <c r="B95" s="4" t="s">
        <v>707</v>
      </c>
      <c r="C95" s="4" t="s">
        <v>127</v>
      </c>
      <c r="D95" s="4" t="s">
        <v>128</v>
      </c>
      <c r="E95" s="189">
        <v>44749</v>
      </c>
      <c r="F95" s="6">
        <f t="shared" si="4"/>
        <v>2022</v>
      </c>
      <c r="G95" s="4" t="s">
        <v>658</v>
      </c>
      <c r="H95" s="22" t="str">
        <f>VLOOKUP($G95,'Item Classification'!B:C,2,0)</f>
        <v>Clothing and personal equipment</v>
      </c>
      <c r="I95" s="6" t="str">
        <f>VLOOKUP($G95,'Item Classification'!B:D,3,0)</f>
        <v>Modernisation</v>
      </c>
      <c r="J95" s="23">
        <f>VLOOKUP($G95,'Item Classification'!B:E,4,0)</f>
        <v>13</v>
      </c>
      <c r="K95" s="116" t="s">
        <v>221</v>
      </c>
      <c r="L95" s="116" t="s">
        <v>222</v>
      </c>
      <c r="M95" s="116" t="str">
        <f>VLOOKUP(L95,'NATO Classifications'!$D$6:$E$647,2,0)</f>
        <v>Clothing, Special Purpose</v>
      </c>
      <c r="N95" s="4"/>
      <c r="O95" s="81"/>
      <c r="P95" s="81"/>
      <c r="Q95" s="4"/>
      <c r="R95" s="4">
        <v>2025</v>
      </c>
      <c r="S95" s="112">
        <v>6890000000</v>
      </c>
      <c r="T95" s="91" t="s">
        <v>132</v>
      </c>
      <c r="U95" s="104">
        <f>_xlfn.IFNA(S95/INDEX('Exchange Rates'!$C$7:$F$14,MATCH('MAIN DATA, Orders'!F95,'Exchange Rates'!$B$7:$B$14,0),MATCH('MAIN DATA, Orders'!T95,'Exchange Rates'!$C$6:$F$6,0)), "-")</f>
        <v>6890000000</v>
      </c>
      <c r="V95" s="4" t="s">
        <v>133</v>
      </c>
      <c r="W95" s="4" t="s">
        <v>127</v>
      </c>
      <c r="X95" s="4" t="s">
        <v>128</v>
      </c>
      <c r="Y95" s="24">
        <f t="shared" si="5"/>
        <v>202207</v>
      </c>
      <c r="Z95" s="115">
        <v>0</v>
      </c>
      <c r="AA95" s="115">
        <v>0</v>
      </c>
      <c r="AB95" s="115">
        <v>0</v>
      </c>
      <c r="AC95" s="115">
        <v>1</v>
      </c>
      <c r="AD95" s="115">
        <v>0</v>
      </c>
      <c r="AE95" s="115">
        <v>0</v>
      </c>
      <c r="AF95" s="115">
        <v>0</v>
      </c>
      <c r="AG95" s="4" t="s">
        <v>223</v>
      </c>
      <c r="AH95" s="4" t="s">
        <v>128</v>
      </c>
      <c r="AI95" s="4" t="s">
        <v>127</v>
      </c>
      <c r="AJ95" s="4" t="s">
        <v>127</v>
      </c>
      <c r="AK95" s="4" t="s">
        <v>127</v>
      </c>
      <c r="AL95" s="4" t="s">
        <v>127</v>
      </c>
      <c r="AM95" s="4" t="s">
        <v>127</v>
      </c>
      <c r="AN95" s="4" t="s">
        <v>127</v>
      </c>
      <c r="AO95" s="4" t="s">
        <v>127</v>
      </c>
      <c r="AP95" s="4" t="s">
        <v>127</v>
      </c>
      <c r="AQ95" s="4" t="s">
        <v>127</v>
      </c>
      <c r="AR95" s="4" t="s">
        <v>127</v>
      </c>
      <c r="AS95" s="4" t="s">
        <v>127</v>
      </c>
      <c r="AT95" s="4" t="s">
        <v>127</v>
      </c>
      <c r="AU95" s="4" t="s">
        <v>127</v>
      </c>
      <c r="AV95" s="4" t="s">
        <v>127</v>
      </c>
      <c r="AW95" s="4" t="s">
        <v>127</v>
      </c>
      <c r="AX95" s="4" t="s">
        <v>127</v>
      </c>
      <c r="AY95" s="96" t="s">
        <v>699</v>
      </c>
      <c r="AZ95" s="4" t="s">
        <v>127</v>
      </c>
      <c r="BA95" s="4" t="s">
        <v>127</v>
      </c>
      <c r="BB95" s="4" t="s">
        <v>708</v>
      </c>
      <c r="BC95" s="4" t="s">
        <v>127</v>
      </c>
      <c r="BD95" s="4" t="s">
        <v>127</v>
      </c>
      <c r="BE95" s="4" t="s">
        <v>127</v>
      </c>
      <c r="BF95" s="4"/>
      <c r="BG95" s="4"/>
      <c r="BH95" s="4"/>
      <c r="BI95" s="4"/>
      <c r="BJ95" s="4"/>
      <c r="BK95" s="4"/>
      <c r="BL95" s="4"/>
      <c r="BM95" s="4"/>
      <c r="BN95" s="4"/>
      <c r="BO95" s="4"/>
    </row>
    <row r="96" spans="1:67" ht="16" x14ac:dyDescent="0.4">
      <c r="A96" s="4" t="s">
        <v>709</v>
      </c>
      <c r="B96" s="4" t="s">
        <v>709</v>
      </c>
      <c r="C96" s="4" t="s">
        <v>253</v>
      </c>
      <c r="D96" s="4" t="s">
        <v>128</v>
      </c>
      <c r="E96" s="189">
        <v>44749</v>
      </c>
      <c r="F96" s="6">
        <f t="shared" si="4"/>
        <v>2022</v>
      </c>
      <c r="G96" s="4" t="s">
        <v>254</v>
      </c>
      <c r="H96" s="22" t="str">
        <f>VLOOKUP($G96,'Item Classification'!B:C,2,0)</f>
        <v>120mm tank ammunition</v>
      </c>
      <c r="I96" s="6" t="str">
        <f>VLOOKUP($G96,'Item Classification'!B:D,3,0)</f>
        <v>Ammunition</v>
      </c>
      <c r="J96" s="23">
        <f>VLOOKUP($G96,'Item Classification'!B:E,4,0)</f>
        <v>4</v>
      </c>
      <c r="K96" s="116" t="s">
        <v>189</v>
      </c>
      <c r="L96" s="116" t="s">
        <v>255</v>
      </c>
      <c r="M96" s="116" t="str">
        <f>VLOOKUP(L96,'NATO Classifications'!$D$6:$E$647,2,0)</f>
        <v>Ammunition over 75mm</v>
      </c>
      <c r="N96" s="4">
        <v>20715</v>
      </c>
      <c r="O96" s="81">
        <f t="shared" si="6"/>
        <v>2032.3437122857833</v>
      </c>
      <c r="P96" s="81">
        <f t="shared" si="7"/>
        <v>2032.3437122857833</v>
      </c>
      <c r="Q96" s="4">
        <v>2022</v>
      </c>
      <c r="R96" s="4">
        <v>2022</v>
      </c>
      <c r="S96" s="112">
        <v>42100000</v>
      </c>
      <c r="T96" s="91" t="s">
        <v>132</v>
      </c>
      <c r="U96" s="104">
        <f>_xlfn.IFNA(S96/INDEX('Exchange Rates'!$C$7:$F$14,MATCH('MAIN DATA, Orders'!F96,'Exchange Rates'!$B$7:$B$14,0),MATCH('MAIN DATA, Orders'!T96,'Exchange Rates'!$C$6:$F$6,0)), "-")</f>
        <v>42100000</v>
      </c>
      <c r="V96" s="4" t="s">
        <v>133</v>
      </c>
      <c r="W96" s="4" t="s">
        <v>127</v>
      </c>
      <c r="X96" s="4" t="s">
        <v>128</v>
      </c>
      <c r="Y96" s="24">
        <f t="shared" si="5"/>
        <v>202207</v>
      </c>
      <c r="Z96" s="115">
        <v>1</v>
      </c>
      <c r="AA96" s="115">
        <v>0</v>
      </c>
      <c r="AB96" s="115">
        <v>0</v>
      </c>
      <c r="AC96" s="115">
        <v>1</v>
      </c>
      <c r="AD96" s="115">
        <v>0</v>
      </c>
      <c r="AE96" s="115">
        <v>0</v>
      </c>
      <c r="AF96" s="115">
        <v>0</v>
      </c>
      <c r="AG96" s="4" t="s">
        <v>256</v>
      </c>
      <c r="AH96" s="4" t="s">
        <v>128</v>
      </c>
      <c r="AI96" s="4" t="s">
        <v>127</v>
      </c>
      <c r="AJ96" s="4" t="s">
        <v>127</v>
      </c>
      <c r="AK96" s="4" t="s">
        <v>127</v>
      </c>
      <c r="AL96" s="4" t="s">
        <v>127</v>
      </c>
      <c r="AM96" s="4" t="s">
        <v>127</v>
      </c>
      <c r="AN96" s="4" t="s">
        <v>127</v>
      </c>
      <c r="AO96" s="4" t="s">
        <v>127</v>
      </c>
      <c r="AP96" s="4" t="s">
        <v>127</v>
      </c>
      <c r="AQ96" s="4" t="s">
        <v>127</v>
      </c>
      <c r="AR96" s="4" t="s">
        <v>127</v>
      </c>
      <c r="AS96" s="4" t="s">
        <v>127</v>
      </c>
      <c r="AT96" s="4" t="s">
        <v>127</v>
      </c>
      <c r="AU96" s="4" t="s">
        <v>127</v>
      </c>
      <c r="AV96" s="4" t="s">
        <v>127</v>
      </c>
      <c r="AW96" s="4" t="s">
        <v>127</v>
      </c>
      <c r="AX96" s="4" t="s">
        <v>127</v>
      </c>
      <c r="AY96" s="96" t="s">
        <v>699</v>
      </c>
      <c r="AZ96" s="96" t="s">
        <v>258</v>
      </c>
      <c r="BA96" s="96" t="s">
        <v>710</v>
      </c>
      <c r="BB96" s="4" t="s">
        <v>711</v>
      </c>
      <c r="BC96" s="4" t="s">
        <v>712</v>
      </c>
      <c r="BD96" s="4" t="s">
        <v>127</v>
      </c>
      <c r="BE96" s="4" t="s">
        <v>127</v>
      </c>
      <c r="BF96" s="4"/>
      <c r="BG96" s="4"/>
      <c r="BH96" s="4"/>
      <c r="BI96" s="4"/>
      <c r="BJ96" s="4"/>
      <c r="BK96" s="4"/>
      <c r="BL96" s="4"/>
      <c r="BM96" s="4"/>
      <c r="BN96" s="4"/>
      <c r="BO96" s="4"/>
    </row>
    <row r="97" spans="1:67" ht="16" x14ac:dyDescent="0.4">
      <c r="A97" s="4" t="s">
        <v>713</v>
      </c>
      <c r="B97" s="4" t="s">
        <v>713</v>
      </c>
      <c r="C97" s="4" t="s">
        <v>127</v>
      </c>
      <c r="D97" s="4" t="s">
        <v>128</v>
      </c>
      <c r="E97" s="189">
        <v>44825</v>
      </c>
      <c r="F97" s="6">
        <f t="shared" si="4"/>
        <v>2022</v>
      </c>
      <c r="G97" s="4" t="s">
        <v>714</v>
      </c>
      <c r="H97" s="22" t="str">
        <f>VLOOKUP($G97,'Item Classification'!B:C,2,0)</f>
        <v>Naval guided surface-to-air missile (SAM)</v>
      </c>
      <c r="I97" s="6" t="str">
        <f>VLOOKUP($G97,'Item Classification'!B:D,3,0)</f>
        <v>Missile (Naval)</v>
      </c>
      <c r="J97" s="23">
        <f>VLOOKUP($G97,'Item Classification'!B:E,4,0)</f>
        <v>6</v>
      </c>
      <c r="K97" s="116" t="s">
        <v>211</v>
      </c>
      <c r="L97" s="116" t="s">
        <v>211</v>
      </c>
      <c r="M97" s="116" t="str">
        <f>VLOOKUP(L97,'NATO Classifications'!$D$6:$E$647,2,0)</f>
        <v>Guided Missiles</v>
      </c>
      <c r="N97" s="4">
        <v>600</v>
      </c>
      <c r="O97" s="81">
        <f t="shared" si="6"/>
        <v>934833.33333333337</v>
      </c>
      <c r="P97" s="81">
        <f t="shared" si="7"/>
        <v>934833.33333333337</v>
      </c>
      <c r="Q97" s="4">
        <v>2024</v>
      </c>
      <c r="R97" s="4">
        <v>2029</v>
      </c>
      <c r="S97" s="112">
        <v>560900000</v>
      </c>
      <c r="T97" s="91" t="s">
        <v>132</v>
      </c>
      <c r="U97" s="104">
        <f>_xlfn.IFNA(S97/INDEX('Exchange Rates'!$C$7:$F$14,MATCH('MAIN DATA, Orders'!F97,'Exchange Rates'!$B$7:$B$14,0),MATCH('MAIN DATA, Orders'!T97,'Exchange Rates'!$C$6:$F$6,0)), "-")</f>
        <v>560900000</v>
      </c>
      <c r="V97" s="4" t="s">
        <v>133</v>
      </c>
      <c r="W97" s="4" t="s">
        <v>127</v>
      </c>
      <c r="X97" s="4" t="s">
        <v>128</v>
      </c>
      <c r="Y97" s="24">
        <f t="shared" si="5"/>
        <v>202209</v>
      </c>
      <c r="Z97" s="115">
        <v>0</v>
      </c>
      <c r="AA97" s="115">
        <v>0</v>
      </c>
      <c r="AB97" s="115">
        <v>0</v>
      </c>
      <c r="AC97" s="115">
        <v>1</v>
      </c>
      <c r="AD97" s="115">
        <v>0</v>
      </c>
      <c r="AE97" s="115">
        <v>1</v>
      </c>
      <c r="AF97" s="115">
        <v>1</v>
      </c>
      <c r="AG97" s="4" t="s">
        <v>715</v>
      </c>
      <c r="AH97" s="4" t="s">
        <v>128</v>
      </c>
      <c r="AI97" s="4" t="s">
        <v>127</v>
      </c>
      <c r="AJ97" s="4" t="s">
        <v>716</v>
      </c>
      <c r="AK97" s="4" t="s">
        <v>717</v>
      </c>
      <c r="AL97" s="4" t="s">
        <v>718</v>
      </c>
      <c r="AM97" s="4" t="s">
        <v>127</v>
      </c>
      <c r="AN97" s="4" t="s">
        <v>196</v>
      </c>
      <c r="AO97" s="4" t="s">
        <v>127</v>
      </c>
      <c r="AP97" s="4" t="s">
        <v>127</v>
      </c>
      <c r="AQ97" s="4" t="s">
        <v>127</v>
      </c>
      <c r="AR97" s="4" t="s">
        <v>127</v>
      </c>
      <c r="AS97" s="4" t="s">
        <v>127</v>
      </c>
      <c r="AT97" s="4" t="s">
        <v>127</v>
      </c>
      <c r="AU97" s="4" t="s">
        <v>127</v>
      </c>
      <c r="AV97" s="4" t="s">
        <v>127</v>
      </c>
      <c r="AW97" s="4" t="s">
        <v>127</v>
      </c>
      <c r="AX97" s="4" t="s">
        <v>127</v>
      </c>
      <c r="AY97" s="96" t="s">
        <v>719</v>
      </c>
      <c r="AZ97" s="96" t="s">
        <v>720</v>
      </c>
      <c r="BA97" s="4" t="s">
        <v>127</v>
      </c>
      <c r="BB97" s="4" t="s">
        <v>721</v>
      </c>
      <c r="BC97" s="4" t="s">
        <v>722</v>
      </c>
      <c r="BD97" s="4" t="s">
        <v>127</v>
      </c>
      <c r="BE97" s="4" t="s">
        <v>127</v>
      </c>
      <c r="BF97" s="4"/>
      <c r="BG97" s="4"/>
      <c r="BH97" s="4"/>
      <c r="BI97" s="4"/>
      <c r="BJ97" s="4"/>
      <c r="BK97" s="4"/>
      <c r="BL97" s="4"/>
      <c r="BM97" s="4"/>
      <c r="BN97" s="4"/>
      <c r="BO97" s="4"/>
    </row>
    <row r="98" spans="1:67" ht="16" x14ac:dyDescent="0.4">
      <c r="A98" s="4" t="s">
        <v>723</v>
      </c>
      <c r="B98" s="4" t="s">
        <v>723</v>
      </c>
      <c r="C98" s="4" t="s">
        <v>127</v>
      </c>
      <c r="D98" s="4" t="s">
        <v>128</v>
      </c>
      <c r="E98" s="189">
        <v>44825</v>
      </c>
      <c r="F98" s="6">
        <f t="shared" si="4"/>
        <v>2022</v>
      </c>
      <c r="G98" s="4" t="s">
        <v>724</v>
      </c>
      <c r="H98" s="22" t="str">
        <f>VLOOKUP($G98,'Item Classification'!B:C,2,0)</f>
        <v>Naval guided surface-to-air missile (SAM) - additional services</v>
      </c>
      <c r="I98" s="6" t="str">
        <f>VLOOKUP($G98,'Item Classification'!B:D,3,0)</f>
        <v>Missile (Naval)</v>
      </c>
      <c r="J98" s="23">
        <f>VLOOKUP($G98,'Item Classification'!B:E,4,0)</f>
        <v>6</v>
      </c>
      <c r="K98" s="116" t="s">
        <v>211</v>
      </c>
      <c r="L98" s="116" t="s">
        <v>211</v>
      </c>
      <c r="M98" s="116" t="str">
        <f>VLOOKUP(L98,'NATO Classifications'!$D$6:$E$647,2,0)</f>
        <v>Guided Missiles</v>
      </c>
      <c r="N98" s="4"/>
      <c r="O98" s="81"/>
      <c r="P98" s="81"/>
      <c r="Q98" s="4">
        <v>2024</v>
      </c>
      <c r="R98" s="4">
        <v>2029</v>
      </c>
      <c r="S98" s="112">
        <v>76100000</v>
      </c>
      <c r="T98" s="91" t="s">
        <v>132</v>
      </c>
      <c r="U98" s="104">
        <f>_xlfn.IFNA(S98/INDEX('Exchange Rates'!$C$7:$F$14,MATCH('MAIN DATA, Orders'!F98,'Exchange Rates'!$B$7:$B$14,0),MATCH('MAIN DATA, Orders'!T98,'Exchange Rates'!$C$6:$F$6,0)), "-")</f>
        <v>76100000</v>
      </c>
      <c r="V98" s="4" t="s">
        <v>133</v>
      </c>
      <c r="W98" s="4" t="s">
        <v>127</v>
      </c>
      <c r="X98" s="4" t="s">
        <v>128</v>
      </c>
      <c r="Y98" s="24">
        <f t="shared" si="5"/>
        <v>202209</v>
      </c>
      <c r="Z98" s="115">
        <v>0</v>
      </c>
      <c r="AA98" s="115">
        <v>0</v>
      </c>
      <c r="AB98" s="115">
        <v>0</v>
      </c>
      <c r="AC98" s="115">
        <v>1</v>
      </c>
      <c r="AD98" s="115">
        <v>0</v>
      </c>
      <c r="AE98" s="115">
        <v>1</v>
      </c>
      <c r="AF98" s="115">
        <v>1</v>
      </c>
      <c r="AG98" s="4" t="s">
        <v>715</v>
      </c>
      <c r="AH98" s="4" t="s">
        <v>128</v>
      </c>
      <c r="AI98" s="4" t="s">
        <v>127</v>
      </c>
      <c r="AJ98" s="4" t="s">
        <v>716</v>
      </c>
      <c r="AK98" s="4" t="s">
        <v>717</v>
      </c>
      <c r="AL98" s="4" t="s">
        <v>718</v>
      </c>
      <c r="AM98" s="4" t="s">
        <v>127</v>
      </c>
      <c r="AN98" s="4" t="s">
        <v>196</v>
      </c>
      <c r="AO98" s="4" t="s">
        <v>127</v>
      </c>
      <c r="AP98" s="4" t="s">
        <v>127</v>
      </c>
      <c r="AQ98" s="4" t="s">
        <v>127</v>
      </c>
      <c r="AR98" s="4" t="s">
        <v>127</v>
      </c>
      <c r="AS98" s="4" t="s">
        <v>127</v>
      </c>
      <c r="AT98" s="4" t="s">
        <v>127</v>
      </c>
      <c r="AU98" s="4" t="s">
        <v>127</v>
      </c>
      <c r="AV98" s="4" t="s">
        <v>127</v>
      </c>
      <c r="AW98" s="4" t="s">
        <v>127</v>
      </c>
      <c r="AX98" s="4" t="s">
        <v>127</v>
      </c>
      <c r="AY98" s="96" t="s">
        <v>719</v>
      </c>
      <c r="AZ98" s="96" t="s">
        <v>720</v>
      </c>
      <c r="BA98" s="4" t="s">
        <v>127</v>
      </c>
      <c r="BB98" s="4" t="s">
        <v>722</v>
      </c>
      <c r="BC98" s="4" t="s">
        <v>127</v>
      </c>
      <c r="BD98" s="4" t="s">
        <v>127</v>
      </c>
      <c r="BE98" s="4" t="s">
        <v>127</v>
      </c>
      <c r="BF98" s="4"/>
      <c r="BG98" s="4"/>
      <c r="BH98" s="4"/>
      <c r="BI98" s="4"/>
      <c r="BJ98" s="4"/>
      <c r="BK98" s="4"/>
      <c r="BL98" s="4"/>
      <c r="BM98" s="4"/>
      <c r="BN98" s="4"/>
      <c r="BO98" s="4"/>
    </row>
    <row r="99" spans="1:67" ht="16" x14ac:dyDescent="0.4">
      <c r="A99" s="4" t="s">
        <v>725</v>
      </c>
      <c r="B99" s="4" t="s">
        <v>725</v>
      </c>
      <c r="C99" s="4" t="s">
        <v>127</v>
      </c>
      <c r="D99" s="4" t="s">
        <v>128</v>
      </c>
      <c r="E99" s="189">
        <v>44854</v>
      </c>
      <c r="F99" s="6">
        <f t="shared" si="4"/>
        <v>2022</v>
      </c>
      <c r="G99" s="4" t="s">
        <v>726</v>
      </c>
      <c r="H99" s="22" t="str">
        <f>VLOOKUP($G99,'Item Classification'!B:C,2,0)</f>
        <v>Communication equipment</v>
      </c>
      <c r="I99" s="6" t="str">
        <f>VLOOKUP($G99,'Item Classification'!B:D,3,0)</f>
        <v>Modernisation</v>
      </c>
      <c r="J99" s="23">
        <f>VLOOKUP($G99,'Item Classification'!B:E,4,0)</f>
        <v>13</v>
      </c>
      <c r="K99" s="116" t="s">
        <v>727</v>
      </c>
      <c r="L99" s="116" t="s">
        <v>728</v>
      </c>
      <c r="M99" s="116" t="str">
        <f>VLOOKUP(L99,'NATO Classifications'!$D$6:$E$647,2,0)</f>
        <v>Headsets, Handsets, Microphones and Speakers</v>
      </c>
      <c r="N99" s="4">
        <v>3665</v>
      </c>
      <c r="O99" s="81">
        <f t="shared" si="6"/>
        <v>2046.3847203274215</v>
      </c>
      <c r="P99" s="81">
        <f t="shared" si="7"/>
        <v>2046.3847203274215</v>
      </c>
      <c r="Q99" s="4">
        <v>2022</v>
      </c>
      <c r="R99" s="4">
        <v>2022</v>
      </c>
      <c r="S99" s="112">
        <v>7500000</v>
      </c>
      <c r="T99" s="91" t="s">
        <v>132</v>
      </c>
      <c r="U99" s="104">
        <f>_xlfn.IFNA(S99/INDEX('Exchange Rates'!$C$7:$F$14,MATCH('MAIN DATA, Orders'!F99,'Exchange Rates'!$B$7:$B$14,0),MATCH('MAIN DATA, Orders'!T99,'Exchange Rates'!$C$6:$F$6,0)), "-")</f>
        <v>7500000</v>
      </c>
      <c r="V99" s="4" t="s">
        <v>133</v>
      </c>
      <c r="W99" s="4" t="s">
        <v>127</v>
      </c>
      <c r="X99" s="4" t="s">
        <v>128</v>
      </c>
      <c r="Y99" s="24">
        <f t="shared" si="5"/>
        <v>202210</v>
      </c>
      <c r="Z99" s="115">
        <v>1</v>
      </c>
      <c r="AA99" s="115">
        <v>0</v>
      </c>
      <c r="AB99" s="115">
        <v>0</v>
      </c>
      <c r="AC99" s="115">
        <v>1</v>
      </c>
      <c r="AD99" s="115">
        <v>0</v>
      </c>
      <c r="AE99" s="115">
        <v>0</v>
      </c>
      <c r="AF99" s="115">
        <v>0</v>
      </c>
      <c r="AG99" s="4" t="s">
        <v>256</v>
      </c>
      <c r="AH99" s="4" t="s">
        <v>128</v>
      </c>
      <c r="AI99" s="4" t="s">
        <v>127</v>
      </c>
      <c r="AJ99" s="4" t="s">
        <v>127</v>
      </c>
      <c r="AK99" s="4" t="s">
        <v>127</v>
      </c>
      <c r="AL99" s="4" t="s">
        <v>127</v>
      </c>
      <c r="AM99" s="4" t="s">
        <v>127</v>
      </c>
      <c r="AN99" s="4" t="s">
        <v>127</v>
      </c>
      <c r="AO99" s="4" t="s">
        <v>127</v>
      </c>
      <c r="AP99" s="4" t="s">
        <v>127</v>
      </c>
      <c r="AQ99" s="4" t="s">
        <v>127</v>
      </c>
      <c r="AR99" s="4" t="s">
        <v>127</v>
      </c>
      <c r="AS99" s="4" t="s">
        <v>127</v>
      </c>
      <c r="AT99" s="4" t="s">
        <v>127</v>
      </c>
      <c r="AU99" s="4" t="s">
        <v>127</v>
      </c>
      <c r="AV99" s="4" t="s">
        <v>127</v>
      </c>
      <c r="AW99" s="4" t="s">
        <v>127</v>
      </c>
      <c r="AX99" s="4" t="s">
        <v>127</v>
      </c>
      <c r="AY99" s="96" t="s">
        <v>729</v>
      </c>
      <c r="AZ99" s="4" t="s">
        <v>127</v>
      </c>
      <c r="BA99" s="4" t="s">
        <v>127</v>
      </c>
      <c r="BB99" s="4" t="s">
        <v>730</v>
      </c>
      <c r="BC99" s="4" t="s">
        <v>127</v>
      </c>
      <c r="BD99" s="4" t="s">
        <v>127</v>
      </c>
      <c r="BE99" s="4" t="s">
        <v>127</v>
      </c>
      <c r="BF99" s="4"/>
      <c r="BG99" s="4"/>
      <c r="BH99" s="4"/>
      <c r="BI99" s="4"/>
      <c r="BJ99" s="4"/>
      <c r="BK99" s="4"/>
      <c r="BL99" s="4"/>
      <c r="BM99" s="4"/>
      <c r="BN99" s="4"/>
      <c r="BO99" s="4"/>
    </row>
    <row r="100" spans="1:67" ht="16" x14ac:dyDescent="0.4">
      <c r="A100" s="4" t="s">
        <v>731</v>
      </c>
      <c r="B100" s="4" t="s">
        <v>731</v>
      </c>
      <c r="C100" s="4" t="s">
        <v>127</v>
      </c>
      <c r="D100" s="4" t="s">
        <v>128</v>
      </c>
      <c r="E100" s="189">
        <v>44854</v>
      </c>
      <c r="F100" s="6">
        <f t="shared" si="4"/>
        <v>2022</v>
      </c>
      <c r="G100" s="4" t="s">
        <v>732</v>
      </c>
      <c r="H100" s="22" t="str">
        <f>VLOOKUP($G100,'Item Classification'!B:C,2,0)</f>
        <v>155mm howitzer ammunition development</v>
      </c>
      <c r="I100" s="6" t="str">
        <f>VLOOKUP($G100,'Item Classification'!B:D,3,0)</f>
        <v>Development - Ammunition</v>
      </c>
      <c r="J100" s="23">
        <f>VLOOKUP($G100,'Item Classification'!B:E,4,0)</f>
        <v>15</v>
      </c>
      <c r="K100" s="116" t="s">
        <v>189</v>
      </c>
      <c r="L100" s="116" t="s">
        <v>733</v>
      </c>
      <c r="M100" s="116" t="str">
        <f>VLOOKUP(L100,'NATO Classifications'!$D$6:$E$647,2,0)</f>
        <v>Ammunition over 75mm</v>
      </c>
      <c r="N100" s="4"/>
      <c r="O100" s="81"/>
      <c r="P100" s="81"/>
      <c r="Q100" s="4">
        <v>2022</v>
      </c>
      <c r="R100" s="4">
        <v>2027</v>
      </c>
      <c r="S100" s="112">
        <v>97400000</v>
      </c>
      <c r="T100" s="91" t="s">
        <v>132</v>
      </c>
      <c r="U100" s="104">
        <f>_xlfn.IFNA(S100/INDEX('Exchange Rates'!$C$7:$F$14,MATCH('MAIN DATA, Orders'!F100,'Exchange Rates'!$B$7:$B$14,0),MATCH('MAIN DATA, Orders'!T100,'Exchange Rates'!$C$6:$F$6,0)), "-")</f>
        <v>97400000</v>
      </c>
      <c r="V100" s="4" t="s">
        <v>133</v>
      </c>
      <c r="W100" s="4" t="s">
        <v>127</v>
      </c>
      <c r="X100" s="4" t="s">
        <v>128</v>
      </c>
      <c r="Y100" s="24">
        <f t="shared" si="5"/>
        <v>202210</v>
      </c>
      <c r="Z100" s="115">
        <v>0</v>
      </c>
      <c r="AA100" s="115">
        <v>0</v>
      </c>
      <c r="AB100" s="115">
        <v>0</v>
      </c>
      <c r="AC100" s="115">
        <v>1</v>
      </c>
      <c r="AD100" s="115">
        <v>0</v>
      </c>
      <c r="AE100" s="115">
        <v>0</v>
      </c>
      <c r="AF100" s="115">
        <v>0</v>
      </c>
      <c r="AG100" s="4" t="s">
        <v>734</v>
      </c>
      <c r="AH100" s="4" t="s">
        <v>128</v>
      </c>
      <c r="AI100" s="4" t="s">
        <v>128</v>
      </c>
      <c r="AJ100" s="4" t="s">
        <v>256</v>
      </c>
      <c r="AK100" s="4" t="s">
        <v>716</v>
      </c>
      <c r="AL100" s="4" t="s">
        <v>547</v>
      </c>
      <c r="AM100" s="4" t="s">
        <v>127</v>
      </c>
      <c r="AN100" s="4" t="s">
        <v>127</v>
      </c>
      <c r="AO100" s="4" t="s">
        <v>127</v>
      </c>
      <c r="AP100" s="4" t="s">
        <v>127</v>
      </c>
      <c r="AQ100" s="4" t="s">
        <v>127</v>
      </c>
      <c r="AR100" s="4" t="s">
        <v>127</v>
      </c>
      <c r="AS100" s="4" t="s">
        <v>127</v>
      </c>
      <c r="AT100" s="4" t="s">
        <v>127</v>
      </c>
      <c r="AU100" s="4" t="s">
        <v>127</v>
      </c>
      <c r="AV100" s="4" t="s">
        <v>127</v>
      </c>
      <c r="AW100" s="4" t="s">
        <v>127</v>
      </c>
      <c r="AX100" s="4" t="s">
        <v>127</v>
      </c>
      <c r="AY100" s="96" t="s">
        <v>729</v>
      </c>
      <c r="AZ100" s="96" t="s">
        <v>735</v>
      </c>
      <c r="BA100" s="4" t="s">
        <v>127</v>
      </c>
      <c r="BB100" s="4" t="s">
        <v>736</v>
      </c>
      <c r="BC100" s="4" t="s">
        <v>127</v>
      </c>
      <c r="BD100" s="4" t="s">
        <v>127</v>
      </c>
      <c r="BE100" s="4" t="s">
        <v>127</v>
      </c>
      <c r="BF100" s="4"/>
      <c r="BG100" s="4"/>
      <c r="BH100" s="4"/>
      <c r="BI100" s="4"/>
      <c r="BJ100" s="4"/>
      <c r="BK100" s="4"/>
      <c r="BL100" s="4"/>
      <c r="BM100" s="4"/>
      <c r="BN100" s="4"/>
      <c r="BO100" s="4"/>
    </row>
    <row r="101" spans="1:67" ht="16" x14ac:dyDescent="0.4">
      <c r="A101" s="4" t="s">
        <v>737</v>
      </c>
      <c r="B101" s="4" t="s">
        <v>737</v>
      </c>
      <c r="C101" s="4" t="s">
        <v>738</v>
      </c>
      <c r="D101" s="4" t="s">
        <v>128</v>
      </c>
      <c r="E101" s="189">
        <v>44895</v>
      </c>
      <c r="F101" s="6">
        <f t="shared" si="4"/>
        <v>2022</v>
      </c>
      <c r="G101" s="4" t="s">
        <v>739</v>
      </c>
      <c r="H101" s="22" t="str">
        <f>VLOOKUP($G101,'Item Classification'!B:C,2,0)</f>
        <v xml:space="preserve">30mm infantry fighting vehicle ammunition </v>
      </c>
      <c r="I101" s="6" t="str">
        <f>VLOOKUP($G101,'Item Classification'!B:D,3,0)</f>
        <v>Ammunition</v>
      </c>
      <c r="J101" s="23">
        <f>VLOOKUP($G101,'Item Classification'!B:E,4,0)</f>
        <v>4</v>
      </c>
      <c r="K101" s="116" t="s">
        <v>189</v>
      </c>
      <c r="L101" s="116" t="s">
        <v>740</v>
      </c>
      <c r="M101" s="116" t="str">
        <f>VLOOKUP(L101,'NATO Classifications'!$D$6:$E$647,2,0)</f>
        <v>Ammunition below 75mm</v>
      </c>
      <c r="N101" s="4">
        <v>25000</v>
      </c>
      <c r="O101" s="81"/>
      <c r="P101" s="81"/>
      <c r="Q101" s="4">
        <v>2022</v>
      </c>
      <c r="R101" s="4"/>
      <c r="S101" s="4"/>
      <c r="T101" s="91" t="s">
        <v>132</v>
      </c>
      <c r="U101" s="104">
        <f>_xlfn.IFNA(S101/INDEX('Exchange Rates'!$C$7:$F$14,MATCH('MAIN DATA, Orders'!F101,'Exchange Rates'!$B$7:$B$14,0),MATCH('MAIN DATA, Orders'!T101,'Exchange Rates'!$C$6:$F$6,0)), "-")</f>
        <v>0</v>
      </c>
      <c r="V101" s="4" t="s">
        <v>133</v>
      </c>
      <c r="W101" s="4" t="s">
        <v>127</v>
      </c>
      <c r="X101" s="4" t="s">
        <v>128</v>
      </c>
      <c r="Y101" s="24">
        <f t="shared" si="5"/>
        <v>202211</v>
      </c>
      <c r="Z101" s="115">
        <v>1</v>
      </c>
      <c r="AA101" s="115">
        <v>0</v>
      </c>
      <c r="AB101" s="115">
        <v>0</v>
      </c>
      <c r="AC101" s="115">
        <v>1</v>
      </c>
      <c r="AD101" s="115">
        <v>0</v>
      </c>
      <c r="AE101" s="115">
        <v>0</v>
      </c>
      <c r="AF101" s="115">
        <v>0</v>
      </c>
      <c r="AG101" s="4" t="s">
        <v>256</v>
      </c>
      <c r="AH101" s="4" t="s">
        <v>128</v>
      </c>
      <c r="AI101" s="4" t="s">
        <v>127</v>
      </c>
      <c r="AJ101" s="4" t="s">
        <v>127</v>
      </c>
      <c r="AK101" s="4" t="s">
        <v>127</v>
      </c>
      <c r="AL101" s="4" t="s">
        <v>127</v>
      </c>
      <c r="AM101" s="4" t="s">
        <v>127</v>
      </c>
      <c r="AN101" s="4" t="s">
        <v>127</v>
      </c>
      <c r="AO101" s="4" t="s">
        <v>127</v>
      </c>
      <c r="AP101" s="4" t="s">
        <v>127</v>
      </c>
      <c r="AQ101" s="4" t="s">
        <v>127</v>
      </c>
      <c r="AR101" s="4" t="s">
        <v>127</v>
      </c>
      <c r="AS101" s="4" t="s">
        <v>127</v>
      </c>
      <c r="AT101" s="4" t="s">
        <v>127</v>
      </c>
      <c r="AU101" s="4" t="s">
        <v>127</v>
      </c>
      <c r="AV101" s="4" t="s">
        <v>127</v>
      </c>
      <c r="AW101" s="4" t="s">
        <v>127</v>
      </c>
      <c r="AX101" s="4" t="s">
        <v>127</v>
      </c>
      <c r="AY101" s="96" t="s">
        <v>741</v>
      </c>
      <c r="AZ101" s="96" t="s">
        <v>742</v>
      </c>
      <c r="BA101" s="4" t="s">
        <v>127</v>
      </c>
      <c r="BB101" s="4" t="s">
        <v>743</v>
      </c>
      <c r="BC101" s="4" t="s">
        <v>744</v>
      </c>
      <c r="BD101" s="4" t="s">
        <v>127</v>
      </c>
      <c r="BE101" s="4" t="s">
        <v>127</v>
      </c>
      <c r="BF101" s="4"/>
      <c r="BG101" s="4"/>
      <c r="BH101" s="4"/>
      <c r="BI101" s="4"/>
      <c r="BJ101" s="4"/>
      <c r="BK101" s="4"/>
      <c r="BL101" s="4"/>
      <c r="BM101" s="4"/>
      <c r="BN101" s="4"/>
      <c r="BO101" s="4"/>
    </row>
    <row r="102" spans="1:67" ht="16" x14ac:dyDescent="0.4">
      <c r="A102" s="4" t="s">
        <v>745</v>
      </c>
      <c r="B102" s="4" t="s">
        <v>745</v>
      </c>
      <c r="C102" s="4" t="s">
        <v>127</v>
      </c>
      <c r="D102" s="4" t="s">
        <v>128</v>
      </c>
      <c r="E102" s="189">
        <v>44895</v>
      </c>
      <c r="F102" s="6">
        <f t="shared" si="4"/>
        <v>2022</v>
      </c>
      <c r="G102" s="4" t="s">
        <v>746</v>
      </c>
      <c r="H102" s="22" t="str">
        <f>VLOOKUP($G102,'Item Classification'!B:C,2,0)</f>
        <v>Communication equipment</v>
      </c>
      <c r="I102" s="6" t="str">
        <f>VLOOKUP($G102,'Item Classification'!B:D,3,0)</f>
        <v>Modernisation</v>
      </c>
      <c r="J102" s="23">
        <f>VLOOKUP($G102,'Item Classification'!B:E,4,0)</f>
        <v>13</v>
      </c>
      <c r="K102" s="116" t="s">
        <v>158</v>
      </c>
      <c r="L102" s="116" t="s">
        <v>567</v>
      </c>
      <c r="M102" s="116" t="str">
        <f>VLOOKUP(L102,'NATO Classifications'!$D$6:$E$647,2,0)</f>
        <v>Communication, Detection, and Coherent Radiation Equipment (other)</v>
      </c>
      <c r="N102" s="4"/>
      <c r="O102" s="81"/>
      <c r="P102" s="81"/>
      <c r="Q102" s="4">
        <v>2022</v>
      </c>
      <c r="R102" s="4">
        <v>2030</v>
      </c>
      <c r="S102" s="112">
        <v>23200000</v>
      </c>
      <c r="T102" s="91" t="s">
        <v>132</v>
      </c>
      <c r="U102" s="104">
        <f>_xlfn.IFNA(S102/INDEX('Exchange Rates'!$C$7:$F$14,MATCH('MAIN DATA, Orders'!F102,'Exchange Rates'!$B$7:$B$14,0),MATCH('MAIN DATA, Orders'!T102,'Exchange Rates'!$C$6:$F$6,0)), "-")</f>
        <v>23200000</v>
      </c>
      <c r="V102" s="4" t="s">
        <v>133</v>
      </c>
      <c r="W102" s="4" t="s">
        <v>127</v>
      </c>
      <c r="X102" s="4" t="s">
        <v>128</v>
      </c>
      <c r="Y102" s="24">
        <f t="shared" si="5"/>
        <v>202211</v>
      </c>
      <c r="Z102" s="115">
        <v>1</v>
      </c>
      <c r="AA102" s="115">
        <v>0</v>
      </c>
      <c r="AB102" s="115">
        <v>0</v>
      </c>
      <c r="AC102" s="115">
        <v>1</v>
      </c>
      <c r="AD102" s="115">
        <v>0</v>
      </c>
      <c r="AE102" s="115">
        <v>1</v>
      </c>
      <c r="AF102" s="115">
        <v>1</v>
      </c>
      <c r="AG102" s="4" t="s">
        <v>747</v>
      </c>
      <c r="AH102" s="4" t="s">
        <v>128</v>
      </c>
      <c r="AI102" s="4" t="s">
        <v>128</v>
      </c>
      <c r="AJ102" s="4" t="s">
        <v>748</v>
      </c>
      <c r="AK102" s="4" t="s">
        <v>127</v>
      </c>
      <c r="AL102" s="4" t="s">
        <v>127</v>
      </c>
      <c r="AM102" s="4" t="s">
        <v>127</v>
      </c>
      <c r="AN102" s="4" t="s">
        <v>135</v>
      </c>
      <c r="AO102" s="4" t="s">
        <v>127</v>
      </c>
      <c r="AP102" s="4" t="s">
        <v>127</v>
      </c>
      <c r="AQ102" s="4" t="s">
        <v>127</v>
      </c>
      <c r="AR102" s="4" t="s">
        <v>127</v>
      </c>
      <c r="AS102" s="4" t="s">
        <v>127</v>
      </c>
      <c r="AT102" s="4" t="s">
        <v>127</v>
      </c>
      <c r="AU102" s="4" t="s">
        <v>127</v>
      </c>
      <c r="AV102" s="4" t="s">
        <v>127</v>
      </c>
      <c r="AW102" s="4" t="s">
        <v>127</v>
      </c>
      <c r="AX102" s="4" t="s">
        <v>127</v>
      </c>
      <c r="AY102" s="96" t="s">
        <v>741</v>
      </c>
      <c r="AZ102" s="96" t="s">
        <v>749</v>
      </c>
      <c r="BA102" s="96" t="s">
        <v>750</v>
      </c>
      <c r="BB102" s="4" t="s">
        <v>751</v>
      </c>
      <c r="BC102" s="4" t="s">
        <v>752</v>
      </c>
      <c r="BD102" s="4" t="s">
        <v>753</v>
      </c>
      <c r="BE102" s="4" t="s">
        <v>127</v>
      </c>
      <c r="BF102" s="4"/>
      <c r="BG102" s="4"/>
      <c r="BH102" s="4"/>
      <c r="BI102" s="4"/>
      <c r="BJ102" s="4"/>
      <c r="BK102" s="4"/>
      <c r="BL102" s="4"/>
      <c r="BM102" s="4"/>
      <c r="BN102" s="4"/>
      <c r="BO102" s="4"/>
    </row>
    <row r="103" spans="1:67" ht="16" x14ac:dyDescent="0.4">
      <c r="A103" s="4" t="s">
        <v>754</v>
      </c>
      <c r="B103" s="4" t="s">
        <v>754</v>
      </c>
      <c r="C103" s="4" t="s">
        <v>166</v>
      </c>
      <c r="D103" s="4" t="s">
        <v>128</v>
      </c>
      <c r="E103" s="189">
        <v>44895</v>
      </c>
      <c r="F103" s="6">
        <f t="shared" si="4"/>
        <v>2022</v>
      </c>
      <c r="G103" s="4" t="s">
        <v>755</v>
      </c>
      <c r="H103" s="22" t="str">
        <f>VLOOKUP($G103,'Item Classification'!B:C,2,0)</f>
        <v>Communication and digitalisation</v>
      </c>
      <c r="I103" s="6" t="str">
        <f>VLOOKUP($G103,'Item Classification'!B:D,3,0)</f>
        <v>Modernisation</v>
      </c>
      <c r="J103" s="23">
        <f>VLOOKUP($G103,'Item Classification'!B:E,4,0)</f>
        <v>13</v>
      </c>
      <c r="K103" s="116" t="s">
        <v>168</v>
      </c>
      <c r="L103" s="116" t="s">
        <v>182</v>
      </c>
      <c r="M103" s="116" t="str">
        <f>VLOOKUP(L103,'NATO Classifications'!$D$6:$E$647,2,0)</f>
        <v>ADP Software</v>
      </c>
      <c r="N103" s="4">
        <v>5</v>
      </c>
      <c r="O103" s="81">
        <f t="shared" si="6"/>
        <v>10000000</v>
      </c>
      <c r="P103" s="81">
        <f t="shared" si="7"/>
        <v>10000000</v>
      </c>
      <c r="Q103" s="4">
        <v>2023</v>
      </c>
      <c r="R103" s="4">
        <v>2027</v>
      </c>
      <c r="S103" s="112">
        <v>50000000</v>
      </c>
      <c r="T103" s="91" t="s">
        <v>132</v>
      </c>
      <c r="U103" s="104">
        <f>_xlfn.IFNA(S103/INDEX('Exchange Rates'!$C$7:$F$14,MATCH('MAIN DATA, Orders'!F103,'Exchange Rates'!$B$7:$B$14,0),MATCH('MAIN DATA, Orders'!T103,'Exchange Rates'!$C$6:$F$6,0)), "-")</f>
        <v>50000000</v>
      </c>
      <c r="V103" s="4" t="s">
        <v>133</v>
      </c>
      <c r="W103" s="4" t="s">
        <v>127</v>
      </c>
      <c r="X103" s="4" t="s">
        <v>128</v>
      </c>
      <c r="Y103" s="24">
        <f t="shared" si="5"/>
        <v>202211</v>
      </c>
      <c r="Z103" s="115">
        <v>1</v>
      </c>
      <c r="AA103" s="115">
        <v>1</v>
      </c>
      <c r="AB103" s="115">
        <v>0</v>
      </c>
      <c r="AC103" s="115">
        <v>1</v>
      </c>
      <c r="AD103" s="115">
        <v>0</v>
      </c>
      <c r="AE103" s="115">
        <v>0</v>
      </c>
      <c r="AF103" s="115">
        <v>0</v>
      </c>
      <c r="AG103" s="4" t="s">
        <v>166</v>
      </c>
      <c r="AH103" s="4" t="s">
        <v>128</v>
      </c>
      <c r="AI103" s="4" t="s">
        <v>127</v>
      </c>
      <c r="AJ103" s="4" t="s">
        <v>127</v>
      </c>
      <c r="AK103" s="4" t="s">
        <v>127</v>
      </c>
      <c r="AL103" s="4" t="s">
        <v>127</v>
      </c>
      <c r="AM103" s="4" t="s">
        <v>127</v>
      </c>
      <c r="AN103" s="4" t="s">
        <v>127</v>
      </c>
      <c r="AO103" s="4" t="s">
        <v>127</v>
      </c>
      <c r="AP103" s="4" t="s">
        <v>127</v>
      </c>
      <c r="AQ103" s="4" t="s">
        <v>127</v>
      </c>
      <c r="AR103" s="4" t="s">
        <v>127</v>
      </c>
      <c r="AS103" s="4" t="s">
        <v>127</v>
      </c>
      <c r="AT103" s="4" t="s">
        <v>127</v>
      </c>
      <c r="AU103" s="4" t="s">
        <v>127</v>
      </c>
      <c r="AV103" s="4" t="s">
        <v>127</v>
      </c>
      <c r="AW103" s="4" t="s">
        <v>127</v>
      </c>
      <c r="AX103" s="4" t="s">
        <v>127</v>
      </c>
      <c r="AY103" s="96" t="s">
        <v>741</v>
      </c>
      <c r="AZ103" s="4" t="s">
        <v>127</v>
      </c>
      <c r="BA103" s="4" t="s">
        <v>127</v>
      </c>
      <c r="BB103" s="4" t="s">
        <v>756</v>
      </c>
      <c r="BC103" s="4" t="s">
        <v>127</v>
      </c>
      <c r="BD103" s="4" t="s">
        <v>127</v>
      </c>
      <c r="BE103" s="4" t="s">
        <v>127</v>
      </c>
      <c r="BF103" s="4"/>
      <c r="BG103" s="4"/>
      <c r="BH103" s="4"/>
      <c r="BI103" s="4"/>
      <c r="BJ103" s="4"/>
      <c r="BK103" s="4"/>
      <c r="BL103" s="4"/>
      <c r="BM103" s="4"/>
      <c r="BN103" s="4"/>
      <c r="BO103" s="4"/>
    </row>
    <row r="104" spans="1:67" ht="16" x14ac:dyDescent="0.4">
      <c r="A104" s="4" t="s">
        <v>757</v>
      </c>
      <c r="B104" s="4" t="s">
        <v>757</v>
      </c>
      <c r="C104" s="4" t="s">
        <v>127</v>
      </c>
      <c r="D104" s="4" t="s">
        <v>128</v>
      </c>
      <c r="E104" s="189">
        <v>44895</v>
      </c>
      <c r="F104" s="6">
        <f t="shared" si="4"/>
        <v>2022</v>
      </c>
      <c r="G104" s="4" t="s">
        <v>758</v>
      </c>
      <c r="H104" s="22" t="str">
        <f>VLOOKUP($G104,'Item Classification'!B:C,2,0)</f>
        <v>Communication equipment</v>
      </c>
      <c r="I104" s="6" t="str">
        <f>VLOOKUP($G104,'Item Classification'!B:D,3,0)</f>
        <v>Modernisation</v>
      </c>
      <c r="J104" s="23">
        <f>VLOOKUP($G104,'Item Classification'!B:E,4,0)</f>
        <v>13</v>
      </c>
      <c r="K104" s="116" t="s">
        <v>168</v>
      </c>
      <c r="L104" s="116" t="s">
        <v>169</v>
      </c>
      <c r="M104" s="116" t="str">
        <f>VLOOKUP(L104,'NATO Classifications'!$D$6:$E$647,2,0)</f>
        <v>ADPE System Configuration</v>
      </c>
      <c r="N104" s="4"/>
      <c r="O104" s="81"/>
      <c r="P104" s="81"/>
      <c r="Q104" s="4"/>
      <c r="R104" s="4"/>
      <c r="S104" s="112">
        <v>82250000</v>
      </c>
      <c r="T104" s="91" t="s">
        <v>132</v>
      </c>
      <c r="U104" s="104">
        <f>_xlfn.IFNA(S104/INDEX('Exchange Rates'!$C$7:$F$14,MATCH('MAIN DATA, Orders'!F104,'Exchange Rates'!$B$7:$B$14,0),MATCH('MAIN DATA, Orders'!T104,'Exchange Rates'!$C$6:$F$6,0)), "-")</f>
        <v>82250000</v>
      </c>
      <c r="V104" s="4" t="s">
        <v>133</v>
      </c>
      <c r="W104" s="4" t="s">
        <v>127</v>
      </c>
      <c r="X104" s="4" t="s">
        <v>128</v>
      </c>
      <c r="Y104" s="24">
        <f t="shared" si="5"/>
        <v>202211</v>
      </c>
      <c r="Z104" s="115">
        <v>1</v>
      </c>
      <c r="AA104" s="115">
        <v>0</v>
      </c>
      <c r="AB104" s="115">
        <v>0</v>
      </c>
      <c r="AC104" s="115" t="s">
        <v>127</v>
      </c>
      <c r="AD104" s="115" t="s">
        <v>127</v>
      </c>
      <c r="AE104" s="115" t="s">
        <v>127</v>
      </c>
      <c r="AF104" s="115" t="s">
        <v>127</v>
      </c>
      <c r="AG104" s="4" t="s">
        <v>127</v>
      </c>
      <c r="AH104" s="4" t="s">
        <v>127</v>
      </c>
      <c r="AI104" s="4" t="s">
        <v>127</v>
      </c>
      <c r="AJ104" s="4" t="s">
        <v>127</v>
      </c>
      <c r="AK104" s="4" t="s">
        <v>127</v>
      </c>
      <c r="AL104" s="4" t="s">
        <v>127</v>
      </c>
      <c r="AM104" s="4" t="s">
        <v>127</v>
      </c>
      <c r="AN104" s="4" t="s">
        <v>127</v>
      </c>
      <c r="AO104" s="4" t="s">
        <v>127</v>
      </c>
      <c r="AP104" s="4" t="s">
        <v>127</v>
      </c>
      <c r="AQ104" s="4" t="s">
        <v>127</v>
      </c>
      <c r="AR104" s="4" t="s">
        <v>127</v>
      </c>
      <c r="AS104" s="4" t="s">
        <v>127</v>
      </c>
      <c r="AT104" s="4" t="s">
        <v>127</v>
      </c>
      <c r="AU104" s="4" t="s">
        <v>127</v>
      </c>
      <c r="AV104" s="4" t="s">
        <v>127</v>
      </c>
      <c r="AW104" s="4" t="s">
        <v>127</v>
      </c>
      <c r="AX104" s="4" t="s">
        <v>127</v>
      </c>
      <c r="AY104" s="96" t="s">
        <v>759</v>
      </c>
      <c r="AZ104" s="4" t="s">
        <v>127</v>
      </c>
      <c r="BA104" s="4" t="s">
        <v>127</v>
      </c>
      <c r="BB104" s="4" t="s">
        <v>760</v>
      </c>
      <c r="BC104" s="4" t="s">
        <v>127</v>
      </c>
      <c r="BD104" s="4" t="s">
        <v>127</v>
      </c>
      <c r="BE104" s="4" t="s">
        <v>127</v>
      </c>
      <c r="BF104" s="4"/>
      <c r="BG104" s="4"/>
      <c r="BH104" s="4"/>
      <c r="BI104" s="4"/>
      <c r="BJ104" s="4"/>
      <c r="BK104" s="4"/>
      <c r="BL104" s="4"/>
      <c r="BM104" s="4"/>
      <c r="BN104" s="4"/>
      <c r="BO104" s="4"/>
    </row>
    <row r="105" spans="1:67" ht="16" x14ac:dyDescent="0.4">
      <c r="A105" s="4" t="s">
        <v>761</v>
      </c>
      <c r="B105" s="4" t="s">
        <v>761</v>
      </c>
      <c r="C105" s="4" t="s">
        <v>127</v>
      </c>
      <c r="D105" s="4" t="s">
        <v>128</v>
      </c>
      <c r="E105" s="189">
        <v>44909</v>
      </c>
      <c r="F105" s="6">
        <f t="shared" si="4"/>
        <v>2022</v>
      </c>
      <c r="G105" s="4" t="s">
        <v>762</v>
      </c>
      <c r="H105" s="22" t="str">
        <f>VLOOKUP($G105,'Item Classification'!B:C,2,0)</f>
        <v>Small Arms and Light Weapons (SALW)</v>
      </c>
      <c r="I105" s="6" t="str">
        <f>VLOOKUP($G105,'Item Classification'!B:D,3,0)</f>
        <v>Infantry</v>
      </c>
      <c r="J105" s="23">
        <f>VLOOKUP($G105,'Item Classification'!B:E,4,0)</f>
        <v>8</v>
      </c>
      <c r="K105" s="116" t="s">
        <v>763</v>
      </c>
      <c r="L105" s="116" t="s">
        <v>764</v>
      </c>
      <c r="M105" s="116" t="str">
        <f>VLOOKUP(L105,'NATO Classifications'!$D$6:$E$647,2,0)</f>
        <v>Guns below 75mm</v>
      </c>
      <c r="N105" s="4">
        <v>118718</v>
      </c>
      <c r="O105" s="81">
        <f t="shared" si="6"/>
        <v>1760.4744015229367</v>
      </c>
      <c r="P105" s="81">
        <f t="shared" si="7"/>
        <v>1760.4744015229367</v>
      </c>
      <c r="Q105" s="4">
        <v>2024</v>
      </c>
      <c r="R105" s="4"/>
      <c r="S105" s="112">
        <v>209000000</v>
      </c>
      <c r="T105" s="91" t="s">
        <v>132</v>
      </c>
      <c r="U105" s="104">
        <f>_xlfn.IFNA(S105/INDEX('Exchange Rates'!$C$7:$F$14,MATCH('MAIN DATA, Orders'!F105,'Exchange Rates'!$B$7:$B$14,0),MATCH('MAIN DATA, Orders'!T105,'Exchange Rates'!$C$6:$F$6,0)), "-")</f>
        <v>209000000</v>
      </c>
      <c r="V105" s="4" t="s">
        <v>133</v>
      </c>
      <c r="W105" s="4" t="s">
        <v>127</v>
      </c>
      <c r="X105" s="4" t="s">
        <v>128</v>
      </c>
      <c r="Y105" s="24">
        <f t="shared" si="5"/>
        <v>202212</v>
      </c>
      <c r="Z105" s="115">
        <v>0</v>
      </c>
      <c r="AA105" s="115">
        <v>0</v>
      </c>
      <c r="AB105" s="115">
        <v>0</v>
      </c>
      <c r="AC105" s="115">
        <v>1</v>
      </c>
      <c r="AD105" s="115">
        <v>0</v>
      </c>
      <c r="AE105" s="115">
        <v>0</v>
      </c>
      <c r="AF105" s="115">
        <v>0</v>
      </c>
      <c r="AG105" s="4" t="s">
        <v>765</v>
      </c>
      <c r="AH105" s="4" t="s">
        <v>128</v>
      </c>
      <c r="AI105" s="4" t="s">
        <v>128</v>
      </c>
      <c r="AJ105" s="4" t="s">
        <v>127</v>
      </c>
      <c r="AK105" s="4" t="s">
        <v>127</v>
      </c>
      <c r="AL105" s="4" t="s">
        <v>127</v>
      </c>
      <c r="AM105" s="4" t="s">
        <v>127</v>
      </c>
      <c r="AN105" s="4" t="s">
        <v>127</v>
      </c>
      <c r="AO105" s="4" t="s">
        <v>127</v>
      </c>
      <c r="AP105" s="4" t="s">
        <v>127</v>
      </c>
      <c r="AQ105" s="4" t="s">
        <v>127</v>
      </c>
      <c r="AR105" s="4" t="s">
        <v>127</v>
      </c>
      <c r="AS105" s="4" t="s">
        <v>127</v>
      </c>
      <c r="AT105" s="4" t="s">
        <v>127</v>
      </c>
      <c r="AU105" s="4" t="s">
        <v>127</v>
      </c>
      <c r="AV105" s="4" t="s">
        <v>127</v>
      </c>
      <c r="AW105" s="4" t="s">
        <v>127</v>
      </c>
      <c r="AX105" s="4" t="s">
        <v>127</v>
      </c>
      <c r="AY105" s="96" t="s">
        <v>766</v>
      </c>
      <c r="AZ105" s="96" t="s">
        <v>767</v>
      </c>
      <c r="BA105" s="96" t="s">
        <v>768</v>
      </c>
      <c r="BB105" s="4" t="s">
        <v>769</v>
      </c>
      <c r="BC105" s="4" t="s">
        <v>127</v>
      </c>
      <c r="BD105" s="4" t="s">
        <v>127</v>
      </c>
      <c r="BE105" s="4" t="s">
        <v>127</v>
      </c>
      <c r="BF105" s="4"/>
      <c r="BG105" s="4"/>
      <c r="BH105" s="4"/>
      <c r="BI105" s="4"/>
      <c r="BJ105" s="4"/>
      <c r="BK105" s="4"/>
      <c r="BL105" s="4"/>
      <c r="BM105" s="4"/>
      <c r="BN105" s="4"/>
      <c r="BO105" s="4"/>
    </row>
    <row r="106" spans="1:67" ht="16" x14ac:dyDescent="0.4">
      <c r="A106" s="4" t="s">
        <v>770</v>
      </c>
      <c r="B106" s="4" t="s">
        <v>770</v>
      </c>
      <c r="C106" s="4" t="s">
        <v>486</v>
      </c>
      <c r="D106" s="4" t="s">
        <v>128</v>
      </c>
      <c r="E106" s="189">
        <v>44909</v>
      </c>
      <c r="F106" s="6">
        <f t="shared" si="4"/>
        <v>2022</v>
      </c>
      <c r="G106" s="4" t="s">
        <v>487</v>
      </c>
      <c r="H106" s="22" t="str">
        <f>VLOOKUP($G106,'Item Classification'!B:C,2,0)</f>
        <v>Infantry fighting vehicle (IFV)</v>
      </c>
      <c r="I106" s="6" t="str">
        <f>VLOOKUP($G106,'Item Classification'!B:D,3,0)</f>
        <v>Armoured vehicle</v>
      </c>
      <c r="J106" s="23">
        <f>VLOOKUP($G106,'Item Classification'!B:E,4,0)</f>
        <v>2</v>
      </c>
      <c r="K106" s="116" t="s">
        <v>274</v>
      </c>
      <c r="L106" s="116" t="s">
        <v>329</v>
      </c>
      <c r="M106" s="116" t="str">
        <f>VLOOKUP(L106,'NATO Classifications'!$D$6:$E$647,2,0)</f>
        <v>Combat, Assault, and Tactical Vehicles, Tracked</v>
      </c>
      <c r="N106" s="4">
        <v>143</v>
      </c>
      <c r="O106" s="81">
        <f t="shared" si="6"/>
        <v>5944055.9440559437</v>
      </c>
      <c r="P106" s="81">
        <f t="shared" si="7"/>
        <v>5944055.9440559437</v>
      </c>
      <c r="Q106" s="4"/>
      <c r="R106" s="4">
        <v>2029</v>
      </c>
      <c r="S106" s="112">
        <v>850000000</v>
      </c>
      <c r="T106" s="91" t="s">
        <v>132</v>
      </c>
      <c r="U106" s="104">
        <f>_xlfn.IFNA(S106/INDEX('Exchange Rates'!$C$7:$F$14,MATCH('MAIN DATA, Orders'!F106,'Exchange Rates'!$B$7:$B$14,0),MATCH('MAIN DATA, Orders'!T106,'Exchange Rates'!$C$6:$F$6,0)), "-")</f>
        <v>850000000</v>
      </c>
      <c r="V106" s="4" t="s">
        <v>682</v>
      </c>
      <c r="W106" s="4" t="s">
        <v>127</v>
      </c>
      <c r="X106" s="4" t="s">
        <v>128</v>
      </c>
      <c r="Y106" s="24">
        <f t="shared" si="5"/>
        <v>202212</v>
      </c>
      <c r="Z106" s="115">
        <v>1</v>
      </c>
      <c r="AA106" s="115">
        <v>0</v>
      </c>
      <c r="AB106" s="115">
        <v>0</v>
      </c>
      <c r="AC106" s="115">
        <v>1</v>
      </c>
      <c r="AD106" s="115">
        <v>0</v>
      </c>
      <c r="AE106" s="115">
        <v>0</v>
      </c>
      <c r="AF106" s="115">
        <v>0</v>
      </c>
      <c r="AG106" s="4" t="s">
        <v>256</v>
      </c>
      <c r="AH106" s="4" t="s">
        <v>128</v>
      </c>
      <c r="AI106" s="4" t="s">
        <v>128</v>
      </c>
      <c r="AJ106" s="4" t="s">
        <v>488</v>
      </c>
      <c r="AK106" s="4" t="s">
        <v>127</v>
      </c>
      <c r="AL106" s="4" t="s">
        <v>127</v>
      </c>
      <c r="AM106" s="4" t="s">
        <v>127</v>
      </c>
      <c r="AN106" s="4" t="s">
        <v>127</v>
      </c>
      <c r="AO106" s="4" t="s">
        <v>127</v>
      </c>
      <c r="AP106" s="4" t="s">
        <v>127</v>
      </c>
      <c r="AQ106" s="4" t="s">
        <v>127</v>
      </c>
      <c r="AR106" s="4" t="s">
        <v>127</v>
      </c>
      <c r="AS106" s="4" t="s">
        <v>127</v>
      </c>
      <c r="AT106" s="4" t="s">
        <v>127</v>
      </c>
      <c r="AU106" s="4" t="s">
        <v>127</v>
      </c>
      <c r="AV106" s="4" t="s">
        <v>127</v>
      </c>
      <c r="AW106" s="4" t="s">
        <v>127</v>
      </c>
      <c r="AX106" s="4" t="s">
        <v>127</v>
      </c>
      <c r="AY106" s="96" t="s">
        <v>766</v>
      </c>
      <c r="AZ106" s="96" t="s">
        <v>767</v>
      </c>
      <c r="BA106" s="96" t="s">
        <v>771</v>
      </c>
      <c r="BB106" s="4" t="s">
        <v>772</v>
      </c>
      <c r="BC106" s="4" t="s">
        <v>127</v>
      </c>
      <c r="BD106" s="4" t="s">
        <v>127</v>
      </c>
      <c r="BE106" s="4" t="s">
        <v>127</v>
      </c>
      <c r="BF106" s="4"/>
      <c r="BG106" s="4"/>
      <c r="BH106" s="4"/>
      <c r="BI106" s="4"/>
      <c r="BJ106" s="4"/>
      <c r="BK106" s="4"/>
      <c r="BL106" s="4"/>
      <c r="BM106" s="4"/>
      <c r="BN106" s="4"/>
      <c r="BO106" s="4"/>
    </row>
    <row r="107" spans="1:67" ht="16" x14ac:dyDescent="0.4">
      <c r="A107" s="4" t="s">
        <v>773</v>
      </c>
      <c r="B107" s="4" t="s">
        <v>773</v>
      </c>
      <c r="C107" s="4" t="s">
        <v>774</v>
      </c>
      <c r="D107" s="4" t="s">
        <v>128</v>
      </c>
      <c r="E107" s="189">
        <v>44909</v>
      </c>
      <c r="F107" s="6">
        <f t="shared" si="4"/>
        <v>2022</v>
      </c>
      <c r="G107" s="4" t="s">
        <v>775</v>
      </c>
      <c r="H107" s="22" t="str">
        <f>VLOOKUP($G107,'Item Classification'!B:C,2,0)</f>
        <v>All-terrain vehicle</v>
      </c>
      <c r="I107" s="6" t="str">
        <f>VLOOKUP($G107,'Item Classification'!B:D,3,0)</f>
        <v>Armoured vehicle</v>
      </c>
      <c r="J107" s="23">
        <f>VLOOKUP($G107,'Item Classification'!B:E,4,0)</f>
        <v>2</v>
      </c>
      <c r="K107" s="116" t="s">
        <v>274</v>
      </c>
      <c r="L107" s="116" t="s">
        <v>329</v>
      </c>
      <c r="M107" s="116" t="str">
        <f>VLOOKUP(L107,'NATO Classifications'!$D$6:$E$647,2,0)</f>
        <v>Combat, Assault, and Tactical Vehicles, Tracked</v>
      </c>
      <c r="N107" s="4">
        <v>140</v>
      </c>
      <c r="O107" s="81">
        <f t="shared" si="6"/>
        <v>2892857.1428571427</v>
      </c>
      <c r="P107" s="81">
        <f t="shared" si="7"/>
        <v>2892857.1428571427</v>
      </c>
      <c r="Q107" s="4">
        <v>2025</v>
      </c>
      <c r="R107" s="4">
        <v>2028</v>
      </c>
      <c r="S107" s="112">
        <v>405000000</v>
      </c>
      <c r="T107" s="91" t="s">
        <v>132</v>
      </c>
      <c r="U107" s="104">
        <f>_xlfn.IFNA(S107/INDEX('Exchange Rates'!$C$7:$F$14,MATCH('MAIN DATA, Orders'!F107,'Exchange Rates'!$B$7:$B$14,0),MATCH('MAIN DATA, Orders'!T107,'Exchange Rates'!$C$6:$F$6,0)), "-")</f>
        <v>405000000</v>
      </c>
      <c r="V107" s="4" t="s">
        <v>682</v>
      </c>
      <c r="W107" s="4" t="s">
        <v>127</v>
      </c>
      <c r="X107" s="4" t="s">
        <v>128</v>
      </c>
      <c r="Y107" s="24">
        <f t="shared" si="5"/>
        <v>202212</v>
      </c>
      <c r="Z107" s="115">
        <v>1</v>
      </c>
      <c r="AA107" s="115">
        <v>0</v>
      </c>
      <c r="AB107" s="115">
        <v>0</v>
      </c>
      <c r="AC107" s="115">
        <v>1</v>
      </c>
      <c r="AD107" s="115">
        <v>1</v>
      </c>
      <c r="AE107" s="115">
        <v>0</v>
      </c>
      <c r="AF107" s="115">
        <v>0</v>
      </c>
      <c r="AG107" s="4" t="s">
        <v>776</v>
      </c>
      <c r="AH107" s="4" t="s">
        <v>213</v>
      </c>
      <c r="AI107" s="4" t="s">
        <v>213</v>
      </c>
      <c r="AJ107" s="4" t="s">
        <v>127</v>
      </c>
      <c r="AK107" s="4" t="s">
        <v>127</v>
      </c>
      <c r="AL107" s="4" t="s">
        <v>127</v>
      </c>
      <c r="AM107" s="4" t="s">
        <v>127</v>
      </c>
      <c r="AN107" s="4" t="s">
        <v>127</v>
      </c>
      <c r="AO107" s="4" t="s">
        <v>127</v>
      </c>
      <c r="AP107" s="4" t="s">
        <v>127</v>
      </c>
      <c r="AQ107" s="4" t="s">
        <v>127</v>
      </c>
      <c r="AR107" s="4" t="s">
        <v>127</v>
      </c>
      <c r="AS107" s="4" t="s">
        <v>127</v>
      </c>
      <c r="AT107" s="4" t="s">
        <v>127</v>
      </c>
      <c r="AU107" s="4" t="s">
        <v>127</v>
      </c>
      <c r="AV107" s="4" t="s">
        <v>127</v>
      </c>
      <c r="AW107" s="4" t="s">
        <v>127</v>
      </c>
      <c r="AX107" s="4" t="s">
        <v>127</v>
      </c>
      <c r="AY107" s="96" t="s">
        <v>766</v>
      </c>
      <c r="AZ107" s="96" t="s">
        <v>767</v>
      </c>
      <c r="BA107" s="96" t="s">
        <v>777</v>
      </c>
      <c r="BB107" s="4" t="s">
        <v>778</v>
      </c>
      <c r="BC107" s="4" t="s">
        <v>127</v>
      </c>
      <c r="BD107" s="4" t="s">
        <v>127</v>
      </c>
      <c r="BE107" s="4" t="s">
        <v>127</v>
      </c>
      <c r="BF107" s="4"/>
      <c r="BG107" s="4"/>
      <c r="BH107" s="4"/>
      <c r="BI107" s="4"/>
      <c r="BJ107" s="4"/>
      <c r="BK107" s="4"/>
      <c r="BL107" s="4"/>
      <c r="BM107" s="4"/>
      <c r="BN107" s="4"/>
      <c r="BO107" s="4"/>
    </row>
    <row r="108" spans="1:67" ht="16" x14ac:dyDescent="0.4">
      <c r="A108" s="4" t="s">
        <v>779</v>
      </c>
      <c r="B108" s="4" t="s">
        <v>779</v>
      </c>
      <c r="C108" s="4" t="s">
        <v>127</v>
      </c>
      <c r="D108" s="4" t="s">
        <v>128</v>
      </c>
      <c r="E108" s="189">
        <v>44909</v>
      </c>
      <c r="F108" s="6">
        <f t="shared" si="4"/>
        <v>2022</v>
      </c>
      <c r="G108" s="4" t="s">
        <v>780</v>
      </c>
      <c r="H108" s="22" t="str">
        <f>VLOOKUP($G108,'Item Classification'!B:C,2,0)</f>
        <v>Communication equipment</v>
      </c>
      <c r="I108" s="6" t="str">
        <f>VLOOKUP($G108,'Item Classification'!B:D,3,0)</f>
        <v>Modernisation</v>
      </c>
      <c r="J108" s="23">
        <f>VLOOKUP($G108,'Item Classification'!B:E,4,0)</f>
        <v>13</v>
      </c>
      <c r="K108" s="116" t="s">
        <v>158</v>
      </c>
      <c r="L108" s="116" t="s">
        <v>354</v>
      </c>
      <c r="M108" s="116" t="str">
        <f>VLOOKUP(L108,'NATO Classifications'!$D$6:$E$647,2,0)</f>
        <v>Communication, Detection, and Coherent Radiation Equipment (other)</v>
      </c>
      <c r="N108" s="4">
        <v>476</v>
      </c>
      <c r="O108" s="81">
        <f t="shared" si="6"/>
        <v>107142.85714285714</v>
      </c>
      <c r="P108" s="81">
        <f t="shared" si="7"/>
        <v>107142.85714285714</v>
      </c>
      <c r="Q108" s="4"/>
      <c r="R108" s="4"/>
      <c r="S108" s="112">
        <v>51000000</v>
      </c>
      <c r="T108" s="91" t="s">
        <v>132</v>
      </c>
      <c r="U108" s="104">
        <f>_xlfn.IFNA(S108/INDEX('Exchange Rates'!$C$7:$F$14,MATCH('MAIN DATA, Orders'!F108,'Exchange Rates'!$B$7:$B$14,0),MATCH('MAIN DATA, Orders'!T108,'Exchange Rates'!$C$6:$F$6,0)), "-")</f>
        <v>51000000</v>
      </c>
      <c r="V108" s="4" t="s">
        <v>682</v>
      </c>
      <c r="W108" s="4" t="s">
        <v>127</v>
      </c>
      <c r="X108" s="4" t="s">
        <v>128</v>
      </c>
      <c r="Y108" s="24">
        <f t="shared" si="5"/>
        <v>202212</v>
      </c>
      <c r="Z108" s="115">
        <v>0</v>
      </c>
      <c r="AA108" s="115">
        <v>0</v>
      </c>
      <c r="AB108" s="115">
        <v>0</v>
      </c>
      <c r="AC108" s="115">
        <v>1</v>
      </c>
      <c r="AD108" s="115">
        <v>0</v>
      </c>
      <c r="AE108" s="115">
        <v>0</v>
      </c>
      <c r="AF108" s="115">
        <v>0</v>
      </c>
      <c r="AG108" s="4" t="s">
        <v>256</v>
      </c>
      <c r="AH108" s="4" t="s">
        <v>128</v>
      </c>
      <c r="AI108" s="4" t="s">
        <v>127</v>
      </c>
      <c r="AJ108" s="4" t="s">
        <v>127</v>
      </c>
      <c r="AK108" s="4" t="s">
        <v>127</v>
      </c>
      <c r="AL108" s="4" t="s">
        <v>127</v>
      </c>
      <c r="AM108" s="4" t="s">
        <v>127</v>
      </c>
      <c r="AN108" s="4" t="s">
        <v>127</v>
      </c>
      <c r="AO108" s="4" t="s">
        <v>127</v>
      </c>
      <c r="AP108" s="4" t="s">
        <v>127</v>
      </c>
      <c r="AQ108" s="4" t="s">
        <v>127</v>
      </c>
      <c r="AR108" s="4" t="s">
        <v>127</v>
      </c>
      <c r="AS108" s="4" t="s">
        <v>127</v>
      </c>
      <c r="AT108" s="4" t="s">
        <v>127</v>
      </c>
      <c r="AU108" s="4" t="s">
        <v>127</v>
      </c>
      <c r="AV108" s="4" t="s">
        <v>127</v>
      </c>
      <c r="AW108" s="4" t="s">
        <v>127</v>
      </c>
      <c r="AX108" s="4" t="s">
        <v>127</v>
      </c>
      <c r="AY108" s="96" t="s">
        <v>766</v>
      </c>
      <c r="AZ108" s="96" t="s">
        <v>767</v>
      </c>
      <c r="BA108" s="96" t="s">
        <v>781</v>
      </c>
      <c r="BB108" s="4" t="s">
        <v>782</v>
      </c>
      <c r="BC108" s="4" t="s">
        <v>783</v>
      </c>
      <c r="BD108" s="4" t="s">
        <v>127</v>
      </c>
      <c r="BE108" s="4" t="s">
        <v>127</v>
      </c>
      <c r="BF108" s="4"/>
      <c r="BG108" s="4"/>
      <c r="BH108" s="4"/>
      <c r="BI108" s="4"/>
      <c r="BJ108" s="4"/>
      <c r="BK108" s="4"/>
      <c r="BL108" s="4"/>
      <c r="BM108" s="4"/>
      <c r="BN108" s="4"/>
      <c r="BO108" s="4"/>
    </row>
    <row r="109" spans="1:67" ht="16" x14ac:dyDescent="0.4">
      <c r="A109" s="4" t="s">
        <v>784</v>
      </c>
      <c r="B109" s="4" t="s">
        <v>784</v>
      </c>
      <c r="C109" s="4" t="s">
        <v>127</v>
      </c>
      <c r="D109" s="4" t="s">
        <v>128</v>
      </c>
      <c r="E109" s="189">
        <v>44909</v>
      </c>
      <c r="F109" s="6">
        <f t="shared" si="4"/>
        <v>2022</v>
      </c>
      <c r="G109" s="4" t="s">
        <v>785</v>
      </c>
      <c r="H109" s="22" t="str">
        <f>VLOOKUP($G109,'Item Classification'!B:C,2,0)</f>
        <v>Communication equipment</v>
      </c>
      <c r="I109" s="6" t="str">
        <f>VLOOKUP($G109,'Item Classification'!B:D,3,0)</f>
        <v>Modernisation</v>
      </c>
      <c r="J109" s="23">
        <f>VLOOKUP($G109,'Item Classification'!B:E,4,0)</f>
        <v>13</v>
      </c>
      <c r="K109" s="116" t="s">
        <v>158</v>
      </c>
      <c r="L109" s="116" t="s">
        <v>567</v>
      </c>
      <c r="M109" s="116" t="str">
        <f>VLOOKUP(L109,'NATO Classifications'!$D$6:$E$647,2,0)</f>
        <v>Communication, Detection, and Coherent Radiation Equipment (other)</v>
      </c>
      <c r="N109" s="4"/>
      <c r="O109" s="81"/>
      <c r="P109" s="81"/>
      <c r="Q109" s="4">
        <v>2023</v>
      </c>
      <c r="R109" s="4">
        <v>2025</v>
      </c>
      <c r="S109" s="4"/>
      <c r="T109" s="91" t="s">
        <v>132</v>
      </c>
      <c r="U109" s="104">
        <f>_xlfn.IFNA(S109/INDEX('Exchange Rates'!$C$7:$F$14,MATCH('MAIN DATA, Orders'!F109,'Exchange Rates'!$B$7:$B$14,0),MATCH('MAIN DATA, Orders'!T109,'Exchange Rates'!$C$6:$F$6,0)), "-")</f>
        <v>0</v>
      </c>
      <c r="V109" s="4" t="s">
        <v>682</v>
      </c>
      <c r="W109" s="4" t="s">
        <v>127</v>
      </c>
      <c r="X109" s="4" t="s">
        <v>128</v>
      </c>
      <c r="Y109" s="24">
        <f t="shared" si="5"/>
        <v>202212</v>
      </c>
      <c r="Z109" s="115">
        <v>1</v>
      </c>
      <c r="AA109" s="115">
        <v>0</v>
      </c>
      <c r="AB109" s="115">
        <v>0</v>
      </c>
      <c r="AC109" s="115">
        <v>1</v>
      </c>
      <c r="AD109" s="115">
        <v>0</v>
      </c>
      <c r="AE109" s="115">
        <v>0</v>
      </c>
      <c r="AF109" s="115">
        <v>0</v>
      </c>
      <c r="AG109" s="4" t="s">
        <v>786</v>
      </c>
      <c r="AH109" s="4" t="s">
        <v>128</v>
      </c>
      <c r="AI109" s="4" t="s">
        <v>127</v>
      </c>
      <c r="AJ109" s="4" t="s">
        <v>127</v>
      </c>
      <c r="AK109" s="4" t="s">
        <v>127</v>
      </c>
      <c r="AL109" s="4" t="s">
        <v>127</v>
      </c>
      <c r="AM109" s="4" t="s">
        <v>127</v>
      </c>
      <c r="AN109" s="4" t="s">
        <v>127</v>
      </c>
      <c r="AO109" s="4" t="s">
        <v>127</v>
      </c>
      <c r="AP109" s="4" t="s">
        <v>127</v>
      </c>
      <c r="AQ109" s="4" t="s">
        <v>127</v>
      </c>
      <c r="AR109" s="4" t="s">
        <v>127</v>
      </c>
      <c r="AS109" s="4" t="s">
        <v>127</v>
      </c>
      <c r="AT109" s="4" t="s">
        <v>127</v>
      </c>
      <c r="AU109" s="4" t="s">
        <v>127</v>
      </c>
      <c r="AV109" s="4" t="s">
        <v>127</v>
      </c>
      <c r="AW109" s="4" t="s">
        <v>127</v>
      </c>
      <c r="AX109" s="4" t="s">
        <v>127</v>
      </c>
      <c r="AY109" s="96" t="s">
        <v>766</v>
      </c>
      <c r="AZ109" s="96" t="s">
        <v>767</v>
      </c>
      <c r="BA109" s="96" t="s">
        <v>787</v>
      </c>
      <c r="BB109" s="4" t="s">
        <v>788</v>
      </c>
      <c r="BC109" s="4" t="s">
        <v>127</v>
      </c>
      <c r="BD109" s="4" t="s">
        <v>127</v>
      </c>
      <c r="BE109" s="4" t="s">
        <v>127</v>
      </c>
      <c r="BF109" s="4"/>
      <c r="BG109" s="4"/>
      <c r="BH109" s="4"/>
      <c r="BI109" s="4"/>
      <c r="BJ109" s="4"/>
      <c r="BK109" s="4"/>
      <c r="BL109" s="4"/>
      <c r="BM109" s="4"/>
      <c r="BN109" s="4"/>
      <c r="BO109" s="4"/>
    </row>
    <row r="110" spans="1:67" ht="16" x14ac:dyDescent="0.4">
      <c r="A110" s="4" t="s">
        <v>789</v>
      </c>
      <c r="B110" s="4" t="s">
        <v>789</v>
      </c>
      <c r="C110" s="4" t="s">
        <v>127</v>
      </c>
      <c r="D110" s="4" t="s">
        <v>128</v>
      </c>
      <c r="E110" s="189">
        <v>44909</v>
      </c>
      <c r="F110" s="6">
        <f t="shared" si="4"/>
        <v>2022</v>
      </c>
      <c r="G110" s="4" t="s">
        <v>790</v>
      </c>
      <c r="H110" s="22" t="str">
        <f>VLOOKUP($G110,'Item Classification'!B:C,2,0)</f>
        <v>Military transportation</v>
      </c>
      <c r="I110" s="6" t="str">
        <f>VLOOKUP($G110,'Item Classification'!B:D,3,0)</f>
        <v>Other</v>
      </c>
      <c r="J110" s="23">
        <f>VLOOKUP($G110,'Item Classification'!B:E,4,0)</f>
        <v>16</v>
      </c>
      <c r="K110" s="116" t="s">
        <v>229</v>
      </c>
      <c r="L110" s="116" t="s">
        <v>230</v>
      </c>
      <c r="M110" s="116" t="str">
        <f>VLOOKUP(L110,'NATO Classifications'!$D$6:$E$647,2,0)</f>
        <v>Miscellaneous Items</v>
      </c>
      <c r="N110" s="4"/>
      <c r="O110" s="81"/>
      <c r="P110" s="81"/>
      <c r="Q110" s="4">
        <v>2023</v>
      </c>
      <c r="R110" s="4">
        <v>2023</v>
      </c>
      <c r="S110" s="112">
        <v>69000000</v>
      </c>
      <c r="T110" s="91" t="s">
        <v>132</v>
      </c>
      <c r="U110" s="104">
        <f>_xlfn.IFNA(S110/INDEX('Exchange Rates'!$C$7:$F$14,MATCH('MAIN DATA, Orders'!F110,'Exchange Rates'!$B$7:$B$14,0),MATCH('MAIN DATA, Orders'!T110,'Exchange Rates'!$C$6:$F$6,0)), "-")</f>
        <v>69000000</v>
      </c>
      <c r="V110" s="4" t="s">
        <v>133</v>
      </c>
      <c r="W110" s="4" t="s">
        <v>127</v>
      </c>
      <c r="X110" s="4" t="s">
        <v>128</v>
      </c>
      <c r="Y110" s="24">
        <f t="shared" si="5"/>
        <v>202212</v>
      </c>
      <c r="Z110" s="115">
        <v>1</v>
      </c>
      <c r="AA110" s="115">
        <v>0</v>
      </c>
      <c r="AB110" s="115">
        <v>0</v>
      </c>
      <c r="AC110" s="115">
        <v>1</v>
      </c>
      <c r="AD110" s="115">
        <v>0</v>
      </c>
      <c r="AE110" s="115">
        <v>0</v>
      </c>
      <c r="AF110" s="115">
        <v>0</v>
      </c>
      <c r="AG110" s="4" t="s">
        <v>791</v>
      </c>
      <c r="AH110" s="4" t="s">
        <v>128</v>
      </c>
      <c r="AI110" s="4" t="s">
        <v>127</v>
      </c>
      <c r="AJ110" s="4" t="s">
        <v>127</v>
      </c>
      <c r="AK110" s="4" t="s">
        <v>127</v>
      </c>
      <c r="AL110" s="4" t="s">
        <v>127</v>
      </c>
      <c r="AM110" s="4" t="s">
        <v>127</v>
      </c>
      <c r="AN110" s="4" t="s">
        <v>127</v>
      </c>
      <c r="AO110" s="4" t="s">
        <v>127</v>
      </c>
      <c r="AP110" s="4" t="s">
        <v>127</v>
      </c>
      <c r="AQ110" s="4" t="s">
        <v>127</v>
      </c>
      <c r="AR110" s="4" t="s">
        <v>127</v>
      </c>
      <c r="AS110" s="4" t="s">
        <v>127</v>
      </c>
      <c r="AT110" s="4" t="s">
        <v>127</v>
      </c>
      <c r="AU110" s="4" t="s">
        <v>127</v>
      </c>
      <c r="AV110" s="4" t="s">
        <v>127</v>
      </c>
      <c r="AW110" s="4" t="s">
        <v>127</v>
      </c>
      <c r="AX110" s="4" t="s">
        <v>127</v>
      </c>
      <c r="AY110" s="96" t="s">
        <v>766</v>
      </c>
      <c r="AZ110" s="4" t="s">
        <v>127</v>
      </c>
      <c r="BA110" s="4" t="s">
        <v>127</v>
      </c>
      <c r="BB110" s="4" t="s">
        <v>792</v>
      </c>
      <c r="BC110" s="4" t="s">
        <v>127</v>
      </c>
      <c r="BD110" s="4" t="s">
        <v>127</v>
      </c>
      <c r="BE110" s="4" t="s">
        <v>127</v>
      </c>
      <c r="BF110" s="4"/>
      <c r="BG110" s="4"/>
      <c r="BH110" s="4"/>
      <c r="BI110" s="4"/>
      <c r="BJ110" s="4"/>
      <c r="BK110" s="4"/>
      <c r="BL110" s="4"/>
      <c r="BM110" s="4"/>
      <c r="BN110" s="4"/>
      <c r="BO110" s="4"/>
    </row>
    <row r="111" spans="1:67" ht="16" x14ac:dyDescent="0.4">
      <c r="A111" s="4" t="s">
        <v>793</v>
      </c>
      <c r="B111" s="4" t="s">
        <v>793</v>
      </c>
      <c r="C111" s="4" t="s">
        <v>127</v>
      </c>
      <c r="D111" s="4" t="s">
        <v>128</v>
      </c>
      <c r="E111" s="189">
        <v>44909</v>
      </c>
      <c r="F111" s="6">
        <f t="shared" si="4"/>
        <v>2022</v>
      </c>
      <c r="G111" s="4" t="s">
        <v>794</v>
      </c>
      <c r="H111" s="22" t="str">
        <f>VLOOKUP($G111,'Item Classification'!B:C,2,0)</f>
        <v>Fighter aircraft</v>
      </c>
      <c r="I111" s="6" t="str">
        <f>VLOOKUP($G111,'Item Classification'!B:D,3,0)</f>
        <v>Aircraft</v>
      </c>
      <c r="J111" s="23">
        <f>VLOOKUP($G111,'Item Classification'!B:E,4,0)</f>
        <v>11</v>
      </c>
      <c r="K111" s="116" t="s">
        <v>130</v>
      </c>
      <c r="L111" s="116" t="s">
        <v>237</v>
      </c>
      <c r="M111" s="116" t="str">
        <f>VLOOKUP(L111,'NATO Classifications'!$D$6:$E$647,2,0)</f>
        <v>Aircraft, Fixed Wing</v>
      </c>
      <c r="N111" s="4">
        <v>35</v>
      </c>
      <c r="O111" s="81">
        <f t="shared" si="6"/>
        <v>237142857.14285713</v>
      </c>
      <c r="P111" s="81">
        <f t="shared" si="7"/>
        <v>237142857.14285713</v>
      </c>
      <c r="Q111" s="4">
        <v>2026</v>
      </c>
      <c r="R111" s="4">
        <v>2029</v>
      </c>
      <c r="S111" s="112">
        <v>8300000000</v>
      </c>
      <c r="T111" s="91" t="s">
        <v>132</v>
      </c>
      <c r="U111" s="104">
        <f>_xlfn.IFNA(S111/INDEX('Exchange Rates'!$C$7:$F$14,MATCH('MAIN DATA, Orders'!F111,'Exchange Rates'!$B$7:$B$14,0),MATCH('MAIN DATA, Orders'!T111,'Exchange Rates'!$C$6:$F$6,0)), "-")</f>
        <v>8300000000</v>
      </c>
      <c r="V111" s="4" t="s">
        <v>682</v>
      </c>
      <c r="W111" s="4" t="s">
        <v>127</v>
      </c>
      <c r="X111" s="4" t="s">
        <v>128</v>
      </c>
      <c r="Y111" s="24">
        <f t="shared" si="5"/>
        <v>202212</v>
      </c>
      <c r="Z111" s="115">
        <v>0</v>
      </c>
      <c r="AA111" s="115">
        <v>0</v>
      </c>
      <c r="AB111" s="115">
        <v>1</v>
      </c>
      <c r="AC111" s="115">
        <v>0</v>
      </c>
      <c r="AD111" s="115">
        <v>0</v>
      </c>
      <c r="AE111" s="115">
        <v>0</v>
      </c>
      <c r="AF111" s="115">
        <v>0</v>
      </c>
      <c r="AG111" s="4" t="s">
        <v>795</v>
      </c>
      <c r="AH111" s="4" t="s">
        <v>196</v>
      </c>
      <c r="AI111" s="4" t="s">
        <v>196</v>
      </c>
      <c r="AJ111" s="4" t="s">
        <v>127</v>
      </c>
      <c r="AK111" s="4" t="s">
        <v>127</v>
      </c>
      <c r="AL111" s="4" t="s">
        <v>127</v>
      </c>
      <c r="AM111" s="4" t="s">
        <v>127</v>
      </c>
      <c r="AN111" s="4" t="s">
        <v>127</v>
      </c>
      <c r="AO111" s="4" t="s">
        <v>127</v>
      </c>
      <c r="AP111" s="4" t="s">
        <v>127</v>
      </c>
      <c r="AQ111" s="4" t="s">
        <v>127</v>
      </c>
      <c r="AR111" s="4" t="s">
        <v>127</v>
      </c>
      <c r="AS111" s="4" t="s">
        <v>127</v>
      </c>
      <c r="AT111" s="4" t="s">
        <v>127</v>
      </c>
      <c r="AU111" s="4" t="s">
        <v>127</v>
      </c>
      <c r="AV111" s="4" t="s">
        <v>127</v>
      </c>
      <c r="AW111" s="4" t="s">
        <v>127</v>
      </c>
      <c r="AX111" s="4" t="s">
        <v>127</v>
      </c>
      <c r="AY111" s="96" t="s">
        <v>796</v>
      </c>
      <c r="AZ111" s="96" t="s">
        <v>767</v>
      </c>
      <c r="BA111" s="96" t="s">
        <v>797</v>
      </c>
      <c r="BB111" s="4" t="s">
        <v>798</v>
      </c>
      <c r="BC111" s="4" t="s">
        <v>799</v>
      </c>
      <c r="BD111" s="4" t="s">
        <v>127</v>
      </c>
      <c r="BE111" s="4" t="s">
        <v>127</v>
      </c>
      <c r="BF111" s="4"/>
      <c r="BG111" s="4"/>
      <c r="BH111" s="4"/>
      <c r="BI111" s="4"/>
      <c r="BJ111" s="4"/>
      <c r="BK111" s="4"/>
      <c r="BL111" s="4"/>
      <c r="BM111" s="4"/>
      <c r="BN111" s="4"/>
      <c r="BO111" s="4"/>
    </row>
    <row r="112" spans="1:67" ht="16" x14ac:dyDescent="0.4">
      <c r="A112" s="4" t="s">
        <v>800</v>
      </c>
      <c r="B112" s="4" t="s">
        <v>800</v>
      </c>
      <c r="C112" s="4" t="s">
        <v>127</v>
      </c>
      <c r="D112" s="4" t="s">
        <v>128</v>
      </c>
      <c r="E112" s="189">
        <v>44965</v>
      </c>
      <c r="F112" s="6">
        <f t="shared" si="4"/>
        <v>2023</v>
      </c>
      <c r="G112" s="4" t="s">
        <v>801</v>
      </c>
      <c r="H112" s="22" t="str">
        <f>VLOOKUP($G112,'Item Classification'!B:C,2,0)</f>
        <v>Communication and digitalisation</v>
      </c>
      <c r="I112" s="6" t="str">
        <f>VLOOKUP($G112,'Item Classification'!B:D,3,0)</f>
        <v>Modernisation</v>
      </c>
      <c r="J112" s="23">
        <f>VLOOKUP($G112,'Item Classification'!B:E,4,0)</f>
        <v>13</v>
      </c>
      <c r="K112" s="116" t="s">
        <v>158</v>
      </c>
      <c r="L112" s="116" t="s">
        <v>354</v>
      </c>
      <c r="M112" s="116" t="str">
        <f>VLOOKUP(L112,'NATO Classifications'!$D$6:$E$647,2,0)</f>
        <v>Communication, Detection, and Coherent Radiation Equipment (other)</v>
      </c>
      <c r="N112" s="4">
        <v>5</v>
      </c>
      <c r="O112" s="81">
        <f t="shared" si="6"/>
        <v>10560000</v>
      </c>
      <c r="P112" s="81">
        <f t="shared" si="7"/>
        <v>10560000</v>
      </c>
      <c r="Q112" s="4">
        <v>2024</v>
      </c>
      <c r="R112" s="4">
        <v>2028</v>
      </c>
      <c r="S112" s="112">
        <v>52800000</v>
      </c>
      <c r="T112" s="91" t="s">
        <v>132</v>
      </c>
      <c r="U112" s="104">
        <f>_xlfn.IFNA(S112/INDEX('Exchange Rates'!$C$7:$F$14,MATCH('MAIN DATA, Orders'!F112,'Exchange Rates'!$B$7:$B$14,0),MATCH('MAIN DATA, Orders'!T112,'Exchange Rates'!$C$6:$F$6,0)), "-")</f>
        <v>52800000</v>
      </c>
      <c r="V112" s="4" t="s">
        <v>133</v>
      </c>
      <c r="W112" s="4" t="s">
        <v>127</v>
      </c>
      <c r="X112" s="4" t="s">
        <v>128</v>
      </c>
      <c r="Y112" s="24">
        <f t="shared" si="5"/>
        <v>202302</v>
      </c>
      <c r="Z112" s="115">
        <v>1</v>
      </c>
      <c r="AA112" s="115">
        <v>1</v>
      </c>
      <c r="AB112" s="115">
        <v>0</v>
      </c>
      <c r="AC112" s="115">
        <v>1</v>
      </c>
      <c r="AD112" s="115">
        <v>0</v>
      </c>
      <c r="AE112" s="115">
        <v>0</v>
      </c>
      <c r="AF112" s="115">
        <v>0</v>
      </c>
      <c r="AG112" s="4" t="s">
        <v>136</v>
      </c>
      <c r="AH112" s="4" t="s">
        <v>128</v>
      </c>
      <c r="AI112" s="4" t="s">
        <v>127</v>
      </c>
      <c r="AJ112" s="4" t="s">
        <v>127</v>
      </c>
      <c r="AK112" s="4" t="s">
        <v>127</v>
      </c>
      <c r="AL112" s="4" t="s">
        <v>127</v>
      </c>
      <c r="AM112" s="4" t="s">
        <v>127</v>
      </c>
      <c r="AN112" s="4" t="s">
        <v>127</v>
      </c>
      <c r="AO112" s="4" t="s">
        <v>127</v>
      </c>
      <c r="AP112" s="4" t="s">
        <v>127</v>
      </c>
      <c r="AQ112" s="4" t="s">
        <v>127</v>
      </c>
      <c r="AR112" s="4" t="s">
        <v>127</v>
      </c>
      <c r="AS112" s="4" t="s">
        <v>127</v>
      </c>
      <c r="AT112" s="4" t="s">
        <v>127</v>
      </c>
      <c r="AU112" s="4" t="s">
        <v>127</v>
      </c>
      <c r="AV112" s="4" t="s">
        <v>127</v>
      </c>
      <c r="AW112" s="4" t="s">
        <v>127</v>
      </c>
      <c r="AX112" s="4" t="s">
        <v>127</v>
      </c>
      <c r="AY112" s="96" t="s">
        <v>802</v>
      </c>
      <c r="AZ112" s="96" t="s">
        <v>803</v>
      </c>
      <c r="BA112" s="4" t="s">
        <v>127</v>
      </c>
      <c r="BB112" s="4" t="s">
        <v>804</v>
      </c>
      <c r="BC112" s="4" t="s">
        <v>127</v>
      </c>
      <c r="BD112" s="4" t="s">
        <v>127</v>
      </c>
      <c r="BE112" s="4" t="s">
        <v>127</v>
      </c>
      <c r="BF112" s="4"/>
      <c r="BG112" s="4"/>
      <c r="BH112" s="4"/>
      <c r="BI112" s="4"/>
      <c r="BJ112" s="4"/>
      <c r="BK112" s="4"/>
      <c r="BL112" s="4"/>
      <c r="BM112" s="4"/>
      <c r="BN112" s="4"/>
      <c r="BO112" s="4"/>
    </row>
    <row r="113" spans="1:67" ht="16" x14ac:dyDescent="0.4">
      <c r="A113" s="4" t="s">
        <v>805</v>
      </c>
      <c r="B113" s="4" t="s">
        <v>805</v>
      </c>
      <c r="C113" s="4" t="s">
        <v>127</v>
      </c>
      <c r="D113" s="4" t="s">
        <v>128</v>
      </c>
      <c r="E113" s="189">
        <v>44972</v>
      </c>
      <c r="F113" s="6">
        <f t="shared" si="4"/>
        <v>2023</v>
      </c>
      <c r="G113" s="4" t="s">
        <v>806</v>
      </c>
      <c r="H113" s="22" t="str">
        <f>VLOOKUP($G113,'Item Classification'!B:C,2,0)</f>
        <v>35mm anti-aircraft gun tank ammunition</v>
      </c>
      <c r="I113" s="6" t="str">
        <f>VLOOKUP($G113,'Item Classification'!B:D,3,0)</f>
        <v>Ammunition</v>
      </c>
      <c r="J113" s="23">
        <f>VLOOKUP($G113,'Item Classification'!B:E,4,0)</f>
        <v>4</v>
      </c>
      <c r="K113" s="116" t="s">
        <v>189</v>
      </c>
      <c r="L113" s="116" t="s">
        <v>807</v>
      </c>
      <c r="M113" s="116" t="str">
        <f>VLOOKUP(L113,'NATO Classifications'!$D$6:$E$647,2,0)</f>
        <v>Ammunition below 75mm</v>
      </c>
      <c r="N113" s="4">
        <v>300000</v>
      </c>
      <c r="O113" s="81">
        <f t="shared" si="6"/>
        <v>560</v>
      </c>
      <c r="P113" s="81">
        <f t="shared" si="7"/>
        <v>560</v>
      </c>
      <c r="Q113" s="4">
        <v>2023</v>
      </c>
      <c r="R113" s="4">
        <v>2023</v>
      </c>
      <c r="S113" s="112">
        <v>168000000</v>
      </c>
      <c r="T113" s="91" t="s">
        <v>132</v>
      </c>
      <c r="U113" s="104">
        <f>_xlfn.IFNA(S113/INDEX('Exchange Rates'!$C$7:$F$14,MATCH('MAIN DATA, Orders'!F113,'Exchange Rates'!$B$7:$B$14,0),MATCH('MAIN DATA, Orders'!T113,'Exchange Rates'!$C$6:$F$6,0)), "-")</f>
        <v>168000000</v>
      </c>
      <c r="V113" s="4" t="s">
        <v>808</v>
      </c>
      <c r="W113" s="4" t="s">
        <v>127</v>
      </c>
      <c r="X113" s="4" t="s">
        <v>809</v>
      </c>
      <c r="Y113" s="24">
        <f t="shared" si="5"/>
        <v>202302</v>
      </c>
      <c r="Z113" s="115">
        <v>0</v>
      </c>
      <c r="AA113" s="115">
        <v>0</v>
      </c>
      <c r="AB113" s="115">
        <v>0</v>
      </c>
      <c r="AC113" s="115">
        <v>1</v>
      </c>
      <c r="AD113" s="115">
        <v>0</v>
      </c>
      <c r="AE113" s="115">
        <v>0</v>
      </c>
      <c r="AF113" s="115">
        <v>0</v>
      </c>
      <c r="AG113" s="4" t="s">
        <v>256</v>
      </c>
      <c r="AH113" s="4" t="s">
        <v>128</v>
      </c>
      <c r="AI113" s="4" t="s">
        <v>128</v>
      </c>
      <c r="AJ113" s="4" t="s">
        <v>127</v>
      </c>
      <c r="AK113" s="4" t="s">
        <v>127</v>
      </c>
      <c r="AL113" s="4" t="s">
        <v>127</v>
      </c>
      <c r="AM113" s="4" t="s">
        <v>127</v>
      </c>
      <c r="AN113" s="4" t="s">
        <v>127</v>
      </c>
      <c r="AO113" s="4" t="s">
        <v>127</v>
      </c>
      <c r="AP113" s="4" t="s">
        <v>127</v>
      </c>
      <c r="AQ113" s="4" t="s">
        <v>127</v>
      </c>
      <c r="AR113" s="4" t="s">
        <v>127</v>
      </c>
      <c r="AS113" s="4" t="s">
        <v>127</v>
      </c>
      <c r="AT113" s="4" t="s">
        <v>127</v>
      </c>
      <c r="AU113" s="4" t="s">
        <v>127</v>
      </c>
      <c r="AV113" s="4" t="s">
        <v>127</v>
      </c>
      <c r="AW113" s="4" t="s">
        <v>127</v>
      </c>
      <c r="AX113" s="4" t="s">
        <v>127</v>
      </c>
      <c r="AY113" s="96" t="s">
        <v>810</v>
      </c>
      <c r="AZ113" s="96" t="s">
        <v>811</v>
      </c>
      <c r="BA113" s="96" t="s">
        <v>812</v>
      </c>
      <c r="BB113" s="4" t="s">
        <v>813</v>
      </c>
      <c r="BC113" s="4" t="s">
        <v>814</v>
      </c>
      <c r="BD113" s="4" t="s">
        <v>815</v>
      </c>
      <c r="BE113" s="4" t="s">
        <v>127</v>
      </c>
      <c r="BF113" s="4"/>
      <c r="BG113" s="4"/>
      <c r="BH113" s="4"/>
      <c r="BI113" s="4"/>
      <c r="BJ113" s="4"/>
      <c r="BK113" s="4"/>
      <c r="BL113" s="4"/>
      <c r="BM113" s="4"/>
      <c r="BN113" s="4"/>
      <c r="BO113" s="4"/>
    </row>
    <row r="114" spans="1:67" ht="16" x14ac:dyDescent="0.4">
      <c r="A114" s="4" t="s">
        <v>816</v>
      </c>
      <c r="B114" s="4" t="s">
        <v>816</v>
      </c>
      <c r="C114" s="4" t="s">
        <v>127</v>
      </c>
      <c r="D114" s="4" t="s">
        <v>128</v>
      </c>
      <c r="E114" s="189">
        <v>44987</v>
      </c>
      <c r="F114" s="6">
        <f t="shared" si="4"/>
        <v>2023</v>
      </c>
      <c r="G114" s="4" t="s">
        <v>127</v>
      </c>
      <c r="H114" s="22" t="s">
        <v>817</v>
      </c>
      <c r="I114" s="6" t="s">
        <v>659</v>
      </c>
      <c r="J114" s="23">
        <v>13</v>
      </c>
      <c r="K114" s="116" t="s">
        <v>158</v>
      </c>
      <c r="L114" s="116" t="s">
        <v>567</v>
      </c>
      <c r="M114" s="116" t="str">
        <f>VLOOKUP(L114,'NATO Classifications'!$D$6:$E$647,2,0)</f>
        <v>Communication, Detection, and Coherent Radiation Equipment (other)</v>
      </c>
      <c r="N114" s="4"/>
      <c r="O114" s="81"/>
      <c r="P114" s="81"/>
      <c r="Q114" s="4">
        <v>2023</v>
      </c>
      <c r="R114" s="4">
        <v>2024</v>
      </c>
      <c r="S114" s="112">
        <v>33200000</v>
      </c>
      <c r="T114" s="91" t="s">
        <v>132</v>
      </c>
      <c r="U114" s="104">
        <f>_xlfn.IFNA(S114/INDEX('Exchange Rates'!$C$7:$F$14,MATCH('MAIN DATA, Orders'!F114,'Exchange Rates'!$B$7:$B$14,0),MATCH('MAIN DATA, Orders'!T114,'Exchange Rates'!$C$6:$F$6,0)), "-")</f>
        <v>33200000</v>
      </c>
      <c r="V114" s="4" t="s">
        <v>682</v>
      </c>
      <c r="W114" s="4" t="s">
        <v>127</v>
      </c>
      <c r="X114" s="4" t="s">
        <v>128</v>
      </c>
      <c r="Y114" s="24">
        <f t="shared" si="5"/>
        <v>202303</v>
      </c>
      <c r="Z114" s="115">
        <v>1</v>
      </c>
      <c r="AA114" s="115">
        <v>0</v>
      </c>
      <c r="AB114" s="115">
        <v>0</v>
      </c>
      <c r="AC114" s="115">
        <v>1</v>
      </c>
      <c r="AD114" s="115">
        <v>0</v>
      </c>
      <c r="AE114" s="115">
        <v>1</v>
      </c>
      <c r="AF114" s="115">
        <v>1</v>
      </c>
      <c r="AG114" s="4" t="s">
        <v>747</v>
      </c>
      <c r="AH114" s="4" t="s">
        <v>128</v>
      </c>
      <c r="AI114" s="4" t="s">
        <v>128</v>
      </c>
      <c r="AJ114" s="4" t="s">
        <v>748</v>
      </c>
      <c r="AK114" s="4" t="s">
        <v>127</v>
      </c>
      <c r="AL114" s="4" t="s">
        <v>127</v>
      </c>
      <c r="AM114" s="4" t="s">
        <v>127</v>
      </c>
      <c r="AN114" s="4" t="s">
        <v>135</v>
      </c>
      <c r="AO114" s="4" t="s">
        <v>127</v>
      </c>
      <c r="AP114" s="4" t="s">
        <v>127</v>
      </c>
      <c r="AQ114" s="4" t="s">
        <v>127</v>
      </c>
      <c r="AR114" s="4" t="s">
        <v>127</v>
      </c>
      <c r="AS114" s="4" t="s">
        <v>127</v>
      </c>
      <c r="AT114" s="4" t="s">
        <v>127</v>
      </c>
      <c r="AU114" s="4" t="s">
        <v>127</v>
      </c>
      <c r="AV114" s="4" t="s">
        <v>127</v>
      </c>
      <c r="AW114" s="4" t="s">
        <v>127</v>
      </c>
      <c r="AX114" s="4" t="s">
        <v>127</v>
      </c>
      <c r="AY114" s="96" t="s">
        <v>818</v>
      </c>
      <c r="AZ114" s="96" t="s">
        <v>741</v>
      </c>
      <c r="BA114" s="96" t="s">
        <v>750</v>
      </c>
      <c r="BB114" s="4" t="s">
        <v>819</v>
      </c>
      <c r="BC114" s="4" t="s">
        <v>127</v>
      </c>
      <c r="BD114" s="4" t="s">
        <v>127</v>
      </c>
      <c r="BE114" s="4" t="s">
        <v>127</v>
      </c>
      <c r="BF114" s="4" t="s">
        <v>200</v>
      </c>
      <c r="BG114" s="4" t="s">
        <v>200</v>
      </c>
      <c r="BH114" s="4" t="s">
        <v>200</v>
      </c>
      <c r="BI114" s="4" t="s">
        <v>200</v>
      </c>
      <c r="BJ114" s="4" t="s">
        <v>200</v>
      </c>
      <c r="BK114" s="4" t="s">
        <v>200</v>
      </c>
      <c r="BL114" s="4" t="s">
        <v>200</v>
      </c>
      <c r="BM114" s="4" t="s">
        <v>200</v>
      </c>
      <c r="BN114" s="4" t="s">
        <v>200</v>
      </c>
      <c r="BO114" s="4" t="s">
        <v>200</v>
      </c>
    </row>
    <row r="115" spans="1:67" ht="16" x14ac:dyDescent="0.4">
      <c r="A115" s="4" t="s">
        <v>816</v>
      </c>
      <c r="B115" s="4" t="s">
        <v>820</v>
      </c>
      <c r="C115" s="4" t="s">
        <v>127</v>
      </c>
      <c r="D115" s="4" t="s">
        <v>128</v>
      </c>
      <c r="E115" s="189">
        <v>44987</v>
      </c>
      <c r="F115" s="6">
        <f t="shared" si="4"/>
        <v>2023</v>
      </c>
      <c r="G115" s="4" t="s">
        <v>821</v>
      </c>
      <c r="H115" s="22" t="str">
        <f>VLOOKUP($G115,'Item Classification'!B:C,2,0)</f>
        <v>Communication equipment</v>
      </c>
      <c r="I115" s="6" t="str">
        <f>VLOOKUP($G115,'Item Classification'!B:D,3,0)</f>
        <v>Modernisation</v>
      </c>
      <c r="J115" s="23">
        <f>VLOOKUP($G115,'Item Classification'!B:E,4,0)</f>
        <v>13</v>
      </c>
      <c r="K115" s="116" t="s">
        <v>158</v>
      </c>
      <c r="L115" s="116" t="s">
        <v>567</v>
      </c>
      <c r="M115" s="116" t="str">
        <f>VLOOKUP(L115,'NATO Classifications'!$D$6:$E$647,2,0)</f>
        <v>Communication, Detection, and Coherent Radiation Equipment (other)</v>
      </c>
      <c r="N115" s="4">
        <v>3000</v>
      </c>
      <c r="O115" s="81"/>
      <c r="P115" s="81"/>
      <c r="Q115" s="4">
        <v>2023</v>
      </c>
      <c r="R115" s="4">
        <v>2024</v>
      </c>
      <c r="S115" s="4"/>
      <c r="T115" s="91" t="s">
        <v>132</v>
      </c>
      <c r="U115" s="104">
        <f>_xlfn.IFNA(S115/INDEX('Exchange Rates'!$C$7:$F$14,MATCH('MAIN DATA, Orders'!F115,'Exchange Rates'!$B$7:$B$14,0),MATCH('MAIN DATA, Orders'!T115,'Exchange Rates'!$C$6:$F$6,0)), "-")</f>
        <v>0</v>
      </c>
      <c r="V115" s="4" t="s">
        <v>682</v>
      </c>
      <c r="W115" s="4" t="s">
        <v>127</v>
      </c>
      <c r="X115" s="4" t="s">
        <v>128</v>
      </c>
      <c r="Y115" s="24">
        <f t="shared" si="5"/>
        <v>202303</v>
      </c>
      <c r="Z115" s="115">
        <v>1</v>
      </c>
      <c r="AA115" s="115">
        <v>0</v>
      </c>
      <c r="AB115" s="115">
        <v>0</v>
      </c>
      <c r="AC115" s="115">
        <v>1</v>
      </c>
      <c r="AD115" s="115">
        <v>0</v>
      </c>
      <c r="AE115" s="115">
        <v>1</v>
      </c>
      <c r="AF115" s="115">
        <v>1</v>
      </c>
      <c r="AG115" s="4" t="s">
        <v>747</v>
      </c>
      <c r="AH115" s="4" t="s">
        <v>128</v>
      </c>
      <c r="AI115" s="4" t="s">
        <v>128</v>
      </c>
      <c r="AJ115" s="4" t="s">
        <v>748</v>
      </c>
      <c r="AK115" s="4" t="s">
        <v>127</v>
      </c>
      <c r="AL115" s="4" t="s">
        <v>127</v>
      </c>
      <c r="AM115" s="4" t="s">
        <v>127</v>
      </c>
      <c r="AN115" s="4" t="s">
        <v>135</v>
      </c>
      <c r="AO115" s="4" t="s">
        <v>127</v>
      </c>
      <c r="AP115" s="4" t="s">
        <v>127</v>
      </c>
      <c r="AQ115" s="4" t="s">
        <v>127</v>
      </c>
      <c r="AR115" s="4" t="s">
        <v>127</v>
      </c>
      <c r="AS115" s="4" t="s">
        <v>127</v>
      </c>
      <c r="AT115" s="4" t="s">
        <v>127</v>
      </c>
      <c r="AU115" s="4" t="s">
        <v>127</v>
      </c>
      <c r="AV115" s="4" t="s">
        <v>127</v>
      </c>
      <c r="AW115" s="4" t="s">
        <v>127</v>
      </c>
      <c r="AX115" s="4" t="s">
        <v>127</v>
      </c>
      <c r="AY115" s="96" t="s">
        <v>818</v>
      </c>
      <c r="AZ115" s="96" t="s">
        <v>741</v>
      </c>
      <c r="BA115" s="96" t="s">
        <v>750</v>
      </c>
      <c r="BB115" s="4" t="s">
        <v>819</v>
      </c>
      <c r="BC115" s="4" t="s">
        <v>127</v>
      </c>
      <c r="BD115" s="4" t="s">
        <v>127</v>
      </c>
      <c r="BE115" s="4" t="s">
        <v>127</v>
      </c>
      <c r="BF115" s="4" t="s">
        <v>200</v>
      </c>
      <c r="BG115" s="4" t="s">
        <v>200</v>
      </c>
      <c r="BH115" s="4" t="s">
        <v>200</v>
      </c>
      <c r="BI115" s="4" t="s">
        <v>200</v>
      </c>
      <c r="BJ115" s="4" t="s">
        <v>200</v>
      </c>
      <c r="BK115" s="4" t="s">
        <v>200</v>
      </c>
      <c r="BL115" s="4" t="s">
        <v>200</v>
      </c>
      <c r="BM115" s="4" t="s">
        <v>200</v>
      </c>
      <c r="BN115" s="4" t="s">
        <v>200</v>
      </c>
      <c r="BO115" s="4" t="s">
        <v>200</v>
      </c>
    </row>
    <row r="116" spans="1:67" ht="16" x14ac:dyDescent="0.4">
      <c r="A116" s="4" t="s">
        <v>816</v>
      </c>
      <c r="B116" s="4" t="s">
        <v>822</v>
      </c>
      <c r="C116" s="4" t="s">
        <v>127</v>
      </c>
      <c r="D116" s="4" t="s">
        <v>128</v>
      </c>
      <c r="E116" s="189">
        <v>44987</v>
      </c>
      <c r="F116" s="6">
        <f t="shared" si="4"/>
        <v>2023</v>
      </c>
      <c r="G116" s="4" t="s">
        <v>823</v>
      </c>
      <c r="H116" s="22" t="str">
        <f>VLOOKUP($G116,'Item Classification'!B:C,2,0)</f>
        <v>Communication equipment</v>
      </c>
      <c r="I116" s="6" t="str">
        <f>VLOOKUP($G116,'Item Classification'!B:D,3,0)</f>
        <v>Modernisation</v>
      </c>
      <c r="J116" s="23">
        <f>VLOOKUP($G116,'Item Classification'!B:E,4,0)</f>
        <v>13</v>
      </c>
      <c r="K116" s="116" t="s">
        <v>158</v>
      </c>
      <c r="L116" s="116" t="s">
        <v>567</v>
      </c>
      <c r="M116" s="116" t="str">
        <f>VLOOKUP(L116,'NATO Classifications'!$D$6:$E$647,2,0)</f>
        <v>Communication, Detection, and Coherent Radiation Equipment (other)</v>
      </c>
      <c r="N116" s="4">
        <v>500</v>
      </c>
      <c r="O116" s="81"/>
      <c r="P116" s="81"/>
      <c r="Q116" s="4">
        <v>2023</v>
      </c>
      <c r="R116" s="4">
        <v>2024</v>
      </c>
      <c r="S116" s="4"/>
      <c r="T116" s="91" t="s">
        <v>132</v>
      </c>
      <c r="U116" s="104">
        <f>_xlfn.IFNA(S116/INDEX('Exchange Rates'!$C$7:$F$14,MATCH('MAIN DATA, Orders'!F116,'Exchange Rates'!$B$7:$B$14,0),MATCH('MAIN DATA, Orders'!T116,'Exchange Rates'!$C$6:$F$6,0)), "-")</f>
        <v>0</v>
      </c>
      <c r="V116" s="4" t="s">
        <v>682</v>
      </c>
      <c r="W116" s="4" t="s">
        <v>127</v>
      </c>
      <c r="X116" s="4" t="s">
        <v>128</v>
      </c>
      <c r="Y116" s="24">
        <f t="shared" si="5"/>
        <v>202303</v>
      </c>
      <c r="Z116" s="115">
        <v>1</v>
      </c>
      <c r="AA116" s="115">
        <v>0</v>
      </c>
      <c r="AB116" s="115">
        <v>0</v>
      </c>
      <c r="AC116" s="115">
        <v>1</v>
      </c>
      <c r="AD116" s="115">
        <v>0</v>
      </c>
      <c r="AE116" s="115">
        <v>1</v>
      </c>
      <c r="AF116" s="115">
        <v>1</v>
      </c>
      <c r="AG116" s="4" t="s">
        <v>747</v>
      </c>
      <c r="AH116" s="4" t="s">
        <v>128</v>
      </c>
      <c r="AI116" s="4" t="s">
        <v>128</v>
      </c>
      <c r="AJ116" s="4" t="s">
        <v>748</v>
      </c>
      <c r="AK116" s="4" t="s">
        <v>127</v>
      </c>
      <c r="AL116" s="4" t="s">
        <v>127</v>
      </c>
      <c r="AM116" s="4" t="s">
        <v>127</v>
      </c>
      <c r="AN116" s="4" t="s">
        <v>135</v>
      </c>
      <c r="AO116" s="4" t="s">
        <v>127</v>
      </c>
      <c r="AP116" s="4" t="s">
        <v>127</v>
      </c>
      <c r="AQ116" s="4" t="s">
        <v>127</v>
      </c>
      <c r="AR116" s="4" t="s">
        <v>127</v>
      </c>
      <c r="AS116" s="4" t="s">
        <v>127</v>
      </c>
      <c r="AT116" s="4" t="s">
        <v>127</v>
      </c>
      <c r="AU116" s="4" t="s">
        <v>127</v>
      </c>
      <c r="AV116" s="4" t="s">
        <v>127</v>
      </c>
      <c r="AW116" s="4" t="s">
        <v>127</v>
      </c>
      <c r="AX116" s="4" t="s">
        <v>127</v>
      </c>
      <c r="AY116" s="96" t="s">
        <v>818</v>
      </c>
      <c r="AZ116" s="96" t="s">
        <v>741</v>
      </c>
      <c r="BA116" s="96" t="s">
        <v>750</v>
      </c>
      <c r="BB116" s="4" t="s">
        <v>819</v>
      </c>
      <c r="BC116" s="4" t="s">
        <v>127</v>
      </c>
      <c r="BD116" s="4" t="s">
        <v>127</v>
      </c>
      <c r="BE116" s="4" t="s">
        <v>127</v>
      </c>
      <c r="BF116" s="4" t="s">
        <v>200</v>
      </c>
      <c r="BG116" s="4" t="s">
        <v>200</v>
      </c>
      <c r="BH116" s="4" t="s">
        <v>200</v>
      </c>
      <c r="BI116" s="4" t="s">
        <v>200</v>
      </c>
      <c r="BJ116" s="4" t="s">
        <v>200</v>
      </c>
      <c r="BK116" s="4" t="s">
        <v>200</v>
      </c>
      <c r="BL116" s="4" t="s">
        <v>200</v>
      </c>
      <c r="BM116" s="4" t="s">
        <v>200</v>
      </c>
      <c r="BN116" s="4" t="s">
        <v>200</v>
      </c>
      <c r="BO116" s="4" t="s">
        <v>200</v>
      </c>
    </row>
    <row r="117" spans="1:67" ht="16" x14ac:dyDescent="0.4">
      <c r="A117" s="4" t="s">
        <v>824</v>
      </c>
      <c r="B117" s="4" t="s">
        <v>824</v>
      </c>
      <c r="C117" s="4" t="s">
        <v>127</v>
      </c>
      <c r="D117" s="4" t="s">
        <v>128</v>
      </c>
      <c r="E117" s="189">
        <v>45001</v>
      </c>
      <c r="F117" s="6">
        <f t="shared" si="4"/>
        <v>2023</v>
      </c>
      <c r="G117" s="4" t="s">
        <v>825</v>
      </c>
      <c r="H117" s="22" t="str">
        <f>VLOOKUP($G117,'Item Classification'!B:C,2,0)</f>
        <v>Armoured Utility Vehicle (AUV)</v>
      </c>
      <c r="I117" s="6" t="str">
        <f>VLOOKUP($G117,'Item Classification'!B:D,3,0)</f>
        <v>Armoured vehicle</v>
      </c>
      <c r="J117" s="23">
        <f>VLOOKUP($G117,'Item Classification'!B:E,4,0)</f>
        <v>2</v>
      </c>
      <c r="K117" s="116" t="s">
        <v>274</v>
      </c>
      <c r="L117" s="116" t="s">
        <v>275</v>
      </c>
      <c r="M117" s="116" t="str">
        <f>VLOOKUP(L117,'NATO Classifications'!$D$6:$E$647,2,0)</f>
        <v>Trucks and Truck Tractors, Wheeled</v>
      </c>
      <c r="N117" s="4">
        <v>230</v>
      </c>
      <c r="O117" s="81">
        <f t="shared" si="6"/>
        <v>853043.47826086951</v>
      </c>
      <c r="P117" s="81">
        <f t="shared" si="7"/>
        <v>853043.47826086951</v>
      </c>
      <c r="Q117" s="4">
        <v>2025</v>
      </c>
      <c r="R117" s="4">
        <v>2027</v>
      </c>
      <c r="S117" s="112">
        <v>196200000</v>
      </c>
      <c r="T117" s="91" t="s">
        <v>132</v>
      </c>
      <c r="U117" s="104">
        <f>_xlfn.IFNA(S117/INDEX('Exchange Rates'!$C$7:$F$14,MATCH('MAIN DATA, Orders'!F117,'Exchange Rates'!$B$7:$B$14,0),MATCH('MAIN DATA, Orders'!T117,'Exchange Rates'!$C$6:$F$6,0)), "-")</f>
        <v>196200000</v>
      </c>
      <c r="V117" s="4" t="s">
        <v>133</v>
      </c>
      <c r="W117" s="4" t="s">
        <v>127</v>
      </c>
      <c r="X117" s="4" t="s">
        <v>128</v>
      </c>
      <c r="Y117" s="24">
        <f t="shared" si="5"/>
        <v>202303</v>
      </c>
      <c r="Z117" s="115">
        <v>1</v>
      </c>
      <c r="AA117" s="115">
        <v>0</v>
      </c>
      <c r="AB117" s="115">
        <v>0</v>
      </c>
      <c r="AC117" s="115">
        <v>1</v>
      </c>
      <c r="AD117" s="115">
        <v>1</v>
      </c>
      <c r="AE117" s="115">
        <v>0</v>
      </c>
      <c r="AF117" s="115">
        <v>1</v>
      </c>
      <c r="AG117" s="4" t="s">
        <v>826</v>
      </c>
      <c r="AH117" s="4" t="s">
        <v>197</v>
      </c>
      <c r="AI117" s="4" t="s">
        <v>127</v>
      </c>
      <c r="AJ117" s="4" t="s">
        <v>488</v>
      </c>
      <c r="AK117" s="4" t="s">
        <v>827</v>
      </c>
      <c r="AL117" s="4" t="s">
        <v>828</v>
      </c>
      <c r="AM117" s="4" t="s">
        <v>829</v>
      </c>
      <c r="AN117" s="4" t="s">
        <v>128</v>
      </c>
      <c r="AO117" s="4" t="s">
        <v>830</v>
      </c>
      <c r="AP117" s="4" t="s">
        <v>127</v>
      </c>
      <c r="AQ117" s="4" t="s">
        <v>127</v>
      </c>
      <c r="AR117" s="4" t="s">
        <v>127</v>
      </c>
      <c r="AS117" s="4" t="s">
        <v>127</v>
      </c>
      <c r="AT117" s="4" t="s">
        <v>127</v>
      </c>
      <c r="AU117" s="4" t="s">
        <v>127</v>
      </c>
      <c r="AV117" s="4" t="s">
        <v>127</v>
      </c>
      <c r="AW117" s="4" t="s">
        <v>127</v>
      </c>
      <c r="AX117" s="4" t="s">
        <v>127</v>
      </c>
      <c r="AY117" s="96" t="s">
        <v>831</v>
      </c>
      <c r="AZ117" s="96" t="s">
        <v>832</v>
      </c>
      <c r="BA117" s="4" t="s">
        <v>127</v>
      </c>
      <c r="BB117" s="4" t="s">
        <v>833</v>
      </c>
      <c r="BC117" s="4" t="s">
        <v>127</v>
      </c>
      <c r="BD117" s="4" t="s">
        <v>127</v>
      </c>
      <c r="BE117" s="4" t="s">
        <v>127</v>
      </c>
      <c r="BF117" s="4"/>
      <c r="BG117" s="4"/>
      <c r="BH117" s="4"/>
      <c r="BI117" s="4"/>
      <c r="BJ117" s="4"/>
      <c r="BK117" s="4"/>
      <c r="BL117" s="4"/>
      <c r="BM117" s="4"/>
      <c r="BN117" s="4"/>
      <c r="BO117" s="4"/>
    </row>
    <row r="118" spans="1:67" ht="16" x14ac:dyDescent="0.4">
      <c r="A118" s="4" t="s">
        <v>834</v>
      </c>
      <c r="B118" s="4" t="s">
        <v>834</v>
      </c>
      <c r="C118" s="4" t="s">
        <v>127</v>
      </c>
      <c r="D118" s="4" t="s">
        <v>128</v>
      </c>
      <c r="E118" s="189">
        <v>45014</v>
      </c>
      <c r="F118" s="6">
        <f t="shared" si="4"/>
        <v>2023</v>
      </c>
      <c r="G118" s="4" t="s">
        <v>835</v>
      </c>
      <c r="H118" s="22" t="str">
        <f>VLOOKUP($G118,'Item Classification'!B:C,2,0)</f>
        <v>155mm howitzer</v>
      </c>
      <c r="I118" s="6" t="str">
        <f>VLOOKUP($G118,'Item Classification'!B:D,3,0)</f>
        <v>Artillery</v>
      </c>
      <c r="J118" s="23">
        <f>VLOOKUP($G118,'Item Classification'!B:E,4,0)</f>
        <v>3</v>
      </c>
      <c r="K118" s="116" t="s">
        <v>274</v>
      </c>
      <c r="L118" s="116" t="s">
        <v>329</v>
      </c>
      <c r="M118" s="116" t="str">
        <f>VLOOKUP(L118,'NATO Classifications'!$D$6:$E$647,2,0)</f>
        <v>Combat, Assault, and Tactical Vehicles, Tracked</v>
      </c>
      <c r="N118" s="4">
        <v>10</v>
      </c>
      <c r="O118" s="81">
        <f t="shared" si="6"/>
        <v>18400000</v>
      </c>
      <c r="P118" s="81">
        <f t="shared" si="7"/>
        <v>18400000</v>
      </c>
      <c r="Q118" s="4">
        <v>2025</v>
      </c>
      <c r="R118" s="4">
        <v>2026</v>
      </c>
      <c r="S118" s="112">
        <v>184000000</v>
      </c>
      <c r="T118" s="91" t="s">
        <v>132</v>
      </c>
      <c r="U118" s="104">
        <f>_xlfn.IFNA(S118/INDEX('Exchange Rates'!$C$7:$F$14,MATCH('MAIN DATA, Orders'!F118,'Exchange Rates'!$B$7:$B$14,0),MATCH('MAIN DATA, Orders'!T118,'Exchange Rates'!$C$6:$F$6,0)), "-")</f>
        <v>184000000</v>
      </c>
      <c r="V118" s="4" t="s">
        <v>808</v>
      </c>
      <c r="W118" s="4" t="s">
        <v>127</v>
      </c>
      <c r="X118" s="4" t="s">
        <v>128</v>
      </c>
      <c r="Y118" s="24">
        <f t="shared" si="5"/>
        <v>202303</v>
      </c>
      <c r="Z118" s="115">
        <v>1</v>
      </c>
      <c r="AA118" s="115">
        <v>0</v>
      </c>
      <c r="AB118" s="115">
        <v>0</v>
      </c>
      <c r="AC118" s="115">
        <v>1</v>
      </c>
      <c r="AD118" s="115">
        <v>0</v>
      </c>
      <c r="AE118" s="115">
        <v>0</v>
      </c>
      <c r="AF118" s="115">
        <v>0</v>
      </c>
      <c r="AG118" s="4" t="s">
        <v>488</v>
      </c>
      <c r="AH118" s="4" t="s">
        <v>128</v>
      </c>
      <c r="AI118" s="4" t="s">
        <v>127</v>
      </c>
      <c r="AJ118" s="4" t="s">
        <v>127</v>
      </c>
      <c r="AK118" s="4" t="s">
        <v>127</v>
      </c>
      <c r="AL118" s="4" t="s">
        <v>127</v>
      </c>
      <c r="AM118" s="4" t="s">
        <v>127</v>
      </c>
      <c r="AN118" s="4" t="s">
        <v>127</v>
      </c>
      <c r="AO118" s="4" t="s">
        <v>127</v>
      </c>
      <c r="AP118" s="4" t="s">
        <v>127</v>
      </c>
      <c r="AQ118" s="4" t="s">
        <v>127</v>
      </c>
      <c r="AR118" s="4" t="s">
        <v>127</v>
      </c>
      <c r="AS118" s="4" t="s">
        <v>127</v>
      </c>
      <c r="AT118" s="4" t="s">
        <v>127</v>
      </c>
      <c r="AU118" s="4" t="s">
        <v>127</v>
      </c>
      <c r="AV118" s="4" t="s">
        <v>127</v>
      </c>
      <c r="AW118" s="4" t="s">
        <v>127</v>
      </c>
      <c r="AX118" s="4" t="s">
        <v>127</v>
      </c>
      <c r="AY118" s="96" t="s">
        <v>836</v>
      </c>
      <c r="AZ118" s="96" t="s">
        <v>837</v>
      </c>
      <c r="BA118" s="96" t="s">
        <v>838</v>
      </c>
      <c r="BB118" s="4" t="s">
        <v>839</v>
      </c>
      <c r="BC118" s="4" t="s">
        <v>840</v>
      </c>
      <c r="BD118" s="4" t="s">
        <v>127</v>
      </c>
      <c r="BE118" s="4" t="s">
        <v>127</v>
      </c>
      <c r="BF118" s="4"/>
      <c r="BG118" s="4"/>
      <c r="BH118" s="4"/>
      <c r="BI118" s="4"/>
      <c r="BJ118" s="4"/>
      <c r="BK118" s="4"/>
      <c r="BL118" s="4"/>
      <c r="BM118" s="4"/>
      <c r="BN118" s="4"/>
      <c r="BO118" s="4"/>
    </row>
    <row r="119" spans="1:67" ht="16" x14ac:dyDescent="0.4">
      <c r="A119" s="4" t="s">
        <v>841</v>
      </c>
      <c r="B119" s="4" t="s">
        <v>841</v>
      </c>
      <c r="C119" s="4" t="s">
        <v>127</v>
      </c>
      <c r="D119" s="4" t="s">
        <v>128</v>
      </c>
      <c r="E119" s="189">
        <v>45014</v>
      </c>
      <c r="F119" s="6">
        <f t="shared" si="4"/>
        <v>2023</v>
      </c>
      <c r="G119" s="4" t="s">
        <v>842</v>
      </c>
      <c r="H119" s="22" t="str">
        <f>VLOOKUP($G119,'Item Classification'!B:C,2,0)</f>
        <v>Medical emergency facility</v>
      </c>
      <c r="I119" s="6" t="str">
        <f>VLOOKUP($G119,'Item Classification'!B:D,3,0)</f>
        <v>Naval</v>
      </c>
      <c r="J119" s="23">
        <f>VLOOKUP($G119,'Item Classification'!B:E,4,0)</f>
        <v>12</v>
      </c>
      <c r="K119" s="116" t="s">
        <v>843</v>
      </c>
      <c r="L119" s="116" t="s">
        <v>844</v>
      </c>
      <c r="M119" s="116" t="str">
        <f>VLOOKUP(L119,'NATO Classifications'!$D$6:$E$647,2,0)</f>
        <v>Hospital Furniture, Equipment, Utensils, and Supplies</v>
      </c>
      <c r="N119" s="4">
        <v>1</v>
      </c>
      <c r="O119" s="81">
        <f t="shared" si="6"/>
        <v>42000000</v>
      </c>
      <c r="P119" s="81">
        <f t="shared" si="7"/>
        <v>42000000</v>
      </c>
      <c r="Q119" s="4"/>
      <c r="R119" s="4"/>
      <c r="S119" s="112">
        <v>42000000</v>
      </c>
      <c r="T119" s="91" t="s">
        <v>132</v>
      </c>
      <c r="U119" s="104">
        <f>_xlfn.IFNA(S119/INDEX('Exchange Rates'!$C$7:$F$14,MATCH('MAIN DATA, Orders'!F119,'Exchange Rates'!$B$7:$B$14,0),MATCH('MAIN DATA, Orders'!T119,'Exchange Rates'!$C$6:$F$6,0)), "-")</f>
        <v>42000000</v>
      </c>
      <c r="V119" s="4" t="s">
        <v>133</v>
      </c>
      <c r="W119" s="4" t="s">
        <v>127</v>
      </c>
      <c r="X119" s="4" t="s">
        <v>128</v>
      </c>
      <c r="Y119" s="24">
        <f t="shared" si="5"/>
        <v>202303</v>
      </c>
      <c r="Z119" s="115">
        <v>0</v>
      </c>
      <c r="AA119" s="115">
        <v>0</v>
      </c>
      <c r="AB119" s="115">
        <v>0</v>
      </c>
      <c r="AC119" s="115">
        <v>1</v>
      </c>
      <c r="AD119" s="115">
        <v>0</v>
      </c>
      <c r="AE119" s="115">
        <v>0</v>
      </c>
      <c r="AF119" s="115">
        <v>0</v>
      </c>
      <c r="AG119" s="4" t="s">
        <v>845</v>
      </c>
      <c r="AH119" s="4" t="s">
        <v>128</v>
      </c>
      <c r="AI119" s="4" t="s">
        <v>128</v>
      </c>
      <c r="AJ119" s="4" t="s">
        <v>127</v>
      </c>
      <c r="AK119" s="4" t="s">
        <v>127</v>
      </c>
      <c r="AL119" s="4" t="s">
        <v>127</v>
      </c>
      <c r="AM119" s="4" t="s">
        <v>127</v>
      </c>
      <c r="AN119" s="4" t="s">
        <v>127</v>
      </c>
      <c r="AO119" s="4" t="s">
        <v>127</v>
      </c>
      <c r="AP119" s="4" t="s">
        <v>127</v>
      </c>
      <c r="AQ119" s="4" t="s">
        <v>127</v>
      </c>
      <c r="AR119" s="4" t="s">
        <v>127</v>
      </c>
      <c r="AS119" s="4" t="s">
        <v>127</v>
      </c>
      <c r="AT119" s="4" t="s">
        <v>127</v>
      </c>
      <c r="AU119" s="4" t="s">
        <v>127</v>
      </c>
      <c r="AV119" s="4" t="s">
        <v>127</v>
      </c>
      <c r="AW119" s="4" t="s">
        <v>127</v>
      </c>
      <c r="AX119" s="4" t="s">
        <v>127</v>
      </c>
      <c r="AY119" s="96" t="s">
        <v>836</v>
      </c>
      <c r="AZ119" s="96" t="s">
        <v>846</v>
      </c>
      <c r="BA119" s="96" t="s">
        <v>847</v>
      </c>
      <c r="BB119" s="4" t="s">
        <v>848</v>
      </c>
      <c r="BC119" s="4" t="s">
        <v>127</v>
      </c>
      <c r="BD119" s="4" t="s">
        <v>127</v>
      </c>
      <c r="BE119" s="4" t="s">
        <v>127</v>
      </c>
      <c r="BF119" s="4"/>
      <c r="BG119" s="4"/>
      <c r="BH119" s="4"/>
      <c r="BI119" s="4"/>
      <c r="BJ119" s="4"/>
      <c r="BK119" s="4"/>
      <c r="BL119" s="4"/>
      <c r="BM119" s="4"/>
      <c r="BN119" s="4"/>
      <c r="BO119" s="4"/>
    </row>
    <row r="120" spans="1:67" ht="16" x14ac:dyDescent="0.4">
      <c r="A120" s="4" t="s">
        <v>849</v>
      </c>
      <c r="B120" s="4" t="s">
        <v>849</v>
      </c>
      <c r="C120" s="4" t="s">
        <v>774</v>
      </c>
      <c r="D120" s="4" t="s">
        <v>128</v>
      </c>
      <c r="E120" s="189">
        <v>45014</v>
      </c>
      <c r="F120" s="6">
        <f t="shared" si="4"/>
        <v>2023</v>
      </c>
      <c r="G120" s="4" t="s">
        <v>775</v>
      </c>
      <c r="H120" s="22" t="str">
        <f>VLOOKUP($G120,'Item Classification'!B:C,2,0)</f>
        <v>All-terrain vehicle</v>
      </c>
      <c r="I120" s="6" t="str">
        <f>VLOOKUP($G120,'Item Classification'!B:D,3,0)</f>
        <v>Armoured vehicle</v>
      </c>
      <c r="J120" s="23">
        <f>VLOOKUP($G120,'Item Classification'!B:E,4,0)</f>
        <v>2</v>
      </c>
      <c r="K120" s="116" t="s">
        <v>274</v>
      </c>
      <c r="L120" s="116" t="s">
        <v>329</v>
      </c>
      <c r="M120" s="116" t="str">
        <f>VLOOKUP(L120,'NATO Classifications'!$D$6:$E$647,2,0)</f>
        <v>Combat, Assault, and Tactical Vehicles, Tracked</v>
      </c>
      <c r="N120" s="4">
        <v>227</v>
      </c>
      <c r="O120" s="81">
        <f t="shared" si="6"/>
        <v>4048458.1497797356</v>
      </c>
      <c r="P120" s="81">
        <f t="shared" si="7"/>
        <v>4048458.1497797356</v>
      </c>
      <c r="Q120" s="4">
        <v>2025</v>
      </c>
      <c r="R120" s="4">
        <v>2030</v>
      </c>
      <c r="S120" s="112">
        <v>919000000</v>
      </c>
      <c r="T120" s="91" t="s">
        <v>132</v>
      </c>
      <c r="U120" s="104">
        <f>_xlfn.IFNA(S120/INDEX('Exchange Rates'!$C$7:$F$14,MATCH('MAIN DATA, Orders'!F120,'Exchange Rates'!$B$7:$B$14,0),MATCH('MAIN DATA, Orders'!T120,'Exchange Rates'!$C$6:$F$6,0)), "-")</f>
        <v>919000000</v>
      </c>
      <c r="V120" s="4" t="s">
        <v>682</v>
      </c>
      <c r="W120" s="4" t="s">
        <v>127</v>
      </c>
      <c r="X120" s="4" t="s">
        <v>128</v>
      </c>
      <c r="Y120" s="24">
        <f t="shared" si="5"/>
        <v>202303</v>
      </c>
      <c r="Z120" s="115">
        <v>1</v>
      </c>
      <c r="AA120" s="115">
        <v>0</v>
      </c>
      <c r="AB120" s="115">
        <v>0</v>
      </c>
      <c r="AC120" s="115">
        <v>1</v>
      </c>
      <c r="AD120" s="115">
        <v>1</v>
      </c>
      <c r="AE120" s="115">
        <v>0</v>
      </c>
      <c r="AF120" s="115">
        <v>1</v>
      </c>
      <c r="AG120" s="4" t="s">
        <v>776</v>
      </c>
      <c r="AH120" s="4" t="s">
        <v>128</v>
      </c>
      <c r="AI120" s="4" t="s">
        <v>213</v>
      </c>
      <c r="AJ120" s="4" t="s">
        <v>127</v>
      </c>
      <c r="AK120" s="4" t="s">
        <v>127</v>
      </c>
      <c r="AL120" s="4" t="s">
        <v>127</v>
      </c>
      <c r="AM120" s="4" t="s">
        <v>127</v>
      </c>
      <c r="AN120" s="4" t="s">
        <v>213</v>
      </c>
      <c r="AO120" s="4" t="s">
        <v>238</v>
      </c>
      <c r="AP120" s="4" t="s">
        <v>127</v>
      </c>
      <c r="AQ120" s="4" t="s">
        <v>127</v>
      </c>
      <c r="AR120" s="4" t="s">
        <v>127</v>
      </c>
      <c r="AS120" s="4" t="s">
        <v>127</v>
      </c>
      <c r="AT120" s="4" t="s">
        <v>127</v>
      </c>
      <c r="AU120" s="4" t="s">
        <v>127</v>
      </c>
      <c r="AV120" s="4" t="s">
        <v>127</v>
      </c>
      <c r="AW120" s="4" t="s">
        <v>127</v>
      </c>
      <c r="AX120" s="4" t="s">
        <v>127</v>
      </c>
      <c r="AY120" s="96" t="s">
        <v>836</v>
      </c>
      <c r="AZ120" s="96" t="s">
        <v>850</v>
      </c>
      <c r="BA120" s="96" t="s">
        <v>777</v>
      </c>
      <c r="BB120" s="4" t="s">
        <v>851</v>
      </c>
      <c r="BC120" s="4" t="s">
        <v>127</v>
      </c>
      <c r="BD120" s="4" t="s">
        <v>127</v>
      </c>
      <c r="BE120" s="4" t="s">
        <v>127</v>
      </c>
      <c r="BF120" s="4"/>
      <c r="BG120" s="4"/>
      <c r="BH120" s="4"/>
      <c r="BI120" s="4"/>
      <c r="BJ120" s="4"/>
      <c r="BK120" s="4"/>
      <c r="BL120" s="4"/>
      <c r="BM120" s="4"/>
      <c r="BN120" s="4"/>
      <c r="BO120" s="4"/>
    </row>
    <row r="121" spans="1:67" ht="16" x14ac:dyDescent="0.4">
      <c r="A121" s="4" t="s">
        <v>852</v>
      </c>
      <c r="B121" s="4" t="s">
        <v>852</v>
      </c>
      <c r="C121" s="4" t="s">
        <v>127</v>
      </c>
      <c r="D121" s="4" t="s">
        <v>128</v>
      </c>
      <c r="E121" s="189">
        <v>45035</v>
      </c>
      <c r="F121" s="6">
        <f t="shared" si="4"/>
        <v>2023</v>
      </c>
      <c r="G121" s="4" t="s">
        <v>853</v>
      </c>
      <c r="H121" s="22" t="str">
        <f>VLOOKUP($G121,'Item Classification'!B:C,2,0)</f>
        <v>Naval surface-to-air missile (SAM) missile (medium-range)</v>
      </c>
      <c r="I121" s="6" t="str">
        <f>VLOOKUP($G121,'Item Classification'!B:D,3,0)</f>
        <v>Missile (Naval)</v>
      </c>
      <c r="J121" s="23">
        <f>VLOOKUP($G121,'Item Classification'!B:E,4,0)</f>
        <v>6</v>
      </c>
      <c r="K121" s="116" t="s">
        <v>211</v>
      </c>
      <c r="L121" s="116" t="s">
        <v>211</v>
      </c>
      <c r="M121" s="116" t="str">
        <f>VLOOKUP(L121,'NATO Classifications'!$D$6:$E$647,2,0)</f>
        <v>Guided Missiles</v>
      </c>
      <c r="N121" s="4"/>
      <c r="O121" s="81"/>
      <c r="P121" s="81"/>
      <c r="Q121" s="4"/>
      <c r="R121" s="4"/>
      <c r="S121" s="112">
        <v>269000000</v>
      </c>
      <c r="T121" s="91" t="s">
        <v>132</v>
      </c>
      <c r="U121" s="104">
        <f>_xlfn.IFNA(S121/INDEX('Exchange Rates'!$C$7:$F$14,MATCH('MAIN DATA, Orders'!F121,'Exchange Rates'!$B$7:$B$14,0),MATCH('MAIN DATA, Orders'!T121,'Exchange Rates'!$C$6:$F$6,0)), "-")</f>
        <v>269000000</v>
      </c>
      <c r="V121" s="4" t="s">
        <v>133</v>
      </c>
      <c r="W121" s="4" t="s">
        <v>127</v>
      </c>
      <c r="X121" s="4" t="s">
        <v>128</v>
      </c>
      <c r="Y121" s="24">
        <f t="shared" si="5"/>
        <v>202304</v>
      </c>
      <c r="Z121" s="115">
        <v>1</v>
      </c>
      <c r="AA121" s="115">
        <v>0</v>
      </c>
      <c r="AB121" s="115">
        <v>0</v>
      </c>
      <c r="AC121" s="115">
        <v>1</v>
      </c>
      <c r="AD121" s="115">
        <v>0</v>
      </c>
      <c r="AE121" s="115">
        <v>1</v>
      </c>
      <c r="AF121" s="115">
        <v>1</v>
      </c>
      <c r="AG121" s="4" t="s">
        <v>718</v>
      </c>
      <c r="AH121" s="4" t="s">
        <v>196</v>
      </c>
      <c r="AI121" s="4" t="s">
        <v>127</v>
      </c>
      <c r="AJ121" s="4" t="s">
        <v>127</v>
      </c>
      <c r="AK121" s="4" t="s">
        <v>127</v>
      </c>
      <c r="AL121" s="4" t="s">
        <v>127</v>
      </c>
      <c r="AM121" s="4" t="s">
        <v>127</v>
      </c>
      <c r="AN121" s="4" t="s">
        <v>531</v>
      </c>
      <c r="AO121" s="4" t="s">
        <v>431</v>
      </c>
      <c r="AP121" s="4" t="s">
        <v>854</v>
      </c>
      <c r="AQ121" s="4" t="s">
        <v>128</v>
      </c>
      <c r="AR121" s="4" t="s">
        <v>372</v>
      </c>
      <c r="AS121" s="4" t="s">
        <v>468</v>
      </c>
      <c r="AT121" s="4" t="s">
        <v>162</v>
      </c>
      <c r="AU121" s="4" t="s">
        <v>855</v>
      </c>
      <c r="AV121" s="4" t="s">
        <v>146</v>
      </c>
      <c r="AW121" s="4" t="s">
        <v>127</v>
      </c>
      <c r="AX121" s="4" t="s">
        <v>127</v>
      </c>
      <c r="AY121" s="96" t="s">
        <v>856</v>
      </c>
      <c r="AZ121" s="96" t="s">
        <v>857</v>
      </c>
      <c r="BA121" s="4" t="s">
        <v>127</v>
      </c>
      <c r="BB121" s="4" t="s">
        <v>858</v>
      </c>
      <c r="BC121" s="4" t="s">
        <v>127</v>
      </c>
      <c r="BD121" s="4" t="s">
        <v>127</v>
      </c>
      <c r="BE121" s="4" t="s">
        <v>127</v>
      </c>
      <c r="BF121" s="4"/>
      <c r="BG121" s="4"/>
      <c r="BH121" s="4"/>
      <c r="BI121" s="4"/>
      <c r="BJ121" s="4"/>
      <c r="BK121" s="4"/>
      <c r="BL121" s="4"/>
      <c r="BM121" s="4"/>
      <c r="BN121" s="4"/>
      <c r="BO121" s="4"/>
    </row>
    <row r="122" spans="1:67" ht="16" x14ac:dyDescent="0.4">
      <c r="A122" s="4" t="s">
        <v>859</v>
      </c>
      <c r="B122" s="4" t="s">
        <v>859</v>
      </c>
      <c r="C122" s="4" t="s">
        <v>127</v>
      </c>
      <c r="D122" s="4" t="s">
        <v>128</v>
      </c>
      <c r="E122" s="189">
        <v>45035</v>
      </c>
      <c r="F122" s="6">
        <f t="shared" si="4"/>
        <v>2023</v>
      </c>
      <c r="G122" s="4" t="s">
        <v>127</v>
      </c>
      <c r="H122" s="22" t="s">
        <v>817</v>
      </c>
      <c r="I122" s="6" t="s">
        <v>659</v>
      </c>
      <c r="J122" s="23">
        <v>13</v>
      </c>
      <c r="K122" s="116" t="s">
        <v>168</v>
      </c>
      <c r="L122" s="116" t="s">
        <v>169</v>
      </c>
      <c r="M122" s="116" t="str">
        <f>VLOOKUP(L122,'NATO Classifications'!$D$6:$E$647,2,0)</f>
        <v>ADPE System Configuration</v>
      </c>
      <c r="N122" s="4"/>
      <c r="O122" s="81"/>
      <c r="P122" s="81"/>
      <c r="Q122" s="4"/>
      <c r="R122" s="4"/>
      <c r="S122" s="112">
        <v>348000000</v>
      </c>
      <c r="T122" s="91" t="s">
        <v>132</v>
      </c>
      <c r="U122" s="104">
        <f>_xlfn.IFNA(S122/INDEX('Exchange Rates'!$C$7:$F$14,MATCH('MAIN DATA, Orders'!F122,'Exchange Rates'!$B$7:$B$14,0),MATCH('MAIN DATA, Orders'!T122,'Exchange Rates'!$C$6:$F$6,0)), "-")</f>
        <v>348000000</v>
      </c>
      <c r="V122" s="4" t="s">
        <v>133</v>
      </c>
      <c r="W122" s="4" t="s">
        <v>127</v>
      </c>
      <c r="X122" s="4" t="s">
        <v>128</v>
      </c>
      <c r="Y122" s="24">
        <f t="shared" si="5"/>
        <v>202304</v>
      </c>
      <c r="Z122" s="115">
        <v>1</v>
      </c>
      <c r="AA122" s="115">
        <v>0</v>
      </c>
      <c r="AB122" s="115">
        <v>0</v>
      </c>
      <c r="AC122" s="115" t="s">
        <v>127</v>
      </c>
      <c r="AD122" s="115" t="s">
        <v>127</v>
      </c>
      <c r="AE122" s="115" t="s">
        <v>127</v>
      </c>
      <c r="AF122" s="115" t="s">
        <v>127</v>
      </c>
      <c r="AG122" s="4" t="s">
        <v>127</v>
      </c>
      <c r="AH122" s="4" t="s">
        <v>127</v>
      </c>
      <c r="AI122" s="4" t="s">
        <v>127</v>
      </c>
      <c r="AJ122" s="4" t="s">
        <v>127</v>
      </c>
      <c r="AK122" s="4" t="s">
        <v>127</v>
      </c>
      <c r="AL122" s="4" t="s">
        <v>127</v>
      </c>
      <c r="AM122" s="4" t="s">
        <v>127</v>
      </c>
      <c r="AN122" s="4" t="s">
        <v>127</v>
      </c>
      <c r="AO122" s="4" t="s">
        <v>127</v>
      </c>
      <c r="AP122" s="4" t="s">
        <v>127</v>
      </c>
      <c r="AQ122" s="4" t="s">
        <v>127</v>
      </c>
      <c r="AR122" s="4" t="s">
        <v>127</v>
      </c>
      <c r="AS122" s="4" t="s">
        <v>127</v>
      </c>
      <c r="AT122" s="4" t="s">
        <v>127</v>
      </c>
      <c r="AU122" s="4" t="s">
        <v>127</v>
      </c>
      <c r="AV122" s="4" t="s">
        <v>127</v>
      </c>
      <c r="AW122" s="4" t="s">
        <v>127</v>
      </c>
      <c r="AX122" s="4" t="s">
        <v>127</v>
      </c>
      <c r="AY122" s="96" t="s">
        <v>856</v>
      </c>
      <c r="AZ122" s="96" t="s">
        <v>860</v>
      </c>
      <c r="BA122" s="4" t="s">
        <v>127</v>
      </c>
      <c r="BB122" s="4" t="s">
        <v>861</v>
      </c>
      <c r="BC122" s="4" t="s">
        <v>127</v>
      </c>
      <c r="BD122" s="4" t="s">
        <v>127</v>
      </c>
      <c r="BE122" s="4" t="s">
        <v>127</v>
      </c>
      <c r="BF122" s="4" t="s">
        <v>200</v>
      </c>
      <c r="BG122" s="4" t="s">
        <v>200</v>
      </c>
      <c r="BH122" s="4" t="s">
        <v>200</v>
      </c>
      <c r="BI122" s="4" t="s">
        <v>200</v>
      </c>
      <c r="BJ122" s="4" t="s">
        <v>200</v>
      </c>
      <c r="BK122" s="4" t="s">
        <v>200</v>
      </c>
      <c r="BL122" s="4" t="s">
        <v>200</v>
      </c>
      <c r="BM122" s="4" t="s">
        <v>200</v>
      </c>
      <c r="BN122" s="4" t="s">
        <v>200</v>
      </c>
      <c r="BO122" s="4" t="s">
        <v>200</v>
      </c>
    </row>
    <row r="123" spans="1:67" ht="16" x14ac:dyDescent="0.4">
      <c r="A123" s="4" t="s">
        <v>859</v>
      </c>
      <c r="B123" s="4" t="s">
        <v>862</v>
      </c>
      <c r="C123" s="4" t="s">
        <v>127</v>
      </c>
      <c r="D123" s="4" t="s">
        <v>128</v>
      </c>
      <c r="E123" s="189">
        <v>45035</v>
      </c>
      <c r="F123" s="6">
        <f t="shared" si="4"/>
        <v>2023</v>
      </c>
      <c r="G123" s="4" t="s">
        <v>863</v>
      </c>
      <c r="H123" s="22" t="str">
        <f>VLOOKUP($G123,'Item Classification'!B:C,2,0)</f>
        <v>Communication equipment</v>
      </c>
      <c r="I123" s="6" t="str">
        <f>VLOOKUP($G123,'Item Classification'!B:D,3,0)</f>
        <v>Modernisation</v>
      </c>
      <c r="J123" s="23">
        <f>VLOOKUP($G123,'Item Classification'!B:E,4,0)</f>
        <v>13</v>
      </c>
      <c r="K123" s="116" t="s">
        <v>168</v>
      </c>
      <c r="L123" s="116" t="s">
        <v>864</v>
      </c>
      <c r="M123" s="116" t="str">
        <f>VLOOKUP(L123,'NATO Classifications'!$D$6:$E$647,2,0)</f>
        <v>ADPE Central Processing Unit (CPU, Computer), Digital</v>
      </c>
      <c r="N123" s="4">
        <v>7800</v>
      </c>
      <c r="O123" s="81"/>
      <c r="P123" s="81"/>
      <c r="Q123" s="4"/>
      <c r="R123" s="4"/>
      <c r="S123" s="4"/>
      <c r="T123" s="91" t="s">
        <v>132</v>
      </c>
      <c r="U123" s="104">
        <f>_xlfn.IFNA(S123/INDEX('Exchange Rates'!$C$7:$F$14,MATCH('MAIN DATA, Orders'!F123,'Exchange Rates'!$B$7:$B$14,0),MATCH('MAIN DATA, Orders'!T123,'Exchange Rates'!$C$6:$F$6,0)), "-")</f>
        <v>0</v>
      </c>
      <c r="V123" s="4" t="s">
        <v>133</v>
      </c>
      <c r="W123" s="4" t="s">
        <v>127</v>
      </c>
      <c r="X123" s="4" t="s">
        <v>128</v>
      </c>
      <c r="Y123" s="24">
        <f t="shared" si="5"/>
        <v>202304</v>
      </c>
      <c r="Z123" s="115">
        <v>1</v>
      </c>
      <c r="AA123" s="115">
        <v>0</v>
      </c>
      <c r="AB123" s="115">
        <v>0</v>
      </c>
      <c r="AC123" s="115" t="s">
        <v>127</v>
      </c>
      <c r="AD123" s="115" t="s">
        <v>127</v>
      </c>
      <c r="AE123" s="115" t="s">
        <v>127</v>
      </c>
      <c r="AF123" s="115" t="s">
        <v>127</v>
      </c>
      <c r="AG123" s="4" t="s">
        <v>127</v>
      </c>
      <c r="AH123" s="4" t="s">
        <v>127</v>
      </c>
      <c r="AI123" s="4" t="s">
        <v>127</v>
      </c>
      <c r="AJ123" s="4" t="s">
        <v>127</v>
      </c>
      <c r="AK123" s="4" t="s">
        <v>127</v>
      </c>
      <c r="AL123" s="4" t="s">
        <v>127</v>
      </c>
      <c r="AM123" s="4" t="s">
        <v>127</v>
      </c>
      <c r="AN123" s="4" t="s">
        <v>127</v>
      </c>
      <c r="AO123" s="4" t="s">
        <v>127</v>
      </c>
      <c r="AP123" s="4" t="s">
        <v>127</v>
      </c>
      <c r="AQ123" s="4" t="s">
        <v>127</v>
      </c>
      <c r="AR123" s="4" t="s">
        <v>127</v>
      </c>
      <c r="AS123" s="4" t="s">
        <v>127</v>
      </c>
      <c r="AT123" s="4" t="s">
        <v>127</v>
      </c>
      <c r="AU123" s="4" t="s">
        <v>127</v>
      </c>
      <c r="AV123" s="4" t="s">
        <v>127</v>
      </c>
      <c r="AW123" s="4" t="s">
        <v>127</v>
      </c>
      <c r="AX123" s="4" t="s">
        <v>127</v>
      </c>
      <c r="AY123" s="96" t="s">
        <v>856</v>
      </c>
      <c r="AZ123" s="96" t="s">
        <v>865</v>
      </c>
      <c r="BA123" s="4" t="s">
        <v>127</v>
      </c>
      <c r="BB123" s="4" t="s">
        <v>861</v>
      </c>
      <c r="BC123" s="4" t="s">
        <v>127</v>
      </c>
      <c r="BD123" s="4" t="s">
        <v>127</v>
      </c>
      <c r="BE123" s="4" t="s">
        <v>127</v>
      </c>
      <c r="BF123" s="4" t="s">
        <v>200</v>
      </c>
      <c r="BG123" s="4" t="s">
        <v>200</v>
      </c>
      <c r="BH123" s="4" t="s">
        <v>200</v>
      </c>
      <c r="BI123" s="4" t="s">
        <v>200</v>
      </c>
      <c r="BJ123" s="4" t="s">
        <v>200</v>
      </c>
      <c r="BK123" s="4" t="s">
        <v>200</v>
      </c>
      <c r="BL123" s="4" t="s">
        <v>200</v>
      </c>
      <c r="BM123" s="4" t="s">
        <v>200</v>
      </c>
      <c r="BN123" s="4" t="s">
        <v>200</v>
      </c>
      <c r="BO123" s="4" t="s">
        <v>200</v>
      </c>
    </row>
    <row r="124" spans="1:67" ht="16" x14ac:dyDescent="0.4">
      <c r="A124" s="4" t="s">
        <v>859</v>
      </c>
      <c r="B124" s="4" t="s">
        <v>866</v>
      </c>
      <c r="C124" s="4" t="s">
        <v>127</v>
      </c>
      <c r="D124" s="4" t="s">
        <v>128</v>
      </c>
      <c r="E124" s="189">
        <v>45035</v>
      </c>
      <c r="F124" s="6">
        <f t="shared" si="4"/>
        <v>2023</v>
      </c>
      <c r="G124" s="4" t="s">
        <v>867</v>
      </c>
      <c r="H124" s="22" t="str">
        <f>VLOOKUP($G124,'Item Classification'!B:C,2,0)</f>
        <v>Communication equipment</v>
      </c>
      <c r="I124" s="6" t="str">
        <f>VLOOKUP($G124,'Item Classification'!B:D,3,0)</f>
        <v>Modernisation</v>
      </c>
      <c r="J124" s="23">
        <f>VLOOKUP($G124,'Item Classification'!B:E,4,0)</f>
        <v>13</v>
      </c>
      <c r="K124" s="116" t="s">
        <v>168</v>
      </c>
      <c r="L124" s="116" t="s">
        <v>169</v>
      </c>
      <c r="M124" s="116" t="str">
        <f>VLOOKUP(L124,'NATO Classifications'!$D$6:$E$647,2,0)</f>
        <v>ADPE System Configuration</v>
      </c>
      <c r="N124" s="4">
        <v>600</v>
      </c>
      <c r="O124" s="81"/>
      <c r="P124" s="81"/>
      <c r="Q124" s="4"/>
      <c r="R124" s="4"/>
      <c r="S124" s="4"/>
      <c r="T124" s="91" t="s">
        <v>132</v>
      </c>
      <c r="U124" s="104">
        <f>_xlfn.IFNA(S124/INDEX('Exchange Rates'!$C$7:$F$14,MATCH('MAIN DATA, Orders'!F124,'Exchange Rates'!$B$7:$B$14,0),MATCH('MAIN DATA, Orders'!T124,'Exchange Rates'!$C$6:$F$6,0)), "-")</f>
        <v>0</v>
      </c>
      <c r="V124" s="4" t="s">
        <v>133</v>
      </c>
      <c r="W124" s="4" t="s">
        <v>127</v>
      </c>
      <c r="X124" s="4" t="s">
        <v>128</v>
      </c>
      <c r="Y124" s="24">
        <f t="shared" si="5"/>
        <v>202304</v>
      </c>
      <c r="Z124" s="115">
        <v>1</v>
      </c>
      <c r="AA124" s="115">
        <v>0</v>
      </c>
      <c r="AB124" s="115">
        <v>0</v>
      </c>
      <c r="AC124" s="115" t="s">
        <v>127</v>
      </c>
      <c r="AD124" s="115" t="s">
        <v>127</v>
      </c>
      <c r="AE124" s="115" t="s">
        <v>127</v>
      </c>
      <c r="AF124" s="115" t="s">
        <v>127</v>
      </c>
      <c r="AG124" s="4" t="s">
        <v>127</v>
      </c>
      <c r="AH124" s="4" t="s">
        <v>127</v>
      </c>
      <c r="AI124" s="4" t="s">
        <v>127</v>
      </c>
      <c r="AJ124" s="4" t="s">
        <v>127</v>
      </c>
      <c r="AK124" s="4" t="s">
        <v>127</v>
      </c>
      <c r="AL124" s="4" t="s">
        <v>127</v>
      </c>
      <c r="AM124" s="4" t="s">
        <v>127</v>
      </c>
      <c r="AN124" s="4" t="s">
        <v>127</v>
      </c>
      <c r="AO124" s="4" t="s">
        <v>127</v>
      </c>
      <c r="AP124" s="4" t="s">
        <v>127</v>
      </c>
      <c r="AQ124" s="4" t="s">
        <v>127</v>
      </c>
      <c r="AR124" s="4" t="s">
        <v>127</v>
      </c>
      <c r="AS124" s="4" t="s">
        <v>127</v>
      </c>
      <c r="AT124" s="4" t="s">
        <v>127</v>
      </c>
      <c r="AU124" s="4" t="s">
        <v>127</v>
      </c>
      <c r="AV124" s="4" t="s">
        <v>127</v>
      </c>
      <c r="AW124" s="4" t="s">
        <v>127</v>
      </c>
      <c r="AX124" s="4" t="s">
        <v>127</v>
      </c>
      <c r="AY124" s="96" t="s">
        <v>868</v>
      </c>
      <c r="AZ124" s="96" t="s">
        <v>869</v>
      </c>
      <c r="BA124" s="4" t="s">
        <v>127</v>
      </c>
      <c r="BB124" s="4" t="s">
        <v>861</v>
      </c>
      <c r="BC124" s="4" t="s">
        <v>127</v>
      </c>
      <c r="BD124" s="4" t="s">
        <v>127</v>
      </c>
      <c r="BE124" s="4" t="s">
        <v>127</v>
      </c>
      <c r="BF124" s="4" t="s">
        <v>200</v>
      </c>
      <c r="BG124" s="4" t="s">
        <v>200</v>
      </c>
      <c r="BH124" s="4" t="s">
        <v>200</v>
      </c>
      <c r="BI124" s="4" t="s">
        <v>200</v>
      </c>
      <c r="BJ124" s="4" t="s">
        <v>200</v>
      </c>
      <c r="BK124" s="4" t="s">
        <v>200</v>
      </c>
      <c r="BL124" s="4" t="s">
        <v>200</v>
      </c>
      <c r="BM124" s="4" t="s">
        <v>200</v>
      </c>
      <c r="BN124" s="4" t="s">
        <v>200</v>
      </c>
      <c r="BO124" s="4" t="s">
        <v>200</v>
      </c>
    </row>
    <row r="125" spans="1:67" ht="16" x14ac:dyDescent="0.4">
      <c r="A125" s="4" t="s">
        <v>859</v>
      </c>
      <c r="B125" s="4" t="s">
        <v>870</v>
      </c>
      <c r="C125" s="4" t="s">
        <v>127</v>
      </c>
      <c r="D125" s="4" t="s">
        <v>128</v>
      </c>
      <c r="E125" s="189">
        <v>45035</v>
      </c>
      <c r="F125" s="6">
        <f t="shared" si="4"/>
        <v>2023</v>
      </c>
      <c r="G125" s="4" t="s">
        <v>871</v>
      </c>
      <c r="H125" s="22" t="str">
        <f>VLOOKUP($G125,'Item Classification'!B:C,2,0)</f>
        <v>Communication equipment</v>
      </c>
      <c r="I125" s="6" t="str">
        <f>VLOOKUP($G125,'Item Classification'!B:D,3,0)</f>
        <v>Modernisation</v>
      </c>
      <c r="J125" s="23">
        <f>VLOOKUP($G125,'Item Classification'!B:E,4,0)</f>
        <v>13</v>
      </c>
      <c r="K125" s="116" t="s">
        <v>872</v>
      </c>
      <c r="L125" s="116" t="s">
        <v>873</v>
      </c>
      <c r="M125" s="116" t="str">
        <f>VLOOKUP(L125,'NATO Classifications'!$D$6:$E$647,2,0)</f>
        <v>Converters, Electrical, Nonrotating</v>
      </c>
      <c r="N125" s="4">
        <v>5900</v>
      </c>
      <c r="O125" s="81"/>
      <c r="P125" s="81"/>
      <c r="Q125" s="4"/>
      <c r="R125" s="4"/>
      <c r="S125" s="4"/>
      <c r="T125" s="91" t="s">
        <v>132</v>
      </c>
      <c r="U125" s="104">
        <f>_xlfn.IFNA(S125/INDEX('Exchange Rates'!$C$7:$F$14,MATCH('MAIN DATA, Orders'!F125,'Exchange Rates'!$B$7:$B$14,0),MATCH('MAIN DATA, Orders'!T125,'Exchange Rates'!$C$6:$F$6,0)), "-")</f>
        <v>0</v>
      </c>
      <c r="V125" s="4" t="s">
        <v>133</v>
      </c>
      <c r="W125" s="4" t="s">
        <v>127</v>
      </c>
      <c r="X125" s="4" t="s">
        <v>128</v>
      </c>
      <c r="Y125" s="24">
        <f t="shared" si="5"/>
        <v>202304</v>
      </c>
      <c r="Z125" s="115">
        <v>1</v>
      </c>
      <c r="AA125" s="115">
        <v>0</v>
      </c>
      <c r="AB125" s="115">
        <v>0</v>
      </c>
      <c r="AC125" s="115" t="s">
        <v>127</v>
      </c>
      <c r="AD125" s="115" t="s">
        <v>127</v>
      </c>
      <c r="AE125" s="115" t="s">
        <v>127</v>
      </c>
      <c r="AF125" s="115" t="s">
        <v>127</v>
      </c>
      <c r="AG125" s="4" t="s">
        <v>127</v>
      </c>
      <c r="AH125" s="4" t="s">
        <v>127</v>
      </c>
      <c r="AI125" s="4" t="s">
        <v>127</v>
      </c>
      <c r="AJ125" s="4" t="s">
        <v>127</v>
      </c>
      <c r="AK125" s="4" t="s">
        <v>127</v>
      </c>
      <c r="AL125" s="4" t="s">
        <v>127</v>
      </c>
      <c r="AM125" s="4" t="s">
        <v>127</v>
      </c>
      <c r="AN125" s="4" t="s">
        <v>127</v>
      </c>
      <c r="AO125" s="4" t="s">
        <v>127</v>
      </c>
      <c r="AP125" s="4" t="s">
        <v>127</v>
      </c>
      <c r="AQ125" s="4" t="s">
        <v>127</v>
      </c>
      <c r="AR125" s="4" t="s">
        <v>127</v>
      </c>
      <c r="AS125" s="4" t="s">
        <v>127</v>
      </c>
      <c r="AT125" s="4" t="s">
        <v>127</v>
      </c>
      <c r="AU125" s="4" t="s">
        <v>127</v>
      </c>
      <c r="AV125" s="4" t="s">
        <v>127</v>
      </c>
      <c r="AW125" s="4" t="s">
        <v>127</v>
      </c>
      <c r="AX125" s="4" t="s">
        <v>127</v>
      </c>
      <c r="AY125" s="96" t="s">
        <v>874</v>
      </c>
      <c r="AZ125" s="96" t="s">
        <v>875</v>
      </c>
      <c r="BA125" s="4" t="s">
        <v>127</v>
      </c>
      <c r="BB125" s="4" t="s">
        <v>861</v>
      </c>
      <c r="BC125" s="4" t="s">
        <v>127</v>
      </c>
      <c r="BD125" s="4" t="s">
        <v>127</v>
      </c>
      <c r="BE125" s="4" t="s">
        <v>127</v>
      </c>
      <c r="BF125" s="4" t="s">
        <v>200</v>
      </c>
      <c r="BG125" s="4" t="s">
        <v>200</v>
      </c>
      <c r="BH125" s="4" t="s">
        <v>200</v>
      </c>
      <c r="BI125" s="4" t="s">
        <v>200</v>
      </c>
      <c r="BJ125" s="4" t="s">
        <v>200</v>
      </c>
      <c r="BK125" s="4" t="s">
        <v>200</v>
      </c>
      <c r="BL125" s="4" t="s">
        <v>200</v>
      </c>
      <c r="BM125" s="4" t="s">
        <v>200</v>
      </c>
      <c r="BN125" s="4" t="s">
        <v>200</v>
      </c>
      <c r="BO125" s="4" t="s">
        <v>200</v>
      </c>
    </row>
    <row r="126" spans="1:67" ht="16" x14ac:dyDescent="0.4">
      <c r="A126" s="4" t="s">
        <v>859</v>
      </c>
      <c r="B126" s="4" t="s">
        <v>876</v>
      </c>
      <c r="C126" s="4" t="s">
        <v>127</v>
      </c>
      <c r="D126" s="4" t="s">
        <v>128</v>
      </c>
      <c r="E126" s="189">
        <v>45035</v>
      </c>
      <c r="F126" s="6">
        <f t="shared" si="4"/>
        <v>2023</v>
      </c>
      <c r="G126" s="4" t="s">
        <v>877</v>
      </c>
      <c r="H126" s="22" t="str">
        <f>VLOOKUP($G126,'Item Classification'!B:C,2,0)</f>
        <v>Communication equipment</v>
      </c>
      <c r="I126" s="6" t="str">
        <f>VLOOKUP($G126,'Item Classification'!B:D,3,0)</f>
        <v>Modernisation</v>
      </c>
      <c r="J126" s="23">
        <f>VLOOKUP($G126,'Item Classification'!B:E,4,0)</f>
        <v>13</v>
      </c>
      <c r="K126" s="116" t="s">
        <v>158</v>
      </c>
      <c r="L126" s="116" t="s">
        <v>354</v>
      </c>
      <c r="M126" s="116" t="str">
        <f>VLOOKUP(L126,'NATO Classifications'!$D$6:$E$647,2,0)</f>
        <v>Communication, Detection, and Coherent Radiation Equipment (other)</v>
      </c>
      <c r="N126" s="4">
        <v>1800</v>
      </c>
      <c r="O126" s="81"/>
      <c r="P126" s="81"/>
      <c r="Q126" s="4"/>
      <c r="R126" s="4"/>
      <c r="S126" s="4"/>
      <c r="T126" s="91" t="s">
        <v>132</v>
      </c>
      <c r="U126" s="104">
        <f>_xlfn.IFNA(S126/INDEX('Exchange Rates'!$C$7:$F$14,MATCH('MAIN DATA, Orders'!F126,'Exchange Rates'!$B$7:$B$14,0),MATCH('MAIN DATA, Orders'!T126,'Exchange Rates'!$C$6:$F$6,0)), "-")</f>
        <v>0</v>
      </c>
      <c r="V126" s="4" t="s">
        <v>133</v>
      </c>
      <c r="W126" s="4" t="s">
        <v>127</v>
      </c>
      <c r="X126" s="4" t="s">
        <v>128</v>
      </c>
      <c r="Y126" s="24">
        <f t="shared" si="5"/>
        <v>202304</v>
      </c>
      <c r="Z126" s="115">
        <v>1</v>
      </c>
      <c r="AA126" s="115">
        <v>0</v>
      </c>
      <c r="AB126" s="115">
        <v>0</v>
      </c>
      <c r="AC126" s="115" t="s">
        <v>127</v>
      </c>
      <c r="AD126" s="115" t="s">
        <v>127</v>
      </c>
      <c r="AE126" s="115" t="s">
        <v>127</v>
      </c>
      <c r="AF126" s="115" t="s">
        <v>127</v>
      </c>
      <c r="AG126" s="4" t="s">
        <v>127</v>
      </c>
      <c r="AH126" s="4" t="s">
        <v>127</v>
      </c>
      <c r="AI126" s="4" t="s">
        <v>127</v>
      </c>
      <c r="AJ126" s="4" t="s">
        <v>127</v>
      </c>
      <c r="AK126" s="4" t="s">
        <v>127</v>
      </c>
      <c r="AL126" s="4" t="s">
        <v>127</v>
      </c>
      <c r="AM126" s="4" t="s">
        <v>127</v>
      </c>
      <c r="AN126" s="4" t="s">
        <v>127</v>
      </c>
      <c r="AO126" s="4" t="s">
        <v>127</v>
      </c>
      <c r="AP126" s="4" t="s">
        <v>127</v>
      </c>
      <c r="AQ126" s="4" t="s">
        <v>127</v>
      </c>
      <c r="AR126" s="4" t="s">
        <v>127</v>
      </c>
      <c r="AS126" s="4" t="s">
        <v>127</v>
      </c>
      <c r="AT126" s="4" t="s">
        <v>127</v>
      </c>
      <c r="AU126" s="4" t="s">
        <v>127</v>
      </c>
      <c r="AV126" s="4" t="s">
        <v>127</v>
      </c>
      <c r="AW126" s="4" t="s">
        <v>127</v>
      </c>
      <c r="AX126" s="4" t="s">
        <v>127</v>
      </c>
      <c r="AY126" s="96" t="s">
        <v>878</v>
      </c>
      <c r="AZ126" s="96" t="s">
        <v>879</v>
      </c>
      <c r="BA126" s="4" t="s">
        <v>127</v>
      </c>
      <c r="BB126" s="4" t="s">
        <v>861</v>
      </c>
      <c r="BC126" s="4" t="s">
        <v>127</v>
      </c>
      <c r="BD126" s="4" t="s">
        <v>127</v>
      </c>
      <c r="BE126" s="4" t="s">
        <v>127</v>
      </c>
      <c r="BF126" s="4" t="s">
        <v>200</v>
      </c>
      <c r="BG126" s="4" t="s">
        <v>200</v>
      </c>
      <c r="BH126" s="4" t="s">
        <v>200</v>
      </c>
      <c r="BI126" s="4" t="s">
        <v>200</v>
      </c>
      <c r="BJ126" s="4" t="s">
        <v>200</v>
      </c>
      <c r="BK126" s="4" t="s">
        <v>200</v>
      </c>
      <c r="BL126" s="4" t="s">
        <v>200</v>
      </c>
      <c r="BM126" s="4" t="s">
        <v>200</v>
      </c>
      <c r="BN126" s="4" t="s">
        <v>200</v>
      </c>
      <c r="BO126" s="4" t="s">
        <v>200</v>
      </c>
    </row>
    <row r="127" spans="1:67" ht="16" x14ac:dyDescent="0.4">
      <c r="A127" s="4" t="s">
        <v>859</v>
      </c>
      <c r="B127" s="4" t="s">
        <v>880</v>
      </c>
      <c r="C127" s="4" t="s">
        <v>127</v>
      </c>
      <c r="D127" s="4" t="s">
        <v>128</v>
      </c>
      <c r="E127" s="189">
        <v>45035</v>
      </c>
      <c r="F127" s="6">
        <f t="shared" si="4"/>
        <v>2023</v>
      </c>
      <c r="G127" s="4" t="s">
        <v>881</v>
      </c>
      <c r="H127" s="22" t="str">
        <f>VLOOKUP($G127,'Item Classification'!B:C,2,0)</f>
        <v>Communication equipment</v>
      </c>
      <c r="I127" s="6" t="str">
        <f>VLOOKUP($G127,'Item Classification'!B:D,3,0)</f>
        <v>Modernisation</v>
      </c>
      <c r="J127" s="23">
        <f>VLOOKUP($G127,'Item Classification'!B:E,4,0)</f>
        <v>13</v>
      </c>
      <c r="K127" s="116" t="s">
        <v>168</v>
      </c>
      <c r="L127" s="116" t="s">
        <v>882</v>
      </c>
      <c r="M127" s="116" t="str">
        <f>VLOOKUP(L127,'NATO Classifications'!$D$6:$E$647,2,0)</f>
        <v>ADP Input/Output and Storage Devices</v>
      </c>
      <c r="N127" s="4">
        <v>800</v>
      </c>
      <c r="O127" s="81"/>
      <c r="P127" s="81"/>
      <c r="Q127" s="4"/>
      <c r="R127" s="4"/>
      <c r="S127" s="4"/>
      <c r="T127" s="91" t="s">
        <v>132</v>
      </c>
      <c r="U127" s="104">
        <f>_xlfn.IFNA(S127/INDEX('Exchange Rates'!$C$7:$F$14,MATCH('MAIN DATA, Orders'!F127,'Exchange Rates'!$B$7:$B$14,0),MATCH('MAIN DATA, Orders'!T127,'Exchange Rates'!$C$6:$F$6,0)), "-")</f>
        <v>0</v>
      </c>
      <c r="V127" s="4" t="s">
        <v>133</v>
      </c>
      <c r="W127" s="4" t="s">
        <v>127</v>
      </c>
      <c r="X127" s="4" t="s">
        <v>128</v>
      </c>
      <c r="Y127" s="24">
        <f t="shared" si="5"/>
        <v>202304</v>
      </c>
      <c r="Z127" s="115">
        <v>1</v>
      </c>
      <c r="AA127" s="115">
        <v>0</v>
      </c>
      <c r="AB127" s="115">
        <v>0</v>
      </c>
      <c r="AC127" s="115" t="s">
        <v>127</v>
      </c>
      <c r="AD127" s="115" t="s">
        <v>127</v>
      </c>
      <c r="AE127" s="115" t="s">
        <v>127</v>
      </c>
      <c r="AF127" s="115" t="s">
        <v>127</v>
      </c>
      <c r="AG127" s="4" t="s">
        <v>127</v>
      </c>
      <c r="AH127" s="4" t="s">
        <v>127</v>
      </c>
      <c r="AI127" s="4" t="s">
        <v>127</v>
      </c>
      <c r="AJ127" s="4" t="s">
        <v>127</v>
      </c>
      <c r="AK127" s="4" t="s">
        <v>127</v>
      </c>
      <c r="AL127" s="4" t="s">
        <v>127</v>
      </c>
      <c r="AM127" s="4" t="s">
        <v>127</v>
      </c>
      <c r="AN127" s="4" t="s">
        <v>127</v>
      </c>
      <c r="AO127" s="4" t="s">
        <v>127</v>
      </c>
      <c r="AP127" s="4" t="s">
        <v>127</v>
      </c>
      <c r="AQ127" s="4" t="s">
        <v>127</v>
      </c>
      <c r="AR127" s="4" t="s">
        <v>127</v>
      </c>
      <c r="AS127" s="4" t="s">
        <v>127</v>
      </c>
      <c r="AT127" s="4" t="s">
        <v>127</v>
      </c>
      <c r="AU127" s="4" t="s">
        <v>127</v>
      </c>
      <c r="AV127" s="4" t="s">
        <v>127</v>
      </c>
      <c r="AW127" s="4" t="s">
        <v>127</v>
      </c>
      <c r="AX127" s="4" t="s">
        <v>127</v>
      </c>
      <c r="AY127" s="96" t="s">
        <v>883</v>
      </c>
      <c r="AZ127" s="96" t="s">
        <v>884</v>
      </c>
      <c r="BA127" s="4" t="s">
        <v>127</v>
      </c>
      <c r="BB127" s="4" t="s">
        <v>861</v>
      </c>
      <c r="BC127" s="4" t="s">
        <v>127</v>
      </c>
      <c r="BD127" s="4" t="s">
        <v>127</v>
      </c>
      <c r="BE127" s="4" t="s">
        <v>127</v>
      </c>
      <c r="BF127" s="4" t="s">
        <v>200</v>
      </c>
      <c r="BG127" s="4" t="s">
        <v>200</v>
      </c>
      <c r="BH127" s="4" t="s">
        <v>200</v>
      </c>
      <c r="BI127" s="4" t="s">
        <v>200</v>
      </c>
      <c r="BJ127" s="4" t="s">
        <v>200</v>
      </c>
      <c r="BK127" s="4" t="s">
        <v>200</v>
      </c>
      <c r="BL127" s="4" t="s">
        <v>200</v>
      </c>
      <c r="BM127" s="4" t="s">
        <v>200</v>
      </c>
      <c r="BN127" s="4" t="s">
        <v>200</v>
      </c>
      <c r="BO127" s="4" t="s">
        <v>200</v>
      </c>
    </row>
    <row r="128" spans="1:67" ht="16" x14ac:dyDescent="0.4">
      <c r="A128" s="4" t="s">
        <v>859</v>
      </c>
      <c r="B128" s="4" t="s">
        <v>885</v>
      </c>
      <c r="C128" s="4" t="s">
        <v>127</v>
      </c>
      <c r="D128" s="4" t="s">
        <v>128</v>
      </c>
      <c r="E128" s="189">
        <v>45035</v>
      </c>
      <c r="F128" s="6">
        <f t="shared" si="4"/>
        <v>2023</v>
      </c>
      <c r="G128" s="4" t="s">
        <v>886</v>
      </c>
      <c r="H128" s="22" t="str">
        <f>VLOOKUP($G128,'Item Classification'!B:C,2,0)</f>
        <v>Communication equipment</v>
      </c>
      <c r="I128" s="6" t="str">
        <f>VLOOKUP($G128,'Item Classification'!B:D,3,0)</f>
        <v>Modernisation</v>
      </c>
      <c r="J128" s="23">
        <f>VLOOKUP($G128,'Item Classification'!B:E,4,0)</f>
        <v>13</v>
      </c>
      <c r="K128" s="116" t="s">
        <v>168</v>
      </c>
      <c r="L128" s="116" t="s">
        <v>882</v>
      </c>
      <c r="M128" s="116" t="str">
        <f>VLOOKUP(L128,'NATO Classifications'!$D$6:$E$647,2,0)</f>
        <v>ADP Input/Output and Storage Devices</v>
      </c>
      <c r="N128" s="4">
        <v>800</v>
      </c>
      <c r="O128" s="81"/>
      <c r="P128" s="81"/>
      <c r="Q128" s="4"/>
      <c r="R128" s="4"/>
      <c r="S128" s="4"/>
      <c r="T128" s="91" t="s">
        <v>132</v>
      </c>
      <c r="U128" s="104">
        <f>_xlfn.IFNA(S128/INDEX('Exchange Rates'!$C$7:$F$14,MATCH('MAIN DATA, Orders'!F128,'Exchange Rates'!$B$7:$B$14,0),MATCH('MAIN DATA, Orders'!T128,'Exchange Rates'!$C$6:$F$6,0)), "-")</f>
        <v>0</v>
      </c>
      <c r="V128" s="4" t="s">
        <v>133</v>
      </c>
      <c r="W128" s="4" t="s">
        <v>127</v>
      </c>
      <c r="X128" s="4" t="s">
        <v>128</v>
      </c>
      <c r="Y128" s="24">
        <f t="shared" si="5"/>
        <v>202304</v>
      </c>
      <c r="Z128" s="115">
        <v>1</v>
      </c>
      <c r="AA128" s="115">
        <v>0</v>
      </c>
      <c r="AB128" s="115">
        <v>0</v>
      </c>
      <c r="AC128" s="115" t="s">
        <v>127</v>
      </c>
      <c r="AD128" s="115" t="s">
        <v>127</v>
      </c>
      <c r="AE128" s="115" t="s">
        <v>127</v>
      </c>
      <c r="AF128" s="115" t="s">
        <v>127</v>
      </c>
      <c r="AG128" s="4" t="s">
        <v>127</v>
      </c>
      <c r="AH128" s="4" t="s">
        <v>127</v>
      </c>
      <c r="AI128" s="4" t="s">
        <v>127</v>
      </c>
      <c r="AJ128" s="4" t="s">
        <v>127</v>
      </c>
      <c r="AK128" s="4" t="s">
        <v>127</v>
      </c>
      <c r="AL128" s="4" t="s">
        <v>127</v>
      </c>
      <c r="AM128" s="4" t="s">
        <v>127</v>
      </c>
      <c r="AN128" s="4" t="s">
        <v>127</v>
      </c>
      <c r="AO128" s="4" t="s">
        <v>127</v>
      </c>
      <c r="AP128" s="4" t="s">
        <v>127</v>
      </c>
      <c r="AQ128" s="4" t="s">
        <v>127</v>
      </c>
      <c r="AR128" s="4" t="s">
        <v>127</v>
      </c>
      <c r="AS128" s="4" t="s">
        <v>127</v>
      </c>
      <c r="AT128" s="4" t="s">
        <v>127</v>
      </c>
      <c r="AU128" s="4" t="s">
        <v>127</v>
      </c>
      <c r="AV128" s="4" t="s">
        <v>127</v>
      </c>
      <c r="AW128" s="4" t="s">
        <v>127</v>
      </c>
      <c r="AX128" s="4" t="s">
        <v>127</v>
      </c>
      <c r="AY128" s="96" t="s">
        <v>887</v>
      </c>
      <c r="AZ128" s="96" t="s">
        <v>888</v>
      </c>
      <c r="BA128" s="4" t="s">
        <v>127</v>
      </c>
      <c r="BB128" s="4" t="s">
        <v>861</v>
      </c>
      <c r="BC128" s="4" t="s">
        <v>127</v>
      </c>
      <c r="BD128" s="4" t="s">
        <v>127</v>
      </c>
      <c r="BE128" s="4" t="s">
        <v>127</v>
      </c>
      <c r="BF128" s="4" t="s">
        <v>200</v>
      </c>
      <c r="BG128" s="4" t="s">
        <v>200</v>
      </c>
      <c r="BH128" s="4" t="s">
        <v>200</v>
      </c>
      <c r="BI128" s="4" t="s">
        <v>200</v>
      </c>
      <c r="BJ128" s="4" t="s">
        <v>200</v>
      </c>
      <c r="BK128" s="4" t="s">
        <v>200</v>
      </c>
      <c r="BL128" s="4" t="s">
        <v>200</v>
      </c>
      <c r="BM128" s="4" t="s">
        <v>200</v>
      </c>
      <c r="BN128" s="4" t="s">
        <v>200</v>
      </c>
      <c r="BO128" s="4" t="s">
        <v>200</v>
      </c>
    </row>
    <row r="129" spans="1:67" ht="16" x14ac:dyDescent="0.4">
      <c r="A129" s="4" t="s">
        <v>859</v>
      </c>
      <c r="B129" s="4" t="s">
        <v>889</v>
      </c>
      <c r="C129" s="4" t="s">
        <v>127</v>
      </c>
      <c r="D129" s="4" t="s">
        <v>128</v>
      </c>
      <c r="E129" s="189">
        <v>45035</v>
      </c>
      <c r="F129" s="6">
        <f t="shared" si="4"/>
        <v>2023</v>
      </c>
      <c r="G129" s="4" t="s">
        <v>890</v>
      </c>
      <c r="H129" s="22" t="str">
        <f>VLOOKUP($G129,'Item Classification'!B:C,2,0)</f>
        <v>Communication equipment</v>
      </c>
      <c r="I129" s="6" t="str">
        <f>VLOOKUP($G129,'Item Classification'!B:D,3,0)</f>
        <v>Modernisation</v>
      </c>
      <c r="J129" s="23">
        <f>VLOOKUP($G129,'Item Classification'!B:E,4,0)</f>
        <v>13</v>
      </c>
      <c r="K129" s="116" t="s">
        <v>168</v>
      </c>
      <c r="L129" s="116" t="s">
        <v>169</v>
      </c>
      <c r="M129" s="116" t="str">
        <f>VLOOKUP(L129,'NATO Classifications'!$D$6:$E$647,2,0)</f>
        <v>ADPE System Configuration</v>
      </c>
      <c r="N129" s="4">
        <v>2400</v>
      </c>
      <c r="O129" s="81"/>
      <c r="P129" s="81"/>
      <c r="Q129" s="4"/>
      <c r="R129" s="4"/>
      <c r="S129" s="4"/>
      <c r="T129" s="91" t="s">
        <v>132</v>
      </c>
      <c r="U129" s="104">
        <f>_xlfn.IFNA(S129/INDEX('Exchange Rates'!$C$7:$F$14,MATCH('MAIN DATA, Orders'!F129,'Exchange Rates'!$B$7:$B$14,0),MATCH('MAIN DATA, Orders'!T129,'Exchange Rates'!$C$6:$F$6,0)), "-")</f>
        <v>0</v>
      </c>
      <c r="V129" s="4" t="s">
        <v>133</v>
      </c>
      <c r="W129" s="4" t="s">
        <v>127</v>
      </c>
      <c r="X129" s="4" t="s">
        <v>128</v>
      </c>
      <c r="Y129" s="24">
        <f t="shared" si="5"/>
        <v>202304</v>
      </c>
      <c r="Z129" s="115">
        <v>1</v>
      </c>
      <c r="AA129" s="115">
        <v>0</v>
      </c>
      <c r="AB129" s="115">
        <v>0</v>
      </c>
      <c r="AC129" s="115" t="s">
        <v>127</v>
      </c>
      <c r="AD129" s="115" t="s">
        <v>127</v>
      </c>
      <c r="AE129" s="115" t="s">
        <v>127</v>
      </c>
      <c r="AF129" s="115" t="s">
        <v>127</v>
      </c>
      <c r="AG129" s="4" t="s">
        <v>127</v>
      </c>
      <c r="AH129" s="4" t="s">
        <v>127</v>
      </c>
      <c r="AI129" s="4" t="s">
        <v>127</v>
      </c>
      <c r="AJ129" s="4" t="s">
        <v>127</v>
      </c>
      <c r="AK129" s="4" t="s">
        <v>127</v>
      </c>
      <c r="AL129" s="4" t="s">
        <v>127</v>
      </c>
      <c r="AM129" s="4" t="s">
        <v>127</v>
      </c>
      <c r="AN129" s="4" t="s">
        <v>127</v>
      </c>
      <c r="AO129" s="4" t="s">
        <v>127</v>
      </c>
      <c r="AP129" s="4" t="s">
        <v>127</v>
      </c>
      <c r="AQ129" s="4" t="s">
        <v>127</v>
      </c>
      <c r="AR129" s="4" t="s">
        <v>127</v>
      </c>
      <c r="AS129" s="4" t="s">
        <v>127</v>
      </c>
      <c r="AT129" s="4" t="s">
        <v>127</v>
      </c>
      <c r="AU129" s="4" t="s">
        <v>127</v>
      </c>
      <c r="AV129" s="4" t="s">
        <v>127</v>
      </c>
      <c r="AW129" s="4" t="s">
        <v>127</v>
      </c>
      <c r="AX129" s="4" t="s">
        <v>127</v>
      </c>
      <c r="AY129" s="96" t="s">
        <v>891</v>
      </c>
      <c r="AZ129" s="96" t="s">
        <v>892</v>
      </c>
      <c r="BA129" s="4" t="s">
        <v>127</v>
      </c>
      <c r="BB129" s="4" t="s">
        <v>861</v>
      </c>
      <c r="BC129" s="4" t="s">
        <v>127</v>
      </c>
      <c r="BD129" s="4" t="s">
        <v>127</v>
      </c>
      <c r="BE129" s="4" t="s">
        <v>127</v>
      </c>
      <c r="BF129" s="4" t="s">
        <v>200</v>
      </c>
      <c r="BG129" s="4" t="s">
        <v>200</v>
      </c>
      <c r="BH129" s="4" t="s">
        <v>200</v>
      </c>
      <c r="BI129" s="4" t="s">
        <v>200</v>
      </c>
      <c r="BJ129" s="4" t="s">
        <v>200</v>
      </c>
      <c r="BK129" s="4" t="s">
        <v>200</v>
      </c>
      <c r="BL129" s="4" t="s">
        <v>200</v>
      </c>
      <c r="BM129" s="4" t="s">
        <v>200</v>
      </c>
      <c r="BN129" s="4" t="s">
        <v>200</v>
      </c>
      <c r="BO129" s="4" t="s">
        <v>200</v>
      </c>
    </row>
    <row r="130" spans="1:67" ht="16" x14ac:dyDescent="0.4">
      <c r="A130" s="4" t="s">
        <v>859</v>
      </c>
      <c r="B130" s="4" t="s">
        <v>893</v>
      </c>
      <c r="C130" s="4" t="s">
        <v>127</v>
      </c>
      <c r="D130" s="4" t="s">
        <v>128</v>
      </c>
      <c r="E130" s="189">
        <v>45035</v>
      </c>
      <c r="F130" s="6">
        <f t="shared" ref="F130:F193" si="8">YEAR(E130)</f>
        <v>2023</v>
      </c>
      <c r="G130" s="4" t="s">
        <v>894</v>
      </c>
      <c r="H130" s="22" t="str">
        <f>VLOOKUP($G130,'Item Classification'!B:C,2,0)</f>
        <v>Communication equipment</v>
      </c>
      <c r="I130" s="6" t="str">
        <f>VLOOKUP($G130,'Item Classification'!B:D,3,0)</f>
        <v>Modernisation</v>
      </c>
      <c r="J130" s="23">
        <f>VLOOKUP($G130,'Item Classification'!B:E,4,0)</f>
        <v>13</v>
      </c>
      <c r="K130" s="116" t="s">
        <v>168</v>
      </c>
      <c r="L130" s="116" t="s">
        <v>169</v>
      </c>
      <c r="M130" s="116" t="str">
        <f>VLOOKUP(L130,'NATO Classifications'!$D$6:$E$647,2,0)</f>
        <v>ADPE System Configuration</v>
      </c>
      <c r="N130" s="4">
        <v>5500</v>
      </c>
      <c r="O130" s="81"/>
      <c r="P130" s="81"/>
      <c r="Q130" s="4"/>
      <c r="R130" s="4"/>
      <c r="S130" s="4"/>
      <c r="T130" s="91" t="s">
        <v>132</v>
      </c>
      <c r="U130" s="104">
        <f>_xlfn.IFNA(S130/INDEX('Exchange Rates'!$C$7:$F$14,MATCH('MAIN DATA, Orders'!F130,'Exchange Rates'!$B$7:$B$14,0),MATCH('MAIN DATA, Orders'!T130,'Exchange Rates'!$C$6:$F$6,0)), "-")</f>
        <v>0</v>
      </c>
      <c r="V130" s="4" t="s">
        <v>133</v>
      </c>
      <c r="W130" s="4" t="s">
        <v>127</v>
      </c>
      <c r="X130" s="4" t="s">
        <v>128</v>
      </c>
      <c r="Y130" s="24">
        <f t="shared" ref="Y130:Y149" si="9">_xlfn.NUMBERVALUE(_xlfn.CONCAT(YEAR(E130),TEXT(E130, "mm")))</f>
        <v>202304</v>
      </c>
      <c r="Z130" s="115">
        <v>1</v>
      </c>
      <c r="AA130" s="115">
        <v>0</v>
      </c>
      <c r="AB130" s="115">
        <v>0</v>
      </c>
      <c r="AC130" s="115" t="s">
        <v>127</v>
      </c>
      <c r="AD130" s="115" t="s">
        <v>127</v>
      </c>
      <c r="AE130" s="115" t="s">
        <v>127</v>
      </c>
      <c r="AF130" s="115" t="s">
        <v>127</v>
      </c>
      <c r="AG130" s="4" t="s">
        <v>127</v>
      </c>
      <c r="AH130" s="4" t="s">
        <v>127</v>
      </c>
      <c r="AI130" s="4" t="s">
        <v>127</v>
      </c>
      <c r="AJ130" s="4" t="s">
        <v>127</v>
      </c>
      <c r="AK130" s="4" t="s">
        <v>127</v>
      </c>
      <c r="AL130" s="4" t="s">
        <v>127</v>
      </c>
      <c r="AM130" s="4" t="s">
        <v>127</v>
      </c>
      <c r="AN130" s="4" t="s">
        <v>127</v>
      </c>
      <c r="AO130" s="4" t="s">
        <v>127</v>
      </c>
      <c r="AP130" s="4" t="s">
        <v>127</v>
      </c>
      <c r="AQ130" s="4" t="s">
        <v>127</v>
      </c>
      <c r="AR130" s="4" t="s">
        <v>127</v>
      </c>
      <c r="AS130" s="4" t="s">
        <v>127</v>
      </c>
      <c r="AT130" s="4" t="s">
        <v>127</v>
      </c>
      <c r="AU130" s="4" t="s">
        <v>127</v>
      </c>
      <c r="AV130" s="4" t="s">
        <v>127</v>
      </c>
      <c r="AW130" s="4" t="s">
        <v>127</v>
      </c>
      <c r="AX130" s="4" t="s">
        <v>127</v>
      </c>
      <c r="AY130" s="96" t="s">
        <v>895</v>
      </c>
      <c r="AZ130" s="96" t="s">
        <v>896</v>
      </c>
      <c r="BA130" s="4" t="s">
        <v>127</v>
      </c>
      <c r="BB130" s="4" t="s">
        <v>861</v>
      </c>
      <c r="BC130" s="4" t="s">
        <v>127</v>
      </c>
      <c r="BD130" s="4" t="s">
        <v>127</v>
      </c>
      <c r="BE130" s="4" t="s">
        <v>127</v>
      </c>
      <c r="BF130" s="4" t="s">
        <v>200</v>
      </c>
      <c r="BG130" s="4" t="s">
        <v>200</v>
      </c>
      <c r="BH130" s="4" t="s">
        <v>200</v>
      </c>
      <c r="BI130" s="4" t="s">
        <v>200</v>
      </c>
      <c r="BJ130" s="4" t="s">
        <v>200</v>
      </c>
      <c r="BK130" s="4" t="s">
        <v>200</v>
      </c>
      <c r="BL130" s="4" t="s">
        <v>200</v>
      </c>
      <c r="BM130" s="4" t="s">
        <v>200</v>
      </c>
      <c r="BN130" s="4" t="s">
        <v>200</v>
      </c>
      <c r="BO130" s="4" t="s">
        <v>200</v>
      </c>
    </row>
    <row r="131" spans="1:67" ht="16" x14ac:dyDescent="0.4">
      <c r="A131" s="4" t="s">
        <v>859</v>
      </c>
      <c r="B131" s="4" t="s">
        <v>897</v>
      </c>
      <c r="C131" s="4" t="s">
        <v>127</v>
      </c>
      <c r="D131" s="4" t="s">
        <v>128</v>
      </c>
      <c r="E131" s="189">
        <v>45035</v>
      </c>
      <c r="F131" s="6">
        <f t="shared" si="8"/>
        <v>2023</v>
      </c>
      <c r="G131" s="4" t="s">
        <v>881</v>
      </c>
      <c r="H131" s="22" t="str">
        <f>VLOOKUP($G131,'Item Classification'!B:C,2,0)</f>
        <v>Communication equipment</v>
      </c>
      <c r="I131" s="6" t="str">
        <f>VLOOKUP($G131,'Item Classification'!B:D,3,0)</f>
        <v>Modernisation</v>
      </c>
      <c r="J131" s="23">
        <f>VLOOKUP($G131,'Item Classification'!B:E,4,0)</f>
        <v>13</v>
      </c>
      <c r="K131" s="116" t="s">
        <v>168</v>
      </c>
      <c r="L131" s="116" t="s">
        <v>882</v>
      </c>
      <c r="M131" s="116" t="str">
        <f>VLOOKUP(L131,'NATO Classifications'!$D$6:$E$647,2,0)</f>
        <v>ADP Input/Output and Storage Devices</v>
      </c>
      <c r="N131" s="4">
        <v>1200</v>
      </c>
      <c r="O131" s="81"/>
      <c r="P131" s="81"/>
      <c r="Q131" s="4"/>
      <c r="R131" s="4"/>
      <c r="S131" s="4"/>
      <c r="T131" s="91" t="s">
        <v>132</v>
      </c>
      <c r="U131" s="104">
        <f>_xlfn.IFNA(S131/INDEX('Exchange Rates'!$C$7:$F$14,MATCH('MAIN DATA, Orders'!F131,'Exchange Rates'!$B$7:$B$14,0),MATCH('MAIN DATA, Orders'!T131,'Exchange Rates'!$C$6:$F$6,0)), "-")</f>
        <v>0</v>
      </c>
      <c r="V131" s="4" t="s">
        <v>133</v>
      </c>
      <c r="W131" s="4" t="s">
        <v>127</v>
      </c>
      <c r="X131" s="4" t="s">
        <v>128</v>
      </c>
      <c r="Y131" s="24">
        <f t="shared" si="9"/>
        <v>202304</v>
      </c>
      <c r="Z131" s="115">
        <v>1</v>
      </c>
      <c r="AA131" s="115">
        <v>0</v>
      </c>
      <c r="AB131" s="115">
        <v>0</v>
      </c>
      <c r="AC131" s="115" t="s">
        <v>127</v>
      </c>
      <c r="AD131" s="115" t="s">
        <v>127</v>
      </c>
      <c r="AE131" s="115" t="s">
        <v>127</v>
      </c>
      <c r="AF131" s="115" t="s">
        <v>127</v>
      </c>
      <c r="AG131" s="4" t="s">
        <v>127</v>
      </c>
      <c r="AH131" s="4" t="s">
        <v>127</v>
      </c>
      <c r="AI131" s="4" t="s">
        <v>127</v>
      </c>
      <c r="AJ131" s="4" t="s">
        <v>127</v>
      </c>
      <c r="AK131" s="4" t="s">
        <v>127</v>
      </c>
      <c r="AL131" s="4" t="s">
        <v>127</v>
      </c>
      <c r="AM131" s="4" t="s">
        <v>127</v>
      </c>
      <c r="AN131" s="4" t="s">
        <v>127</v>
      </c>
      <c r="AO131" s="4" t="s">
        <v>127</v>
      </c>
      <c r="AP131" s="4" t="s">
        <v>127</v>
      </c>
      <c r="AQ131" s="4" t="s">
        <v>127</v>
      </c>
      <c r="AR131" s="4" t="s">
        <v>127</v>
      </c>
      <c r="AS131" s="4" t="s">
        <v>127</v>
      </c>
      <c r="AT131" s="4" t="s">
        <v>127</v>
      </c>
      <c r="AU131" s="4" t="s">
        <v>127</v>
      </c>
      <c r="AV131" s="4" t="s">
        <v>127</v>
      </c>
      <c r="AW131" s="4" t="s">
        <v>127</v>
      </c>
      <c r="AX131" s="4" t="s">
        <v>127</v>
      </c>
      <c r="AY131" s="96" t="s">
        <v>898</v>
      </c>
      <c r="AZ131" s="96" t="s">
        <v>899</v>
      </c>
      <c r="BA131" s="4" t="s">
        <v>127</v>
      </c>
      <c r="BB131" s="4" t="s">
        <v>861</v>
      </c>
      <c r="BC131" s="4" t="s">
        <v>127</v>
      </c>
      <c r="BD131" s="4" t="s">
        <v>127</v>
      </c>
      <c r="BE131" s="4" t="s">
        <v>127</v>
      </c>
      <c r="BF131" s="4" t="s">
        <v>200</v>
      </c>
      <c r="BG131" s="4" t="s">
        <v>200</v>
      </c>
      <c r="BH131" s="4" t="s">
        <v>200</v>
      </c>
      <c r="BI131" s="4" t="s">
        <v>200</v>
      </c>
      <c r="BJ131" s="4" t="s">
        <v>200</v>
      </c>
      <c r="BK131" s="4" t="s">
        <v>200</v>
      </c>
      <c r="BL131" s="4" t="s">
        <v>200</v>
      </c>
      <c r="BM131" s="4" t="s">
        <v>200</v>
      </c>
      <c r="BN131" s="4" t="s">
        <v>200</v>
      </c>
      <c r="BO131" s="4" t="s">
        <v>200</v>
      </c>
    </row>
    <row r="132" spans="1:67" ht="16" x14ac:dyDescent="0.4">
      <c r="A132" s="4" t="s">
        <v>859</v>
      </c>
      <c r="B132" s="4" t="s">
        <v>900</v>
      </c>
      <c r="C132" s="4" t="s">
        <v>127</v>
      </c>
      <c r="D132" s="4" t="s">
        <v>128</v>
      </c>
      <c r="E132" s="189">
        <v>45035</v>
      </c>
      <c r="F132" s="6">
        <f t="shared" si="8"/>
        <v>2023</v>
      </c>
      <c r="G132" s="4" t="s">
        <v>901</v>
      </c>
      <c r="H132" s="22" t="str">
        <f>VLOOKUP($G132,'Item Classification'!B:C,2,0)</f>
        <v>Communication equipment</v>
      </c>
      <c r="I132" s="6" t="str">
        <f>VLOOKUP($G132,'Item Classification'!B:D,3,0)</f>
        <v>Modernisation</v>
      </c>
      <c r="J132" s="23">
        <f>VLOOKUP($G132,'Item Classification'!B:E,4,0)</f>
        <v>13</v>
      </c>
      <c r="K132" s="116" t="s">
        <v>168</v>
      </c>
      <c r="L132" s="116" t="s">
        <v>882</v>
      </c>
      <c r="M132" s="116" t="str">
        <f>VLOOKUP(L132,'NATO Classifications'!$D$6:$E$647,2,0)</f>
        <v>ADP Input/Output and Storage Devices</v>
      </c>
      <c r="N132" s="4">
        <v>3500</v>
      </c>
      <c r="O132" s="81"/>
      <c r="P132" s="81"/>
      <c r="Q132" s="4"/>
      <c r="R132" s="4"/>
      <c r="S132" s="4"/>
      <c r="T132" s="91" t="s">
        <v>132</v>
      </c>
      <c r="U132" s="104">
        <f>_xlfn.IFNA(S132/INDEX('Exchange Rates'!$C$7:$F$14,MATCH('MAIN DATA, Orders'!F132,'Exchange Rates'!$B$7:$B$14,0),MATCH('MAIN DATA, Orders'!T132,'Exchange Rates'!$C$6:$F$6,0)), "-")</f>
        <v>0</v>
      </c>
      <c r="V132" s="4" t="s">
        <v>133</v>
      </c>
      <c r="W132" s="4" t="s">
        <v>127</v>
      </c>
      <c r="X132" s="4" t="s">
        <v>128</v>
      </c>
      <c r="Y132" s="24">
        <f t="shared" si="9"/>
        <v>202304</v>
      </c>
      <c r="Z132" s="115">
        <v>1</v>
      </c>
      <c r="AA132" s="115">
        <v>0</v>
      </c>
      <c r="AB132" s="115">
        <v>0</v>
      </c>
      <c r="AC132" s="115" t="s">
        <v>127</v>
      </c>
      <c r="AD132" s="115" t="s">
        <v>127</v>
      </c>
      <c r="AE132" s="115" t="s">
        <v>127</v>
      </c>
      <c r="AF132" s="115" t="s">
        <v>127</v>
      </c>
      <c r="AG132" s="4" t="s">
        <v>127</v>
      </c>
      <c r="AH132" s="4" t="s">
        <v>127</v>
      </c>
      <c r="AI132" s="4" t="s">
        <v>127</v>
      </c>
      <c r="AJ132" s="4" t="s">
        <v>127</v>
      </c>
      <c r="AK132" s="4" t="s">
        <v>127</v>
      </c>
      <c r="AL132" s="4" t="s">
        <v>127</v>
      </c>
      <c r="AM132" s="4" t="s">
        <v>127</v>
      </c>
      <c r="AN132" s="4" t="s">
        <v>127</v>
      </c>
      <c r="AO132" s="4" t="s">
        <v>127</v>
      </c>
      <c r="AP132" s="4" t="s">
        <v>127</v>
      </c>
      <c r="AQ132" s="4" t="s">
        <v>127</v>
      </c>
      <c r="AR132" s="4" t="s">
        <v>127</v>
      </c>
      <c r="AS132" s="4" t="s">
        <v>127</v>
      </c>
      <c r="AT132" s="4" t="s">
        <v>127</v>
      </c>
      <c r="AU132" s="4" t="s">
        <v>127</v>
      </c>
      <c r="AV132" s="4" t="s">
        <v>127</v>
      </c>
      <c r="AW132" s="4" t="s">
        <v>127</v>
      </c>
      <c r="AX132" s="4" t="s">
        <v>127</v>
      </c>
      <c r="AY132" s="96" t="s">
        <v>902</v>
      </c>
      <c r="AZ132" s="96" t="s">
        <v>903</v>
      </c>
      <c r="BA132" s="4" t="s">
        <v>127</v>
      </c>
      <c r="BB132" s="4" t="s">
        <v>861</v>
      </c>
      <c r="BC132" s="4" t="s">
        <v>127</v>
      </c>
      <c r="BD132" s="4" t="s">
        <v>127</v>
      </c>
      <c r="BE132" s="4" t="s">
        <v>127</v>
      </c>
      <c r="BF132" s="4" t="s">
        <v>200</v>
      </c>
      <c r="BG132" s="4" t="s">
        <v>200</v>
      </c>
      <c r="BH132" s="4" t="s">
        <v>200</v>
      </c>
      <c r="BI132" s="4" t="s">
        <v>200</v>
      </c>
      <c r="BJ132" s="4" t="s">
        <v>200</v>
      </c>
      <c r="BK132" s="4" t="s">
        <v>200</v>
      </c>
      <c r="BL132" s="4" t="s">
        <v>200</v>
      </c>
      <c r="BM132" s="4" t="s">
        <v>200</v>
      </c>
      <c r="BN132" s="4" t="s">
        <v>200</v>
      </c>
      <c r="BO132" s="4" t="s">
        <v>200</v>
      </c>
    </row>
    <row r="133" spans="1:67" ht="16" x14ac:dyDescent="0.4">
      <c r="A133" s="4" t="s">
        <v>859</v>
      </c>
      <c r="B133" s="4" t="s">
        <v>904</v>
      </c>
      <c r="C133" s="4" t="s">
        <v>127</v>
      </c>
      <c r="D133" s="4" t="s">
        <v>128</v>
      </c>
      <c r="E133" s="189">
        <v>45035</v>
      </c>
      <c r="F133" s="6">
        <f t="shared" si="8"/>
        <v>2023</v>
      </c>
      <c r="G133" s="4" t="s">
        <v>886</v>
      </c>
      <c r="H133" s="22" t="str">
        <f>VLOOKUP($G133,'Item Classification'!B:C,2,0)</f>
        <v>Communication equipment</v>
      </c>
      <c r="I133" s="6" t="str">
        <f>VLOOKUP($G133,'Item Classification'!B:D,3,0)</f>
        <v>Modernisation</v>
      </c>
      <c r="J133" s="23">
        <f>VLOOKUP($G133,'Item Classification'!B:E,4,0)</f>
        <v>13</v>
      </c>
      <c r="K133" s="116" t="s">
        <v>168</v>
      </c>
      <c r="L133" s="116" t="s">
        <v>882</v>
      </c>
      <c r="M133" s="116" t="str">
        <f>VLOOKUP(L133,'NATO Classifications'!$D$6:$E$647,2,0)</f>
        <v>ADP Input/Output and Storage Devices</v>
      </c>
      <c r="N133" s="4">
        <v>5000</v>
      </c>
      <c r="O133" s="81"/>
      <c r="P133" s="81"/>
      <c r="Q133" s="4"/>
      <c r="R133" s="4"/>
      <c r="S133" s="4"/>
      <c r="T133" s="91" t="s">
        <v>132</v>
      </c>
      <c r="U133" s="104">
        <f>_xlfn.IFNA(S133/INDEX('Exchange Rates'!$C$7:$F$14,MATCH('MAIN DATA, Orders'!F133,'Exchange Rates'!$B$7:$B$14,0),MATCH('MAIN DATA, Orders'!T133,'Exchange Rates'!$C$6:$F$6,0)), "-")</f>
        <v>0</v>
      </c>
      <c r="V133" s="4" t="s">
        <v>133</v>
      </c>
      <c r="W133" s="4" t="s">
        <v>127</v>
      </c>
      <c r="X133" s="4" t="s">
        <v>128</v>
      </c>
      <c r="Y133" s="24">
        <f t="shared" si="9"/>
        <v>202304</v>
      </c>
      <c r="Z133" s="115">
        <v>1</v>
      </c>
      <c r="AA133" s="115">
        <v>0</v>
      </c>
      <c r="AB133" s="115">
        <v>0</v>
      </c>
      <c r="AC133" s="115" t="s">
        <v>127</v>
      </c>
      <c r="AD133" s="115" t="s">
        <v>127</v>
      </c>
      <c r="AE133" s="115" t="s">
        <v>127</v>
      </c>
      <c r="AF133" s="115" t="s">
        <v>127</v>
      </c>
      <c r="AG133" s="4" t="s">
        <v>127</v>
      </c>
      <c r="AH133" s="4" t="s">
        <v>127</v>
      </c>
      <c r="AI133" s="4" t="s">
        <v>127</v>
      </c>
      <c r="AJ133" s="4" t="s">
        <v>127</v>
      </c>
      <c r="AK133" s="4" t="s">
        <v>127</v>
      </c>
      <c r="AL133" s="4" t="s">
        <v>127</v>
      </c>
      <c r="AM133" s="4" t="s">
        <v>127</v>
      </c>
      <c r="AN133" s="4" t="s">
        <v>127</v>
      </c>
      <c r="AO133" s="4" t="s">
        <v>127</v>
      </c>
      <c r="AP133" s="4" t="s">
        <v>127</v>
      </c>
      <c r="AQ133" s="4" t="s">
        <v>127</v>
      </c>
      <c r="AR133" s="4" t="s">
        <v>127</v>
      </c>
      <c r="AS133" s="4" t="s">
        <v>127</v>
      </c>
      <c r="AT133" s="4" t="s">
        <v>127</v>
      </c>
      <c r="AU133" s="4" t="s">
        <v>127</v>
      </c>
      <c r="AV133" s="4" t="s">
        <v>127</v>
      </c>
      <c r="AW133" s="4" t="s">
        <v>127</v>
      </c>
      <c r="AX133" s="4" t="s">
        <v>127</v>
      </c>
      <c r="AY133" s="96" t="s">
        <v>905</v>
      </c>
      <c r="AZ133" s="96" t="s">
        <v>906</v>
      </c>
      <c r="BA133" s="4" t="s">
        <v>127</v>
      </c>
      <c r="BB133" s="4" t="s">
        <v>861</v>
      </c>
      <c r="BC133" s="4" t="s">
        <v>127</v>
      </c>
      <c r="BD133" s="4" t="s">
        <v>127</v>
      </c>
      <c r="BE133" s="4" t="s">
        <v>127</v>
      </c>
      <c r="BF133" s="4" t="s">
        <v>200</v>
      </c>
      <c r="BG133" s="4" t="s">
        <v>200</v>
      </c>
      <c r="BH133" s="4" t="s">
        <v>200</v>
      </c>
      <c r="BI133" s="4" t="s">
        <v>200</v>
      </c>
      <c r="BJ133" s="4" t="s">
        <v>200</v>
      </c>
      <c r="BK133" s="4" t="s">
        <v>200</v>
      </c>
      <c r="BL133" s="4" t="s">
        <v>200</v>
      </c>
      <c r="BM133" s="4" t="s">
        <v>200</v>
      </c>
      <c r="BN133" s="4" t="s">
        <v>200</v>
      </c>
      <c r="BO133" s="4" t="s">
        <v>200</v>
      </c>
    </row>
    <row r="134" spans="1:67" ht="16" x14ac:dyDescent="0.4">
      <c r="A134" s="4" t="s">
        <v>859</v>
      </c>
      <c r="B134" s="4" t="s">
        <v>907</v>
      </c>
      <c r="C134" s="4" t="s">
        <v>127</v>
      </c>
      <c r="D134" s="4" t="s">
        <v>128</v>
      </c>
      <c r="E134" s="189">
        <v>45035</v>
      </c>
      <c r="F134" s="6">
        <f t="shared" si="8"/>
        <v>2023</v>
      </c>
      <c r="G134" s="4" t="s">
        <v>908</v>
      </c>
      <c r="H134" s="22" t="str">
        <f>VLOOKUP($G134,'Item Classification'!B:C,2,0)</f>
        <v>Communication equipment</v>
      </c>
      <c r="I134" s="6" t="str">
        <f>VLOOKUP($G134,'Item Classification'!B:D,3,0)</f>
        <v>Modernisation</v>
      </c>
      <c r="J134" s="23">
        <f>VLOOKUP($G134,'Item Classification'!B:E,4,0)</f>
        <v>13</v>
      </c>
      <c r="K134" s="116" t="s">
        <v>872</v>
      </c>
      <c r="L134" s="116" t="s">
        <v>873</v>
      </c>
      <c r="M134" s="116" t="str">
        <f>VLOOKUP(L134,'NATO Classifications'!$D$6:$E$647,2,0)</f>
        <v>Converters, Electrical, Nonrotating</v>
      </c>
      <c r="N134" s="4">
        <v>7500</v>
      </c>
      <c r="O134" s="81"/>
      <c r="P134" s="81"/>
      <c r="Q134" s="4"/>
      <c r="R134" s="4"/>
      <c r="S134" s="4"/>
      <c r="T134" s="91" t="s">
        <v>132</v>
      </c>
      <c r="U134" s="104">
        <f>_xlfn.IFNA(S134/INDEX('Exchange Rates'!$C$7:$F$14,MATCH('MAIN DATA, Orders'!F134,'Exchange Rates'!$B$7:$B$14,0),MATCH('MAIN DATA, Orders'!T134,'Exchange Rates'!$C$6:$F$6,0)), "-")</f>
        <v>0</v>
      </c>
      <c r="V134" s="4" t="s">
        <v>133</v>
      </c>
      <c r="W134" s="4" t="s">
        <v>127</v>
      </c>
      <c r="X134" s="4" t="s">
        <v>128</v>
      </c>
      <c r="Y134" s="24">
        <f t="shared" si="9"/>
        <v>202304</v>
      </c>
      <c r="Z134" s="115">
        <v>1</v>
      </c>
      <c r="AA134" s="115">
        <v>0</v>
      </c>
      <c r="AB134" s="115">
        <v>0</v>
      </c>
      <c r="AC134" s="115" t="s">
        <v>127</v>
      </c>
      <c r="AD134" s="115" t="s">
        <v>127</v>
      </c>
      <c r="AE134" s="115" t="s">
        <v>127</v>
      </c>
      <c r="AF134" s="115" t="s">
        <v>127</v>
      </c>
      <c r="AG134" s="4" t="s">
        <v>127</v>
      </c>
      <c r="AH134" s="4" t="s">
        <v>127</v>
      </c>
      <c r="AI134" s="4" t="s">
        <v>127</v>
      </c>
      <c r="AJ134" s="4" t="s">
        <v>127</v>
      </c>
      <c r="AK134" s="4" t="s">
        <v>127</v>
      </c>
      <c r="AL134" s="4" t="s">
        <v>127</v>
      </c>
      <c r="AM134" s="4" t="s">
        <v>127</v>
      </c>
      <c r="AN134" s="4" t="s">
        <v>127</v>
      </c>
      <c r="AO134" s="4" t="s">
        <v>127</v>
      </c>
      <c r="AP134" s="4" t="s">
        <v>127</v>
      </c>
      <c r="AQ134" s="4" t="s">
        <v>127</v>
      </c>
      <c r="AR134" s="4" t="s">
        <v>127</v>
      </c>
      <c r="AS134" s="4" t="s">
        <v>127</v>
      </c>
      <c r="AT134" s="4" t="s">
        <v>127</v>
      </c>
      <c r="AU134" s="4" t="s">
        <v>127</v>
      </c>
      <c r="AV134" s="4" t="s">
        <v>127</v>
      </c>
      <c r="AW134" s="4" t="s">
        <v>127</v>
      </c>
      <c r="AX134" s="4" t="s">
        <v>127</v>
      </c>
      <c r="AY134" s="96" t="s">
        <v>909</v>
      </c>
      <c r="AZ134" s="96" t="s">
        <v>860</v>
      </c>
      <c r="BA134" s="4" t="s">
        <v>127</v>
      </c>
      <c r="BB134" s="4" t="s">
        <v>861</v>
      </c>
      <c r="BC134" s="4" t="s">
        <v>127</v>
      </c>
      <c r="BD134" s="4" t="s">
        <v>127</v>
      </c>
      <c r="BE134" s="4" t="s">
        <v>127</v>
      </c>
      <c r="BF134" s="4" t="s">
        <v>200</v>
      </c>
      <c r="BG134" s="4" t="s">
        <v>200</v>
      </c>
      <c r="BH134" s="4" t="s">
        <v>200</v>
      </c>
      <c r="BI134" s="4" t="s">
        <v>200</v>
      </c>
      <c r="BJ134" s="4" t="s">
        <v>200</v>
      </c>
      <c r="BK134" s="4" t="s">
        <v>200</v>
      </c>
      <c r="BL134" s="4" t="s">
        <v>200</v>
      </c>
      <c r="BM134" s="4" t="s">
        <v>200</v>
      </c>
      <c r="BN134" s="4" t="s">
        <v>200</v>
      </c>
      <c r="BO134" s="4" t="s">
        <v>200</v>
      </c>
    </row>
    <row r="135" spans="1:67" ht="16" x14ac:dyDescent="0.4">
      <c r="A135" s="4" t="s">
        <v>910</v>
      </c>
      <c r="B135" s="4" t="s">
        <v>910</v>
      </c>
      <c r="C135" s="4" t="s">
        <v>127</v>
      </c>
      <c r="D135" s="4" t="s">
        <v>128</v>
      </c>
      <c r="E135" s="189">
        <v>45035</v>
      </c>
      <c r="F135" s="6">
        <f t="shared" si="8"/>
        <v>2023</v>
      </c>
      <c r="G135" s="4" t="s">
        <v>282</v>
      </c>
      <c r="H135" s="22" t="str">
        <f>VLOOKUP($G135,'Item Classification'!B:C,2,0)</f>
        <v>Non-combat military vehicle</v>
      </c>
      <c r="I135" s="6" t="str">
        <f>VLOOKUP($G135,'Item Classification'!B:D,3,0)</f>
        <v>Other</v>
      </c>
      <c r="J135" s="23">
        <f>VLOOKUP($G135,'Item Classification'!B:E,4,0)</f>
        <v>16</v>
      </c>
      <c r="K135" s="116" t="s">
        <v>274</v>
      </c>
      <c r="L135" s="116" t="s">
        <v>275</v>
      </c>
      <c r="M135" s="116" t="str">
        <f>VLOOKUP(L135,'NATO Classifications'!$D$6:$E$647,2,0)</f>
        <v>Trucks and Truck Tractors, Wheeled</v>
      </c>
      <c r="N135" s="4">
        <v>57</v>
      </c>
      <c r="O135" s="81">
        <f t="shared" ref="O135:O189" si="10">S135/N135</f>
        <v>894736.84210526315</v>
      </c>
      <c r="P135" s="81">
        <f t="shared" ref="P135:P189" si="11">U135/N135</f>
        <v>894736.84210526315</v>
      </c>
      <c r="Q135" s="4">
        <v>2023</v>
      </c>
      <c r="R135" s="4">
        <v>2024</v>
      </c>
      <c r="S135" s="112">
        <v>51000000</v>
      </c>
      <c r="T135" s="91" t="s">
        <v>132</v>
      </c>
      <c r="U135" s="104">
        <f>_xlfn.IFNA(S135/INDEX('Exchange Rates'!$C$7:$F$14,MATCH('MAIN DATA, Orders'!F135,'Exchange Rates'!$B$7:$B$14,0),MATCH('MAIN DATA, Orders'!T135,'Exchange Rates'!$C$6:$F$6,0)), "-")</f>
        <v>51000000</v>
      </c>
      <c r="V135" s="4" t="s">
        <v>133</v>
      </c>
      <c r="W135" s="4" t="s">
        <v>127</v>
      </c>
      <c r="X135" s="4" t="s">
        <v>128</v>
      </c>
      <c r="Y135" s="24">
        <f t="shared" si="9"/>
        <v>202304</v>
      </c>
      <c r="Z135" s="115">
        <v>1</v>
      </c>
      <c r="AA135" s="115">
        <v>0</v>
      </c>
      <c r="AB135" s="115">
        <v>0</v>
      </c>
      <c r="AC135" s="115">
        <v>1</v>
      </c>
      <c r="AD135" s="115">
        <v>0</v>
      </c>
      <c r="AE135" s="115">
        <v>0</v>
      </c>
      <c r="AF135" s="115">
        <v>0</v>
      </c>
      <c r="AG135" s="4" t="s">
        <v>256</v>
      </c>
      <c r="AH135" s="4" t="s">
        <v>128</v>
      </c>
      <c r="AI135" s="4" t="s">
        <v>127</v>
      </c>
      <c r="AJ135" s="4" t="s">
        <v>127</v>
      </c>
      <c r="AK135" s="4" t="s">
        <v>127</v>
      </c>
      <c r="AL135" s="4" t="s">
        <v>127</v>
      </c>
      <c r="AM135" s="4" t="s">
        <v>127</v>
      </c>
      <c r="AN135" s="4" t="s">
        <v>127</v>
      </c>
      <c r="AO135" s="4" t="s">
        <v>127</v>
      </c>
      <c r="AP135" s="4" t="s">
        <v>127</v>
      </c>
      <c r="AQ135" s="4" t="s">
        <v>127</v>
      </c>
      <c r="AR135" s="4" t="s">
        <v>127</v>
      </c>
      <c r="AS135" s="4" t="s">
        <v>127</v>
      </c>
      <c r="AT135" s="4" t="s">
        <v>127</v>
      </c>
      <c r="AU135" s="4" t="s">
        <v>127</v>
      </c>
      <c r="AV135" s="4" t="s">
        <v>127</v>
      </c>
      <c r="AW135" s="4" t="s">
        <v>127</v>
      </c>
      <c r="AX135" s="4" t="s">
        <v>127</v>
      </c>
      <c r="AY135" s="96" t="s">
        <v>856</v>
      </c>
      <c r="AZ135" s="96" t="s">
        <v>911</v>
      </c>
      <c r="BA135" s="4" t="s">
        <v>127</v>
      </c>
      <c r="BB135" s="4" t="s">
        <v>912</v>
      </c>
      <c r="BC135" s="4" t="s">
        <v>127</v>
      </c>
      <c r="BD135" s="4" t="s">
        <v>127</v>
      </c>
      <c r="BE135" s="4" t="s">
        <v>127</v>
      </c>
      <c r="BF135" s="4"/>
      <c r="BG135" s="4"/>
      <c r="BH135" s="4"/>
      <c r="BI135" s="4"/>
      <c r="BJ135" s="4"/>
      <c r="BK135" s="4"/>
      <c r="BL135" s="4"/>
      <c r="BM135" s="4"/>
      <c r="BN135" s="4"/>
      <c r="BO135" s="4"/>
    </row>
    <row r="136" spans="1:67" ht="16" x14ac:dyDescent="0.4">
      <c r="A136" s="4" t="s">
        <v>913</v>
      </c>
      <c r="B136" s="4" t="s">
        <v>913</v>
      </c>
      <c r="C136" s="4" t="s">
        <v>127</v>
      </c>
      <c r="D136" s="4" t="s">
        <v>128</v>
      </c>
      <c r="E136" s="189">
        <v>45035</v>
      </c>
      <c r="F136" s="6">
        <f t="shared" si="8"/>
        <v>2023</v>
      </c>
      <c r="G136" s="4" t="s">
        <v>914</v>
      </c>
      <c r="H136" s="22" t="str">
        <f>VLOOKUP($G136,'Item Classification'!B:C,2,0)</f>
        <v>Geoinformation data production</v>
      </c>
      <c r="I136" s="6" t="str">
        <f>VLOOKUP($G136,'Item Classification'!B:D,3,0)</f>
        <v>Modernisation</v>
      </c>
      <c r="J136" s="23">
        <f>VLOOKUP($G136,'Item Classification'!B:E,4,0)</f>
        <v>13</v>
      </c>
      <c r="K136" s="116" t="s">
        <v>168</v>
      </c>
      <c r="L136" s="116" t="s">
        <v>182</v>
      </c>
      <c r="M136" s="116" t="str">
        <f>VLOOKUP(L136,'NATO Classifications'!$D$6:$E$647,2,0)</f>
        <v>ADP Software</v>
      </c>
      <c r="N136" s="4"/>
      <c r="O136" s="81"/>
      <c r="P136" s="81"/>
      <c r="Q136" s="4"/>
      <c r="R136" s="4"/>
      <c r="S136" s="112">
        <v>99000000</v>
      </c>
      <c r="T136" s="91" t="s">
        <v>132</v>
      </c>
      <c r="U136" s="104">
        <f>_xlfn.IFNA(S136/INDEX('Exchange Rates'!$C$7:$F$14,MATCH('MAIN DATA, Orders'!F136,'Exchange Rates'!$B$7:$B$14,0),MATCH('MAIN DATA, Orders'!T136,'Exchange Rates'!$C$6:$F$6,0)), "-")</f>
        <v>99000000</v>
      </c>
      <c r="V136" s="4" t="s">
        <v>133</v>
      </c>
      <c r="W136" s="4" t="s">
        <v>127</v>
      </c>
      <c r="X136" s="4" t="s">
        <v>128</v>
      </c>
      <c r="Y136" s="24">
        <f t="shared" si="9"/>
        <v>202304</v>
      </c>
      <c r="Z136" s="115">
        <v>1</v>
      </c>
      <c r="AA136" s="115">
        <v>0</v>
      </c>
      <c r="AB136" s="115">
        <v>0</v>
      </c>
      <c r="AC136" s="115" t="s">
        <v>127</v>
      </c>
      <c r="AD136" s="115" t="s">
        <v>127</v>
      </c>
      <c r="AE136" s="115" t="s">
        <v>127</v>
      </c>
      <c r="AF136" s="115" t="s">
        <v>127</v>
      </c>
      <c r="AG136" s="4" t="s">
        <v>127</v>
      </c>
      <c r="AH136" s="4" t="s">
        <v>127</v>
      </c>
      <c r="AI136" s="4" t="s">
        <v>127</v>
      </c>
      <c r="AJ136" s="4" t="s">
        <v>127</v>
      </c>
      <c r="AK136" s="4" t="s">
        <v>127</v>
      </c>
      <c r="AL136" s="4" t="s">
        <v>127</v>
      </c>
      <c r="AM136" s="4" t="s">
        <v>127</v>
      </c>
      <c r="AN136" s="4" t="s">
        <v>127</v>
      </c>
      <c r="AO136" s="4" t="s">
        <v>127</v>
      </c>
      <c r="AP136" s="4" t="s">
        <v>127</v>
      </c>
      <c r="AQ136" s="4" t="s">
        <v>127</v>
      </c>
      <c r="AR136" s="4" t="s">
        <v>127</v>
      </c>
      <c r="AS136" s="4" t="s">
        <v>127</v>
      </c>
      <c r="AT136" s="4" t="s">
        <v>127</v>
      </c>
      <c r="AU136" s="4" t="s">
        <v>127</v>
      </c>
      <c r="AV136" s="4" t="s">
        <v>127</v>
      </c>
      <c r="AW136" s="4" t="s">
        <v>127</v>
      </c>
      <c r="AX136" s="4" t="s">
        <v>127</v>
      </c>
      <c r="AY136" s="96" t="s">
        <v>856</v>
      </c>
      <c r="AZ136" s="4" t="s">
        <v>127</v>
      </c>
      <c r="BA136" s="4" t="s">
        <v>127</v>
      </c>
      <c r="BB136" s="4" t="s">
        <v>915</v>
      </c>
      <c r="BC136" s="4" t="s">
        <v>127</v>
      </c>
      <c r="BD136" s="4" t="s">
        <v>127</v>
      </c>
      <c r="BE136" s="4" t="s">
        <v>127</v>
      </c>
      <c r="BF136" s="4"/>
      <c r="BG136" s="4"/>
      <c r="BH136" s="4"/>
      <c r="BI136" s="4"/>
      <c r="BJ136" s="4"/>
      <c r="BK136" s="4"/>
      <c r="BL136" s="4"/>
      <c r="BM136" s="4"/>
      <c r="BN136" s="4"/>
      <c r="BO136" s="4"/>
    </row>
    <row r="137" spans="1:67" ht="16" x14ac:dyDescent="0.4">
      <c r="A137" s="4" t="s">
        <v>916</v>
      </c>
      <c r="B137" s="4" t="s">
        <v>916</v>
      </c>
      <c r="C137" s="4" t="s">
        <v>127</v>
      </c>
      <c r="D137" s="4" t="s">
        <v>128</v>
      </c>
      <c r="E137" s="189">
        <v>45057</v>
      </c>
      <c r="F137" s="6">
        <f t="shared" si="8"/>
        <v>2023</v>
      </c>
      <c r="G137" s="4" t="s">
        <v>917</v>
      </c>
      <c r="H137" s="22" t="str">
        <f>VLOOKUP($G137,'Item Classification'!B:C,2,0)</f>
        <v>Infantry fighting vehicle (IFV)</v>
      </c>
      <c r="I137" s="6" t="str">
        <f>VLOOKUP($G137,'Item Classification'!B:D,3,0)</f>
        <v>Armoured vehicle</v>
      </c>
      <c r="J137" s="23">
        <f>VLOOKUP($G137,'Item Classification'!B:E,4,0)</f>
        <v>2</v>
      </c>
      <c r="K137" s="116" t="s">
        <v>274</v>
      </c>
      <c r="L137" s="116" t="s">
        <v>329</v>
      </c>
      <c r="M137" s="116" t="str">
        <f>VLOOKUP(L137,'NATO Classifications'!$D$6:$E$647,2,0)</f>
        <v>Combat, Assault, and Tactical Vehicles, Tracked</v>
      </c>
      <c r="N137" s="4">
        <v>50</v>
      </c>
      <c r="O137" s="81">
        <f t="shared" si="10"/>
        <v>21740000</v>
      </c>
      <c r="P137" s="81">
        <f t="shared" si="11"/>
        <v>21740000</v>
      </c>
      <c r="Q137" s="4">
        <v>2025</v>
      </c>
      <c r="R137" s="4">
        <v>2027</v>
      </c>
      <c r="S137" s="112">
        <v>1087000000</v>
      </c>
      <c r="T137" s="91" t="s">
        <v>132</v>
      </c>
      <c r="U137" s="104">
        <f>_xlfn.IFNA(S137/INDEX('Exchange Rates'!$C$7:$F$14,MATCH('MAIN DATA, Orders'!F137,'Exchange Rates'!$B$7:$B$14,0),MATCH('MAIN DATA, Orders'!T137,'Exchange Rates'!$C$6:$F$6,0)), "-")</f>
        <v>1087000000</v>
      </c>
      <c r="V137" s="4" t="s">
        <v>682</v>
      </c>
      <c r="W137" s="4" t="s">
        <v>127</v>
      </c>
      <c r="X137" s="4" t="s">
        <v>128</v>
      </c>
      <c r="Y137" s="24">
        <f t="shared" si="9"/>
        <v>202305</v>
      </c>
      <c r="Z137" s="115">
        <v>1</v>
      </c>
      <c r="AA137" s="115">
        <v>0</v>
      </c>
      <c r="AB137" s="115">
        <v>0</v>
      </c>
      <c r="AC137" s="115">
        <v>1</v>
      </c>
      <c r="AD137" s="115">
        <v>0</v>
      </c>
      <c r="AE137" s="115">
        <v>0</v>
      </c>
      <c r="AF137" s="115">
        <v>0</v>
      </c>
      <c r="AG137" s="4" t="s">
        <v>488</v>
      </c>
      <c r="AH137" s="4" t="s">
        <v>128</v>
      </c>
      <c r="AI137" s="4" t="s">
        <v>127</v>
      </c>
      <c r="AJ137" s="4" t="s">
        <v>256</v>
      </c>
      <c r="AK137" s="4" t="s">
        <v>127</v>
      </c>
      <c r="AL137" s="4" t="s">
        <v>127</v>
      </c>
      <c r="AM137" s="4" t="s">
        <v>127</v>
      </c>
      <c r="AN137" s="4" t="s">
        <v>127</v>
      </c>
      <c r="AO137" s="4" t="s">
        <v>127</v>
      </c>
      <c r="AP137" s="4" t="s">
        <v>127</v>
      </c>
      <c r="AQ137" s="4" t="s">
        <v>127</v>
      </c>
      <c r="AR137" s="4" t="s">
        <v>127</v>
      </c>
      <c r="AS137" s="4" t="s">
        <v>127</v>
      </c>
      <c r="AT137" s="4" t="s">
        <v>127</v>
      </c>
      <c r="AU137" s="4" t="s">
        <v>127</v>
      </c>
      <c r="AV137" s="4" t="s">
        <v>127</v>
      </c>
      <c r="AW137" s="4" t="s">
        <v>127</v>
      </c>
      <c r="AX137" s="4" t="s">
        <v>127</v>
      </c>
      <c r="AY137" s="96" t="s">
        <v>918</v>
      </c>
      <c r="AZ137" s="96" t="s">
        <v>919</v>
      </c>
      <c r="BA137" s="96" t="s">
        <v>920</v>
      </c>
      <c r="BB137" s="4" t="s">
        <v>921</v>
      </c>
      <c r="BC137" s="4" t="s">
        <v>922</v>
      </c>
      <c r="BD137" s="4" t="s">
        <v>127</v>
      </c>
      <c r="BE137" s="4" t="s">
        <v>127</v>
      </c>
      <c r="BF137" s="4"/>
      <c r="BG137" s="4"/>
      <c r="BH137" s="4"/>
      <c r="BI137" s="4"/>
      <c r="BJ137" s="4"/>
      <c r="BK137" s="4"/>
      <c r="BL137" s="4"/>
      <c r="BM137" s="4"/>
      <c r="BN137" s="4"/>
      <c r="BO137" s="4"/>
    </row>
    <row r="138" spans="1:67" ht="16" x14ac:dyDescent="0.4">
      <c r="A138" s="4" t="s">
        <v>923</v>
      </c>
      <c r="B138" s="4" t="s">
        <v>923</v>
      </c>
      <c r="C138" s="4" t="s">
        <v>127</v>
      </c>
      <c r="D138" s="4" t="s">
        <v>128</v>
      </c>
      <c r="E138" s="189">
        <v>45057</v>
      </c>
      <c r="F138" s="6">
        <f t="shared" si="8"/>
        <v>2023</v>
      </c>
      <c r="G138" s="4" t="s">
        <v>924</v>
      </c>
      <c r="H138" s="22" t="str">
        <f>VLOOKUP($G138,'Item Classification'!B:C,2,0)</f>
        <v>Non-combat military vehicle</v>
      </c>
      <c r="I138" s="6" t="str">
        <f>VLOOKUP($G138,'Item Classification'!B:D,3,0)</f>
        <v>Other</v>
      </c>
      <c r="J138" s="23">
        <f>VLOOKUP($G138,'Item Classification'!B:E,4,0)</f>
        <v>16</v>
      </c>
      <c r="K138" s="116" t="s">
        <v>925</v>
      </c>
      <c r="L138" s="116" t="s">
        <v>926</v>
      </c>
      <c r="M138" s="116" t="str">
        <f>VLOOKUP(L138,'NATO Classifications'!$D$6:$E$647,2,0)</f>
        <v>Fire Fighting Equipment</v>
      </c>
      <c r="N138" s="4">
        <v>28</v>
      </c>
      <c r="O138" s="81">
        <f t="shared" si="10"/>
        <v>1142857.142857143</v>
      </c>
      <c r="P138" s="81">
        <f t="shared" si="11"/>
        <v>1142857.142857143</v>
      </c>
      <c r="Q138" s="4">
        <v>2025</v>
      </c>
      <c r="R138" s="4">
        <v>2027</v>
      </c>
      <c r="S138" s="112">
        <v>32000000</v>
      </c>
      <c r="T138" s="91" t="s">
        <v>132</v>
      </c>
      <c r="U138" s="104">
        <f>_xlfn.IFNA(S138/INDEX('Exchange Rates'!$C$7:$F$14,MATCH('MAIN DATA, Orders'!F138,'Exchange Rates'!$B$7:$B$14,0),MATCH('MAIN DATA, Orders'!T138,'Exchange Rates'!$C$6:$F$6,0)), "-")</f>
        <v>32000000</v>
      </c>
      <c r="V138" s="4" t="s">
        <v>133</v>
      </c>
      <c r="W138" s="4" t="s">
        <v>127</v>
      </c>
      <c r="X138" s="4" t="s">
        <v>128</v>
      </c>
      <c r="Y138" s="24">
        <f t="shared" si="9"/>
        <v>202305</v>
      </c>
      <c r="Z138" s="115">
        <v>0</v>
      </c>
      <c r="AA138" s="115">
        <v>0</v>
      </c>
      <c r="AB138" s="115">
        <v>0</v>
      </c>
      <c r="AC138" s="115" t="s">
        <v>127</v>
      </c>
      <c r="AD138" s="115" t="s">
        <v>127</v>
      </c>
      <c r="AE138" s="115" t="s">
        <v>127</v>
      </c>
      <c r="AF138" s="115" t="s">
        <v>127</v>
      </c>
      <c r="AG138" s="4" t="s">
        <v>127</v>
      </c>
      <c r="AH138" s="4" t="s">
        <v>127</v>
      </c>
      <c r="AI138" s="4" t="s">
        <v>127</v>
      </c>
      <c r="AJ138" s="4" t="s">
        <v>127</v>
      </c>
      <c r="AK138" s="4" t="s">
        <v>127</v>
      </c>
      <c r="AL138" s="4" t="s">
        <v>127</v>
      </c>
      <c r="AM138" s="4" t="s">
        <v>127</v>
      </c>
      <c r="AN138" s="4" t="s">
        <v>127</v>
      </c>
      <c r="AO138" s="4" t="s">
        <v>127</v>
      </c>
      <c r="AP138" s="4" t="s">
        <v>127</v>
      </c>
      <c r="AQ138" s="4" t="s">
        <v>127</v>
      </c>
      <c r="AR138" s="4" t="s">
        <v>127</v>
      </c>
      <c r="AS138" s="4" t="s">
        <v>127</v>
      </c>
      <c r="AT138" s="4" t="s">
        <v>127</v>
      </c>
      <c r="AU138" s="4" t="s">
        <v>127</v>
      </c>
      <c r="AV138" s="4" t="s">
        <v>127</v>
      </c>
      <c r="AW138" s="4" t="s">
        <v>127</v>
      </c>
      <c r="AX138" s="4" t="s">
        <v>127</v>
      </c>
      <c r="AY138" s="96" t="s">
        <v>918</v>
      </c>
      <c r="AZ138" s="4" t="s">
        <v>127</v>
      </c>
      <c r="BA138" s="4" t="s">
        <v>127</v>
      </c>
      <c r="BB138" s="4" t="s">
        <v>927</v>
      </c>
      <c r="BC138" s="4" t="s">
        <v>127</v>
      </c>
      <c r="BD138" s="4" t="s">
        <v>127</v>
      </c>
      <c r="BE138" s="4" t="s">
        <v>127</v>
      </c>
      <c r="BF138" s="4"/>
      <c r="BG138" s="4"/>
      <c r="BH138" s="4"/>
      <c r="BI138" s="4"/>
      <c r="BJ138" s="4"/>
      <c r="BK138" s="4"/>
      <c r="BL138" s="4"/>
      <c r="BM138" s="4"/>
      <c r="BN138" s="4"/>
      <c r="BO138" s="4"/>
    </row>
    <row r="139" spans="1:67" ht="16" x14ac:dyDescent="0.4">
      <c r="A139" s="4" t="s">
        <v>928</v>
      </c>
      <c r="B139" s="4" t="s">
        <v>928</v>
      </c>
      <c r="C139" s="4" t="s">
        <v>127</v>
      </c>
      <c r="D139" s="4" t="s">
        <v>128</v>
      </c>
      <c r="E139" s="189">
        <v>45070</v>
      </c>
      <c r="F139" s="6">
        <f t="shared" si="8"/>
        <v>2023</v>
      </c>
      <c r="G139" s="4" t="s">
        <v>929</v>
      </c>
      <c r="H139" s="22" t="str">
        <f>VLOOKUP($G139,'Item Classification'!B:C,2,0)</f>
        <v>Main Battle Tank (MBT)</v>
      </c>
      <c r="I139" s="6" t="str">
        <f>VLOOKUP($G139,'Item Classification'!B:D,3,0)</f>
        <v>Tank</v>
      </c>
      <c r="J139" s="23">
        <f>VLOOKUP($G139,'Item Classification'!B:E,4,0)</f>
        <v>1</v>
      </c>
      <c r="K139" s="116" t="s">
        <v>274</v>
      </c>
      <c r="L139" s="116" t="s">
        <v>329</v>
      </c>
      <c r="M139" s="116" t="str">
        <f>VLOOKUP(L139,'NATO Classifications'!$D$6:$E$647,2,0)</f>
        <v>Combat, Assault, and Tactical Vehicles, Tracked</v>
      </c>
      <c r="N139" s="4">
        <v>18</v>
      </c>
      <c r="O139" s="81">
        <f t="shared" si="10"/>
        <v>29200000</v>
      </c>
      <c r="P139" s="81">
        <f t="shared" si="11"/>
        <v>29200000</v>
      </c>
      <c r="Q139" s="4">
        <v>2025</v>
      </c>
      <c r="R139" s="4">
        <v>2026</v>
      </c>
      <c r="S139" s="112">
        <v>525600000</v>
      </c>
      <c r="T139" s="91" t="s">
        <v>132</v>
      </c>
      <c r="U139" s="104">
        <f>_xlfn.IFNA(S139/INDEX('Exchange Rates'!$C$7:$F$14,MATCH('MAIN DATA, Orders'!F139,'Exchange Rates'!$B$7:$B$14,0),MATCH('MAIN DATA, Orders'!T139,'Exchange Rates'!$C$6:$F$6,0)), "-")</f>
        <v>525600000</v>
      </c>
      <c r="V139" s="4" t="s">
        <v>808</v>
      </c>
      <c r="W139" s="4" t="s">
        <v>127</v>
      </c>
      <c r="X139" s="4" t="s">
        <v>128</v>
      </c>
      <c r="Y139" s="24">
        <f t="shared" si="9"/>
        <v>202305</v>
      </c>
      <c r="Z139" s="115">
        <v>1</v>
      </c>
      <c r="AA139" s="115">
        <v>0</v>
      </c>
      <c r="AB139" s="115">
        <v>0</v>
      </c>
      <c r="AC139" s="115">
        <v>1</v>
      </c>
      <c r="AD139" s="115">
        <v>0</v>
      </c>
      <c r="AE139" s="115">
        <v>0</v>
      </c>
      <c r="AF139" s="115">
        <v>0</v>
      </c>
      <c r="AG139" s="4" t="s">
        <v>488</v>
      </c>
      <c r="AH139" s="4" t="s">
        <v>128</v>
      </c>
      <c r="AI139" s="4" t="s">
        <v>127</v>
      </c>
      <c r="AJ139" s="4" t="s">
        <v>127</v>
      </c>
      <c r="AK139" s="4" t="s">
        <v>127</v>
      </c>
      <c r="AL139" s="4" t="s">
        <v>127</v>
      </c>
      <c r="AM139" s="4" t="s">
        <v>127</v>
      </c>
      <c r="AN139" s="4" t="s">
        <v>127</v>
      </c>
      <c r="AO139" s="4" t="s">
        <v>127</v>
      </c>
      <c r="AP139" s="4" t="s">
        <v>127</v>
      </c>
      <c r="AQ139" s="4" t="s">
        <v>127</v>
      </c>
      <c r="AR139" s="4" t="s">
        <v>127</v>
      </c>
      <c r="AS139" s="4" t="s">
        <v>127</v>
      </c>
      <c r="AT139" s="4" t="s">
        <v>127</v>
      </c>
      <c r="AU139" s="4" t="s">
        <v>127</v>
      </c>
      <c r="AV139" s="4" t="s">
        <v>127</v>
      </c>
      <c r="AW139" s="4" t="s">
        <v>127</v>
      </c>
      <c r="AX139" s="4" t="s">
        <v>127</v>
      </c>
      <c r="AY139" s="111" t="s">
        <v>930</v>
      </c>
      <c r="AZ139" s="111" t="s">
        <v>931</v>
      </c>
      <c r="BA139" s="111" t="s">
        <v>932</v>
      </c>
      <c r="BB139" s="4" t="s">
        <v>933</v>
      </c>
      <c r="BC139" s="4" t="s">
        <v>934</v>
      </c>
      <c r="BD139" s="4" t="s">
        <v>127</v>
      </c>
      <c r="BE139" s="4" t="s">
        <v>127</v>
      </c>
      <c r="BF139" s="4"/>
      <c r="BG139" s="4"/>
      <c r="BH139" s="4"/>
      <c r="BI139" s="4"/>
      <c r="BJ139" s="4"/>
      <c r="BK139" s="4"/>
      <c r="BL139" s="4"/>
      <c r="BM139" s="4"/>
      <c r="BN139" s="4"/>
      <c r="BO139" s="4"/>
    </row>
    <row r="140" spans="1:67" ht="16" x14ac:dyDescent="0.4">
      <c r="A140" s="4" t="s">
        <v>935</v>
      </c>
      <c r="B140" s="4" t="s">
        <v>935</v>
      </c>
      <c r="C140" s="4" t="s">
        <v>127</v>
      </c>
      <c r="D140" s="4" t="s">
        <v>128</v>
      </c>
      <c r="E140" s="189">
        <v>45070</v>
      </c>
      <c r="F140" s="6">
        <f t="shared" si="8"/>
        <v>2023</v>
      </c>
      <c r="G140" s="4" t="s">
        <v>835</v>
      </c>
      <c r="H140" s="22" t="str">
        <f>VLOOKUP($G140,'Item Classification'!B:C,2,0)</f>
        <v>155mm howitzer</v>
      </c>
      <c r="I140" s="6" t="str">
        <f>VLOOKUP($G140,'Item Classification'!B:D,3,0)</f>
        <v>Artillery</v>
      </c>
      <c r="J140" s="23">
        <f>VLOOKUP($G140,'Item Classification'!B:E,4,0)</f>
        <v>3</v>
      </c>
      <c r="K140" s="116" t="s">
        <v>274</v>
      </c>
      <c r="L140" s="116" t="s">
        <v>329</v>
      </c>
      <c r="M140" s="116" t="str">
        <f>VLOOKUP(L140,'NATO Classifications'!$D$6:$E$647,2,0)</f>
        <v>Combat, Assault, and Tactical Vehicles, Tracked</v>
      </c>
      <c r="N140" s="4">
        <v>12</v>
      </c>
      <c r="O140" s="81">
        <f t="shared" si="10"/>
        <v>15891666.666666666</v>
      </c>
      <c r="P140" s="81">
        <f t="shared" si="11"/>
        <v>15891666.666666666</v>
      </c>
      <c r="Q140" s="4">
        <v>2026</v>
      </c>
      <c r="R140" s="4">
        <v>2026</v>
      </c>
      <c r="S140" s="112">
        <v>190700000</v>
      </c>
      <c r="T140" s="91" t="s">
        <v>132</v>
      </c>
      <c r="U140" s="104">
        <f>_xlfn.IFNA(S140/INDEX('Exchange Rates'!$C$7:$F$14,MATCH('MAIN DATA, Orders'!F140,'Exchange Rates'!$B$7:$B$14,0),MATCH('MAIN DATA, Orders'!T140,'Exchange Rates'!$C$6:$F$6,0)), "-")</f>
        <v>190700000</v>
      </c>
      <c r="V140" s="4" t="s">
        <v>808</v>
      </c>
      <c r="W140" s="4" t="s">
        <v>127</v>
      </c>
      <c r="X140" s="4" t="s">
        <v>128</v>
      </c>
      <c r="Y140" s="24">
        <f t="shared" si="9"/>
        <v>202305</v>
      </c>
      <c r="Z140" s="115">
        <v>1</v>
      </c>
      <c r="AA140" s="115">
        <v>0</v>
      </c>
      <c r="AB140" s="115">
        <v>0</v>
      </c>
      <c r="AC140" s="115">
        <v>1</v>
      </c>
      <c r="AD140" s="115">
        <v>0</v>
      </c>
      <c r="AE140" s="115">
        <v>0</v>
      </c>
      <c r="AF140" s="115">
        <v>0</v>
      </c>
      <c r="AG140" s="4" t="s">
        <v>488</v>
      </c>
      <c r="AH140" s="4" t="s">
        <v>128</v>
      </c>
      <c r="AI140" s="4" t="s">
        <v>127</v>
      </c>
      <c r="AJ140" s="4" t="s">
        <v>256</v>
      </c>
      <c r="AK140" s="4" t="s">
        <v>370</v>
      </c>
      <c r="AL140" s="4" t="s">
        <v>127</v>
      </c>
      <c r="AM140" s="4" t="s">
        <v>127</v>
      </c>
      <c r="AN140" s="4" t="s">
        <v>127</v>
      </c>
      <c r="AO140" s="4" t="s">
        <v>127</v>
      </c>
      <c r="AP140" s="4" t="s">
        <v>127</v>
      </c>
      <c r="AQ140" s="4" t="s">
        <v>127</v>
      </c>
      <c r="AR140" s="4" t="s">
        <v>127</v>
      </c>
      <c r="AS140" s="4" t="s">
        <v>127</v>
      </c>
      <c r="AT140" s="4" t="s">
        <v>127</v>
      </c>
      <c r="AU140" s="4" t="s">
        <v>127</v>
      </c>
      <c r="AV140" s="4" t="s">
        <v>127</v>
      </c>
      <c r="AW140" s="4" t="s">
        <v>127</v>
      </c>
      <c r="AX140" s="4" t="s">
        <v>127</v>
      </c>
      <c r="AY140" s="96" t="s">
        <v>930</v>
      </c>
      <c r="AZ140" s="96" t="s">
        <v>931</v>
      </c>
      <c r="BA140" s="96" t="s">
        <v>936</v>
      </c>
      <c r="BB140" s="4" t="s">
        <v>937</v>
      </c>
      <c r="BC140" s="4" t="s">
        <v>938</v>
      </c>
      <c r="BD140" s="4" t="s">
        <v>127</v>
      </c>
      <c r="BE140" s="4" t="s">
        <v>127</v>
      </c>
      <c r="BF140" s="4"/>
      <c r="BG140" s="4"/>
      <c r="BH140" s="4"/>
      <c r="BI140" s="4"/>
      <c r="BJ140" s="4"/>
      <c r="BK140" s="4"/>
      <c r="BL140" s="4"/>
      <c r="BM140" s="4"/>
      <c r="BN140" s="4"/>
      <c r="BO140" s="4"/>
    </row>
    <row r="141" spans="1:67" ht="16" x14ac:dyDescent="0.4">
      <c r="A141" s="4" t="s">
        <v>939</v>
      </c>
      <c r="B141" s="4" t="s">
        <v>939</v>
      </c>
      <c r="C141" s="4" t="s">
        <v>127</v>
      </c>
      <c r="D141" s="4" t="s">
        <v>128</v>
      </c>
      <c r="E141" s="189">
        <v>45070</v>
      </c>
      <c r="F141" s="6">
        <f t="shared" si="8"/>
        <v>2023</v>
      </c>
      <c r="G141" s="4" t="s">
        <v>940</v>
      </c>
      <c r="H141" s="22" t="str">
        <f>VLOOKUP($G141,'Item Classification'!B:C,2,0)</f>
        <v>Maritime reconnaissance patrol aircraft</v>
      </c>
      <c r="I141" s="6" t="str">
        <f>VLOOKUP($G141,'Item Classification'!B:D,3,0)</f>
        <v>Naval</v>
      </c>
      <c r="J141" s="23">
        <f>VLOOKUP($G141,'Item Classification'!B:E,4,0)</f>
        <v>12</v>
      </c>
      <c r="K141" s="116" t="s">
        <v>941</v>
      </c>
      <c r="L141" s="116" t="s">
        <v>942</v>
      </c>
      <c r="M141" s="116" t="str">
        <f>VLOOKUP(L141,'NATO Classifications'!$D$6:$E$647,2,0)</f>
        <v>Training Aids</v>
      </c>
      <c r="N141" s="4">
        <v>1</v>
      </c>
      <c r="O141" s="81">
        <f t="shared" si="10"/>
        <v>180000000</v>
      </c>
      <c r="P141" s="81">
        <f t="shared" si="11"/>
        <v>180000000</v>
      </c>
      <c r="Q141" s="4">
        <v>2027</v>
      </c>
      <c r="R141" s="4"/>
      <c r="S141" s="112">
        <v>180000000</v>
      </c>
      <c r="T141" s="91" t="s">
        <v>132</v>
      </c>
      <c r="U141" s="104">
        <f>_xlfn.IFNA(S141/INDEX('Exchange Rates'!$C$7:$F$14,MATCH('MAIN DATA, Orders'!F141,'Exchange Rates'!$B$7:$B$14,0),MATCH('MAIN DATA, Orders'!T141,'Exchange Rates'!$C$6:$F$6,0)), "-")</f>
        <v>180000000</v>
      </c>
      <c r="V141" s="4" t="s">
        <v>682</v>
      </c>
      <c r="W141" s="4" t="s">
        <v>127</v>
      </c>
      <c r="X141" s="4" t="s">
        <v>128</v>
      </c>
      <c r="Y141" s="24">
        <f t="shared" si="9"/>
        <v>202305</v>
      </c>
      <c r="Z141" s="115">
        <v>0</v>
      </c>
      <c r="AA141" s="115">
        <v>0</v>
      </c>
      <c r="AB141" s="115">
        <v>1</v>
      </c>
      <c r="AC141" s="115">
        <v>0</v>
      </c>
      <c r="AD141" s="115">
        <v>0</v>
      </c>
      <c r="AE141" s="115">
        <v>0</v>
      </c>
      <c r="AF141" s="115">
        <v>0</v>
      </c>
      <c r="AG141" s="4" t="s">
        <v>192</v>
      </c>
      <c r="AH141" s="4" t="s">
        <v>196</v>
      </c>
      <c r="AI141" s="4" t="s">
        <v>127</v>
      </c>
      <c r="AJ141" s="4" t="s">
        <v>127</v>
      </c>
      <c r="AK141" s="4" t="s">
        <v>127</v>
      </c>
      <c r="AL141" s="4" t="s">
        <v>127</v>
      </c>
      <c r="AM141" s="4" t="s">
        <v>127</v>
      </c>
      <c r="AN141" s="4" t="s">
        <v>127</v>
      </c>
      <c r="AO141" s="4" t="s">
        <v>127</v>
      </c>
      <c r="AP141" s="4" t="s">
        <v>127</v>
      </c>
      <c r="AQ141" s="4" t="s">
        <v>127</v>
      </c>
      <c r="AR141" s="4" t="s">
        <v>127</v>
      </c>
      <c r="AS141" s="4" t="s">
        <v>127</v>
      </c>
      <c r="AT141" s="4" t="s">
        <v>127</v>
      </c>
      <c r="AU141" s="4" t="s">
        <v>127</v>
      </c>
      <c r="AV141" s="4" t="s">
        <v>127</v>
      </c>
      <c r="AW141" s="4" t="s">
        <v>127</v>
      </c>
      <c r="AX141" s="4" t="s">
        <v>127</v>
      </c>
      <c r="AY141" s="96" t="s">
        <v>930</v>
      </c>
      <c r="AZ141" s="96" t="s">
        <v>943</v>
      </c>
      <c r="BA141" s="96" t="s">
        <v>944</v>
      </c>
      <c r="BB141" s="4" t="s">
        <v>945</v>
      </c>
      <c r="BC141" s="4" t="s">
        <v>946</v>
      </c>
      <c r="BD141" s="4" t="s">
        <v>127</v>
      </c>
      <c r="BE141" s="4" t="s">
        <v>127</v>
      </c>
      <c r="BF141" s="4"/>
      <c r="BG141" s="4"/>
      <c r="BH141" s="4"/>
      <c r="BI141" s="4"/>
      <c r="BJ141" s="4"/>
      <c r="BK141" s="4"/>
      <c r="BL141" s="4"/>
      <c r="BM141" s="4"/>
      <c r="BN141" s="4"/>
      <c r="BO141" s="4"/>
    </row>
    <row r="142" spans="1:67" ht="16" x14ac:dyDescent="0.4">
      <c r="A142" s="4" t="s">
        <v>947</v>
      </c>
      <c r="B142" s="4" t="s">
        <v>947</v>
      </c>
      <c r="C142" s="4" t="s">
        <v>127</v>
      </c>
      <c r="D142" s="4" t="s">
        <v>128</v>
      </c>
      <c r="E142" s="189">
        <v>45091</v>
      </c>
      <c r="F142" s="6">
        <f t="shared" si="8"/>
        <v>2023</v>
      </c>
      <c r="G142" s="4" t="s">
        <v>948</v>
      </c>
      <c r="H142" s="22" t="str">
        <f>VLOOKUP($G142,'Item Classification'!B:C,2,0)</f>
        <v>Anti-aircraft surface-to-air missile (SAM) system (medium-range)</v>
      </c>
      <c r="I142" s="6" t="str">
        <f>VLOOKUP($G142,'Item Classification'!B:D,3,0)</f>
        <v>Air defence system</v>
      </c>
      <c r="J142" s="23">
        <f>VLOOKUP($G142,'Item Classification'!B:E,4,0)</f>
        <v>5</v>
      </c>
      <c r="K142" s="116" t="s">
        <v>211</v>
      </c>
      <c r="L142" s="116" t="s">
        <v>326</v>
      </c>
      <c r="M142" s="116" t="str">
        <f>VLOOKUP(L142,'NATO Classifications'!$D$6:$E$647,2,0)</f>
        <v>Guided Missile Systems, Complete</v>
      </c>
      <c r="N142" s="4">
        <v>6</v>
      </c>
      <c r="O142" s="81">
        <f t="shared" si="10"/>
        <v>158333333.33333334</v>
      </c>
      <c r="P142" s="81">
        <f t="shared" si="11"/>
        <v>158333333.33333334</v>
      </c>
      <c r="Q142" s="4">
        <v>2024</v>
      </c>
      <c r="R142" s="4"/>
      <c r="S142" s="112">
        <v>950000000</v>
      </c>
      <c r="T142" s="91" t="s">
        <v>132</v>
      </c>
      <c r="U142" s="104">
        <f>_xlfn.IFNA(S142/INDEX('Exchange Rates'!$C$7:$F$14,MATCH('MAIN DATA, Orders'!F142,'Exchange Rates'!$B$7:$B$14,0),MATCH('MAIN DATA, Orders'!T142,'Exchange Rates'!$C$6:$F$6,0)), "-")</f>
        <v>950000000</v>
      </c>
      <c r="V142" s="4" t="s">
        <v>682</v>
      </c>
      <c r="W142" s="4" t="s">
        <v>127</v>
      </c>
      <c r="X142" s="4" t="s">
        <v>128</v>
      </c>
      <c r="Y142" s="24">
        <f t="shared" si="9"/>
        <v>202306</v>
      </c>
      <c r="Z142" s="115">
        <v>0</v>
      </c>
      <c r="AA142" s="115">
        <v>0</v>
      </c>
      <c r="AB142" s="115">
        <v>0</v>
      </c>
      <c r="AC142" s="115">
        <v>1</v>
      </c>
      <c r="AD142" s="115">
        <v>0</v>
      </c>
      <c r="AE142" s="115">
        <v>0</v>
      </c>
      <c r="AF142" s="115">
        <v>0</v>
      </c>
      <c r="AG142" s="4" t="s">
        <v>191</v>
      </c>
      <c r="AH142" s="4" t="s">
        <v>128</v>
      </c>
      <c r="AI142" s="4" t="s">
        <v>127</v>
      </c>
      <c r="AJ142" s="4" t="s">
        <v>149</v>
      </c>
      <c r="AK142" s="4" t="s">
        <v>160</v>
      </c>
      <c r="AL142" s="4" t="s">
        <v>127</v>
      </c>
      <c r="AM142" s="4" t="s">
        <v>127</v>
      </c>
      <c r="AN142" s="4" t="s">
        <v>128</v>
      </c>
      <c r="AO142" s="4" t="s">
        <v>127</v>
      </c>
      <c r="AP142" s="4" t="s">
        <v>127</v>
      </c>
      <c r="AQ142" s="4" t="s">
        <v>127</v>
      </c>
      <c r="AR142" s="4" t="s">
        <v>127</v>
      </c>
      <c r="AS142" s="4" t="s">
        <v>127</v>
      </c>
      <c r="AT142" s="4" t="s">
        <v>127</v>
      </c>
      <c r="AU142" s="4" t="s">
        <v>127</v>
      </c>
      <c r="AV142" s="4" t="s">
        <v>127</v>
      </c>
      <c r="AW142" s="4" t="s">
        <v>127</v>
      </c>
      <c r="AX142" s="4" t="s">
        <v>127</v>
      </c>
      <c r="AY142" s="96" t="s">
        <v>949</v>
      </c>
      <c r="AZ142" s="96" t="s">
        <v>950</v>
      </c>
      <c r="BA142" s="96" t="s">
        <v>951</v>
      </c>
      <c r="BB142" s="4" t="s">
        <v>952</v>
      </c>
      <c r="BC142" s="4" t="s">
        <v>953</v>
      </c>
      <c r="BD142" s="4" t="s">
        <v>127</v>
      </c>
      <c r="BE142" s="4" t="s">
        <v>127</v>
      </c>
      <c r="BF142" s="4"/>
      <c r="BG142" s="4"/>
      <c r="BH142" s="4"/>
      <c r="BI142" s="4"/>
      <c r="BJ142" s="4"/>
      <c r="BK142" s="4"/>
      <c r="BL142" s="4"/>
      <c r="BM142" s="4"/>
      <c r="BN142" s="4"/>
      <c r="BO142" s="4"/>
    </row>
    <row r="143" spans="1:67" ht="16" x14ac:dyDescent="0.4">
      <c r="A143" s="4" t="s">
        <v>954</v>
      </c>
      <c r="B143" s="4" t="s">
        <v>954</v>
      </c>
      <c r="C143" s="4" t="s">
        <v>127</v>
      </c>
      <c r="D143" s="4" t="s">
        <v>128</v>
      </c>
      <c r="E143" s="189">
        <v>45091</v>
      </c>
      <c r="F143" s="6">
        <f t="shared" si="8"/>
        <v>2023</v>
      </c>
      <c r="G143" s="4" t="s">
        <v>127</v>
      </c>
      <c r="H143" s="22" t="s">
        <v>286</v>
      </c>
      <c r="I143" s="6" t="s">
        <v>287</v>
      </c>
      <c r="J143" s="23">
        <v>16</v>
      </c>
      <c r="K143" s="116" t="s">
        <v>274</v>
      </c>
      <c r="L143" s="116" t="s">
        <v>275</v>
      </c>
      <c r="M143" s="116" t="str">
        <f>VLOOKUP(L143,'NATO Classifications'!$D$6:$E$647,2,0)</f>
        <v>Trucks and Truck Tractors, Wheeled</v>
      </c>
      <c r="N143" s="4"/>
      <c r="O143" s="81"/>
      <c r="P143" s="81"/>
      <c r="Q143" s="4"/>
      <c r="R143" s="4"/>
      <c r="S143" s="112">
        <v>317200000</v>
      </c>
      <c r="T143" s="91" t="s">
        <v>132</v>
      </c>
      <c r="U143" s="104">
        <f>_xlfn.IFNA(S143/INDEX('Exchange Rates'!$C$7:$F$14,MATCH('MAIN DATA, Orders'!F143,'Exchange Rates'!$B$7:$B$14,0),MATCH('MAIN DATA, Orders'!T143,'Exchange Rates'!$C$6:$F$6,0)), "-")</f>
        <v>317200000</v>
      </c>
      <c r="V143" s="4" t="s">
        <v>133</v>
      </c>
      <c r="W143" s="4" t="s">
        <v>127</v>
      </c>
      <c r="X143" s="4" t="s">
        <v>128</v>
      </c>
      <c r="Y143" s="24">
        <f t="shared" si="9"/>
        <v>202306</v>
      </c>
      <c r="Z143" s="115">
        <v>1</v>
      </c>
      <c r="AA143" s="115">
        <v>0</v>
      </c>
      <c r="AB143" s="115">
        <v>0</v>
      </c>
      <c r="AC143" s="115">
        <v>1</v>
      </c>
      <c r="AD143" s="115">
        <v>0</v>
      </c>
      <c r="AE143" s="115">
        <v>0</v>
      </c>
      <c r="AF143" s="115">
        <v>0</v>
      </c>
      <c r="AG143" s="4" t="s">
        <v>955</v>
      </c>
      <c r="AH143" s="4" t="s">
        <v>128</v>
      </c>
      <c r="AI143" s="4" t="s">
        <v>127</v>
      </c>
      <c r="AJ143" s="4" t="s">
        <v>127</v>
      </c>
      <c r="AK143" s="4" t="s">
        <v>127</v>
      </c>
      <c r="AL143" s="4" t="s">
        <v>127</v>
      </c>
      <c r="AM143" s="4" t="s">
        <v>127</v>
      </c>
      <c r="AN143" s="4" t="s">
        <v>127</v>
      </c>
      <c r="AO143" s="4" t="s">
        <v>127</v>
      </c>
      <c r="AP143" s="4" t="s">
        <v>127</v>
      </c>
      <c r="AQ143" s="4" t="s">
        <v>127</v>
      </c>
      <c r="AR143" s="4" t="s">
        <v>127</v>
      </c>
      <c r="AS143" s="4" t="s">
        <v>127</v>
      </c>
      <c r="AT143" s="4" t="s">
        <v>127</v>
      </c>
      <c r="AU143" s="4" t="s">
        <v>127</v>
      </c>
      <c r="AV143" s="4" t="s">
        <v>127</v>
      </c>
      <c r="AW143" s="4" t="s">
        <v>127</v>
      </c>
      <c r="AX143" s="4" t="s">
        <v>127</v>
      </c>
      <c r="AY143" s="96" t="s">
        <v>949</v>
      </c>
      <c r="AZ143" s="96" t="s">
        <v>956</v>
      </c>
      <c r="BA143" s="96" t="s">
        <v>957</v>
      </c>
      <c r="BB143" s="4" t="s">
        <v>958</v>
      </c>
      <c r="BC143" s="4" t="s">
        <v>127</v>
      </c>
      <c r="BD143" s="4" t="s">
        <v>127</v>
      </c>
      <c r="BE143" s="4" t="s">
        <v>127</v>
      </c>
      <c r="BF143" s="4" t="s">
        <v>200</v>
      </c>
      <c r="BG143" s="4" t="s">
        <v>200</v>
      </c>
      <c r="BH143" s="4" t="s">
        <v>200</v>
      </c>
      <c r="BI143" s="4" t="s">
        <v>200</v>
      </c>
      <c r="BJ143" s="4" t="s">
        <v>200</v>
      </c>
      <c r="BK143" s="4" t="s">
        <v>200</v>
      </c>
      <c r="BL143" s="4" t="s">
        <v>200</v>
      </c>
      <c r="BM143" s="4" t="s">
        <v>200</v>
      </c>
      <c r="BN143" s="4" t="s">
        <v>200</v>
      </c>
      <c r="BO143" s="4" t="s">
        <v>200</v>
      </c>
    </row>
    <row r="144" spans="1:67" ht="16" x14ac:dyDescent="0.4">
      <c r="A144" s="4" t="s">
        <v>954</v>
      </c>
      <c r="B144" s="4" t="s">
        <v>959</v>
      </c>
      <c r="C144" s="4" t="s">
        <v>127</v>
      </c>
      <c r="D144" s="4" t="s">
        <v>128</v>
      </c>
      <c r="E144" s="189">
        <v>45091</v>
      </c>
      <c r="F144" s="6">
        <f t="shared" si="8"/>
        <v>2023</v>
      </c>
      <c r="G144" s="4" t="s">
        <v>960</v>
      </c>
      <c r="H144" s="22" t="str">
        <f>VLOOKUP($G144,'Item Classification'!B:C,2,0)</f>
        <v>Armoured Utility Vehicle (AUV)</v>
      </c>
      <c r="I144" s="6" t="str">
        <f>VLOOKUP($G144,'Item Classification'!B:D,3,0)</f>
        <v>Armoured vehicle</v>
      </c>
      <c r="J144" s="23">
        <f>VLOOKUP($G144,'Item Classification'!B:E,4,0)</f>
        <v>2</v>
      </c>
      <c r="K144" s="116" t="s">
        <v>274</v>
      </c>
      <c r="L144" s="116" t="s">
        <v>275</v>
      </c>
      <c r="M144" s="116" t="str">
        <f>VLOOKUP(L144,'NATO Classifications'!$D$6:$E$647,2,0)</f>
        <v>Trucks and Truck Tractors, Wheeled</v>
      </c>
      <c r="N144" s="4">
        <v>164</v>
      </c>
      <c r="O144" s="81"/>
      <c r="P144" s="81"/>
      <c r="Q144" s="4"/>
      <c r="R144" s="4">
        <v>2023</v>
      </c>
      <c r="S144" s="4"/>
      <c r="T144" s="91" t="s">
        <v>132</v>
      </c>
      <c r="U144" s="104">
        <f>_xlfn.IFNA(S144/INDEX('Exchange Rates'!$C$7:$F$14,MATCH('MAIN DATA, Orders'!F144,'Exchange Rates'!$B$7:$B$14,0),MATCH('MAIN DATA, Orders'!T144,'Exchange Rates'!$C$6:$F$6,0)), "-")</f>
        <v>0</v>
      </c>
      <c r="V144" s="4" t="s">
        <v>133</v>
      </c>
      <c r="W144" s="4" t="s">
        <v>127</v>
      </c>
      <c r="X144" s="4" t="s">
        <v>128</v>
      </c>
      <c r="Y144" s="24">
        <f t="shared" si="9"/>
        <v>202306</v>
      </c>
      <c r="Z144" s="115">
        <v>1</v>
      </c>
      <c r="AA144" s="115">
        <v>0</v>
      </c>
      <c r="AB144" s="115">
        <v>0</v>
      </c>
      <c r="AC144" s="115">
        <v>1</v>
      </c>
      <c r="AD144" s="115">
        <v>0</v>
      </c>
      <c r="AE144" s="115">
        <v>0</v>
      </c>
      <c r="AF144" s="115">
        <v>0</v>
      </c>
      <c r="AG144" s="4" t="s">
        <v>955</v>
      </c>
      <c r="AH144" s="4" t="s">
        <v>128</v>
      </c>
      <c r="AI144" s="4" t="s">
        <v>127</v>
      </c>
      <c r="AJ144" s="4" t="s">
        <v>127</v>
      </c>
      <c r="AK144" s="4" t="s">
        <v>127</v>
      </c>
      <c r="AL144" s="4" t="s">
        <v>127</v>
      </c>
      <c r="AM144" s="4" t="s">
        <v>127</v>
      </c>
      <c r="AN144" s="4" t="s">
        <v>127</v>
      </c>
      <c r="AO144" s="4" t="s">
        <v>127</v>
      </c>
      <c r="AP144" s="4" t="s">
        <v>127</v>
      </c>
      <c r="AQ144" s="4" t="s">
        <v>127</v>
      </c>
      <c r="AR144" s="4" t="s">
        <v>127</v>
      </c>
      <c r="AS144" s="4" t="s">
        <v>127</v>
      </c>
      <c r="AT144" s="4" t="s">
        <v>127</v>
      </c>
      <c r="AU144" s="4" t="s">
        <v>127</v>
      </c>
      <c r="AV144" s="4" t="s">
        <v>127</v>
      </c>
      <c r="AW144" s="4" t="s">
        <v>127</v>
      </c>
      <c r="AX144" s="4" t="s">
        <v>127</v>
      </c>
      <c r="AY144" s="96" t="s">
        <v>949</v>
      </c>
      <c r="AZ144" s="96" t="s">
        <v>956</v>
      </c>
      <c r="BA144" s="96" t="s">
        <v>957</v>
      </c>
      <c r="BB144" s="4" t="s">
        <v>958</v>
      </c>
      <c r="BC144" s="4" t="s">
        <v>127</v>
      </c>
      <c r="BD144" s="4" t="s">
        <v>127</v>
      </c>
      <c r="BE144" s="4" t="s">
        <v>127</v>
      </c>
      <c r="BF144" s="4" t="s">
        <v>200</v>
      </c>
      <c r="BG144" s="4" t="s">
        <v>200</v>
      </c>
      <c r="BH144" s="4" t="s">
        <v>200</v>
      </c>
      <c r="BI144" s="4" t="s">
        <v>200</v>
      </c>
      <c r="BJ144" s="4" t="s">
        <v>200</v>
      </c>
      <c r="BK144" s="4" t="s">
        <v>200</v>
      </c>
      <c r="BL144" s="4" t="s">
        <v>200</v>
      </c>
      <c r="BM144" s="4" t="s">
        <v>200</v>
      </c>
      <c r="BN144" s="4" t="s">
        <v>200</v>
      </c>
      <c r="BO144" s="4" t="s">
        <v>200</v>
      </c>
    </row>
    <row r="145" spans="1:67" ht="16" x14ac:dyDescent="0.4">
      <c r="A145" s="4" t="s">
        <v>954</v>
      </c>
      <c r="B145" s="4" t="s">
        <v>961</v>
      </c>
      <c r="C145" s="4" t="s">
        <v>127</v>
      </c>
      <c r="D145" s="4" t="s">
        <v>128</v>
      </c>
      <c r="E145" s="189">
        <v>45091</v>
      </c>
      <c r="F145" s="6">
        <f t="shared" si="8"/>
        <v>2023</v>
      </c>
      <c r="G145" s="4" t="s">
        <v>962</v>
      </c>
      <c r="H145" s="22" t="str">
        <f>VLOOKUP($G145,'Item Classification'!B:C,2,0)</f>
        <v>Non-combat military vehicle</v>
      </c>
      <c r="I145" s="6" t="str">
        <f>VLOOKUP($G145,'Item Classification'!B:D,3,0)</f>
        <v>Other</v>
      </c>
      <c r="J145" s="23">
        <f>VLOOKUP($G145,'Item Classification'!B:E,4,0)</f>
        <v>16</v>
      </c>
      <c r="K145" s="116" t="s">
        <v>274</v>
      </c>
      <c r="L145" s="116" t="s">
        <v>275</v>
      </c>
      <c r="M145" s="116" t="str">
        <f>VLOOKUP(L145,'NATO Classifications'!$D$6:$E$647,2,0)</f>
        <v>Trucks and Truck Tractors, Wheeled</v>
      </c>
      <c r="N145" s="4">
        <v>203</v>
      </c>
      <c r="O145" s="81"/>
      <c r="P145" s="81"/>
      <c r="Q145" s="4"/>
      <c r="R145" s="4">
        <v>2023</v>
      </c>
      <c r="S145" s="4"/>
      <c r="T145" s="91" t="s">
        <v>132</v>
      </c>
      <c r="U145" s="104">
        <f>_xlfn.IFNA(S145/INDEX('Exchange Rates'!$C$7:$F$14,MATCH('MAIN DATA, Orders'!F145,'Exchange Rates'!$B$7:$B$14,0),MATCH('MAIN DATA, Orders'!T145,'Exchange Rates'!$C$6:$F$6,0)), "-")</f>
        <v>0</v>
      </c>
      <c r="V145" s="4" t="s">
        <v>133</v>
      </c>
      <c r="W145" s="4" t="s">
        <v>127</v>
      </c>
      <c r="X145" s="4" t="s">
        <v>128</v>
      </c>
      <c r="Y145" s="24">
        <f t="shared" si="9"/>
        <v>202306</v>
      </c>
      <c r="Z145" s="115">
        <v>1</v>
      </c>
      <c r="AA145" s="115">
        <v>0</v>
      </c>
      <c r="AB145" s="115">
        <v>0</v>
      </c>
      <c r="AC145" s="115">
        <v>1</v>
      </c>
      <c r="AD145" s="115">
        <v>0</v>
      </c>
      <c r="AE145" s="115">
        <v>0</v>
      </c>
      <c r="AF145" s="115">
        <v>0</v>
      </c>
      <c r="AG145" s="4" t="s">
        <v>955</v>
      </c>
      <c r="AH145" s="4" t="s">
        <v>128</v>
      </c>
      <c r="AI145" s="4" t="s">
        <v>127</v>
      </c>
      <c r="AJ145" s="4" t="s">
        <v>127</v>
      </c>
      <c r="AK145" s="4" t="s">
        <v>127</v>
      </c>
      <c r="AL145" s="4" t="s">
        <v>127</v>
      </c>
      <c r="AM145" s="4" t="s">
        <v>127</v>
      </c>
      <c r="AN145" s="4" t="s">
        <v>127</v>
      </c>
      <c r="AO145" s="4" t="s">
        <v>127</v>
      </c>
      <c r="AP145" s="4" t="s">
        <v>127</v>
      </c>
      <c r="AQ145" s="4" t="s">
        <v>127</v>
      </c>
      <c r="AR145" s="4" t="s">
        <v>127</v>
      </c>
      <c r="AS145" s="4" t="s">
        <v>127</v>
      </c>
      <c r="AT145" s="4" t="s">
        <v>127</v>
      </c>
      <c r="AU145" s="4" t="s">
        <v>127</v>
      </c>
      <c r="AV145" s="4" t="s">
        <v>127</v>
      </c>
      <c r="AW145" s="4" t="s">
        <v>127</v>
      </c>
      <c r="AX145" s="4" t="s">
        <v>127</v>
      </c>
      <c r="AY145" s="96" t="s">
        <v>949</v>
      </c>
      <c r="AZ145" s="96" t="s">
        <v>956</v>
      </c>
      <c r="BA145" s="96" t="s">
        <v>957</v>
      </c>
      <c r="BB145" s="4" t="s">
        <v>958</v>
      </c>
      <c r="BC145" s="4" t="s">
        <v>127</v>
      </c>
      <c r="BD145" s="4" t="s">
        <v>127</v>
      </c>
      <c r="BE145" s="4" t="s">
        <v>127</v>
      </c>
      <c r="BF145" s="4" t="s">
        <v>200</v>
      </c>
      <c r="BG145" s="4" t="s">
        <v>200</v>
      </c>
      <c r="BH145" s="4" t="s">
        <v>200</v>
      </c>
      <c r="BI145" s="4" t="s">
        <v>200</v>
      </c>
      <c r="BJ145" s="4" t="s">
        <v>200</v>
      </c>
      <c r="BK145" s="4" t="s">
        <v>200</v>
      </c>
      <c r="BL145" s="4" t="s">
        <v>200</v>
      </c>
      <c r="BM145" s="4" t="s">
        <v>200</v>
      </c>
      <c r="BN145" s="4" t="s">
        <v>200</v>
      </c>
      <c r="BO145" s="4" t="s">
        <v>200</v>
      </c>
    </row>
    <row r="146" spans="1:67" ht="16" x14ac:dyDescent="0.4">
      <c r="A146" s="4" t="s">
        <v>954</v>
      </c>
      <c r="B146" s="4" t="s">
        <v>963</v>
      </c>
      <c r="C146" s="4" t="s">
        <v>127</v>
      </c>
      <c r="D146" s="4" t="s">
        <v>128</v>
      </c>
      <c r="E146" s="189">
        <v>45091</v>
      </c>
      <c r="F146" s="6">
        <f t="shared" si="8"/>
        <v>2023</v>
      </c>
      <c r="G146" s="4" t="s">
        <v>964</v>
      </c>
      <c r="H146" s="22" t="str">
        <f>VLOOKUP($G146,'Item Classification'!B:C,2,0)</f>
        <v>Non-combat military vehicle</v>
      </c>
      <c r="I146" s="6" t="str">
        <f>VLOOKUP($G146,'Item Classification'!B:D,3,0)</f>
        <v>Other</v>
      </c>
      <c r="J146" s="23">
        <f>VLOOKUP($G146,'Item Classification'!B:E,4,0)</f>
        <v>16</v>
      </c>
      <c r="K146" s="116" t="s">
        <v>300</v>
      </c>
      <c r="L146" s="116" t="s">
        <v>301</v>
      </c>
      <c r="M146" s="116" t="str">
        <f>VLOOKUP(L146,'NATO Classifications'!$D$6:$E$647,2,0)</f>
        <v>Specialized Shipping and Storage Containers</v>
      </c>
      <c r="N146" s="4">
        <v>1634</v>
      </c>
      <c r="O146" s="81"/>
      <c r="P146" s="81"/>
      <c r="Q146" s="4">
        <v>2023</v>
      </c>
      <c r="R146" s="4">
        <v>2025</v>
      </c>
      <c r="S146" s="4"/>
      <c r="T146" s="91" t="s">
        <v>132</v>
      </c>
      <c r="U146" s="104">
        <f>_xlfn.IFNA(S146/INDEX('Exchange Rates'!$C$7:$F$14,MATCH('MAIN DATA, Orders'!F146,'Exchange Rates'!$B$7:$B$14,0),MATCH('MAIN DATA, Orders'!T146,'Exchange Rates'!$C$6:$F$6,0)), "-")</f>
        <v>0</v>
      </c>
      <c r="V146" s="4" t="s">
        <v>133</v>
      </c>
      <c r="W146" s="4" t="s">
        <v>127</v>
      </c>
      <c r="X146" s="4" t="s">
        <v>128</v>
      </c>
      <c r="Y146" s="24">
        <f t="shared" si="9"/>
        <v>202306</v>
      </c>
      <c r="Z146" s="115">
        <v>1</v>
      </c>
      <c r="AA146" s="115">
        <v>0</v>
      </c>
      <c r="AB146" s="115">
        <v>0</v>
      </c>
      <c r="AC146" s="115">
        <v>1</v>
      </c>
      <c r="AD146" s="115">
        <v>0</v>
      </c>
      <c r="AE146" s="115">
        <v>0</v>
      </c>
      <c r="AF146" s="115">
        <v>0</v>
      </c>
      <c r="AG146" s="4" t="s">
        <v>955</v>
      </c>
      <c r="AH146" s="4" t="s">
        <v>128</v>
      </c>
      <c r="AI146" s="4" t="s">
        <v>127</v>
      </c>
      <c r="AJ146" s="4" t="s">
        <v>127</v>
      </c>
      <c r="AK146" s="4" t="s">
        <v>127</v>
      </c>
      <c r="AL146" s="4" t="s">
        <v>127</v>
      </c>
      <c r="AM146" s="4" t="s">
        <v>127</v>
      </c>
      <c r="AN146" s="4" t="s">
        <v>127</v>
      </c>
      <c r="AO146" s="4" t="s">
        <v>127</v>
      </c>
      <c r="AP146" s="4" t="s">
        <v>127</v>
      </c>
      <c r="AQ146" s="4" t="s">
        <v>127</v>
      </c>
      <c r="AR146" s="4" t="s">
        <v>127</v>
      </c>
      <c r="AS146" s="4" t="s">
        <v>127</v>
      </c>
      <c r="AT146" s="4" t="s">
        <v>127</v>
      </c>
      <c r="AU146" s="4" t="s">
        <v>127</v>
      </c>
      <c r="AV146" s="4" t="s">
        <v>127</v>
      </c>
      <c r="AW146" s="4" t="s">
        <v>127</v>
      </c>
      <c r="AX146" s="4" t="s">
        <v>127</v>
      </c>
      <c r="AY146" s="96" t="s">
        <v>949</v>
      </c>
      <c r="AZ146" s="96" t="s">
        <v>956</v>
      </c>
      <c r="BA146" s="96" t="s">
        <v>957</v>
      </c>
      <c r="BB146" s="4" t="s">
        <v>958</v>
      </c>
      <c r="BC146" s="4" t="s">
        <v>127</v>
      </c>
      <c r="BD146" s="4" t="s">
        <v>127</v>
      </c>
      <c r="BE146" s="4" t="s">
        <v>127</v>
      </c>
      <c r="BF146" s="4" t="s">
        <v>200</v>
      </c>
      <c r="BG146" s="4" t="s">
        <v>200</v>
      </c>
      <c r="BH146" s="4" t="s">
        <v>200</v>
      </c>
      <c r="BI146" s="4" t="s">
        <v>200</v>
      </c>
      <c r="BJ146" s="4" t="s">
        <v>200</v>
      </c>
      <c r="BK146" s="4" t="s">
        <v>200</v>
      </c>
      <c r="BL146" s="4" t="s">
        <v>200</v>
      </c>
      <c r="BM146" s="4" t="s">
        <v>200</v>
      </c>
      <c r="BN146" s="4" t="s">
        <v>200</v>
      </c>
      <c r="BO146" s="4" t="s">
        <v>200</v>
      </c>
    </row>
    <row r="147" spans="1:67" ht="16" x14ac:dyDescent="0.4">
      <c r="A147" s="4" t="s">
        <v>965</v>
      </c>
      <c r="B147" s="4" t="s">
        <v>965</v>
      </c>
      <c r="C147" s="4" t="s">
        <v>166</v>
      </c>
      <c r="D147" s="4" t="s">
        <v>128</v>
      </c>
      <c r="E147" s="189">
        <v>45098</v>
      </c>
      <c r="F147" s="6">
        <f t="shared" si="8"/>
        <v>2023</v>
      </c>
      <c r="G147" s="4" t="s">
        <v>966</v>
      </c>
      <c r="H147" s="22" t="str">
        <f>VLOOKUP($G147,'Item Classification'!B:C,2,0)</f>
        <v>Communication and digitalisation</v>
      </c>
      <c r="I147" s="6" t="str">
        <f>VLOOKUP($G147,'Item Classification'!B:D,3,0)</f>
        <v>Modernisation</v>
      </c>
      <c r="J147" s="23">
        <f>VLOOKUP($G147,'Item Classification'!B:E,4,0)</f>
        <v>13</v>
      </c>
      <c r="K147" s="116" t="s">
        <v>168</v>
      </c>
      <c r="L147" s="116" t="s">
        <v>182</v>
      </c>
      <c r="M147" s="116" t="str">
        <f>VLOOKUP(L147,'NATO Classifications'!$D$6:$E$647,2,0)</f>
        <v>ADP Software</v>
      </c>
      <c r="N147" s="4"/>
      <c r="O147" s="81"/>
      <c r="P147" s="81"/>
      <c r="Q147" s="4"/>
      <c r="R147" s="4"/>
      <c r="S147" s="112">
        <v>586000000</v>
      </c>
      <c r="T147" s="91" t="s">
        <v>132</v>
      </c>
      <c r="U147" s="104">
        <f>_xlfn.IFNA(S147/INDEX('Exchange Rates'!$C$7:$F$14,MATCH('MAIN DATA, Orders'!F147,'Exchange Rates'!$B$7:$B$14,0),MATCH('MAIN DATA, Orders'!T147,'Exchange Rates'!$C$6:$F$6,0)), "-")</f>
        <v>586000000</v>
      </c>
      <c r="V147" s="4" t="s">
        <v>133</v>
      </c>
      <c r="W147" s="4" t="s">
        <v>127</v>
      </c>
      <c r="X147" s="4" t="s">
        <v>128</v>
      </c>
      <c r="Y147" s="24">
        <f t="shared" si="9"/>
        <v>202306</v>
      </c>
      <c r="Z147" s="115">
        <v>0</v>
      </c>
      <c r="AA147" s="115">
        <v>0</v>
      </c>
      <c r="AB147" s="115">
        <v>0</v>
      </c>
      <c r="AC147" s="115">
        <v>1</v>
      </c>
      <c r="AD147" s="115">
        <v>0</v>
      </c>
      <c r="AE147" s="115">
        <v>0</v>
      </c>
      <c r="AF147" s="115">
        <v>0</v>
      </c>
      <c r="AG147" s="4" t="s">
        <v>166</v>
      </c>
      <c r="AH147" s="4" t="s">
        <v>128</v>
      </c>
      <c r="AI147" s="4" t="s">
        <v>127</v>
      </c>
      <c r="AJ147" s="4" t="s">
        <v>127</v>
      </c>
      <c r="AK147" s="4" t="s">
        <v>127</v>
      </c>
      <c r="AL147" s="4" t="s">
        <v>127</v>
      </c>
      <c r="AM147" s="4" t="s">
        <v>127</v>
      </c>
      <c r="AN147" s="4" t="s">
        <v>127</v>
      </c>
      <c r="AO147" s="4" t="s">
        <v>127</v>
      </c>
      <c r="AP147" s="4" t="s">
        <v>127</v>
      </c>
      <c r="AQ147" s="4" t="s">
        <v>127</v>
      </c>
      <c r="AR147" s="4" t="s">
        <v>127</v>
      </c>
      <c r="AS147" s="4" t="s">
        <v>127</v>
      </c>
      <c r="AT147" s="4" t="s">
        <v>127</v>
      </c>
      <c r="AU147" s="4" t="s">
        <v>127</v>
      </c>
      <c r="AV147" s="4" t="s">
        <v>127</v>
      </c>
      <c r="AW147" s="4" t="s">
        <v>127</v>
      </c>
      <c r="AX147" s="4" t="s">
        <v>127</v>
      </c>
      <c r="AY147" s="96" t="s">
        <v>967</v>
      </c>
      <c r="AZ147" s="96" t="s">
        <v>767</v>
      </c>
      <c r="BA147" s="4" t="s">
        <v>127</v>
      </c>
      <c r="BB147" s="4" t="s">
        <v>968</v>
      </c>
      <c r="BC147" s="4" t="s">
        <v>969</v>
      </c>
      <c r="BD147" s="4" t="s">
        <v>127</v>
      </c>
      <c r="BE147" s="4" t="s">
        <v>127</v>
      </c>
      <c r="BF147" s="4"/>
      <c r="BG147" s="4"/>
      <c r="BH147" s="4"/>
      <c r="BI147" s="4"/>
      <c r="BJ147" s="4"/>
      <c r="BK147" s="4"/>
      <c r="BL147" s="4"/>
      <c r="BM147" s="4"/>
      <c r="BN147" s="4"/>
      <c r="BO147" s="4"/>
    </row>
    <row r="148" spans="1:67" ht="16" x14ac:dyDescent="0.4">
      <c r="A148" s="4" t="s">
        <v>970</v>
      </c>
      <c r="B148" s="4" t="s">
        <v>970</v>
      </c>
      <c r="C148" s="4" t="s">
        <v>127</v>
      </c>
      <c r="D148" s="4" t="s">
        <v>128</v>
      </c>
      <c r="E148" s="189">
        <v>45112</v>
      </c>
      <c r="F148" s="6">
        <f t="shared" si="8"/>
        <v>2023</v>
      </c>
      <c r="G148" s="4" t="s">
        <v>971</v>
      </c>
      <c r="H148" s="22" t="str">
        <f>VLOOKUP($G148,'Item Classification'!B:C,2,0)</f>
        <v>Heavy transport helicopter</v>
      </c>
      <c r="I148" s="6" t="str">
        <f>VLOOKUP($G148,'Item Classification'!B:D,3,0)</f>
        <v>Helicopter</v>
      </c>
      <c r="J148" s="23">
        <f>VLOOKUP($G148,'Item Classification'!B:E,4,0)</f>
        <v>10</v>
      </c>
      <c r="K148" s="116" t="s">
        <v>130</v>
      </c>
      <c r="L148" s="116" t="s">
        <v>266</v>
      </c>
      <c r="M148" s="116" t="str">
        <f>VLOOKUP(L148,'NATO Classifications'!$D$6:$E$647,2,0)</f>
        <v>Aircraft, Rotary Wing</v>
      </c>
      <c r="N148" s="4">
        <v>60</v>
      </c>
      <c r="O148" s="81">
        <f t="shared" si="10"/>
        <v>116333333.33333333</v>
      </c>
      <c r="P148" s="81">
        <f t="shared" si="11"/>
        <v>116333333.33333333</v>
      </c>
      <c r="Q148" s="4">
        <v>2027</v>
      </c>
      <c r="R148" s="4">
        <v>2033</v>
      </c>
      <c r="S148" s="112">
        <v>6980000000</v>
      </c>
      <c r="T148" s="91" t="s">
        <v>132</v>
      </c>
      <c r="U148" s="104">
        <f>_xlfn.IFNA(S148/INDEX('Exchange Rates'!$C$7:$F$14,MATCH('MAIN DATA, Orders'!F148,'Exchange Rates'!$B$7:$B$14,0),MATCH('MAIN DATA, Orders'!T148,'Exchange Rates'!$C$6:$F$6,0)), "-")</f>
        <v>6980000000</v>
      </c>
      <c r="V148" s="4" t="s">
        <v>682</v>
      </c>
      <c r="W148" s="4" t="s">
        <v>127</v>
      </c>
      <c r="X148" s="4" t="s">
        <v>128</v>
      </c>
      <c r="Y148" s="24">
        <f t="shared" si="9"/>
        <v>202307</v>
      </c>
      <c r="Z148" s="115">
        <v>0</v>
      </c>
      <c r="AA148" s="115">
        <v>0</v>
      </c>
      <c r="AB148" s="115">
        <v>1</v>
      </c>
      <c r="AC148" s="115">
        <v>0</v>
      </c>
      <c r="AD148" s="115">
        <v>0</v>
      </c>
      <c r="AE148" s="115">
        <v>0</v>
      </c>
      <c r="AF148" s="115">
        <v>0</v>
      </c>
      <c r="AG148" s="4" t="s">
        <v>192</v>
      </c>
      <c r="AH148" s="4" t="s">
        <v>196</v>
      </c>
      <c r="AI148" s="4" t="s">
        <v>127</v>
      </c>
      <c r="AJ148" s="4" t="s">
        <v>127</v>
      </c>
      <c r="AK148" s="4" t="s">
        <v>127</v>
      </c>
      <c r="AL148" s="4" t="s">
        <v>127</v>
      </c>
      <c r="AM148" s="4" t="s">
        <v>127</v>
      </c>
      <c r="AN148" s="4" t="s">
        <v>127</v>
      </c>
      <c r="AO148" s="4" t="s">
        <v>127</v>
      </c>
      <c r="AP148" s="4" t="s">
        <v>127</v>
      </c>
      <c r="AQ148" s="4" t="s">
        <v>127</v>
      </c>
      <c r="AR148" s="4" t="s">
        <v>127</v>
      </c>
      <c r="AS148" s="4" t="s">
        <v>127</v>
      </c>
      <c r="AT148" s="4" t="s">
        <v>127</v>
      </c>
      <c r="AU148" s="4" t="s">
        <v>127</v>
      </c>
      <c r="AV148" s="4" t="s">
        <v>127</v>
      </c>
      <c r="AW148" s="4" t="s">
        <v>127</v>
      </c>
      <c r="AX148" s="4" t="s">
        <v>127</v>
      </c>
      <c r="AY148" s="96" t="s">
        <v>972</v>
      </c>
      <c r="AZ148" s="96" t="s">
        <v>932</v>
      </c>
      <c r="BA148" s="96" t="s">
        <v>973</v>
      </c>
      <c r="BB148" s="4" t="s">
        <v>974</v>
      </c>
      <c r="BC148" s="4" t="s">
        <v>127</v>
      </c>
      <c r="BD148" s="4" t="s">
        <v>127</v>
      </c>
      <c r="BE148" s="4" t="s">
        <v>127</v>
      </c>
      <c r="BF148" s="4"/>
      <c r="BG148" s="4"/>
      <c r="BH148" s="4"/>
      <c r="BI148" s="4"/>
      <c r="BJ148" s="4"/>
      <c r="BK148" s="4"/>
      <c r="BL148" s="4"/>
      <c r="BM148" s="4"/>
      <c r="BN148" s="4"/>
      <c r="BO148" s="4"/>
    </row>
    <row r="149" spans="1:67" ht="16" x14ac:dyDescent="0.4">
      <c r="A149" s="4" t="s">
        <v>975</v>
      </c>
      <c r="B149" s="4" t="s">
        <v>975</v>
      </c>
      <c r="C149" s="4" t="s">
        <v>450</v>
      </c>
      <c r="D149" s="4" t="s">
        <v>128</v>
      </c>
      <c r="E149" s="189">
        <v>45112</v>
      </c>
      <c r="F149" s="6">
        <f t="shared" si="8"/>
        <v>2023</v>
      </c>
      <c r="G149" s="4" t="s">
        <v>976</v>
      </c>
      <c r="H149" s="22" t="str">
        <f>VLOOKUP($G149,'Item Classification'!B:C,2,0)</f>
        <v>Reconnaissance ship - contract adjustment</v>
      </c>
      <c r="I149" s="6" t="str">
        <f>VLOOKUP($G149,'Item Classification'!B:D,3,0)</f>
        <v>Naval</v>
      </c>
      <c r="J149" s="23">
        <f>VLOOKUP($G149,'Item Classification'!B:E,4,0)</f>
        <v>12</v>
      </c>
      <c r="K149" s="116" t="s">
        <v>143</v>
      </c>
      <c r="L149" s="116" t="s">
        <v>452</v>
      </c>
      <c r="M149" s="116" t="str">
        <f>VLOOKUP(L149,'NATO Classifications'!$D$6:$E$647,2,0)</f>
        <v>Special Service Vessels</v>
      </c>
      <c r="N149" s="4">
        <v>3</v>
      </c>
      <c r="O149" s="81">
        <f t="shared" si="10"/>
        <v>386666666.66666669</v>
      </c>
      <c r="P149" s="81">
        <f t="shared" si="11"/>
        <v>386666666.66666669</v>
      </c>
      <c r="Q149" s="4">
        <v>2029</v>
      </c>
      <c r="R149" s="4">
        <v>2031</v>
      </c>
      <c r="S149" s="112">
        <v>1160000000</v>
      </c>
      <c r="T149" s="91" t="s">
        <v>132</v>
      </c>
      <c r="U149" s="104">
        <f>_xlfn.IFNA(S149/INDEX('Exchange Rates'!$C$7:$F$14,MATCH('MAIN DATA, Orders'!F149,'Exchange Rates'!$B$7:$B$14,0),MATCH('MAIN DATA, Orders'!T149,'Exchange Rates'!$C$6:$F$6,0)), "-")</f>
        <v>1160000000</v>
      </c>
      <c r="V149" s="4" t="s">
        <v>133</v>
      </c>
      <c r="W149" s="4" t="s">
        <v>127</v>
      </c>
      <c r="X149" s="4" t="s">
        <v>128</v>
      </c>
      <c r="Y149" s="24">
        <f t="shared" si="9"/>
        <v>202307</v>
      </c>
      <c r="Z149" s="115">
        <v>0</v>
      </c>
      <c r="AA149" s="115">
        <v>0</v>
      </c>
      <c r="AB149" s="115">
        <v>0</v>
      </c>
      <c r="AC149" s="115">
        <v>1</v>
      </c>
      <c r="AD149" s="115">
        <v>0</v>
      </c>
      <c r="AE149" s="115">
        <v>0</v>
      </c>
      <c r="AF149" s="115">
        <v>0</v>
      </c>
      <c r="AG149" s="4" t="s">
        <v>977</v>
      </c>
      <c r="AH149" s="4" t="s">
        <v>128</v>
      </c>
      <c r="AI149" s="4" t="s">
        <v>128</v>
      </c>
      <c r="AJ149" s="4" t="s">
        <v>127</v>
      </c>
      <c r="AK149" s="4" t="s">
        <v>127</v>
      </c>
      <c r="AL149" s="4" t="s">
        <v>127</v>
      </c>
      <c r="AM149" s="4" t="s">
        <v>127</v>
      </c>
      <c r="AN149" s="4" t="s">
        <v>127</v>
      </c>
      <c r="AO149" s="4" t="s">
        <v>127</v>
      </c>
      <c r="AP149" s="4" t="s">
        <v>127</v>
      </c>
      <c r="AQ149" s="4" t="s">
        <v>127</v>
      </c>
      <c r="AR149" s="4" t="s">
        <v>127</v>
      </c>
      <c r="AS149" s="4" t="s">
        <v>127</v>
      </c>
      <c r="AT149" s="4" t="s">
        <v>127</v>
      </c>
      <c r="AU149" s="4" t="s">
        <v>127</v>
      </c>
      <c r="AV149" s="4" t="s">
        <v>127</v>
      </c>
      <c r="AW149" s="4" t="s">
        <v>127</v>
      </c>
      <c r="AX149" s="4" t="s">
        <v>127</v>
      </c>
      <c r="AY149" s="96" t="s">
        <v>972</v>
      </c>
      <c r="AZ149" s="96" t="s">
        <v>978</v>
      </c>
      <c r="BA149" s="96" t="s">
        <v>455</v>
      </c>
      <c r="BB149" s="4" t="s">
        <v>979</v>
      </c>
      <c r="BC149" s="4" t="s">
        <v>457</v>
      </c>
      <c r="BD149" s="4" t="s">
        <v>127</v>
      </c>
      <c r="BE149" s="4" t="s">
        <v>127</v>
      </c>
      <c r="BF149" s="4"/>
      <c r="BG149" s="4"/>
      <c r="BH149" s="4"/>
      <c r="BI149" s="4"/>
      <c r="BJ149" s="4"/>
      <c r="BK149" s="4"/>
      <c r="BL149" s="4"/>
      <c r="BM149" s="4"/>
      <c r="BN149" s="4"/>
      <c r="BO149" s="4"/>
    </row>
    <row r="150" spans="1:67" ht="16" x14ac:dyDescent="0.4">
      <c r="A150" s="4" t="s">
        <v>980</v>
      </c>
      <c r="B150" s="4" t="s">
        <v>980</v>
      </c>
      <c r="C150" s="4" t="s">
        <v>127</v>
      </c>
      <c r="D150" s="4" t="s">
        <v>128</v>
      </c>
      <c r="E150" s="189">
        <v>45112</v>
      </c>
      <c r="F150" s="6">
        <f t="shared" si="8"/>
        <v>2023</v>
      </c>
      <c r="G150" s="4" t="s">
        <v>981</v>
      </c>
      <c r="H150" s="22" t="str">
        <f>VLOOKUP($G150,'Item Classification'!B:C,2,0)</f>
        <v>Light air assault vehicle</v>
      </c>
      <c r="I150" s="6" t="str">
        <f>VLOOKUP($G150,'Item Classification'!B:D,3,0)</f>
        <v>Armoured vehicle</v>
      </c>
      <c r="J150" s="23">
        <f>VLOOKUP($G150,'Item Classification'!B:E,4,0)</f>
        <v>2</v>
      </c>
      <c r="K150" s="116" t="s">
        <v>274</v>
      </c>
      <c r="L150" s="116" t="s">
        <v>275</v>
      </c>
      <c r="M150" s="116" t="str">
        <f>VLOOKUP(L150,'NATO Classifications'!$D$6:$E$647,2,0)</f>
        <v>Trucks and Truck Tractors, Wheeled</v>
      </c>
      <c r="N150" s="4">
        <v>1508</v>
      </c>
      <c r="O150" s="81">
        <f t="shared" si="10"/>
        <v>576923.07692307688</v>
      </c>
      <c r="P150" s="81">
        <f t="shared" si="11"/>
        <v>576923.07692307688</v>
      </c>
      <c r="Q150" s="4">
        <v>2025</v>
      </c>
      <c r="R150" s="4"/>
      <c r="S150" s="112">
        <v>870000000</v>
      </c>
      <c r="T150" s="91" t="s">
        <v>132</v>
      </c>
      <c r="U150" s="104">
        <f>_xlfn.IFNA(S150/INDEX('Exchange Rates'!$C$7:$F$14,MATCH('MAIN DATA, Orders'!F150,'Exchange Rates'!$B$7:$B$14,0),MATCH('MAIN DATA, Orders'!T150,'Exchange Rates'!$C$6:$F$6,0)), "-")</f>
        <v>870000000</v>
      </c>
      <c r="V150" s="4" t="s">
        <v>682</v>
      </c>
      <c r="W150" s="4" t="s">
        <v>127</v>
      </c>
      <c r="X150" s="4" t="s">
        <v>128</v>
      </c>
      <c r="Y150" s="24">
        <f>_xlfn.NUMBERVALUE(_xlfn.CONCAT(YEAR(E150),TEXT(E150, "mm")))</f>
        <v>202307</v>
      </c>
      <c r="Z150" s="115">
        <v>1</v>
      </c>
      <c r="AA150" s="115">
        <v>0</v>
      </c>
      <c r="AB150" s="115">
        <v>0</v>
      </c>
      <c r="AC150" s="115">
        <v>1</v>
      </c>
      <c r="AD150" s="115">
        <v>1</v>
      </c>
      <c r="AE150" s="115">
        <v>0</v>
      </c>
      <c r="AF150" s="115">
        <v>0</v>
      </c>
      <c r="AG150" s="4" t="s">
        <v>256</v>
      </c>
      <c r="AH150" s="4" t="s">
        <v>128</v>
      </c>
      <c r="AI150" s="4" t="s">
        <v>146</v>
      </c>
      <c r="AJ150" s="4" t="s">
        <v>127</v>
      </c>
      <c r="AK150" s="4" t="s">
        <v>127</v>
      </c>
      <c r="AL150" s="4" t="s">
        <v>127</v>
      </c>
      <c r="AM150" s="4" t="s">
        <v>127</v>
      </c>
      <c r="AN150" s="4" t="s">
        <v>127</v>
      </c>
      <c r="AO150" s="4" t="s">
        <v>127</v>
      </c>
      <c r="AP150" s="4" t="s">
        <v>127</v>
      </c>
      <c r="AQ150" s="4" t="s">
        <v>127</v>
      </c>
      <c r="AR150" s="4" t="s">
        <v>127</v>
      </c>
      <c r="AS150" s="4" t="s">
        <v>127</v>
      </c>
      <c r="AT150" s="4" t="s">
        <v>127</v>
      </c>
      <c r="AU150" s="4" t="s">
        <v>127</v>
      </c>
      <c r="AV150" s="4" t="s">
        <v>127</v>
      </c>
      <c r="AW150" s="4" t="s">
        <v>127</v>
      </c>
      <c r="AX150" s="4" t="s">
        <v>127</v>
      </c>
      <c r="AY150" s="96" t="s">
        <v>972</v>
      </c>
      <c r="AZ150" s="96" t="s">
        <v>982</v>
      </c>
      <c r="BA150" s="96" t="s">
        <v>983</v>
      </c>
      <c r="BB150" s="4" t="s">
        <v>984</v>
      </c>
      <c r="BC150" s="4" t="s">
        <v>985</v>
      </c>
      <c r="BD150" s="4" t="s">
        <v>127</v>
      </c>
      <c r="BE150" s="4" t="s">
        <v>127</v>
      </c>
      <c r="BF150" s="4"/>
      <c r="BG150" s="4"/>
      <c r="BH150" s="4"/>
      <c r="BI150" s="4"/>
      <c r="BJ150" s="4"/>
      <c r="BK150" s="4"/>
      <c r="BL150" s="4"/>
      <c r="BM150" s="4"/>
      <c r="BN150" s="4"/>
      <c r="BO150" s="4"/>
    </row>
    <row r="151" spans="1:67" ht="16" x14ac:dyDescent="0.4">
      <c r="A151" s="4" t="s">
        <v>986</v>
      </c>
      <c r="B151" s="4" t="s">
        <v>986</v>
      </c>
      <c r="C151" s="4" t="s">
        <v>987</v>
      </c>
      <c r="D151" s="4" t="s">
        <v>128</v>
      </c>
      <c r="E151" s="189">
        <v>45112</v>
      </c>
      <c r="F151" s="6">
        <f t="shared" si="8"/>
        <v>2023</v>
      </c>
      <c r="G151" s="4" t="s">
        <v>988</v>
      </c>
      <c r="H151" s="22" t="str">
        <f>VLOOKUP($G151,'Item Classification'!B:C,2,0)</f>
        <v>155mm howitzer ammunition</v>
      </c>
      <c r="I151" s="6" t="str">
        <f>VLOOKUP($G151,'Item Classification'!B:D,3,0)</f>
        <v>Ammunition</v>
      </c>
      <c r="J151" s="23">
        <f>VLOOKUP($G151,'Item Classification'!B:E,4,0)</f>
        <v>4</v>
      </c>
      <c r="K151" s="116" t="s">
        <v>189</v>
      </c>
      <c r="L151" s="116" t="s">
        <v>733</v>
      </c>
      <c r="M151" s="116" t="str">
        <f>VLOOKUP(L151,'NATO Classifications'!$D$6:$E$647,2,0)</f>
        <v>Ammunition over 75mm</v>
      </c>
      <c r="N151" s="4">
        <v>4700</v>
      </c>
      <c r="O151" s="81">
        <f t="shared" si="10"/>
        <v>5808.510638297872</v>
      </c>
      <c r="P151" s="81">
        <f t="shared" si="11"/>
        <v>5808.510638297872</v>
      </c>
      <c r="Q151" s="4"/>
      <c r="R151" s="4">
        <v>2025</v>
      </c>
      <c r="S151" s="112">
        <v>27300000</v>
      </c>
      <c r="T151" s="91" t="s">
        <v>132</v>
      </c>
      <c r="U151" s="104">
        <f>_xlfn.IFNA(S151/INDEX('Exchange Rates'!$C$7:$F$14,MATCH('MAIN DATA, Orders'!F151,'Exchange Rates'!$B$7:$B$14,0),MATCH('MAIN DATA, Orders'!T151,'Exchange Rates'!$C$6:$F$6,0)), "-")</f>
        <v>27300000</v>
      </c>
      <c r="V151" s="4" t="s">
        <v>133</v>
      </c>
      <c r="W151" s="4" t="s">
        <v>127</v>
      </c>
      <c r="X151" s="4" t="s">
        <v>809</v>
      </c>
      <c r="Y151" s="24">
        <f t="shared" ref="Y151:Y214" si="12">_xlfn.NUMBERVALUE(_xlfn.CONCAT(YEAR(E151),TEXT(E151, "mm")))</f>
        <v>202307</v>
      </c>
      <c r="Z151" s="115">
        <v>1</v>
      </c>
      <c r="AA151" s="115">
        <v>0</v>
      </c>
      <c r="AB151" s="115">
        <v>0</v>
      </c>
      <c r="AC151" s="115">
        <v>1</v>
      </c>
      <c r="AD151" s="115">
        <v>1</v>
      </c>
      <c r="AE151" s="115">
        <v>0</v>
      </c>
      <c r="AF151" s="115">
        <v>1</v>
      </c>
      <c r="AG151" s="4" t="s">
        <v>191</v>
      </c>
      <c r="AH151" s="4" t="s">
        <v>128</v>
      </c>
      <c r="AI151" s="4" t="s">
        <v>127</v>
      </c>
      <c r="AJ151" s="4" t="s">
        <v>989</v>
      </c>
      <c r="AK151" s="4" t="s">
        <v>127</v>
      </c>
      <c r="AL151" s="4" t="s">
        <v>127</v>
      </c>
      <c r="AM151" s="4" t="s">
        <v>127</v>
      </c>
      <c r="AN151" s="4" t="s">
        <v>468</v>
      </c>
      <c r="AO151" s="4" t="s">
        <v>127</v>
      </c>
      <c r="AP151" s="4" t="s">
        <v>127</v>
      </c>
      <c r="AQ151" s="4" t="s">
        <v>127</v>
      </c>
      <c r="AR151" s="4" t="s">
        <v>127</v>
      </c>
      <c r="AS151" s="4" t="s">
        <v>127</v>
      </c>
      <c r="AT151" s="4" t="s">
        <v>127</v>
      </c>
      <c r="AU151" s="4" t="s">
        <v>127</v>
      </c>
      <c r="AV151" s="4" t="s">
        <v>127</v>
      </c>
      <c r="AW151" s="4" t="s">
        <v>127</v>
      </c>
      <c r="AX151" s="4" t="s">
        <v>127</v>
      </c>
      <c r="AY151" s="96" t="s">
        <v>990</v>
      </c>
      <c r="AZ151" s="96" t="s">
        <v>991</v>
      </c>
      <c r="BA151" s="96" t="s">
        <v>992</v>
      </c>
      <c r="BB151" s="4" t="s">
        <v>993</v>
      </c>
      <c r="BC151" s="4" t="s">
        <v>994</v>
      </c>
      <c r="BD151" s="4" t="s">
        <v>995</v>
      </c>
      <c r="BE151" s="4" t="s">
        <v>127</v>
      </c>
      <c r="BF151" s="4"/>
      <c r="BG151" s="4"/>
      <c r="BH151" s="4"/>
      <c r="BI151" s="4"/>
      <c r="BJ151" s="4"/>
      <c r="BK151" s="4"/>
      <c r="BL151" s="4"/>
      <c r="BM151" s="4"/>
      <c r="BN151" s="4"/>
      <c r="BO151" s="4"/>
    </row>
    <row r="152" spans="1:67" ht="16" x14ac:dyDescent="0.4">
      <c r="A152" s="4" t="s">
        <v>996</v>
      </c>
      <c r="B152" s="4" t="s">
        <v>996</v>
      </c>
      <c r="C152" s="4" t="s">
        <v>997</v>
      </c>
      <c r="D152" s="4" t="s">
        <v>128</v>
      </c>
      <c r="E152" s="189">
        <v>45112</v>
      </c>
      <c r="F152" s="6">
        <f t="shared" si="8"/>
        <v>2023</v>
      </c>
      <c r="G152" s="4" t="s">
        <v>127</v>
      </c>
      <c r="H152" s="22" t="s">
        <v>998</v>
      </c>
      <c r="I152" s="6" t="s">
        <v>999</v>
      </c>
      <c r="J152" s="23">
        <v>4</v>
      </c>
      <c r="K152" s="116" t="s">
        <v>189</v>
      </c>
      <c r="L152" s="116" t="s">
        <v>733</v>
      </c>
      <c r="M152" s="116" t="str">
        <f>VLOOKUP(L152,'NATO Classifications'!$D$6:$E$647,2,0)</f>
        <v>Ammunition over 75mm</v>
      </c>
      <c r="N152" s="4"/>
      <c r="O152" s="81"/>
      <c r="P152" s="81"/>
      <c r="Q152" s="4"/>
      <c r="R152" s="4"/>
      <c r="S152" s="112">
        <v>128000000</v>
      </c>
      <c r="T152" s="91" t="s">
        <v>132</v>
      </c>
      <c r="U152" s="104">
        <f>_xlfn.IFNA(S152/INDEX('Exchange Rates'!$C$7:$F$14,MATCH('MAIN DATA, Orders'!F152,'Exchange Rates'!$B$7:$B$14,0),MATCH('MAIN DATA, Orders'!T152,'Exchange Rates'!$C$6:$F$6,0)), "-")</f>
        <v>128000000</v>
      </c>
      <c r="V152" s="4" t="s">
        <v>808</v>
      </c>
      <c r="W152" s="4" t="s">
        <v>127</v>
      </c>
      <c r="X152" s="4" t="s">
        <v>128</v>
      </c>
      <c r="Y152" s="24">
        <f t="shared" si="12"/>
        <v>202307</v>
      </c>
      <c r="Z152" s="115">
        <v>1</v>
      </c>
      <c r="AA152" s="115">
        <v>0</v>
      </c>
      <c r="AB152" s="115">
        <v>0</v>
      </c>
      <c r="AC152" s="115">
        <v>1</v>
      </c>
      <c r="AD152" s="115">
        <v>0</v>
      </c>
      <c r="AE152" s="115">
        <v>0</v>
      </c>
      <c r="AF152" s="115">
        <v>0</v>
      </c>
      <c r="AG152" s="4" t="s">
        <v>256</v>
      </c>
      <c r="AH152" s="4" t="s">
        <v>128</v>
      </c>
      <c r="AI152" s="4" t="s">
        <v>127</v>
      </c>
      <c r="AJ152" s="4" t="s">
        <v>127</v>
      </c>
      <c r="AK152" s="4" t="s">
        <v>127</v>
      </c>
      <c r="AL152" s="4" t="s">
        <v>127</v>
      </c>
      <c r="AM152" s="4" t="s">
        <v>127</v>
      </c>
      <c r="AN152" s="4" t="s">
        <v>127</v>
      </c>
      <c r="AO152" s="4" t="s">
        <v>127</v>
      </c>
      <c r="AP152" s="4" t="s">
        <v>127</v>
      </c>
      <c r="AQ152" s="4" t="s">
        <v>127</v>
      </c>
      <c r="AR152" s="4" t="s">
        <v>127</v>
      </c>
      <c r="AS152" s="4" t="s">
        <v>127</v>
      </c>
      <c r="AT152" s="4" t="s">
        <v>127</v>
      </c>
      <c r="AU152" s="4" t="s">
        <v>127</v>
      </c>
      <c r="AV152" s="4" t="s">
        <v>127</v>
      </c>
      <c r="AW152" s="4" t="s">
        <v>127</v>
      </c>
      <c r="AX152" s="4" t="s">
        <v>127</v>
      </c>
      <c r="AY152" s="96" t="s">
        <v>990</v>
      </c>
      <c r="AZ152" s="96" t="s">
        <v>1000</v>
      </c>
      <c r="BA152" s="96" t="s">
        <v>1001</v>
      </c>
      <c r="BB152" s="4" t="s">
        <v>1002</v>
      </c>
      <c r="BC152" s="4" t="s">
        <v>1003</v>
      </c>
      <c r="BD152" s="4" t="s">
        <v>127</v>
      </c>
      <c r="BE152" s="4" t="s">
        <v>127</v>
      </c>
      <c r="BF152" s="4" t="s">
        <v>200</v>
      </c>
      <c r="BG152" s="4" t="s">
        <v>200</v>
      </c>
      <c r="BH152" s="4" t="s">
        <v>200</v>
      </c>
      <c r="BI152" s="4" t="s">
        <v>200</v>
      </c>
      <c r="BJ152" s="4" t="s">
        <v>200</v>
      </c>
      <c r="BK152" s="4" t="s">
        <v>200</v>
      </c>
      <c r="BL152" s="4" t="s">
        <v>200</v>
      </c>
      <c r="BM152" s="4" t="s">
        <v>200</v>
      </c>
      <c r="BN152" s="4" t="s">
        <v>200</v>
      </c>
      <c r="BO152" s="4" t="s">
        <v>200</v>
      </c>
    </row>
    <row r="153" spans="1:67" ht="16" x14ac:dyDescent="0.4">
      <c r="A153" s="4" t="s">
        <v>996</v>
      </c>
      <c r="B153" s="4" t="s">
        <v>1004</v>
      </c>
      <c r="C153" s="4" t="s">
        <v>997</v>
      </c>
      <c r="D153" s="4" t="s">
        <v>128</v>
      </c>
      <c r="E153" s="189">
        <v>45112</v>
      </c>
      <c r="F153" s="6">
        <f t="shared" si="8"/>
        <v>2023</v>
      </c>
      <c r="G153" s="4" t="s">
        <v>1005</v>
      </c>
      <c r="H153" s="22" t="str">
        <f>VLOOKUP($G153,'Item Classification'!B:C,2,0)</f>
        <v>155mm howitzer ammunition</v>
      </c>
      <c r="I153" s="6" t="str">
        <f>VLOOKUP($G153,'Item Classification'!B:D,3,0)</f>
        <v>Ammunition</v>
      </c>
      <c r="J153" s="23">
        <f>VLOOKUP($G153,'Item Classification'!B:E,4,0)</f>
        <v>4</v>
      </c>
      <c r="K153" s="116" t="s">
        <v>189</v>
      </c>
      <c r="L153" s="116" t="s">
        <v>733</v>
      </c>
      <c r="M153" s="116" t="str">
        <f>VLOOKUP(L153,'NATO Classifications'!$D$6:$E$647,2,0)</f>
        <v>Ammunition over 75mm</v>
      </c>
      <c r="N153" s="4"/>
      <c r="O153" s="81"/>
      <c r="P153" s="81"/>
      <c r="Q153" s="4">
        <v>2023</v>
      </c>
      <c r="R153" s="4">
        <v>2025</v>
      </c>
      <c r="S153" s="4"/>
      <c r="T153" s="91" t="s">
        <v>132</v>
      </c>
      <c r="U153" s="104">
        <f>_xlfn.IFNA(S153/INDEX('Exchange Rates'!$C$7:$F$14,MATCH('MAIN DATA, Orders'!F153,'Exchange Rates'!$B$7:$B$14,0),MATCH('MAIN DATA, Orders'!T153,'Exchange Rates'!$C$6:$F$6,0)), "-")</f>
        <v>0</v>
      </c>
      <c r="V153" s="4" t="s">
        <v>808</v>
      </c>
      <c r="W153" s="4" t="s">
        <v>127</v>
      </c>
      <c r="X153" s="4" t="s">
        <v>809</v>
      </c>
      <c r="Y153" s="24">
        <f t="shared" si="12"/>
        <v>202307</v>
      </c>
      <c r="Z153" s="115">
        <v>1</v>
      </c>
      <c r="AA153" s="115">
        <v>0</v>
      </c>
      <c r="AB153" s="115">
        <v>0</v>
      </c>
      <c r="AC153" s="115">
        <v>1</v>
      </c>
      <c r="AD153" s="115">
        <v>0</v>
      </c>
      <c r="AE153" s="115">
        <v>0</v>
      </c>
      <c r="AF153" s="115">
        <v>0</v>
      </c>
      <c r="AG153" s="4" t="s">
        <v>256</v>
      </c>
      <c r="AH153" s="4" t="s">
        <v>128</v>
      </c>
      <c r="AI153" s="4" t="s">
        <v>127</v>
      </c>
      <c r="AJ153" s="4" t="s">
        <v>127</v>
      </c>
      <c r="AK153" s="4" t="s">
        <v>127</v>
      </c>
      <c r="AL153" s="4" t="s">
        <v>127</v>
      </c>
      <c r="AM153" s="4" t="s">
        <v>127</v>
      </c>
      <c r="AN153" s="4" t="s">
        <v>127</v>
      </c>
      <c r="AO153" s="4" t="s">
        <v>127</v>
      </c>
      <c r="AP153" s="4" t="s">
        <v>127</v>
      </c>
      <c r="AQ153" s="4" t="s">
        <v>127</v>
      </c>
      <c r="AR153" s="4" t="s">
        <v>127</v>
      </c>
      <c r="AS153" s="4" t="s">
        <v>127</v>
      </c>
      <c r="AT153" s="4" t="s">
        <v>127</v>
      </c>
      <c r="AU153" s="4" t="s">
        <v>127</v>
      </c>
      <c r="AV153" s="4" t="s">
        <v>127</v>
      </c>
      <c r="AW153" s="4" t="s">
        <v>127</v>
      </c>
      <c r="AX153" s="4" t="s">
        <v>127</v>
      </c>
      <c r="AY153" s="96" t="s">
        <v>990</v>
      </c>
      <c r="AZ153" s="96" t="s">
        <v>1000</v>
      </c>
      <c r="BA153" s="96" t="s">
        <v>1001</v>
      </c>
      <c r="BB153" s="4" t="s">
        <v>1002</v>
      </c>
      <c r="BC153" s="4" t="s">
        <v>1003</v>
      </c>
      <c r="BD153" s="4" t="s">
        <v>127</v>
      </c>
      <c r="BE153" s="4" t="s">
        <v>127</v>
      </c>
      <c r="BF153" s="4" t="s">
        <v>200</v>
      </c>
      <c r="BG153" s="4" t="s">
        <v>200</v>
      </c>
      <c r="BH153" s="4" t="s">
        <v>200</v>
      </c>
      <c r="BI153" s="4" t="s">
        <v>200</v>
      </c>
      <c r="BJ153" s="4" t="s">
        <v>200</v>
      </c>
      <c r="BK153" s="4" t="s">
        <v>200</v>
      </c>
      <c r="BL153" s="4" t="s">
        <v>200</v>
      </c>
      <c r="BM153" s="4" t="s">
        <v>200</v>
      </c>
      <c r="BN153" s="4" t="s">
        <v>200</v>
      </c>
      <c r="BO153" s="4" t="s">
        <v>200</v>
      </c>
    </row>
    <row r="154" spans="1:67" ht="16" x14ac:dyDescent="0.4">
      <c r="A154" s="4" t="s">
        <v>996</v>
      </c>
      <c r="B154" s="4" t="s">
        <v>1006</v>
      </c>
      <c r="C154" s="4" t="s">
        <v>997</v>
      </c>
      <c r="D154" s="4" t="s">
        <v>128</v>
      </c>
      <c r="E154" s="189">
        <v>45112</v>
      </c>
      <c r="F154" s="6">
        <f t="shared" si="8"/>
        <v>2023</v>
      </c>
      <c r="G154" s="4" t="s">
        <v>1007</v>
      </c>
      <c r="H154" s="22" t="str">
        <f>VLOOKUP($G154,'Item Classification'!B:C,2,0)</f>
        <v>155mm howitzer ammunition</v>
      </c>
      <c r="I154" s="6" t="str">
        <f>VLOOKUP($G154,'Item Classification'!B:D,3,0)</f>
        <v>Ammunition</v>
      </c>
      <c r="J154" s="23">
        <f>VLOOKUP($G154,'Item Classification'!B:E,4,0)</f>
        <v>4</v>
      </c>
      <c r="K154" s="116" t="s">
        <v>189</v>
      </c>
      <c r="L154" s="116" t="s">
        <v>733</v>
      </c>
      <c r="M154" s="116" t="str">
        <f>VLOOKUP(L154,'NATO Classifications'!$D$6:$E$647,2,0)</f>
        <v>Ammunition over 75mm</v>
      </c>
      <c r="N154" s="4"/>
      <c r="O154" s="81"/>
      <c r="P154" s="81"/>
      <c r="Q154" s="4">
        <v>2023</v>
      </c>
      <c r="R154" s="4"/>
      <c r="S154" s="4"/>
      <c r="T154" s="91" t="s">
        <v>132</v>
      </c>
      <c r="U154" s="104">
        <f>_xlfn.IFNA(S154/INDEX('Exchange Rates'!$C$7:$F$14,MATCH('MAIN DATA, Orders'!F154,'Exchange Rates'!$B$7:$B$14,0),MATCH('MAIN DATA, Orders'!T154,'Exchange Rates'!$C$6:$F$6,0)), "-")</f>
        <v>0</v>
      </c>
      <c r="V154" s="4" t="s">
        <v>808</v>
      </c>
      <c r="W154" s="4" t="s">
        <v>127</v>
      </c>
      <c r="X154" s="4" t="s">
        <v>128</v>
      </c>
      <c r="Y154" s="24">
        <f t="shared" si="12"/>
        <v>202307</v>
      </c>
      <c r="Z154" s="115">
        <v>1</v>
      </c>
      <c r="AA154" s="115">
        <v>0</v>
      </c>
      <c r="AB154" s="115">
        <v>0</v>
      </c>
      <c r="AC154" s="115">
        <v>1</v>
      </c>
      <c r="AD154" s="115">
        <v>0</v>
      </c>
      <c r="AE154" s="115">
        <v>0</v>
      </c>
      <c r="AF154" s="115">
        <v>0</v>
      </c>
      <c r="AG154" s="4" t="s">
        <v>256</v>
      </c>
      <c r="AH154" s="4" t="s">
        <v>128</v>
      </c>
      <c r="AI154" s="4" t="s">
        <v>127</v>
      </c>
      <c r="AJ154" s="4" t="s">
        <v>127</v>
      </c>
      <c r="AK154" s="4" t="s">
        <v>127</v>
      </c>
      <c r="AL154" s="4" t="s">
        <v>127</v>
      </c>
      <c r="AM154" s="4" t="s">
        <v>127</v>
      </c>
      <c r="AN154" s="4" t="s">
        <v>127</v>
      </c>
      <c r="AO154" s="4" t="s">
        <v>127</v>
      </c>
      <c r="AP154" s="4" t="s">
        <v>127</v>
      </c>
      <c r="AQ154" s="4" t="s">
        <v>127</v>
      </c>
      <c r="AR154" s="4" t="s">
        <v>127</v>
      </c>
      <c r="AS154" s="4" t="s">
        <v>127</v>
      </c>
      <c r="AT154" s="4" t="s">
        <v>127</v>
      </c>
      <c r="AU154" s="4" t="s">
        <v>127</v>
      </c>
      <c r="AV154" s="4" t="s">
        <v>127</v>
      </c>
      <c r="AW154" s="4" t="s">
        <v>127</v>
      </c>
      <c r="AX154" s="4" t="s">
        <v>127</v>
      </c>
      <c r="AY154" s="96" t="s">
        <v>990</v>
      </c>
      <c r="AZ154" s="96" t="s">
        <v>1000</v>
      </c>
      <c r="BA154" s="96" t="s">
        <v>1001</v>
      </c>
      <c r="BB154" s="4" t="s">
        <v>1002</v>
      </c>
      <c r="BC154" s="4" t="s">
        <v>1003</v>
      </c>
      <c r="BD154" s="4" t="s">
        <v>127</v>
      </c>
      <c r="BE154" s="4" t="s">
        <v>127</v>
      </c>
      <c r="BF154" s="4" t="s">
        <v>200</v>
      </c>
      <c r="BG154" s="4" t="s">
        <v>200</v>
      </c>
      <c r="BH154" s="4" t="s">
        <v>200</v>
      </c>
      <c r="BI154" s="4" t="s">
        <v>200</v>
      </c>
      <c r="BJ154" s="4" t="s">
        <v>200</v>
      </c>
      <c r="BK154" s="4" t="s">
        <v>200</v>
      </c>
      <c r="BL154" s="4" t="s">
        <v>200</v>
      </c>
      <c r="BM154" s="4" t="s">
        <v>200</v>
      </c>
      <c r="BN154" s="4" t="s">
        <v>200</v>
      </c>
      <c r="BO154" s="4" t="s">
        <v>200</v>
      </c>
    </row>
    <row r="155" spans="1:67" ht="16" x14ac:dyDescent="0.4">
      <c r="A155" s="4" t="s">
        <v>1008</v>
      </c>
      <c r="B155" s="4" t="s">
        <v>1008</v>
      </c>
      <c r="C155" s="4" t="s">
        <v>127</v>
      </c>
      <c r="D155" s="4" t="s">
        <v>128</v>
      </c>
      <c r="E155" s="189">
        <v>45112</v>
      </c>
      <c r="F155" s="6">
        <f t="shared" si="8"/>
        <v>2023</v>
      </c>
      <c r="G155" s="4" t="s">
        <v>1009</v>
      </c>
      <c r="H155" s="22" t="str">
        <f>VLOOKUP($G155,'Item Classification'!B:C,2,0)</f>
        <v>155mm ammunition equipment</v>
      </c>
      <c r="I155" s="6" t="str">
        <f>VLOOKUP($G155,'Item Classification'!B:D,3,0)</f>
        <v>Ammunition</v>
      </c>
      <c r="J155" s="23">
        <f>VLOOKUP($G155,'Item Classification'!B:E,4,0)</f>
        <v>4</v>
      </c>
      <c r="K155" s="116" t="s">
        <v>189</v>
      </c>
      <c r="L155" s="116" t="s">
        <v>205</v>
      </c>
      <c r="M155" s="116" t="str">
        <f>VLOOKUP(L155,'NATO Classifications'!$D$6:$E$647,2,0)</f>
        <v>Bombs (including Fuzes)</v>
      </c>
      <c r="N155" s="4"/>
      <c r="O155" s="81"/>
      <c r="P155" s="81"/>
      <c r="Q155" s="4"/>
      <c r="R155" s="4"/>
      <c r="S155" s="4"/>
      <c r="T155" s="91" t="s">
        <v>132</v>
      </c>
      <c r="U155" s="104">
        <f>_xlfn.IFNA(S155/INDEX('Exchange Rates'!$C$7:$F$14,MATCH('MAIN DATA, Orders'!F155,'Exchange Rates'!$B$7:$B$14,0),MATCH('MAIN DATA, Orders'!T155,'Exchange Rates'!$C$6:$F$6,0)), "-")</f>
        <v>0</v>
      </c>
      <c r="V155" s="4" t="s">
        <v>808</v>
      </c>
      <c r="W155" s="4" t="s">
        <v>133</v>
      </c>
      <c r="X155" s="4" t="s">
        <v>128</v>
      </c>
      <c r="Y155" s="24">
        <f t="shared" si="12"/>
        <v>202307</v>
      </c>
      <c r="Z155" s="115">
        <v>0</v>
      </c>
      <c r="AA155" s="115">
        <v>0</v>
      </c>
      <c r="AB155" s="115">
        <v>0</v>
      </c>
      <c r="AC155" s="115">
        <v>1</v>
      </c>
      <c r="AD155" s="115">
        <v>0</v>
      </c>
      <c r="AE155" s="115">
        <v>0</v>
      </c>
      <c r="AF155" s="115">
        <v>0</v>
      </c>
      <c r="AG155" s="4" t="s">
        <v>256</v>
      </c>
      <c r="AH155" s="4" t="s">
        <v>128</v>
      </c>
      <c r="AI155" s="4" t="s">
        <v>127</v>
      </c>
      <c r="AJ155" s="4" t="s">
        <v>127</v>
      </c>
      <c r="AK155" s="4" t="s">
        <v>127</v>
      </c>
      <c r="AL155" s="4" t="s">
        <v>127</v>
      </c>
      <c r="AM155" s="4" t="s">
        <v>127</v>
      </c>
      <c r="AN155" s="4" t="s">
        <v>127</v>
      </c>
      <c r="AO155" s="4" t="s">
        <v>127</v>
      </c>
      <c r="AP155" s="4" t="s">
        <v>127</v>
      </c>
      <c r="AQ155" s="4" t="s">
        <v>127</v>
      </c>
      <c r="AR155" s="4" t="s">
        <v>127</v>
      </c>
      <c r="AS155" s="4" t="s">
        <v>127</v>
      </c>
      <c r="AT155" s="4" t="s">
        <v>127</v>
      </c>
      <c r="AU155" s="4" t="s">
        <v>127</v>
      </c>
      <c r="AV155" s="4" t="s">
        <v>127</v>
      </c>
      <c r="AW155" s="4" t="s">
        <v>127</v>
      </c>
      <c r="AX155" s="4" t="s">
        <v>127</v>
      </c>
      <c r="AY155" s="96" t="s">
        <v>990</v>
      </c>
      <c r="AZ155" s="96" t="s">
        <v>1000</v>
      </c>
      <c r="BA155" s="4" t="s">
        <v>127</v>
      </c>
      <c r="BB155" s="4" t="s">
        <v>1010</v>
      </c>
      <c r="BC155" s="4" t="s">
        <v>1011</v>
      </c>
      <c r="BD155" s="4" t="s">
        <v>127</v>
      </c>
      <c r="BE155" s="4" t="s">
        <v>127</v>
      </c>
      <c r="BF155" s="4"/>
      <c r="BG155" s="4"/>
      <c r="BH155" s="4"/>
      <c r="BI155" s="4"/>
      <c r="BJ155" s="4"/>
      <c r="BK155" s="4"/>
      <c r="BL155" s="4"/>
      <c r="BM155" s="4"/>
      <c r="BN155" s="4"/>
      <c r="BO155" s="4"/>
    </row>
    <row r="156" spans="1:67" ht="16" x14ac:dyDescent="0.4">
      <c r="A156" s="4" t="s">
        <v>1012</v>
      </c>
      <c r="B156" s="4" t="s">
        <v>1012</v>
      </c>
      <c r="C156" s="4" t="s">
        <v>253</v>
      </c>
      <c r="D156" s="4" t="s">
        <v>128</v>
      </c>
      <c r="E156" s="189">
        <v>45112</v>
      </c>
      <c r="F156" s="6">
        <f t="shared" si="8"/>
        <v>2023</v>
      </c>
      <c r="G156" s="4" t="s">
        <v>127</v>
      </c>
      <c r="H156" s="22" t="s">
        <v>1013</v>
      </c>
      <c r="I156" s="6" t="s">
        <v>999</v>
      </c>
      <c r="J156" s="23">
        <v>4</v>
      </c>
      <c r="K156" s="116" t="s">
        <v>189</v>
      </c>
      <c r="L156" s="116" t="s">
        <v>255</v>
      </c>
      <c r="M156" s="116" t="str">
        <f>VLOOKUP(L156,'NATO Classifications'!$D$6:$E$647,2,0)</f>
        <v>Ammunition over 75mm</v>
      </c>
      <c r="N156" s="4"/>
      <c r="O156" s="81"/>
      <c r="P156" s="81"/>
      <c r="Q156" s="4"/>
      <c r="R156" s="4">
        <v>2025</v>
      </c>
      <c r="S156" s="112">
        <v>381000000</v>
      </c>
      <c r="T156" s="91" t="s">
        <v>132</v>
      </c>
      <c r="U156" s="104">
        <f>_xlfn.IFNA(S156/INDEX('Exchange Rates'!$C$7:$F$14,MATCH('MAIN DATA, Orders'!F156,'Exchange Rates'!$B$7:$B$14,0),MATCH('MAIN DATA, Orders'!T156,'Exchange Rates'!$C$6:$F$6,0)), "-")</f>
        <v>381000000</v>
      </c>
      <c r="V156" s="4" t="s">
        <v>808</v>
      </c>
      <c r="W156" s="4" t="s">
        <v>133</v>
      </c>
      <c r="X156" s="4" t="s">
        <v>128</v>
      </c>
      <c r="Y156" s="24">
        <f t="shared" si="12"/>
        <v>202307</v>
      </c>
      <c r="Z156" s="115">
        <v>1</v>
      </c>
      <c r="AA156" s="115">
        <v>0</v>
      </c>
      <c r="AB156" s="115">
        <v>0</v>
      </c>
      <c r="AC156" s="115">
        <v>1</v>
      </c>
      <c r="AD156" s="115">
        <v>0</v>
      </c>
      <c r="AE156" s="115">
        <v>0</v>
      </c>
      <c r="AF156" s="115">
        <v>0</v>
      </c>
      <c r="AG156" s="4" t="s">
        <v>256</v>
      </c>
      <c r="AH156" s="4" t="s">
        <v>128</v>
      </c>
      <c r="AI156" s="4" t="s">
        <v>127</v>
      </c>
      <c r="AJ156" s="4" t="s">
        <v>127</v>
      </c>
      <c r="AK156" s="4" t="s">
        <v>127</v>
      </c>
      <c r="AL156" s="4" t="s">
        <v>127</v>
      </c>
      <c r="AM156" s="4" t="s">
        <v>127</v>
      </c>
      <c r="AN156" s="4" t="s">
        <v>127</v>
      </c>
      <c r="AO156" s="4" t="s">
        <v>127</v>
      </c>
      <c r="AP156" s="4" t="s">
        <v>127</v>
      </c>
      <c r="AQ156" s="4" t="s">
        <v>127</v>
      </c>
      <c r="AR156" s="4" t="s">
        <v>127</v>
      </c>
      <c r="AS156" s="4" t="s">
        <v>127</v>
      </c>
      <c r="AT156" s="4" t="s">
        <v>127</v>
      </c>
      <c r="AU156" s="4" t="s">
        <v>127</v>
      </c>
      <c r="AV156" s="4" t="s">
        <v>127</v>
      </c>
      <c r="AW156" s="4" t="s">
        <v>127</v>
      </c>
      <c r="AX156" s="4" t="s">
        <v>127</v>
      </c>
      <c r="AY156" s="96" t="s">
        <v>990</v>
      </c>
      <c r="AZ156" s="96" t="s">
        <v>1014</v>
      </c>
      <c r="BA156" s="96" t="s">
        <v>1015</v>
      </c>
      <c r="BB156" s="4" t="s">
        <v>1016</v>
      </c>
      <c r="BC156" s="4" t="s">
        <v>1017</v>
      </c>
      <c r="BD156" s="4" t="s">
        <v>1018</v>
      </c>
      <c r="BE156" s="4" t="s">
        <v>127</v>
      </c>
      <c r="BF156" s="4" t="s">
        <v>200</v>
      </c>
      <c r="BG156" s="4" t="s">
        <v>200</v>
      </c>
      <c r="BH156" s="4" t="s">
        <v>200</v>
      </c>
      <c r="BI156" s="4" t="s">
        <v>200</v>
      </c>
      <c r="BJ156" s="4" t="s">
        <v>200</v>
      </c>
      <c r="BK156" s="4" t="s">
        <v>200</v>
      </c>
      <c r="BL156" s="4" t="s">
        <v>200</v>
      </c>
      <c r="BM156" s="4" t="s">
        <v>200</v>
      </c>
      <c r="BN156" s="4" t="s">
        <v>200</v>
      </c>
      <c r="BO156" s="4" t="s">
        <v>200</v>
      </c>
    </row>
    <row r="157" spans="1:67" ht="16" x14ac:dyDescent="0.4">
      <c r="A157" s="4" t="s">
        <v>1012</v>
      </c>
      <c r="B157" s="4" t="s">
        <v>1019</v>
      </c>
      <c r="C157" s="4" t="s">
        <v>253</v>
      </c>
      <c r="D157" s="4" t="s">
        <v>128</v>
      </c>
      <c r="E157" s="189">
        <v>45112</v>
      </c>
      <c r="F157" s="6">
        <f t="shared" si="8"/>
        <v>2023</v>
      </c>
      <c r="G157" s="4" t="s">
        <v>1020</v>
      </c>
      <c r="H157" s="22" t="str">
        <f>VLOOKUP($G157,'Item Classification'!B:C,2,0)</f>
        <v>120mm tank ammunition</v>
      </c>
      <c r="I157" s="6" t="str">
        <f>VLOOKUP($G157,'Item Classification'!B:D,3,0)</f>
        <v>Ammunition</v>
      </c>
      <c r="J157" s="23">
        <f>VLOOKUP($G157,'Item Classification'!B:E,4,0)</f>
        <v>4</v>
      </c>
      <c r="K157" s="116" t="s">
        <v>189</v>
      </c>
      <c r="L157" s="116" t="s">
        <v>255</v>
      </c>
      <c r="M157" s="116" t="str">
        <f>VLOOKUP(L157,'NATO Classifications'!$D$6:$E$647,2,0)</f>
        <v>Ammunition over 75mm</v>
      </c>
      <c r="N157" s="4">
        <v>80000</v>
      </c>
      <c r="O157" s="81"/>
      <c r="P157" s="81"/>
      <c r="Q157" s="4"/>
      <c r="R157" s="4">
        <v>2025</v>
      </c>
      <c r="S157" s="4"/>
      <c r="T157" s="91" t="s">
        <v>132</v>
      </c>
      <c r="U157" s="104">
        <f>_xlfn.IFNA(S157/INDEX('Exchange Rates'!$C$7:$F$14,MATCH('MAIN DATA, Orders'!F157,'Exchange Rates'!$B$7:$B$14,0),MATCH('MAIN DATA, Orders'!T157,'Exchange Rates'!$C$6:$F$6,0)), "-")</f>
        <v>0</v>
      </c>
      <c r="V157" s="4" t="s">
        <v>808</v>
      </c>
      <c r="W157" s="4" t="s">
        <v>133</v>
      </c>
      <c r="X157" s="4" t="s">
        <v>128</v>
      </c>
      <c r="Y157" s="24">
        <f t="shared" si="12"/>
        <v>202307</v>
      </c>
      <c r="Z157" s="115">
        <v>1</v>
      </c>
      <c r="AA157" s="115">
        <v>0</v>
      </c>
      <c r="AB157" s="115">
        <v>0</v>
      </c>
      <c r="AC157" s="115">
        <v>1</v>
      </c>
      <c r="AD157" s="115">
        <v>0</v>
      </c>
      <c r="AE157" s="115">
        <v>0</v>
      </c>
      <c r="AF157" s="115">
        <v>0</v>
      </c>
      <c r="AG157" s="4" t="s">
        <v>256</v>
      </c>
      <c r="AH157" s="4" t="s">
        <v>128</v>
      </c>
      <c r="AI157" s="4" t="s">
        <v>127</v>
      </c>
      <c r="AJ157" s="4" t="s">
        <v>127</v>
      </c>
      <c r="AK157" s="4" t="s">
        <v>127</v>
      </c>
      <c r="AL157" s="4" t="s">
        <v>127</v>
      </c>
      <c r="AM157" s="4" t="s">
        <v>127</v>
      </c>
      <c r="AN157" s="4" t="s">
        <v>127</v>
      </c>
      <c r="AO157" s="4" t="s">
        <v>127</v>
      </c>
      <c r="AP157" s="4" t="s">
        <v>127</v>
      </c>
      <c r="AQ157" s="4" t="s">
        <v>127</v>
      </c>
      <c r="AR157" s="4" t="s">
        <v>127</v>
      </c>
      <c r="AS157" s="4" t="s">
        <v>127</v>
      </c>
      <c r="AT157" s="4" t="s">
        <v>127</v>
      </c>
      <c r="AU157" s="4" t="s">
        <v>127</v>
      </c>
      <c r="AV157" s="4" t="s">
        <v>127</v>
      </c>
      <c r="AW157" s="4" t="s">
        <v>127</v>
      </c>
      <c r="AX157" s="4" t="s">
        <v>127</v>
      </c>
      <c r="AY157" s="96" t="s">
        <v>990</v>
      </c>
      <c r="AZ157" s="96" t="s">
        <v>1014</v>
      </c>
      <c r="BA157" s="96" t="s">
        <v>1015</v>
      </c>
      <c r="BB157" s="4" t="s">
        <v>1016</v>
      </c>
      <c r="BC157" s="4" t="s">
        <v>1017</v>
      </c>
      <c r="BD157" s="4" t="s">
        <v>1018</v>
      </c>
      <c r="BE157" s="4" t="s">
        <v>127</v>
      </c>
      <c r="BF157" s="4" t="s">
        <v>200</v>
      </c>
      <c r="BG157" s="4" t="s">
        <v>200</v>
      </c>
      <c r="BH157" s="4" t="s">
        <v>200</v>
      </c>
      <c r="BI157" s="4" t="s">
        <v>200</v>
      </c>
      <c r="BJ157" s="4" t="s">
        <v>200</v>
      </c>
      <c r="BK157" s="4" t="s">
        <v>200</v>
      </c>
      <c r="BL157" s="4" t="s">
        <v>200</v>
      </c>
      <c r="BM157" s="4" t="s">
        <v>200</v>
      </c>
      <c r="BN157" s="4" t="s">
        <v>200</v>
      </c>
      <c r="BO157" s="4" t="s">
        <v>200</v>
      </c>
    </row>
    <row r="158" spans="1:67" ht="16" x14ac:dyDescent="0.4">
      <c r="A158" s="4" t="s">
        <v>1012</v>
      </c>
      <c r="B158" s="4" t="s">
        <v>1021</v>
      </c>
      <c r="C158" s="4" t="s">
        <v>253</v>
      </c>
      <c r="D158" s="4" t="s">
        <v>128</v>
      </c>
      <c r="E158" s="189">
        <v>45112</v>
      </c>
      <c r="F158" s="6">
        <f t="shared" si="8"/>
        <v>2023</v>
      </c>
      <c r="G158" s="4" t="s">
        <v>1022</v>
      </c>
      <c r="H158" s="22" t="str">
        <f>VLOOKUP($G158,'Item Classification'!B:C,2,0)</f>
        <v>120mm tank ammunition</v>
      </c>
      <c r="I158" s="6" t="str">
        <f>VLOOKUP($G158,'Item Classification'!B:D,3,0)</f>
        <v>Ammunition</v>
      </c>
      <c r="J158" s="23">
        <f>VLOOKUP($G158,'Item Classification'!B:E,4,0)</f>
        <v>4</v>
      </c>
      <c r="K158" s="116" t="s">
        <v>189</v>
      </c>
      <c r="L158" s="116" t="s">
        <v>255</v>
      </c>
      <c r="M158" s="116" t="str">
        <f>VLOOKUP(L158,'NATO Classifications'!$D$6:$E$647,2,0)</f>
        <v>Ammunition over 75mm</v>
      </c>
      <c r="N158" s="4">
        <v>33000</v>
      </c>
      <c r="O158" s="81"/>
      <c r="P158" s="81"/>
      <c r="Q158" s="4"/>
      <c r="R158" s="4">
        <v>2025</v>
      </c>
      <c r="S158" s="4"/>
      <c r="T158" s="91" t="s">
        <v>132</v>
      </c>
      <c r="U158" s="104">
        <f>_xlfn.IFNA(S158/INDEX('Exchange Rates'!$C$7:$F$14,MATCH('MAIN DATA, Orders'!F158,'Exchange Rates'!$B$7:$B$14,0),MATCH('MAIN DATA, Orders'!T158,'Exchange Rates'!$C$6:$F$6,0)), "-")</f>
        <v>0</v>
      </c>
      <c r="V158" s="4" t="s">
        <v>808</v>
      </c>
      <c r="W158" s="4" t="s">
        <v>133</v>
      </c>
      <c r="X158" s="4" t="s">
        <v>809</v>
      </c>
      <c r="Y158" s="24">
        <f t="shared" si="12"/>
        <v>202307</v>
      </c>
      <c r="Z158" s="115">
        <v>1</v>
      </c>
      <c r="AA158" s="115">
        <v>0</v>
      </c>
      <c r="AB158" s="115">
        <v>0</v>
      </c>
      <c r="AC158" s="115">
        <v>1</v>
      </c>
      <c r="AD158" s="115">
        <v>0</v>
      </c>
      <c r="AE158" s="115">
        <v>0</v>
      </c>
      <c r="AF158" s="115">
        <v>0</v>
      </c>
      <c r="AG158" s="4" t="s">
        <v>256</v>
      </c>
      <c r="AH158" s="4" t="s">
        <v>128</v>
      </c>
      <c r="AI158" s="4" t="s">
        <v>127</v>
      </c>
      <c r="AJ158" s="4" t="s">
        <v>127</v>
      </c>
      <c r="AK158" s="4" t="s">
        <v>127</v>
      </c>
      <c r="AL158" s="4" t="s">
        <v>127</v>
      </c>
      <c r="AM158" s="4" t="s">
        <v>127</v>
      </c>
      <c r="AN158" s="4" t="s">
        <v>127</v>
      </c>
      <c r="AO158" s="4" t="s">
        <v>127</v>
      </c>
      <c r="AP158" s="4" t="s">
        <v>127</v>
      </c>
      <c r="AQ158" s="4" t="s">
        <v>127</v>
      </c>
      <c r="AR158" s="4" t="s">
        <v>127</v>
      </c>
      <c r="AS158" s="4" t="s">
        <v>127</v>
      </c>
      <c r="AT158" s="4" t="s">
        <v>127</v>
      </c>
      <c r="AU158" s="4" t="s">
        <v>127</v>
      </c>
      <c r="AV158" s="4" t="s">
        <v>127</v>
      </c>
      <c r="AW158" s="4" t="s">
        <v>127</v>
      </c>
      <c r="AX158" s="4" t="s">
        <v>127</v>
      </c>
      <c r="AY158" s="96" t="s">
        <v>990</v>
      </c>
      <c r="AZ158" s="96" t="s">
        <v>1014</v>
      </c>
      <c r="BA158" s="96" t="s">
        <v>1015</v>
      </c>
      <c r="BB158" s="4" t="s">
        <v>1016</v>
      </c>
      <c r="BC158" s="4" t="s">
        <v>1017</v>
      </c>
      <c r="BD158" s="4" t="s">
        <v>1018</v>
      </c>
      <c r="BE158" s="4" t="s">
        <v>127</v>
      </c>
      <c r="BF158" s="4" t="s">
        <v>200</v>
      </c>
      <c r="BG158" s="4" t="s">
        <v>200</v>
      </c>
      <c r="BH158" s="4" t="s">
        <v>200</v>
      </c>
      <c r="BI158" s="4" t="s">
        <v>200</v>
      </c>
      <c r="BJ158" s="4" t="s">
        <v>200</v>
      </c>
      <c r="BK158" s="4" t="s">
        <v>200</v>
      </c>
      <c r="BL158" s="4" t="s">
        <v>200</v>
      </c>
      <c r="BM158" s="4" t="s">
        <v>200</v>
      </c>
      <c r="BN158" s="4" t="s">
        <v>200</v>
      </c>
      <c r="BO158" s="4" t="s">
        <v>200</v>
      </c>
    </row>
    <row r="159" spans="1:67" ht="16" x14ac:dyDescent="0.4">
      <c r="A159" s="4" t="s">
        <v>1023</v>
      </c>
      <c r="B159" s="4" t="s">
        <v>1023</v>
      </c>
      <c r="C159" s="4" t="s">
        <v>738</v>
      </c>
      <c r="D159" s="4" t="s">
        <v>128</v>
      </c>
      <c r="E159" s="189">
        <v>45112</v>
      </c>
      <c r="F159" s="6">
        <f t="shared" si="8"/>
        <v>2023</v>
      </c>
      <c r="G159" s="4" t="s">
        <v>739</v>
      </c>
      <c r="H159" s="22" t="str">
        <f>VLOOKUP($G159,'Item Classification'!B:C,2,0)</f>
        <v xml:space="preserve">30mm infantry fighting vehicle ammunition </v>
      </c>
      <c r="I159" s="6" t="str">
        <f>VLOOKUP($G159,'Item Classification'!B:D,3,0)</f>
        <v>Ammunition</v>
      </c>
      <c r="J159" s="23">
        <f>VLOOKUP($G159,'Item Classification'!B:E,4,0)</f>
        <v>4</v>
      </c>
      <c r="K159" s="116" t="s">
        <v>189</v>
      </c>
      <c r="L159" s="116" t="s">
        <v>740</v>
      </c>
      <c r="M159" s="116" t="str">
        <f>VLOOKUP(L159,'NATO Classifications'!$D$6:$E$647,2,0)</f>
        <v>Ammunition below 75mm</v>
      </c>
      <c r="N159" s="4"/>
      <c r="O159" s="81"/>
      <c r="P159" s="81"/>
      <c r="Q159" s="4"/>
      <c r="R159" s="4"/>
      <c r="S159" s="112">
        <v>67600000</v>
      </c>
      <c r="T159" s="91" t="s">
        <v>132</v>
      </c>
      <c r="U159" s="104">
        <f>_xlfn.IFNA(S159/INDEX('Exchange Rates'!$C$7:$F$14,MATCH('MAIN DATA, Orders'!F159,'Exchange Rates'!$B$7:$B$14,0),MATCH('MAIN DATA, Orders'!T159,'Exchange Rates'!$C$6:$F$6,0)), "-")</f>
        <v>67600000</v>
      </c>
      <c r="V159" s="4" t="s">
        <v>133</v>
      </c>
      <c r="W159" s="4" t="s">
        <v>127</v>
      </c>
      <c r="X159" s="4" t="s">
        <v>128</v>
      </c>
      <c r="Y159" s="24">
        <f t="shared" si="12"/>
        <v>202307</v>
      </c>
      <c r="Z159" s="115">
        <v>1</v>
      </c>
      <c r="AA159" s="115">
        <v>0</v>
      </c>
      <c r="AB159" s="115">
        <v>0</v>
      </c>
      <c r="AC159" s="115">
        <v>1</v>
      </c>
      <c r="AD159" s="115">
        <v>0</v>
      </c>
      <c r="AE159" s="115">
        <v>0</v>
      </c>
      <c r="AF159" s="115">
        <v>0</v>
      </c>
      <c r="AG159" s="4" t="s">
        <v>256</v>
      </c>
      <c r="AH159" s="4" t="s">
        <v>128</v>
      </c>
      <c r="AI159" s="4" t="s">
        <v>127</v>
      </c>
      <c r="AJ159" s="4" t="s">
        <v>127</v>
      </c>
      <c r="AK159" s="4" t="s">
        <v>127</v>
      </c>
      <c r="AL159" s="4" t="s">
        <v>127</v>
      </c>
      <c r="AM159" s="4" t="s">
        <v>127</v>
      </c>
      <c r="AN159" s="4" t="s">
        <v>127</v>
      </c>
      <c r="AO159" s="4" t="s">
        <v>127</v>
      </c>
      <c r="AP159" s="4" t="s">
        <v>127</v>
      </c>
      <c r="AQ159" s="4" t="s">
        <v>127</v>
      </c>
      <c r="AR159" s="4" t="s">
        <v>127</v>
      </c>
      <c r="AS159" s="4" t="s">
        <v>127</v>
      </c>
      <c r="AT159" s="4" t="s">
        <v>127</v>
      </c>
      <c r="AU159" s="4" t="s">
        <v>127</v>
      </c>
      <c r="AV159" s="4" t="s">
        <v>127</v>
      </c>
      <c r="AW159" s="4" t="s">
        <v>127</v>
      </c>
      <c r="AX159" s="4" t="s">
        <v>127</v>
      </c>
      <c r="AY159" s="96" t="s">
        <v>990</v>
      </c>
      <c r="AZ159" s="96" t="s">
        <v>742</v>
      </c>
      <c r="BA159" s="4" t="s">
        <v>127</v>
      </c>
      <c r="BB159" s="4" t="s">
        <v>1024</v>
      </c>
      <c r="BC159" s="4" t="s">
        <v>744</v>
      </c>
      <c r="BD159" s="4" t="s">
        <v>127</v>
      </c>
      <c r="BE159" s="4" t="s">
        <v>127</v>
      </c>
      <c r="BF159" s="4"/>
      <c r="BG159" s="4"/>
      <c r="BH159" s="4"/>
      <c r="BI159" s="4"/>
      <c r="BJ159" s="4"/>
      <c r="BK159" s="4"/>
      <c r="BL159" s="4"/>
      <c r="BM159" s="4"/>
      <c r="BN159" s="4"/>
      <c r="BO159" s="4"/>
    </row>
    <row r="160" spans="1:67" ht="16" x14ac:dyDescent="0.4">
      <c r="A160" s="4" t="s">
        <v>1025</v>
      </c>
      <c r="B160" s="4" t="s">
        <v>1025</v>
      </c>
      <c r="C160" s="4" t="s">
        <v>127</v>
      </c>
      <c r="D160" s="4" t="s">
        <v>128</v>
      </c>
      <c r="E160" s="189">
        <v>45112</v>
      </c>
      <c r="F160" s="6">
        <f t="shared" si="8"/>
        <v>2023</v>
      </c>
      <c r="G160" s="4" t="s">
        <v>1026</v>
      </c>
      <c r="H160" s="22" t="str">
        <f>VLOOKUP($G160,'Item Classification'!B:C,2,0)</f>
        <v>Small Arms and Light Weapons (SALW) ammunition</v>
      </c>
      <c r="I160" s="6" t="str">
        <f>VLOOKUP($G160,'Item Classification'!B:D,3,0)</f>
        <v>Infantry</v>
      </c>
      <c r="J160" s="23">
        <f>VLOOKUP($G160,'Item Classification'!B:E,4,0)</f>
        <v>8</v>
      </c>
      <c r="K160" s="116" t="s">
        <v>189</v>
      </c>
      <c r="L160" s="116" t="s">
        <v>740</v>
      </c>
      <c r="M160" s="116" t="str">
        <f>VLOOKUP(L160,'NATO Classifications'!$D$6:$E$647,2,0)</f>
        <v>Ammunition below 75mm</v>
      </c>
      <c r="N160" s="4">
        <v>135000000</v>
      </c>
      <c r="O160" s="81">
        <f t="shared" si="10"/>
        <v>0.97037037037037033</v>
      </c>
      <c r="P160" s="81">
        <f t="shared" si="11"/>
        <v>0.97037037037037033</v>
      </c>
      <c r="Q160" s="4">
        <v>2023</v>
      </c>
      <c r="R160" s="4"/>
      <c r="S160" s="112">
        <v>131000000</v>
      </c>
      <c r="T160" s="91" t="s">
        <v>132</v>
      </c>
      <c r="U160" s="104">
        <f>_xlfn.IFNA(S160/INDEX('Exchange Rates'!$C$7:$F$14,MATCH('MAIN DATA, Orders'!F160,'Exchange Rates'!$B$7:$B$14,0),MATCH('MAIN DATA, Orders'!T160,'Exchange Rates'!$C$6:$F$6,0)), "-")</f>
        <v>131000000</v>
      </c>
      <c r="V160" s="4" t="s">
        <v>133</v>
      </c>
      <c r="W160" s="4" t="s">
        <v>127</v>
      </c>
      <c r="X160" s="4" t="s">
        <v>128</v>
      </c>
      <c r="Y160" s="24">
        <f t="shared" si="12"/>
        <v>202307</v>
      </c>
      <c r="Z160" s="115">
        <v>1</v>
      </c>
      <c r="AA160" s="115">
        <v>0</v>
      </c>
      <c r="AB160" s="115">
        <v>0</v>
      </c>
      <c r="AC160" s="115">
        <v>1</v>
      </c>
      <c r="AD160" s="115">
        <v>0</v>
      </c>
      <c r="AE160" s="115">
        <v>0</v>
      </c>
      <c r="AF160" s="115">
        <v>0</v>
      </c>
      <c r="AG160" s="4" t="s">
        <v>1027</v>
      </c>
      <c r="AH160" s="4" t="s">
        <v>128</v>
      </c>
      <c r="AI160" s="4" t="s">
        <v>127</v>
      </c>
      <c r="AJ160" s="4" t="s">
        <v>127</v>
      </c>
      <c r="AK160" s="4" t="s">
        <v>127</v>
      </c>
      <c r="AL160" s="4" t="s">
        <v>127</v>
      </c>
      <c r="AM160" s="4" t="s">
        <v>127</v>
      </c>
      <c r="AN160" s="4" t="s">
        <v>127</v>
      </c>
      <c r="AO160" s="4" t="s">
        <v>127</v>
      </c>
      <c r="AP160" s="4" t="s">
        <v>127</v>
      </c>
      <c r="AQ160" s="4" t="s">
        <v>127</v>
      </c>
      <c r="AR160" s="4" t="s">
        <v>127</v>
      </c>
      <c r="AS160" s="4" t="s">
        <v>127</v>
      </c>
      <c r="AT160" s="4" t="s">
        <v>127</v>
      </c>
      <c r="AU160" s="4" t="s">
        <v>127</v>
      </c>
      <c r="AV160" s="4" t="s">
        <v>127</v>
      </c>
      <c r="AW160" s="4" t="s">
        <v>127</v>
      </c>
      <c r="AX160" s="4" t="s">
        <v>127</v>
      </c>
      <c r="AY160" s="96" t="s">
        <v>990</v>
      </c>
      <c r="AZ160" s="96" t="s">
        <v>1028</v>
      </c>
      <c r="BA160" s="4" t="s">
        <v>127</v>
      </c>
      <c r="BB160" s="4" t="s">
        <v>1029</v>
      </c>
      <c r="BC160" s="4" t="s">
        <v>1030</v>
      </c>
      <c r="BD160" s="4" t="s">
        <v>127</v>
      </c>
      <c r="BE160" s="4" t="s">
        <v>127</v>
      </c>
      <c r="BF160" s="4"/>
      <c r="BG160" s="4"/>
      <c r="BH160" s="4"/>
      <c r="BI160" s="4"/>
      <c r="BJ160" s="4"/>
      <c r="BK160" s="4"/>
      <c r="BL160" s="4"/>
      <c r="BM160" s="4"/>
      <c r="BN160" s="4"/>
      <c r="BO160" s="4"/>
    </row>
    <row r="161" spans="1:67" ht="16" x14ac:dyDescent="0.4">
      <c r="A161" s="4" t="s">
        <v>1031</v>
      </c>
      <c r="B161" s="4" t="s">
        <v>1031</v>
      </c>
      <c r="C161" s="4" t="s">
        <v>127</v>
      </c>
      <c r="D161" s="4" t="s">
        <v>128</v>
      </c>
      <c r="E161" s="189">
        <v>45189</v>
      </c>
      <c r="F161" s="6">
        <f t="shared" si="8"/>
        <v>2023</v>
      </c>
      <c r="G161" s="4" t="s">
        <v>1032</v>
      </c>
      <c r="H161" s="22" t="str">
        <f>VLOOKUP($G161,'Item Classification'!B:C,2,0)</f>
        <v>Air-supported reconnaissance drone</v>
      </c>
      <c r="I161" s="6" t="str">
        <f>VLOOKUP($G161,'Item Classification'!B:D,3,0)</f>
        <v>Drone</v>
      </c>
      <c r="J161" s="23">
        <f>VLOOKUP($G161,'Item Classification'!B:E,4,0)</f>
        <v>7</v>
      </c>
      <c r="K161" s="116" t="s">
        <v>130</v>
      </c>
      <c r="L161" s="116" t="s">
        <v>131</v>
      </c>
      <c r="M161" s="116" t="str">
        <f>VLOOKUP(L161,'NATO Classifications'!$D$6:$E$647,2,0)</f>
        <v>Unmanned Aircraft</v>
      </c>
      <c r="N161" s="4">
        <v>13</v>
      </c>
      <c r="O161" s="81">
        <f t="shared" si="10"/>
        <v>18353846.153846152</v>
      </c>
      <c r="P161" s="81">
        <f t="shared" si="11"/>
        <v>18353846.153846152</v>
      </c>
      <c r="Q161" s="4">
        <v>2025</v>
      </c>
      <c r="R161" s="4"/>
      <c r="S161" s="112">
        <v>238600000</v>
      </c>
      <c r="T161" s="91" t="s">
        <v>132</v>
      </c>
      <c r="U161" s="104">
        <f>_xlfn.IFNA(S161/INDEX('Exchange Rates'!$C$7:$F$14,MATCH('MAIN DATA, Orders'!F161,'Exchange Rates'!$B$7:$B$14,0),MATCH('MAIN DATA, Orders'!T161,'Exchange Rates'!$C$6:$F$6,0)), "-")</f>
        <v>238600000</v>
      </c>
      <c r="V161" s="4" t="s">
        <v>133</v>
      </c>
      <c r="W161" s="4" t="s">
        <v>127</v>
      </c>
      <c r="X161" s="4" t="s">
        <v>128</v>
      </c>
      <c r="Y161" s="24">
        <f t="shared" si="12"/>
        <v>202309</v>
      </c>
      <c r="Z161" s="115">
        <v>0</v>
      </c>
      <c r="AA161" s="115">
        <v>0</v>
      </c>
      <c r="AB161" s="115">
        <v>0</v>
      </c>
      <c r="AC161" s="115">
        <v>1</v>
      </c>
      <c r="AD161" s="115">
        <v>0</v>
      </c>
      <c r="AE161" s="115">
        <v>0</v>
      </c>
      <c r="AF161" s="115">
        <v>0</v>
      </c>
      <c r="AG161" s="4" t="s">
        <v>256</v>
      </c>
      <c r="AH161" s="4" t="s">
        <v>128</v>
      </c>
      <c r="AI161" s="4" t="s">
        <v>127</v>
      </c>
      <c r="AJ161" s="4" t="s">
        <v>127</v>
      </c>
      <c r="AK161" s="4" t="s">
        <v>127</v>
      </c>
      <c r="AL161" s="4" t="s">
        <v>127</v>
      </c>
      <c r="AM161" s="4" t="s">
        <v>127</v>
      </c>
      <c r="AN161" s="4" t="s">
        <v>127</v>
      </c>
      <c r="AO161" s="4" t="s">
        <v>127</v>
      </c>
      <c r="AP161" s="4" t="s">
        <v>127</v>
      </c>
      <c r="AQ161" s="4" t="s">
        <v>127</v>
      </c>
      <c r="AR161" s="4" t="s">
        <v>127</v>
      </c>
      <c r="AS161" s="4" t="s">
        <v>127</v>
      </c>
      <c r="AT161" s="4" t="s">
        <v>127</v>
      </c>
      <c r="AU161" s="4" t="s">
        <v>127</v>
      </c>
      <c r="AV161" s="4" t="s">
        <v>127</v>
      </c>
      <c r="AW161" s="4" t="s">
        <v>127</v>
      </c>
      <c r="AX161" s="4" t="s">
        <v>127</v>
      </c>
      <c r="AY161" s="96" t="s">
        <v>1033</v>
      </c>
      <c r="AZ161" s="96" t="s">
        <v>1034</v>
      </c>
      <c r="BA161" s="96" t="s">
        <v>1035</v>
      </c>
      <c r="BB161" s="4" t="s">
        <v>1036</v>
      </c>
      <c r="BC161" s="4" t="s">
        <v>127</v>
      </c>
      <c r="BD161" s="4" t="s">
        <v>127</v>
      </c>
      <c r="BE161" s="4" t="s">
        <v>127</v>
      </c>
      <c r="BF161" s="4"/>
      <c r="BG161" s="4"/>
      <c r="BH161" s="4"/>
      <c r="BI161" s="4"/>
      <c r="BJ161" s="4"/>
      <c r="BK161" s="4"/>
      <c r="BL161" s="4"/>
      <c r="BM161" s="4"/>
      <c r="BN161" s="4"/>
      <c r="BO161" s="4"/>
    </row>
    <row r="162" spans="1:67" ht="16" x14ac:dyDescent="0.4">
      <c r="A162" s="4" t="s">
        <v>1037</v>
      </c>
      <c r="B162" s="4" t="s">
        <v>1037</v>
      </c>
      <c r="C162" s="4" t="s">
        <v>1038</v>
      </c>
      <c r="D162" s="4" t="s">
        <v>128</v>
      </c>
      <c r="E162" s="189">
        <v>45189</v>
      </c>
      <c r="F162" s="6">
        <f t="shared" si="8"/>
        <v>2023</v>
      </c>
      <c r="G162" s="4" t="s">
        <v>1039</v>
      </c>
      <c r="H162" s="22" t="str">
        <f>VLOOKUP($G162,'Item Classification'!B:C,2,0)</f>
        <v>Fighter jet radar development</v>
      </c>
      <c r="I162" s="6" t="str">
        <f>VLOOKUP($G162,'Item Classification'!B:D,3,0)</f>
        <v>Development - Aircraft</v>
      </c>
      <c r="J162" s="23">
        <f>VLOOKUP($G162,'Item Classification'!B:E,4,0)</f>
        <v>15</v>
      </c>
      <c r="K162" s="116" t="s">
        <v>158</v>
      </c>
      <c r="L162" s="116" t="s">
        <v>159</v>
      </c>
      <c r="M162" s="116" t="str">
        <f>VLOOKUP(L162,'NATO Classifications'!$D$6:$E$647,2,0)</f>
        <v>Radar and Sensor</v>
      </c>
      <c r="N162" s="4"/>
      <c r="O162" s="81"/>
      <c r="P162" s="81"/>
      <c r="Q162" s="4">
        <v>2025</v>
      </c>
      <c r="R162" s="4">
        <v>2028</v>
      </c>
      <c r="S162" s="112">
        <v>197700000</v>
      </c>
      <c r="T162" s="91" t="s">
        <v>132</v>
      </c>
      <c r="U162" s="104">
        <f>_xlfn.IFNA(S162/INDEX('Exchange Rates'!$C$7:$F$14,MATCH('MAIN DATA, Orders'!F162,'Exchange Rates'!$B$7:$B$14,0),MATCH('MAIN DATA, Orders'!T162,'Exchange Rates'!$C$6:$F$6,0)), "-")</f>
        <v>197700000</v>
      </c>
      <c r="V162" s="4" t="s">
        <v>133</v>
      </c>
      <c r="W162" s="4" t="s">
        <v>127</v>
      </c>
      <c r="X162" s="4" t="s">
        <v>128</v>
      </c>
      <c r="Y162" s="24">
        <f t="shared" si="12"/>
        <v>202309</v>
      </c>
      <c r="Z162" s="115">
        <v>0</v>
      </c>
      <c r="AA162" s="115">
        <v>0</v>
      </c>
      <c r="AB162" s="115">
        <v>0</v>
      </c>
      <c r="AC162" s="115">
        <v>1</v>
      </c>
      <c r="AD162" s="115">
        <v>1</v>
      </c>
      <c r="AE162" s="115">
        <v>0</v>
      </c>
      <c r="AF162" s="115">
        <v>1</v>
      </c>
      <c r="AG162" s="4" t="s">
        <v>1040</v>
      </c>
      <c r="AH162" s="4" t="s">
        <v>128</v>
      </c>
      <c r="AI162" s="4" t="s">
        <v>127</v>
      </c>
      <c r="AJ162" s="4" t="s">
        <v>149</v>
      </c>
      <c r="AK162" s="4" t="s">
        <v>161</v>
      </c>
      <c r="AL162" s="4" t="s">
        <v>127</v>
      </c>
      <c r="AM162" s="4" t="s">
        <v>127</v>
      </c>
      <c r="AN162" s="4" t="s">
        <v>162</v>
      </c>
      <c r="AO162" s="4" t="s">
        <v>127</v>
      </c>
      <c r="AP162" s="4" t="s">
        <v>127</v>
      </c>
      <c r="AQ162" s="4" t="s">
        <v>127</v>
      </c>
      <c r="AR162" s="4" t="s">
        <v>127</v>
      </c>
      <c r="AS162" s="4" t="s">
        <v>127</v>
      </c>
      <c r="AT162" s="4" t="s">
        <v>127</v>
      </c>
      <c r="AU162" s="4" t="s">
        <v>127</v>
      </c>
      <c r="AV162" s="4" t="s">
        <v>127</v>
      </c>
      <c r="AW162" s="4" t="s">
        <v>127</v>
      </c>
      <c r="AX162" s="4" t="s">
        <v>127</v>
      </c>
      <c r="AY162" s="96" t="s">
        <v>1033</v>
      </c>
      <c r="AZ162" s="96" t="s">
        <v>1041</v>
      </c>
      <c r="BA162" s="4" t="s">
        <v>127</v>
      </c>
      <c r="BB162" s="4" t="s">
        <v>1042</v>
      </c>
      <c r="BC162" s="4" t="s">
        <v>127</v>
      </c>
      <c r="BD162" s="4" t="s">
        <v>127</v>
      </c>
      <c r="BE162" s="4" t="s">
        <v>127</v>
      </c>
      <c r="BF162" s="4"/>
      <c r="BG162" s="4"/>
      <c r="BH162" s="4"/>
      <c r="BI162" s="4"/>
      <c r="BJ162" s="4"/>
      <c r="BK162" s="4"/>
      <c r="BL162" s="4"/>
      <c r="BM162" s="4"/>
      <c r="BN162" s="4"/>
      <c r="BO162" s="4"/>
    </row>
    <row r="163" spans="1:67" ht="16" x14ac:dyDescent="0.4">
      <c r="A163" s="4" t="s">
        <v>1043</v>
      </c>
      <c r="B163" s="4" t="s">
        <v>1043</v>
      </c>
      <c r="C163" s="4" t="s">
        <v>127</v>
      </c>
      <c r="D163" s="4" t="s">
        <v>128</v>
      </c>
      <c r="E163" s="189">
        <v>45218</v>
      </c>
      <c r="F163" s="6">
        <f t="shared" si="8"/>
        <v>2023</v>
      </c>
      <c r="G163" s="4" t="s">
        <v>1044</v>
      </c>
      <c r="H163" s="22" t="str">
        <f>VLOOKUP($G163,'Item Classification'!B:C,2,0)</f>
        <v>Surface-to-air missile (SAM) system</v>
      </c>
      <c r="I163" s="6" t="str">
        <f>VLOOKUP($G163,'Item Classification'!B:D,3,0)</f>
        <v>Air defence system</v>
      </c>
      <c r="J163" s="23">
        <f>VLOOKUP($G163,'Item Classification'!B:E,4,0)</f>
        <v>5</v>
      </c>
      <c r="K163" s="116" t="s">
        <v>211</v>
      </c>
      <c r="L163" s="116" t="s">
        <v>326</v>
      </c>
      <c r="M163" s="116" t="str">
        <f>VLOOKUP(L163,'NATO Classifications'!$D$6:$E$647,2,0)</f>
        <v>Guided Missile Systems, Complete</v>
      </c>
      <c r="N163" s="4">
        <v>1</v>
      </c>
      <c r="O163" s="81">
        <f t="shared" si="10"/>
        <v>4000000000</v>
      </c>
      <c r="P163" s="81">
        <f t="shared" si="11"/>
        <v>4000000000</v>
      </c>
      <c r="Q163" s="4">
        <v>2025</v>
      </c>
      <c r="R163" s="4">
        <v>2030</v>
      </c>
      <c r="S163" s="112">
        <v>4000000000</v>
      </c>
      <c r="T163" s="91" t="s">
        <v>132</v>
      </c>
      <c r="U163" s="104">
        <f>_xlfn.IFNA(S163/INDEX('Exchange Rates'!$C$7:$F$14,MATCH('MAIN DATA, Orders'!F163,'Exchange Rates'!$B$7:$B$14,0),MATCH('MAIN DATA, Orders'!T163,'Exchange Rates'!$C$6:$F$6,0)), "-")</f>
        <v>4000000000</v>
      </c>
      <c r="V163" s="4" t="s">
        <v>682</v>
      </c>
      <c r="W163" s="4" t="s">
        <v>127</v>
      </c>
      <c r="X163" s="4" t="s">
        <v>128</v>
      </c>
      <c r="Y163" s="24">
        <f t="shared" si="12"/>
        <v>202310</v>
      </c>
      <c r="Z163" s="115">
        <v>0</v>
      </c>
      <c r="AA163" s="115">
        <v>0</v>
      </c>
      <c r="AB163" s="115">
        <v>0</v>
      </c>
      <c r="AC163" s="115">
        <v>0</v>
      </c>
      <c r="AD163" s="115">
        <v>0</v>
      </c>
      <c r="AE163" s="115">
        <v>1</v>
      </c>
      <c r="AF163" s="115">
        <v>1</v>
      </c>
      <c r="AG163" s="4" t="s">
        <v>134</v>
      </c>
      <c r="AH163" s="4" t="s">
        <v>135</v>
      </c>
      <c r="AI163" s="4" t="s">
        <v>135</v>
      </c>
      <c r="AJ163" s="4" t="s">
        <v>192</v>
      </c>
      <c r="AK163" s="4" t="s">
        <v>717</v>
      </c>
      <c r="AL163" s="4" t="s">
        <v>127</v>
      </c>
      <c r="AM163" s="4" t="s">
        <v>127</v>
      </c>
      <c r="AN163" s="4" t="s">
        <v>196</v>
      </c>
      <c r="AO163" s="4" t="s">
        <v>128</v>
      </c>
      <c r="AP163" s="4" t="s">
        <v>127</v>
      </c>
      <c r="AQ163" s="4" t="s">
        <v>127</v>
      </c>
      <c r="AR163" s="4" t="s">
        <v>127</v>
      </c>
      <c r="AS163" s="4" t="s">
        <v>127</v>
      </c>
      <c r="AT163" s="4" t="s">
        <v>127</v>
      </c>
      <c r="AU163" s="4" t="s">
        <v>127</v>
      </c>
      <c r="AV163" s="4" t="s">
        <v>127</v>
      </c>
      <c r="AW163" s="4" t="s">
        <v>196</v>
      </c>
      <c r="AX163" s="4" t="s">
        <v>127</v>
      </c>
      <c r="AY163" s="96" t="s">
        <v>1045</v>
      </c>
      <c r="AZ163" s="96" t="s">
        <v>1046</v>
      </c>
      <c r="BA163" s="96" t="s">
        <v>1047</v>
      </c>
      <c r="BB163" s="4" t="s">
        <v>1048</v>
      </c>
      <c r="BC163" s="4" t="s">
        <v>1049</v>
      </c>
      <c r="BD163" s="4" t="s">
        <v>127</v>
      </c>
      <c r="BE163" s="4" t="s">
        <v>127</v>
      </c>
      <c r="BF163" s="4"/>
      <c r="BG163" s="4"/>
      <c r="BH163" s="4"/>
      <c r="BI163" s="4"/>
      <c r="BJ163" s="4"/>
      <c r="BK163" s="4"/>
      <c r="BL163" s="4"/>
      <c r="BM163" s="4"/>
      <c r="BN163" s="4"/>
      <c r="BO163" s="4"/>
    </row>
    <row r="164" spans="1:67" ht="16" x14ac:dyDescent="0.4">
      <c r="A164" s="4" t="s">
        <v>1050</v>
      </c>
      <c r="B164" s="4" t="s">
        <v>1050</v>
      </c>
      <c r="C164" s="4" t="s">
        <v>127</v>
      </c>
      <c r="D164" s="4" t="s">
        <v>128</v>
      </c>
      <c r="E164" s="189">
        <v>45218</v>
      </c>
      <c r="F164" s="6">
        <f t="shared" si="8"/>
        <v>2023</v>
      </c>
      <c r="G164" s="4" t="s">
        <v>1051</v>
      </c>
      <c r="H164" s="22" t="str">
        <f>VLOOKUP($G164,'Item Classification'!B:C,2,0)</f>
        <v>Underwater reconnaissance drone</v>
      </c>
      <c r="I164" s="6" t="str">
        <f>VLOOKUP($G164,'Item Classification'!B:D,3,0)</f>
        <v>Drone</v>
      </c>
      <c r="J164" s="23">
        <f>VLOOKUP($G164,'Item Classification'!B:E,4,0)</f>
        <v>7</v>
      </c>
      <c r="K164" s="116" t="s">
        <v>143</v>
      </c>
      <c r="L164" s="116" t="s">
        <v>1052</v>
      </c>
      <c r="M164" s="116" t="str">
        <f>VLOOKUP(L164,'NATO Classifications'!$D$6:$E$647,2,0)</f>
        <v>Miscellaneous Vessels</v>
      </c>
      <c r="N164" s="4">
        <v>4</v>
      </c>
      <c r="O164" s="81">
        <f t="shared" si="10"/>
        <v>13125000</v>
      </c>
      <c r="P164" s="81">
        <f t="shared" si="11"/>
        <v>13125000</v>
      </c>
      <c r="Q164" s="4">
        <v>2024</v>
      </c>
      <c r="R164" s="4">
        <v>2025</v>
      </c>
      <c r="S164" s="112">
        <v>52500000</v>
      </c>
      <c r="T164" s="91" t="s">
        <v>132</v>
      </c>
      <c r="U164" s="104">
        <f>_xlfn.IFNA(S164/INDEX('Exchange Rates'!$C$7:$F$14,MATCH('MAIN DATA, Orders'!F164,'Exchange Rates'!$B$7:$B$14,0),MATCH('MAIN DATA, Orders'!T164,'Exchange Rates'!$C$6:$F$6,0)), "-")</f>
        <v>52500000</v>
      </c>
      <c r="V164" s="4" t="s">
        <v>133</v>
      </c>
      <c r="W164" s="4" t="s">
        <v>127</v>
      </c>
      <c r="X164" s="4" t="s">
        <v>128</v>
      </c>
      <c r="Y164" s="24">
        <f t="shared" si="12"/>
        <v>202310</v>
      </c>
      <c r="Z164" s="115">
        <v>1</v>
      </c>
      <c r="AA164" s="115">
        <v>0</v>
      </c>
      <c r="AB164" s="115">
        <v>0</v>
      </c>
      <c r="AC164" s="115" t="s">
        <v>127</v>
      </c>
      <c r="AD164" s="115" t="s">
        <v>127</v>
      </c>
      <c r="AE164" s="115" t="s">
        <v>127</v>
      </c>
      <c r="AF164" s="115" t="s">
        <v>127</v>
      </c>
      <c r="AG164" s="4" t="s">
        <v>127</v>
      </c>
      <c r="AH164" s="4" t="s">
        <v>127</v>
      </c>
      <c r="AI164" s="4" t="s">
        <v>127</v>
      </c>
      <c r="AJ164" s="4" t="s">
        <v>127</v>
      </c>
      <c r="AK164" s="4" t="s">
        <v>127</v>
      </c>
      <c r="AL164" s="4" t="s">
        <v>127</v>
      </c>
      <c r="AM164" s="4" t="s">
        <v>127</v>
      </c>
      <c r="AN164" s="4" t="s">
        <v>127</v>
      </c>
      <c r="AO164" s="4" t="s">
        <v>127</v>
      </c>
      <c r="AP164" s="4" t="s">
        <v>127</v>
      </c>
      <c r="AQ164" s="4" t="s">
        <v>127</v>
      </c>
      <c r="AR164" s="4" t="s">
        <v>127</v>
      </c>
      <c r="AS164" s="4" t="s">
        <v>127</v>
      </c>
      <c r="AT164" s="4" t="s">
        <v>127</v>
      </c>
      <c r="AU164" s="4" t="s">
        <v>127</v>
      </c>
      <c r="AV164" s="4" t="s">
        <v>127</v>
      </c>
      <c r="AW164" s="4" t="s">
        <v>127</v>
      </c>
      <c r="AX164" s="4" t="s">
        <v>127</v>
      </c>
      <c r="AY164" s="96" t="s">
        <v>1045</v>
      </c>
      <c r="AZ164" s="4" t="s">
        <v>127</v>
      </c>
      <c r="BA164" s="4" t="s">
        <v>127</v>
      </c>
      <c r="BB164" s="4" t="s">
        <v>1053</v>
      </c>
      <c r="BC164" s="4" t="s">
        <v>127</v>
      </c>
      <c r="BD164" s="4" t="s">
        <v>127</v>
      </c>
      <c r="BE164" s="4" t="s">
        <v>127</v>
      </c>
      <c r="BF164" s="4"/>
      <c r="BG164" s="4"/>
      <c r="BH164" s="4"/>
      <c r="BI164" s="4"/>
      <c r="BJ164" s="4"/>
      <c r="BK164" s="4"/>
      <c r="BL164" s="4"/>
      <c r="BM164" s="4"/>
      <c r="BN164" s="4"/>
      <c r="BO164" s="4"/>
    </row>
    <row r="165" spans="1:67" ht="16" x14ac:dyDescent="0.4">
      <c r="A165" s="4" t="s">
        <v>1054</v>
      </c>
      <c r="B165" s="4" t="s">
        <v>1054</v>
      </c>
      <c r="C165" s="4" t="s">
        <v>127</v>
      </c>
      <c r="D165" s="4" t="s">
        <v>128</v>
      </c>
      <c r="E165" s="189">
        <v>45218</v>
      </c>
      <c r="F165" s="6">
        <f t="shared" si="8"/>
        <v>2023</v>
      </c>
      <c r="G165" s="4" t="s">
        <v>1055</v>
      </c>
      <c r="H165" s="22" t="str">
        <f>VLOOKUP($G165,'Item Classification'!B:C,2,0)</f>
        <v>Anti-tank directional mine</v>
      </c>
      <c r="I165" s="6" t="str">
        <f>VLOOKUP($G165,'Item Classification'!B:D,3,0)</f>
        <v>Mine</v>
      </c>
      <c r="J165" s="23">
        <f>VLOOKUP($G165,'Item Classification'!B:E,4,0)</f>
        <v>9</v>
      </c>
      <c r="K165" s="116" t="s">
        <v>189</v>
      </c>
      <c r="L165" s="116" t="s">
        <v>1056</v>
      </c>
      <c r="M165" s="116" t="str">
        <f>VLOOKUP(L165,'NATO Classifications'!$D$6:$E$647,2,0)</f>
        <v>Explosives, Surface Use and Mines (all types)</v>
      </c>
      <c r="N165" s="4">
        <v>2600</v>
      </c>
      <c r="O165" s="81">
        <f t="shared" si="10"/>
        <v>26153.846153846152</v>
      </c>
      <c r="P165" s="81">
        <f t="shared" si="11"/>
        <v>26153.846153846152</v>
      </c>
      <c r="Q165" s="4">
        <v>2026</v>
      </c>
      <c r="R165" s="4"/>
      <c r="S165" s="112">
        <v>68000000</v>
      </c>
      <c r="T165" s="91" t="s">
        <v>132</v>
      </c>
      <c r="U165" s="104">
        <f>_xlfn.IFNA(S165/INDEX('Exchange Rates'!$C$7:$F$14,MATCH('MAIN DATA, Orders'!F165,'Exchange Rates'!$B$7:$B$14,0),MATCH('MAIN DATA, Orders'!T165,'Exchange Rates'!$C$6:$F$6,0)), "-")</f>
        <v>68000000</v>
      </c>
      <c r="V165" s="4" t="s">
        <v>808</v>
      </c>
      <c r="W165" s="4" t="s">
        <v>127</v>
      </c>
      <c r="X165" s="4" t="s">
        <v>128</v>
      </c>
      <c r="Y165" s="24">
        <f t="shared" si="12"/>
        <v>202310</v>
      </c>
      <c r="Z165" s="115">
        <v>1</v>
      </c>
      <c r="AA165" s="115">
        <v>0</v>
      </c>
      <c r="AB165" s="115">
        <v>0</v>
      </c>
      <c r="AC165" s="115">
        <v>1</v>
      </c>
      <c r="AD165" s="115">
        <v>0</v>
      </c>
      <c r="AE165" s="115">
        <v>0</v>
      </c>
      <c r="AF165" s="115">
        <v>0</v>
      </c>
      <c r="AG165" s="4" t="s">
        <v>1057</v>
      </c>
      <c r="AH165" s="4" t="s">
        <v>128</v>
      </c>
      <c r="AI165" s="4" t="s">
        <v>128</v>
      </c>
      <c r="AJ165" s="4" t="s">
        <v>127</v>
      </c>
      <c r="AK165" s="4" t="s">
        <v>127</v>
      </c>
      <c r="AL165" s="4" t="s">
        <v>127</v>
      </c>
      <c r="AM165" s="4" t="s">
        <v>127</v>
      </c>
      <c r="AN165" s="4" t="s">
        <v>127</v>
      </c>
      <c r="AO165" s="4" t="s">
        <v>127</v>
      </c>
      <c r="AP165" s="4" t="s">
        <v>127</v>
      </c>
      <c r="AQ165" s="4" t="s">
        <v>127</v>
      </c>
      <c r="AR165" s="4" t="s">
        <v>127</v>
      </c>
      <c r="AS165" s="4" t="s">
        <v>127</v>
      </c>
      <c r="AT165" s="4" t="s">
        <v>127</v>
      </c>
      <c r="AU165" s="4" t="s">
        <v>127</v>
      </c>
      <c r="AV165" s="4" t="s">
        <v>127</v>
      </c>
      <c r="AW165" s="4" t="s">
        <v>127</v>
      </c>
      <c r="AX165" s="4" t="s">
        <v>127</v>
      </c>
      <c r="AY165" s="96" t="s">
        <v>1045</v>
      </c>
      <c r="AZ165" s="96" t="s">
        <v>1058</v>
      </c>
      <c r="BA165" s="96" t="s">
        <v>1059</v>
      </c>
      <c r="BB165" s="4" t="s">
        <v>1060</v>
      </c>
      <c r="BC165" s="4" t="s">
        <v>1061</v>
      </c>
      <c r="BD165" s="4" t="s">
        <v>127</v>
      </c>
      <c r="BE165" s="4" t="s">
        <v>127</v>
      </c>
      <c r="BF165" s="4"/>
      <c r="BG165" s="4"/>
      <c r="BH165" s="4"/>
      <c r="BI165" s="4"/>
      <c r="BJ165" s="4"/>
      <c r="BK165" s="4"/>
      <c r="BL165" s="4"/>
      <c r="BM165" s="4"/>
      <c r="BN165" s="4"/>
      <c r="BO165" s="4"/>
    </row>
    <row r="166" spans="1:67" ht="16" x14ac:dyDescent="0.4">
      <c r="A166" s="4" t="s">
        <v>1062</v>
      </c>
      <c r="B166" s="4" t="s">
        <v>1062</v>
      </c>
      <c r="C166" s="4" t="s">
        <v>127</v>
      </c>
      <c r="D166" s="4" t="s">
        <v>128</v>
      </c>
      <c r="E166" s="189">
        <v>45218</v>
      </c>
      <c r="F166" s="6">
        <f t="shared" si="8"/>
        <v>2023</v>
      </c>
      <c r="G166" s="4" t="s">
        <v>785</v>
      </c>
      <c r="H166" s="22" t="str">
        <f>VLOOKUP($G166,'Item Classification'!B:C,2,0)</f>
        <v>Communication equipment</v>
      </c>
      <c r="I166" s="6" t="str">
        <f>VLOOKUP($G166,'Item Classification'!B:D,3,0)</f>
        <v>Modernisation</v>
      </c>
      <c r="J166" s="23">
        <f>VLOOKUP($G166,'Item Classification'!B:E,4,0)</f>
        <v>13</v>
      </c>
      <c r="K166" s="116" t="s">
        <v>158</v>
      </c>
      <c r="L166" s="116" t="s">
        <v>567</v>
      </c>
      <c r="M166" s="116" t="str">
        <f>VLOOKUP(L166,'NATO Classifications'!$D$6:$E$647,2,0)</f>
        <v>Communication, Detection, and Coherent Radiation Equipment (other)</v>
      </c>
      <c r="N166" s="4"/>
      <c r="O166" s="81"/>
      <c r="P166" s="81"/>
      <c r="Q166" s="4">
        <v>2023</v>
      </c>
      <c r="R166" s="4">
        <v>2025</v>
      </c>
      <c r="S166" s="112">
        <v>130000000</v>
      </c>
      <c r="T166" s="91" t="s">
        <v>132</v>
      </c>
      <c r="U166" s="104">
        <f>_xlfn.IFNA(S166/INDEX('Exchange Rates'!$C$7:$F$14,MATCH('MAIN DATA, Orders'!F166,'Exchange Rates'!$B$7:$B$14,0),MATCH('MAIN DATA, Orders'!T166,'Exchange Rates'!$C$6:$F$6,0)), "-")</f>
        <v>130000000</v>
      </c>
      <c r="V166" s="4" t="s">
        <v>682</v>
      </c>
      <c r="W166" s="4" t="s">
        <v>133</v>
      </c>
      <c r="X166" s="4" t="s">
        <v>128</v>
      </c>
      <c r="Y166" s="24">
        <f t="shared" si="12"/>
        <v>202310</v>
      </c>
      <c r="Z166" s="115">
        <v>1</v>
      </c>
      <c r="AA166" s="115">
        <v>0</v>
      </c>
      <c r="AB166" s="115">
        <v>0</v>
      </c>
      <c r="AC166" s="115">
        <v>1</v>
      </c>
      <c r="AD166" s="115">
        <v>0</v>
      </c>
      <c r="AE166" s="115">
        <v>0</v>
      </c>
      <c r="AF166" s="115">
        <v>0</v>
      </c>
      <c r="AG166" s="4" t="s">
        <v>786</v>
      </c>
      <c r="AH166" s="4" t="s">
        <v>128</v>
      </c>
      <c r="AI166" s="4" t="s">
        <v>127</v>
      </c>
      <c r="AJ166" s="4" t="s">
        <v>127</v>
      </c>
      <c r="AK166" s="4" t="s">
        <v>127</v>
      </c>
      <c r="AL166" s="4" t="s">
        <v>127</v>
      </c>
      <c r="AM166" s="4" t="s">
        <v>127</v>
      </c>
      <c r="AN166" s="4" t="s">
        <v>127</v>
      </c>
      <c r="AO166" s="4" t="s">
        <v>127</v>
      </c>
      <c r="AP166" s="4" t="s">
        <v>127</v>
      </c>
      <c r="AQ166" s="4" t="s">
        <v>127</v>
      </c>
      <c r="AR166" s="4" t="s">
        <v>127</v>
      </c>
      <c r="AS166" s="4" t="s">
        <v>127</v>
      </c>
      <c r="AT166" s="4" t="s">
        <v>127</v>
      </c>
      <c r="AU166" s="4" t="s">
        <v>127</v>
      </c>
      <c r="AV166" s="4" t="s">
        <v>127</v>
      </c>
      <c r="AW166" s="4" t="s">
        <v>127</v>
      </c>
      <c r="AX166" s="4" t="s">
        <v>127</v>
      </c>
      <c r="AY166" s="96" t="s">
        <v>1045</v>
      </c>
      <c r="AZ166" s="96" t="s">
        <v>787</v>
      </c>
      <c r="BA166" s="4" t="s">
        <v>127</v>
      </c>
      <c r="BB166" s="4" t="s">
        <v>1063</v>
      </c>
      <c r="BC166" s="4" t="s">
        <v>127</v>
      </c>
      <c r="BD166" s="4" t="s">
        <v>127</v>
      </c>
      <c r="BE166" s="4" t="s">
        <v>127</v>
      </c>
      <c r="BF166" s="4"/>
      <c r="BG166" s="4"/>
      <c r="BH166" s="4"/>
      <c r="BI166" s="4"/>
      <c r="BJ166" s="4"/>
      <c r="BK166" s="4"/>
      <c r="BL166" s="4"/>
      <c r="BM166" s="4"/>
      <c r="BN166" s="4"/>
      <c r="BO166" s="4"/>
    </row>
    <row r="167" spans="1:67" ht="16" x14ac:dyDescent="0.4">
      <c r="A167" s="4" t="s">
        <v>1064</v>
      </c>
      <c r="B167" s="4" t="s">
        <v>1064</v>
      </c>
      <c r="C167" s="4" t="s">
        <v>127</v>
      </c>
      <c r="D167" s="4" t="s">
        <v>128</v>
      </c>
      <c r="E167" s="189">
        <v>45218</v>
      </c>
      <c r="F167" s="6">
        <f t="shared" si="8"/>
        <v>2023</v>
      </c>
      <c r="G167" s="4" t="s">
        <v>1065</v>
      </c>
      <c r="H167" s="22" t="str">
        <f>VLOOKUP($G167,'Item Classification'!B:C,2,0)</f>
        <v>Communication equipment</v>
      </c>
      <c r="I167" s="6" t="str">
        <f>VLOOKUP($G167,'Item Classification'!B:D,3,0)</f>
        <v>Modernisation</v>
      </c>
      <c r="J167" s="23">
        <f>VLOOKUP($G167,'Item Classification'!B:E,4,0)</f>
        <v>13</v>
      </c>
      <c r="K167" s="116" t="s">
        <v>158</v>
      </c>
      <c r="L167" s="116" t="s">
        <v>174</v>
      </c>
      <c r="M167" s="116" t="str">
        <f>VLOOKUP(L167,'NATO Classifications'!$D$6:$E$647,2,0)</f>
        <v>Communication, Detection, and Coherent Radiation Equipment (other)</v>
      </c>
      <c r="N167" s="4">
        <v>1350</v>
      </c>
      <c r="O167" s="81">
        <f t="shared" si="10"/>
        <v>51851.851851851854</v>
      </c>
      <c r="P167" s="81">
        <f t="shared" si="11"/>
        <v>51851.851851851854</v>
      </c>
      <c r="Q167" s="4">
        <v>2024</v>
      </c>
      <c r="R167" s="4">
        <v>2026</v>
      </c>
      <c r="S167" s="112">
        <v>70000000</v>
      </c>
      <c r="T167" s="91" t="s">
        <v>132</v>
      </c>
      <c r="U167" s="104">
        <f>_xlfn.IFNA(S167/INDEX('Exchange Rates'!$C$7:$F$14,MATCH('MAIN DATA, Orders'!F167,'Exchange Rates'!$B$7:$B$14,0),MATCH('MAIN DATA, Orders'!T167,'Exchange Rates'!$C$6:$F$6,0)), "-")</f>
        <v>70000000</v>
      </c>
      <c r="V167" s="4" t="s">
        <v>682</v>
      </c>
      <c r="W167" s="4" t="s">
        <v>127</v>
      </c>
      <c r="X167" s="4" t="s">
        <v>128</v>
      </c>
      <c r="Y167" s="24">
        <f t="shared" si="12"/>
        <v>202310</v>
      </c>
      <c r="Z167" s="115">
        <v>0</v>
      </c>
      <c r="AA167" s="115">
        <v>0</v>
      </c>
      <c r="AB167" s="115">
        <v>0</v>
      </c>
      <c r="AC167" s="115" t="s">
        <v>127</v>
      </c>
      <c r="AD167" s="115" t="s">
        <v>127</v>
      </c>
      <c r="AE167" s="115" t="s">
        <v>127</v>
      </c>
      <c r="AF167" s="115" t="s">
        <v>127</v>
      </c>
      <c r="AG167" s="4" t="s">
        <v>127</v>
      </c>
      <c r="AH167" s="4" t="s">
        <v>127</v>
      </c>
      <c r="AI167" s="4" t="s">
        <v>127</v>
      </c>
      <c r="AJ167" s="4" t="s">
        <v>127</v>
      </c>
      <c r="AK167" s="4" t="s">
        <v>127</v>
      </c>
      <c r="AL167" s="4" t="s">
        <v>127</v>
      </c>
      <c r="AM167" s="4" t="s">
        <v>127</v>
      </c>
      <c r="AN167" s="4" t="s">
        <v>127</v>
      </c>
      <c r="AO167" s="4" t="s">
        <v>127</v>
      </c>
      <c r="AP167" s="4" t="s">
        <v>127</v>
      </c>
      <c r="AQ167" s="4" t="s">
        <v>127</v>
      </c>
      <c r="AR167" s="4" t="s">
        <v>127</v>
      </c>
      <c r="AS167" s="4" t="s">
        <v>127</v>
      </c>
      <c r="AT167" s="4" t="s">
        <v>127</v>
      </c>
      <c r="AU167" s="4" t="s">
        <v>127</v>
      </c>
      <c r="AV167" s="4" t="s">
        <v>127</v>
      </c>
      <c r="AW167" s="4" t="s">
        <v>127</v>
      </c>
      <c r="AX167" s="4" t="s">
        <v>127</v>
      </c>
      <c r="AY167" s="96" t="s">
        <v>1045</v>
      </c>
      <c r="AZ167" s="4" t="s">
        <v>127</v>
      </c>
      <c r="BA167" s="4" t="s">
        <v>127</v>
      </c>
      <c r="BB167" s="4" t="s">
        <v>1066</v>
      </c>
      <c r="BC167" s="4" t="s">
        <v>127</v>
      </c>
      <c r="BD167" s="4" t="s">
        <v>127</v>
      </c>
      <c r="BE167" s="4" t="s">
        <v>127</v>
      </c>
      <c r="BF167" s="4"/>
      <c r="BG167" s="4"/>
      <c r="BH167" s="4"/>
      <c r="BI167" s="4"/>
      <c r="BJ167" s="4"/>
      <c r="BK167" s="4"/>
      <c r="BL167" s="4"/>
      <c r="BM167" s="4"/>
      <c r="BN167" s="4"/>
      <c r="BO167" s="4"/>
    </row>
    <row r="168" spans="1:67" ht="16" x14ac:dyDescent="0.4">
      <c r="A168" s="4" t="s">
        <v>1067</v>
      </c>
      <c r="B168" s="4" t="s">
        <v>1067</v>
      </c>
      <c r="C168" s="4" t="s">
        <v>127</v>
      </c>
      <c r="D168" s="4" t="s">
        <v>128</v>
      </c>
      <c r="E168" s="189">
        <v>45218</v>
      </c>
      <c r="F168" s="6">
        <f t="shared" si="8"/>
        <v>2023</v>
      </c>
      <c r="G168" s="4" t="s">
        <v>1068</v>
      </c>
      <c r="H168" s="22" t="str">
        <f>VLOOKUP($G168,'Item Classification'!B:C,2,0)</f>
        <v>Anti-aircraft surface-to-air missile (SAM) system (long-range) equipment</v>
      </c>
      <c r="I168" s="6" t="str">
        <f>VLOOKUP($G168,'Item Classification'!B:D,3,0)</f>
        <v>Air defence system</v>
      </c>
      <c r="J168" s="23">
        <f>VLOOKUP($G168,'Item Classification'!B:E,4,0)</f>
        <v>5</v>
      </c>
      <c r="K168" s="116" t="s">
        <v>158</v>
      </c>
      <c r="L168" s="116" t="s">
        <v>174</v>
      </c>
      <c r="M168" s="116" t="str">
        <f>VLOOKUP(L168,'NATO Classifications'!$D$6:$E$647,2,0)</f>
        <v>Communication, Detection, and Coherent Radiation Equipment (other)</v>
      </c>
      <c r="N168" s="4">
        <v>51</v>
      </c>
      <c r="O168" s="81">
        <f t="shared" si="10"/>
        <v>794117.6470588235</v>
      </c>
      <c r="P168" s="81">
        <f t="shared" si="11"/>
        <v>794117.6470588235</v>
      </c>
      <c r="Q168" s="4">
        <v>2025</v>
      </c>
      <c r="R168" s="4">
        <v>2027</v>
      </c>
      <c r="S168" s="112">
        <v>40500000</v>
      </c>
      <c r="T168" s="91" t="s">
        <v>132</v>
      </c>
      <c r="U168" s="104">
        <f>_xlfn.IFNA(S168/INDEX('Exchange Rates'!$C$7:$F$14,MATCH('MAIN DATA, Orders'!F168,'Exchange Rates'!$B$7:$B$14,0),MATCH('MAIN DATA, Orders'!T168,'Exchange Rates'!$C$6:$F$6,0)), "-")</f>
        <v>40500000</v>
      </c>
      <c r="V168" s="4" t="s">
        <v>682</v>
      </c>
      <c r="W168" s="4" t="s">
        <v>127</v>
      </c>
      <c r="X168" s="4" t="s">
        <v>128</v>
      </c>
      <c r="Y168" s="24">
        <f t="shared" si="12"/>
        <v>202310</v>
      </c>
      <c r="Z168" s="115">
        <v>0</v>
      </c>
      <c r="AA168" s="115">
        <v>0</v>
      </c>
      <c r="AB168" s="115">
        <v>0</v>
      </c>
      <c r="AC168" s="115">
        <v>0</v>
      </c>
      <c r="AD168" s="115">
        <v>0</v>
      </c>
      <c r="AE168" s="115">
        <v>0</v>
      </c>
      <c r="AF168" s="115">
        <v>0</v>
      </c>
      <c r="AG168" s="4" t="s">
        <v>718</v>
      </c>
      <c r="AH168" s="4" t="s">
        <v>196</v>
      </c>
      <c r="AI168" s="4" t="s">
        <v>127</v>
      </c>
      <c r="AJ168" s="4" t="s">
        <v>127</v>
      </c>
      <c r="AK168" s="4" t="s">
        <v>127</v>
      </c>
      <c r="AL168" s="4" t="s">
        <v>127</v>
      </c>
      <c r="AM168" s="4" t="s">
        <v>127</v>
      </c>
      <c r="AN168" s="4" t="s">
        <v>127</v>
      </c>
      <c r="AO168" s="4" t="s">
        <v>127</v>
      </c>
      <c r="AP168" s="4" t="s">
        <v>127</v>
      </c>
      <c r="AQ168" s="4" t="s">
        <v>127</v>
      </c>
      <c r="AR168" s="4" t="s">
        <v>127</v>
      </c>
      <c r="AS168" s="4" t="s">
        <v>127</v>
      </c>
      <c r="AT168" s="4" t="s">
        <v>127</v>
      </c>
      <c r="AU168" s="4" t="s">
        <v>127</v>
      </c>
      <c r="AV168" s="4" t="s">
        <v>127</v>
      </c>
      <c r="AW168" s="4" t="s">
        <v>127</v>
      </c>
      <c r="AX168" s="4" t="s">
        <v>127</v>
      </c>
      <c r="AY168" s="96" t="s">
        <v>1045</v>
      </c>
      <c r="AZ168" s="4" t="s">
        <v>127</v>
      </c>
      <c r="BA168" s="4" t="s">
        <v>127</v>
      </c>
      <c r="BB168" s="4" t="s">
        <v>1069</v>
      </c>
      <c r="BC168" s="4" t="s">
        <v>127</v>
      </c>
      <c r="BD168" s="4" t="s">
        <v>127</v>
      </c>
      <c r="BE168" s="4" t="s">
        <v>127</v>
      </c>
      <c r="BF168" s="4"/>
      <c r="BG168" s="4"/>
      <c r="BH168" s="4"/>
      <c r="BI168" s="4"/>
      <c r="BJ168" s="4"/>
      <c r="BK168" s="4"/>
      <c r="BL168" s="4"/>
      <c r="BM168" s="4"/>
      <c r="BN168" s="4"/>
      <c r="BO168" s="4"/>
    </row>
    <row r="169" spans="1:67" ht="16" x14ac:dyDescent="0.4">
      <c r="A169" s="4" t="s">
        <v>1070</v>
      </c>
      <c r="B169" s="4" t="s">
        <v>1070</v>
      </c>
      <c r="C169" s="4" t="s">
        <v>127</v>
      </c>
      <c r="D169" s="4" t="s">
        <v>128</v>
      </c>
      <c r="E169" s="189">
        <v>45218</v>
      </c>
      <c r="F169" s="6">
        <f t="shared" si="8"/>
        <v>2023</v>
      </c>
      <c r="G169" s="4" t="s">
        <v>1071</v>
      </c>
      <c r="H169" s="22" t="str">
        <f>VLOOKUP($G169,'Item Classification'!B:C,2,0)</f>
        <v>Communication equipment</v>
      </c>
      <c r="I169" s="6" t="str">
        <f>VLOOKUP($G169,'Item Classification'!B:D,3,0)</f>
        <v>Modernisation</v>
      </c>
      <c r="J169" s="23">
        <f>VLOOKUP($G169,'Item Classification'!B:E,4,0)</f>
        <v>13</v>
      </c>
      <c r="K169" s="116" t="s">
        <v>158</v>
      </c>
      <c r="L169" s="116" t="s">
        <v>443</v>
      </c>
      <c r="M169" s="116" t="str">
        <f>VLOOKUP(L169,'NATO Classifications'!$D$6:$E$647,2,0)</f>
        <v>Communication, Detection, and Coherent Radiation Equipment (other)</v>
      </c>
      <c r="N169" s="4">
        <v>9058</v>
      </c>
      <c r="O169" s="81">
        <f t="shared" si="10"/>
        <v>5685.5818061382206</v>
      </c>
      <c r="P169" s="81">
        <f t="shared" si="11"/>
        <v>5685.5818061382206</v>
      </c>
      <c r="Q169" s="4">
        <v>2025</v>
      </c>
      <c r="R169" s="4">
        <v>2028</v>
      </c>
      <c r="S169" s="112">
        <v>51500000</v>
      </c>
      <c r="T169" s="91" t="s">
        <v>132</v>
      </c>
      <c r="U169" s="104">
        <f>_xlfn.IFNA(S169/INDEX('Exchange Rates'!$C$7:$F$14,MATCH('MAIN DATA, Orders'!F169,'Exchange Rates'!$B$7:$B$14,0),MATCH('MAIN DATA, Orders'!T169,'Exchange Rates'!$C$6:$F$6,0)), "-")</f>
        <v>51500000</v>
      </c>
      <c r="V169" s="4" t="s">
        <v>682</v>
      </c>
      <c r="W169" s="4" t="s">
        <v>127</v>
      </c>
      <c r="X169" s="4" t="s">
        <v>128</v>
      </c>
      <c r="Y169" s="24">
        <f t="shared" si="12"/>
        <v>202310</v>
      </c>
      <c r="Z169" s="115">
        <v>0</v>
      </c>
      <c r="AA169" s="115">
        <v>0</v>
      </c>
      <c r="AB169" s="115">
        <v>0</v>
      </c>
      <c r="AC169" s="115">
        <v>0</v>
      </c>
      <c r="AD169" s="115">
        <v>0</v>
      </c>
      <c r="AE169" s="115">
        <v>0</v>
      </c>
      <c r="AF169" s="115">
        <v>0</v>
      </c>
      <c r="AG169" s="4" t="s">
        <v>127</v>
      </c>
      <c r="AH169" s="4" t="s">
        <v>196</v>
      </c>
      <c r="AI169" s="4" t="s">
        <v>127</v>
      </c>
      <c r="AJ169" s="4" t="s">
        <v>127</v>
      </c>
      <c r="AK169" s="4" t="s">
        <v>127</v>
      </c>
      <c r="AL169" s="4" t="s">
        <v>127</v>
      </c>
      <c r="AM169" s="4" t="s">
        <v>127</v>
      </c>
      <c r="AN169" s="4" t="s">
        <v>127</v>
      </c>
      <c r="AO169" s="4" t="s">
        <v>127</v>
      </c>
      <c r="AP169" s="4" t="s">
        <v>127</v>
      </c>
      <c r="AQ169" s="4" t="s">
        <v>127</v>
      </c>
      <c r="AR169" s="4" t="s">
        <v>127</v>
      </c>
      <c r="AS169" s="4" t="s">
        <v>127</v>
      </c>
      <c r="AT169" s="4" t="s">
        <v>127</v>
      </c>
      <c r="AU169" s="4" t="s">
        <v>127</v>
      </c>
      <c r="AV169" s="4" t="s">
        <v>127</v>
      </c>
      <c r="AW169" s="4" t="s">
        <v>127</v>
      </c>
      <c r="AX169" s="4" t="s">
        <v>127</v>
      </c>
      <c r="AY169" s="96" t="s">
        <v>1045</v>
      </c>
      <c r="AZ169" s="4" t="s">
        <v>127</v>
      </c>
      <c r="BA169" s="4" t="s">
        <v>127</v>
      </c>
      <c r="BB169" s="4" t="s">
        <v>1072</v>
      </c>
      <c r="BC169" s="4" t="s">
        <v>127</v>
      </c>
      <c r="BD169" s="4" t="s">
        <v>127</v>
      </c>
      <c r="BE169" s="4" t="s">
        <v>127</v>
      </c>
      <c r="BF169" s="4"/>
      <c r="BG169" s="4"/>
      <c r="BH169" s="4"/>
      <c r="BI169" s="4"/>
      <c r="BJ169" s="4"/>
      <c r="BK169" s="4"/>
      <c r="BL169" s="4"/>
      <c r="BM169" s="4"/>
      <c r="BN169" s="4"/>
      <c r="BO169" s="4"/>
    </row>
    <row r="170" spans="1:67" ht="16" x14ac:dyDescent="0.4">
      <c r="A170" s="4" t="s">
        <v>1073</v>
      </c>
      <c r="B170" s="4" t="s">
        <v>1073</v>
      </c>
      <c r="C170" s="4" t="s">
        <v>127</v>
      </c>
      <c r="D170" s="4" t="s">
        <v>128</v>
      </c>
      <c r="E170" s="189">
        <v>45238</v>
      </c>
      <c r="F170" s="6">
        <f t="shared" si="8"/>
        <v>2023</v>
      </c>
      <c r="G170" s="4" t="s">
        <v>1074</v>
      </c>
      <c r="H170" s="22" t="str">
        <f>VLOOKUP($G170,'Item Classification'!B:C,2,0)</f>
        <v>Medium-altitude long-endurance (MALE) drone</v>
      </c>
      <c r="I170" s="6" t="str">
        <f>VLOOKUP($G170,'Item Classification'!B:D,3,0)</f>
        <v>Drone</v>
      </c>
      <c r="J170" s="23">
        <f>VLOOKUP($G170,'Item Classification'!B:E,4,0)</f>
        <v>7</v>
      </c>
      <c r="K170" s="116" t="s">
        <v>130</v>
      </c>
      <c r="L170" s="116" t="s">
        <v>131</v>
      </c>
      <c r="M170" s="116" t="str">
        <f>VLOOKUP(L170,'NATO Classifications'!$D$6:$E$647,2,0)</f>
        <v>Unmanned Aircraft</v>
      </c>
      <c r="N170" s="4"/>
      <c r="O170" s="81"/>
      <c r="P170" s="81"/>
      <c r="Q170" s="4"/>
      <c r="R170" s="4"/>
      <c r="S170" s="112">
        <v>59000000</v>
      </c>
      <c r="T170" s="91" t="s">
        <v>132</v>
      </c>
      <c r="U170" s="104">
        <f>_xlfn.IFNA(S170/INDEX('Exchange Rates'!$C$7:$F$14,MATCH('MAIN DATA, Orders'!F170,'Exchange Rates'!$B$7:$B$14,0),MATCH('MAIN DATA, Orders'!T170,'Exchange Rates'!$C$6:$F$6,0)), "-")</f>
        <v>59000000</v>
      </c>
      <c r="V170" s="4" t="s">
        <v>133</v>
      </c>
      <c r="W170" s="4" t="s">
        <v>127</v>
      </c>
      <c r="X170" s="4" t="s">
        <v>128</v>
      </c>
      <c r="Y170" s="24">
        <f t="shared" si="12"/>
        <v>202311</v>
      </c>
      <c r="Z170" s="115">
        <v>0</v>
      </c>
      <c r="AA170" s="115">
        <v>0</v>
      </c>
      <c r="AB170" s="115">
        <v>0</v>
      </c>
      <c r="AC170" s="115">
        <v>0</v>
      </c>
      <c r="AD170" s="115">
        <v>0</v>
      </c>
      <c r="AE170" s="115">
        <v>0</v>
      </c>
      <c r="AF170" s="115">
        <v>1</v>
      </c>
      <c r="AG170" s="122" t="s">
        <v>134</v>
      </c>
      <c r="AH170" s="4" t="s">
        <v>135</v>
      </c>
      <c r="AI170" s="4" t="s">
        <v>135</v>
      </c>
      <c r="AJ170" s="4" t="s">
        <v>1075</v>
      </c>
      <c r="AK170" s="4" t="s">
        <v>127</v>
      </c>
      <c r="AL170" s="4" t="s">
        <v>127</v>
      </c>
      <c r="AM170" s="4" t="s">
        <v>127</v>
      </c>
      <c r="AN170" s="4" t="s">
        <v>128</v>
      </c>
      <c r="AO170" s="4" t="s">
        <v>127</v>
      </c>
      <c r="AP170" s="4" t="s">
        <v>127</v>
      </c>
      <c r="AQ170" s="4" t="s">
        <v>127</v>
      </c>
      <c r="AR170" s="4" t="s">
        <v>127</v>
      </c>
      <c r="AS170" s="4" t="s">
        <v>127</v>
      </c>
      <c r="AT170" s="4" t="s">
        <v>127</v>
      </c>
      <c r="AU170" s="4" t="s">
        <v>127</v>
      </c>
      <c r="AV170" s="4" t="s">
        <v>127</v>
      </c>
      <c r="AW170" s="4" t="s">
        <v>127</v>
      </c>
      <c r="AX170" s="4" t="s">
        <v>127</v>
      </c>
      <c r="AY170" s="96" t="s">
        <v>1076</v>
      </c>
      <c r="AZ170" s="96" t="s">
        <v>1077</v>
      </c>
      <c r="BA170" s="4" t="s">
        <v>127</v>
      </c>
      <c r="BB170" s="4" t="s">
        <v>1078</v>
      </c>
      <c r="BC170" s="4" t="s">
        <v>127</v>
      </c>
      <c r="BD170" s="4" t="s">
        <v>127</v>
      </c>
      <c r="BE170" s="4" t="s">
        <v>127</v>
      </c>
      <c r="BF170" s="4"/>
      <c r="BG170" s="4"/>
      <c r="BH170" s="4"/>
      <c r="BI170" s="4"/>
      <c r="BJ170" s="4"/>
      <c r="BK170" s="4"/>
      <c r="BL170" s="4"/>
      <c r="BM170" s="4"/>
      <c r="BN170" s="4"/>
      <c r="BO170" s="4"/>
    </row>
    <row r="171" spans="1:67" ht="16" x14ac:dyDescent="0.4">
      <c r="A171" s="4" t="s">
        <v>1079</v>
      </c>
      <c r="B171" s="4" t="s">
        <v>1079</v>
      </c>
      <c r="C171" s="4" t="s">
        <v>127</v>
      </c>
      <c r="D171" s="4" t="s">
        <v>128</v>
      </c>
      <c r="E171" s="189">
        <v>45238</v>
      </c>
      <c r="F171" s="6">
        <f t="shared" si="8"/>
        <v>2023</v>
      </c>
      <c r="G171" s="4" t="s">
        <v>1080</v>
      </c>
      <c r="H171" s="22" t="str">
        <f>VLOOKUP($G171,'Item Classification'!B:C,2,0)</f>
        <v>Military vehicle maintentance</v>
      </c>
      <c r="I171" s="6" t="str">
        <f>VLOOKUP($G171,'Item Classification'!B:D,3,0)</f>
        <v>Maintenance</v>
      </c>
      <c r="J171" s="23">
        <f>VLOOKUP($G171,'Item Classification'!B:E,4,0)</f>
        <v>14</v>
      </c>
      <c r="K171" s="116" t="s">
        <v>274</v>
      </c>
      <c r="L171" s="116" t="s">
        <v>275</v>
      </c>
      <c r="M171" s="116" t="str">
        <f>VLOOKUP(L171,'NATO Classifications'!$D$6:$E$647,2,0)</f>
        <v>Trucks and Truck Tractors, Wheeled</v>
      </c>
      <c r="N171" s="4">
        <v>10</v>
      </c>
      <c r="O171" s="81">
        <f t="shared" si="10"/>
        <v>1340000000</v>
      </c>
      <c r="P171" s="81">
        <f t="shared" si="11"/>
        <v>1340000000</v>
      </c>
      <c r="Q171" s="4">
        <v>2024</v>
      </c>
      <c r="R171" s="4">
        <v>2034</v>
      </c>
      <c r="S171" s="112">
        <v>13400000000</v>
      </c>
      <c r="T171" s="91" t="s">
        <v>132</v>
      </c>
      <c r="U171" s="104">
        <f>_xlfn.IFNA(S171/INDEX('Exchange Rates'!$C$7:$F$14,MATCH('MAIN DATA, Orders'!F171,'Exchange Rates'!$B$7:$B$14,0),MATCH('MAIN DATA, Orders'!T171,'Exchange Rates'!$C$6:$F$6,0)), "-")</f>
        <v>13400000000</v>
      </c>
      <c r="V171" s="4" t="s">
        <v>133</v>
      </c>
      <c r="W171" s="4" t="s">
        <v>127</v>
      </c>
      <c r="X171" s="4" t="s">
        <v>128</v>
      </c>
      <c r="Y171" s="24">
        <f t="shared" si="12"/>
        <v>202311</v>
      </c>
      <c r="Z171" s="115">
        <v>1</v>
      </c>
      <c r="AA171" s="115">
        <v>1</v>
      </c>
      <c r="AB171" s="115">
        <v>0</v>
      </c>
      <c r="AC171" s="115">
        <v>1</v>
      </c>
      <c r="AD171" s="115">
        <v>0</v>
      </c>
      <c r="AE171" s="115">
        <v>0</v>
      </c>
      <c r="AF171" s="115">
        <v>0</v>
      </c>
      <c r="AG171" s="4" t="s">
        <v>1081</v>
      </c>
      <c r="AH171" s="4" t="s">
        <v>128</v>
      </c>
      <c r="AI171" s="4" t="s">
        <v>128</v>
      </c>
      <c r="AJ171" s="4" t="s">
        <v>127</v>
      </c>
      <c r="AK171" s="4" t="s">
        <v>127</v>
      </c>
      <c r="AL171" s="4" t="s">
        <v>127</v>
      </c>
      <c r="AM171" s="4" t="s">
        <v>127</v>
      </c>
      <c r="AN171" s="4" t="s">
        <v>127</v>
      </c>
      <c r="AO171" s="4" t="s">
        <v>127</v>
      </c>
      <c r="AP171" s="4" t="s">
        <v>127</v>
      </c>
      <c r="AQ171" s="4" t="s">
        <v>127</v>
      </c>
      <c r="AR171" s="4" t="s">
        <v>127</v>
      </c>
      <c r="AS171" s="4" t="s">
        <v>127</v>
      </c>
      <c r="AT171" s="4" t="s">
        <v>127</v>
      </c>
      <c r="AU171" s="4" t="s">
        <v>127</v>
      </c>
      <c r="AV171" s="4" t="s">
        <v>127</v>
      </c>
      <c r="AW171" s="4" t="s">
        <v>127</v>
      </c>
      <c r="AX171" s="4" t="s">
        <v>127</v>
      </c>
      <c r="AY171" s="96" t="s">
        <v>1076</v>
      </c>
      <c r="AZ171" s="4" t="s">
        <v>127</v>
      </c>
      <c r="BA171" s="4" t="s">
        <v>127</v>
      </c>
      <c r="BB171" s="4" t="s">
        <v>1082</v>
      </c>
      <c r="BC171" s="4" t="s">
        <v>127</v>
      </c>
      <c r="BD171" s="4" t="s">
        <v>127</v>
      </c>
      <c r="BE171" s="4" t="s">
        <v>127</v>
      </c>
      <c r="BF171" s="4"/>
      <c r="BG171" s="4"/>
      <c r="BH171" s="4"/>
      <c r="BI171" s="4"/>
      <c r="BJ171" s="4"/>
      <c r="BK171" s="4"/>
      <c r="BL171" s="4"/>
      <c r="BM171" s="4"/>
      <c r="BN171" s="4"/>
      <c r="BO171" s="4"/>
    </row>
    <row r="172" spans="1:67" ht="16" x14ac:dyDescent="0.4">
      <c r="A172" s="4" t="s">
        <v>1083</v>
      </c>
      <c r="B172" s="4" t="s">
        <v>1083</v>
      </c>
      <c r="C172" s="4" t="s">
        <v>127</v>
      </c>
      <c r="D172" s="4" t="s">
        <v>128</v>
      </c>
      <c r="E172" s="189">
        <v>45246</v>
      </c>
      <c r="F172" s="6">
        <f t="shared" si="8"/>
        <v>2023</v>
      </c>
      <c r="G172" s="4" t="s">
        <v>1084</v>
      </c>
      <c r="H172" s="22" t="str">
        <f>VLOOKUP($G172,'Item Classification'!B:C,2,0)</f>
        <v>Infantry mobility vehicle</v>
      </c>
      <c r="I172" s="6" t="str">
        <f>VLOOKUP($G172,'Item Classification'!B:D,3,0)</f>
        <v>Armoured vehicle</v>
      </c>
      <c r="J172" s="23">
        <f>VLOOKUP($G172,'Item Classification'!B:E,4,0)</f>
        <v>2</v>
      </c>
      <c r="K172" s="116" t="s">
        <v>274</v>
      </c>
      <c r="L172" s="116" t="s">
        <v>493</v>
      </c>
      <c r="M172" s="116" t="str">
        <f>VLOOKUP(L172,'NATO Classifications'!$D$6:$E$647,2,0)</f>
        <v>Combat, Assault, and Tactical Vehicles, Wheeled</v>
      </c>
      <c r="N172" s="4">
        <v>50</v>
      </c>
      <c r="O172" s="81">
        <f t="shared" si="10"/>
        <v>3000000</v>
      </c>
      <c r="P172" s="81">
        <f t="shared" si="11"/>
        <v>3000000</v>
      </c>
      <c r="Q172" s="4">
        <v>2026</v>
      </c>
      <c r="R172" s="4">
        <v>2026</v>
      </c>
      <c r="S172" s="112">
        <v>150000000</v>
      </c>
      <c r="T172" s="91" t="s">
        <v>132</v>
      </c>
      <c r="U172" s="104">
        <f>_xlfn.IFNA(S172/INDEX('Exchange Rates'!$C$7:$F$14,MATCH('MAIN DATA, Orders'!F172,'Exchange Rates'!$B$7:$B$14,0),MATCH('MAIN DATA, Orders'!T172,'Exchange Rates'!$C$6:$F$6,0)), "-")</f>
        <v>150000000</v>
      </c>
      <c r="V172" s="4" t="s">
        <v>808</v>
      </c>
      <c r="W172" s="4" t="s">
        <v>127</v>
      </c>
      <c r="X172" s="4" t="s">
        <v>128</v>
      </c>
      <c r="Y172" s="24">
        <f t="shared" si="12"/>
        <v>202311</v>
      </c>
      <c r="Z172" s="115">
        <v>0</v>
      </c>
      <c r="AA172" s="115">
        <v>0</v>
      </c>
      <c r="AB172" s="115">
        <v>0</v>
      </c>
      <c r="AC172" s="115">
        <v>1</v>
      </c>
      <c r="AD172" s="115">
        <v>0</v>
      </c>
      <c r="AE172" s="115">
        <v>0</v>
      </c>
      <c r="AF172" s="115">
        <v>0</v>
      </c>
      <c r="AG172" s="122" t="s">
        <v>488</v>
      </c>
      <c r="AH172" s="4" t="s">
        <v>128</v>
      </c>
      <c r="AI172" s="4" t="s">
        <v>127</v>
      </c>
      <c r="AJ172" s="4" t="s">
        <v>127</v>
      </c>
      <c r="AK172" s="4" t="s">
        <v>127</v>
      </c>
      <c r="AL172" s="4" t="s">
        <v>127</v>
      </c>
      <c r="AM172" s="4" t="s">
        <v>127</v>
      </c>
      <c r="AN172" s="4" t="s">
        <v>127</v>
      </c>
      <c r="AO172" s="4" t="s">
        <v>127</v>
      </c>
      <c r="AP172" s="4" t="s">
        <v>127</v>
      </c>
      <c r="AQ172" s="4" t="s">
        <v>127</v>
      </c>
      <c r="AR172" s="4" t="s">
        <v>127</v>
      </c>
      <c r="AS172" s="4" t="s">
        <v>127</v>
      </c>
      <c r="AT172" s="4" t="s">
        <v>127</v>
      </c>
      <c r="AU172" s="4" t="s">
        <v>127</v>
      </c>
      <c r="AV172" s="4" t="s">
        <v>127</v>
      </c>
      <c r="AW172" s="4" t="s">
        <v>127</v>
      </c>
      <c r="AX172" s="4" t="s">
        <v>127</v>
      </c>
      <c r="AY172" s="96" t="s">
        <v>1085</v>
      </c>
      <c r="AZ172" s="96" t="s">
        <v>1086</v>
      </c>
      <c r="BA172" s="96" t="s">
        <v>1087</v>
      </c>
      <c r="BB172" s="4" t="s">
        <v>1088</v>
      </c>
      <c r="BC172" s="4" t="s">
        <v>1089</v>
      </c>
      <c r="BD172" s="4" t="s">
        <v>127</v>
      </c>
      <c r="BE172" s="4" t="s">
        <v>127</v>
      </c>
      <c r="BF172" s="4"/>
      <c r="BG172" s="4"/>
      <c r="BH172" s="4"/>
      <c r="BI172" s="4"/>
      <c r="BJ172" s="4"/>
      <c r="BK172" s="4"/>
      <c r="BL172" s="4"/>
      <c r="BM172" s="4"/>
      <c r="BN172" s="4"/>
      <c r="BO172" s="4"/>
    </row>
    <row r="173" spans="1:67" ht="16" x14ac:dyDescent="0.4">
      <c r="A173" s="4" t="s">
        <v>1090</v>
      </c>
      <c r="B173" s="4" t="s">
        <v>1090</v>
      </c>
      <c r="C173" s="4" t="s">
        <v>415</v>
      </c>
      <c r="D173" s="4" t="s">
        <v>128</v>
      </c>
      <c r="E173" s="189">
        <v>45246</v>
      </c>
      <c r="F173" s="6">
        <f t="shared" si="8"/>
        <v>2023</v>
      </c>
      <c r="G173" s="4" t="s">
        <v>416</v>
      </c>
      <c r="H173" s="22" t="str">
        <f>VLOOKUP($G173,'Item Classification'!B:C,2,0)</f>
        <v>Maritime reconnaissance patrol aircraft</v>
      </c>
      <c r="I173" s="6" t="str">
        <f>VLOOKUP($G173,'Item Classification'!B:D,3,0)</f>
        <v>Naval</v>
      </c>
      <c r="J173" s="23">
        <f>VLOOKUP($G173,'Item Classification'!B:E,4,0)</f>
        <v>12</v>
      </c>
      <c r="K173" s="116" t="s">
        <v>130</v>
      </c>
      <c r="L173" s="116" t="s">
        <v>237</v>
      </c>
      <c r="M173" s="116" t="str">
        <f>VLOOKUP(L173,'NATO Classifications'!$D$6:$E$647,2,0)</f>
        <v>Aircraft, Fixed Wing</v>
      </c>
      <c r="N173" s="4">
        <v>3</v>
      </c>
      <c r="O173" s="81">
        <f t="shared" si="10"/>
        <v>366666666.66666669</v>
      </c>
      <c r="P173" s="81">
        <f t="shared" si="11"/>
        <v>366666666.66666669</v>
      </c>
      <c r="Q173" s="4">
        <v>2024</v>
      </c>
      <c r="R173" s="4"/>
      <c r="S173" s="112">
        <v>1100000000</v>
      </c>
      <c r="T173" s="91" t="s">
        <v>132</v>
      </c>
      <c r="U173" s="104">
        <f>_xlfn.IFNA(S173/INDEX('Exchange Rates'!$C$7:$F$14,MATCH('MAIN DATA, Orders'!F173,'Exchange Rates'!$B$7:$B$14,0),MATCH('MAIN DATA, Orders'!T173,'Exchange Rates'!$C$6:$F$6,0)), "-")</f>
        <v>1100000000</v>
      </c>
      <c r="V173" s="4" t="s">
        <v>682</v>
      </c>
      <c r="W173" s="4" t="s">
        <v>127</v>
      </c>
      <c r="X173" s="4" t="s">
        <v>128</v>
      </c>
      <c r="Y173" s="24">
        <f t="shared" si="12"/>
        <v>202311</v>
      </c>
      <c r="Z173" s="115">
        <v>0</v>
      </c>
      <c r="AA173" s="115">
        <v>0</v>
      </c>
      <c r="AB173" s="115">
        <v>1</v>
      </c>
      <c r="AC173" s="115">
        <v>0</v>
      </c>
      <c r="AD173" s="115">
        <v>0</v>
      </c>
      <c r="AE173" s="115">
        <v>0</v>
      </c>
      <c r="AF173" s="115">
        <v>0</v>
      </c>
      <c r="AG173" s="4" t="s">
        <v>192</v>
      </c>
      <c r="AH173" s="4" t="s">
        <v>196</v>
      </c>
      <c r="AI173" s="4" t="s">
        <v>196</v>
      </c>
      <c r="AJ173" s="4" t="s">
        <v>127</v>
      </c>
      <c r="AK173" s="4" t="s">
        <v>127</v>
      </c>
      <c r="AL173" s="4" t="s">
        <v>127</v>
      </c>
      <c r="AM173" s="4" t="s">
        <v>127</v>
      </c>
      <c r="AN173" s="4" t="s">
        <v>127</v>
      </c>
      <c r="AO173" s="4" t="s">
        <v>127</v>
      </c>
      <c r="AP173" s="4" t="s">
        <v>127</v>
      </c>
      <c r="AQ173" s="4" t="s">
        <v>127</v>
      </c>
      <c r="AR173" s="4" t="s">
        <v>127</v>
      </c>
      <c r="AS173" s="4" t="s">
        <v>127</v>
      </c>
      <c r="AT173" s="4" t="s">
        <v>127</v>
      </c>
      <c r="AU173" s="4" t="s">
        <v>127</v>
      </c>
      <c r="AV173" s="4" t="s">
        <v>127</v>
      </c>
      <c r="AW173" s="4" t="s">
        <v>127</v>
      </c>
      <c r="AX173" s="4" t="s">
        <v>127</v>
      </c>
      <c r="AY173" s="96" t="s">
        <v>1085</v>
      </c>
      <c r="AZ173" s="96" t="s">
        <v>1091</v>
      </c>
      <c r="BA173" s="96" t="s">
        <v>1092</v>
      </c>
      <c r="BB173" s="4" t="s">
        <v>1093</v>
      </c>
      <c r="BC173" s="4" t="s">
        <v>1094</v>
      </c>
      <c r="BD173" s="4" t="s">
        <v>127</v>
      </c>
      <c r="BE173" s="4" t="s">
        <v>127</v>
      </c>
      <c r="BF173" s="4"/>
      <c r="BG173" s="4"/>
      <c r="BH173" s="4"/>
      <c r="BI173" s="4"/>
      <c r="BJ173" s="4"/>
      <c r="BK173" s="4"/>
      <c r="BL173" s="4"/>
      <c r="BM173" s="4"/>
      <c r="BN173" s="4"/>
      <c r="BO173" s="4"/>
    </row>
    <row r="174" spans="1:67" ht="16" x14ac:dyDescent="0.4">
      <c r="A174" s="4" t="s">
        <v>1095</v>
      </c>
      <c r="B174" s="4" t="s">
        <v>1095</v>
      </c>
      <c r="C174" s="4" t="s">
        <v>127</v>
      </c>
      <c r="D174" s="4" t="s">
        <v>128</v>
      </c>
      <c r="E174" s="189">
        <v>45260</v>
      </c>
      <c r="F174" s="6">
        <f t="shared" si="8"/>
        <v>2023</v>
      </c>
      <c r="G174" s="4" t="s">
        <v>1096</v>
      </c>
      <c r="H174" s="22" t="str">
        <f>VLOOKUP($G174,'Item Classification'!B:C,2,0)</f>
        <v>Infrared decoy target</v>
      </c>
      <c r="I174" s="6" t="str">
        <f>VLOOKUP($G174,'Item Classification'!B:D,3,0)</f>
        <v>Aircraft</v>
      </c>
      <c r="J174" s="23">
        <f>VLOOKUP($G174,'Item Classification'!B:E,4,0)</f>
        <v>11</v>
      </c>
      <c r="K174" s="116" t="s">
        <v>189</v>
      </c>
      <c r="L174" s="116" t="s">
        <v>1097</v>
      </c>
      <c r="M174" s="116" t="str">
        <f>VLOOKUP(L174,'NATO Classifications'!$D$6:$E$647,2,0)</f>
        <v>Ammunition and Explosives (other)</v>
      </c>
      <c r="N174" s="4">
        <v>476280</v>
      </c>
      <c r="O174" s="81">
        <f t="shared" si="10"/>
        <v>103.51054001847653</v>
      </c>
      <c r="P174" s="81">
        <f t="shared" si="11"/>
        <v>103.51054001847653</v>
      </c>
      <c r="Q174" s="4">
        <v>2024</v>
      </c>
      <c r="R174" s="4">
        <v>2029</v>
      </c>
      <c r="S174" s="112">
        <v>49300000</v>
      </c>
      <c r="T174" s="91" t="s">
        <v>132</v>
      </c>
      <c r="U174" s="104">
        <f>_xlfn.IFNA(S174/INDEX('Exchange Rates'!$C$7:$F$14,MATCH('MAIN DATA, Orders'!F174,'Exchange Rates'!$B$7:$B$14,0),MATCH('MAIN DATA, Orders'!T174,'Exchange Rates'!$C$6:$F$6,0)), "-")</f>
        <v>49300000</v>
      </c>
      <c r="V174" s="4" t="s">
        <v>133</v>
      </c>
      <c r="W174" s="4" t="s">
        <v>127</v>
      </c>
      <c r="X174" s="4" t="s">
        <v>128</v>
      </c>
      <c r="Y174" s="24">
        <f t="shared" si="12"/>
        <v>202311</v>
      </c>
      <c r="Z174" s="115">
        <v>1</v>
      </c>
      <c r="AA174" s="115">
        <v>0</v>
      </c>
      <c r="AB174" s="115">
        <v>0</v>
      </c>
      <c r="AC174" s="115">
        <v>1</v>
      </c>
      <c r="AD174" s="115">
        <v>0</v>
      </c>
      <c r="AE174" s="115">
        <v>0</v>
      </c>
      <c r="AF174" s="115">
        <v>0</v>
      </c>
      <c r="AG174" s="4" t="s">
        <v>256</v>
      </c>
      <c r="AH174" s="4" t="s">
        <v>128</v>
      </c>
      <c r="AI174" s="4" t="s">
        <v>128</v>
      </c>
      <c r="AJ174" s="4" t="s">
        <v>127</v>
      </c>
      <c r="AK174" s="4" t="s">
        <v>127</v>
      </c>
      <c r="AL174" s="4" t="s">
        <v>127</v>
      </c>
      <c r="AM174" s="4" t="s">
        <v>127</v>
      </c>
      <c r="AN174" s="4" t="s">
        <v>127</v>
      </c>
      <c r="AO174" s="4" t="s">
        <v>127</v>
      </c>
      <c r="AP174" s="4" t="s">
        <v>127</v>
      </c>
      <c r="AQ174" s="4" t="s">
        <v>127</v>
      </c>
      <c r="AR174" s="4" t="s">
        <v>127</v>
      </c>
      <c r="AS174" s="4" t="s">
        <v>127</v>
      </c>
      <c r="AT174" s="4" t="s">
        <v>127</v>
      </c>
      <c r="AU174" s="4" t="s">
        <v>127</v>
      </c>
      <c r="AV174" s="4" t="s">
        <v>127</v>
      </c>
      <c r="AW174" s="4" t="s">
        <v>127</v>
      </c>
      <c r="AX174" s="4" t="s">
        <v>127</v>
      </c>
      <c r="AY174" s="96" t="s">
        <v>1098</v>
      </c>
      <c r="AZ174" s="96" t="s">
        <v>1099</v>
      </c>
      <c r="BA174" s="96" t="s">
        <v>1100</v>
      </c>
      <c r="BB174" s="4" t="s">
        <v>1101</v>
      </c>
      <c r="BC174" s="4" t="s">
        <v>1102</v>
      </c>
      <c r="BD174" s="4" t="s">
        <v>127</v>
      </c>
      <c r="BE174" s="4" t="s">
        <v>127</v>
      </c>
      <c r="BF174" s="4"/>
      <c r="BG174" s="4"/>
      <c r="BH174" s="4"/>
      <c r="BI174" s="4"/>
      <c r="BJ174" s="4"/>
      <c r="BK174" s="4"/>
      <c r="BL174" s="4"/>
      <c r="BM174" s="4"/>
      <c r="BN174" s="4"/>
      <c r="BO174" s="4"/>
    </row>
    <row r="175" spans="1:67" ht="16" x14ac:dyDescent="0.4">
      <c r="A175" s="4" t="s">
        <v>1103</v>
      </c>
      <c r="B175" s="4" t="s">
        <v>1103</v>
      </c>
      <c r="C175" s="4" t="s">
        <v>127</v>
      </c>
      <c r="D175" s="4" t="s">
        <v>128</v>
      </c>
      <c r="E175" s="189">
        <v>45260</v>
      </c>
      <c r="F175" s="6">
        <f t="shared" si="8"/>
        <v>2023</v>
      </c>
      <c r="G175" s="4" t="s">
        <v>127</v>
      </c>
      <c r="H175" s="22" t="s">
        <v>1104</v>
      </c>
      <c r="I175" s="6" t="s">
        <v>1105</v>
      </c>
      <c r="J175" s="23">
        <v>1</v>
      </c>
      <c r="K175" s="116" t="s">
        <v>274</v>
      </c>
      <c r="L175" s="116" t="s">
        <v>329</v>
      </c>
      <c r="M175" s="116" t="str">
        <f>VLOOKUP(L175,'NATO Classifications'!$D$6:$E$647,2,0)</f>
        <v>Combat, Assault, and Tactical Vehicles, Tracked</v>
      </c>
      <c r="N175" s="4"/>
      <c r="O175" s="81"/>
      <c r="P175" s="81"/>
      <c r="Q175" s="4"/>
      <c r="R175" s="4"/>
      <c r="S175" s="112">
        <v>192000000</v>
      </c>
      <c r="T175" s="91" t="s">
        <v>132</v>
      </c>
      <c r="U175" s="104">
        <f>_xlfn.IFNA(S175/INDEX('Exchange Rates'!$C$7:$F$14,MATCH('MAIN DATA, Orders'!F175,'Exchange Rates'!$B$7:$B$14,0),MATCH('MAIN DATA, Orders'!T175,'Exchange Rates'!$C$6:$F$6,0)), "-")</f>
        <v>192000000</v>
      </c>
      <c r="V175" s="4" t="s">
        <v>682</v>
      </c>
      <c r="W175" s="4" t="s">
        <v>127</v>
      </c>
      <c r="X175" s="4" t="s">
        <v>128</v>
      </c>
      <c r="Y175" s="24">
        <f t="shared" si="12"/>
        <v>202311</v>
      </c>
      <c r="Z175" s="115">
        <v>1</v>
      </c>
      <c r="AA175" s="115">
        <v>0</v>
      </c>
      <c r="AB175" s="115">
        <v>0</v>
      </c>
      <c r="AC175" s="115">
        <v>1</v>
      </c>
      <c r="AD175" s="115">
        <v>0</v>
      </c>
      <c r="AE175" s="115">
        <v>0</v>
      </c>
      <c r="AF175" s="115">
        <v>0</v>
      </c>
      <c r="AG175" s="122" t="s">
        <v>488</v>
      </c>
      <c r="AH175" s="4" t="s">
        <v>128</v>
      </c>
      <c r="AI175" s="4" t="s">
        <v>127</v>
      </c>
      <c r="AJ175" s="4" t="s">
        <v>127</v>
      </c>
      <c r="AK175" s="4" t="s">
        <v>127</v>
      </c>
      <c r="AL175" s="4" t="s">
        <v>127</v>
      </c>
      <c r="AM175" s="4" t="s">
        <v>127</v>
      </c>
      <c r="AN175" s="4" t="s">
        <v>127</v>
      </c>
      <c r="AO175" s="4" t="s">
        <v>127</v>
      </c>
      <c r="AP175" s="4" t="s">
        <v>127</v>
      </c>
      <c r="AQ175" s="4" t="s">
        <v>127</v>
      </c>
      <c r="AR175" s="4" t="s">
        <v>127</v>
      </c>
      <c r="AS175" s="4" t="s">
        <v>127</v>
      </c>
      <c r="AT175" s="4" t="s">
        <v>127</v>
      </c>
      <c r="AU175" s="4" t="s">
        <v>127</v>
      </c>
      <c r="AV175" s="4" t="s">
        <v>127</v>
      </c>
      <c r="AW175" s="4" t="s">
        <v>127</v>
      </c>
      <c r="AX175" s="4" t="s">
        <v>127</v>
      </c>
      <c r="AY175" s="96" t="s">
        <v>1098</v>
      </c>
      <c r="AZ175" s="96" t="s">
        <v>1100</v>
      </c>
      <c r="BA175" s="4" t="s">
        <v>127</v>
      </c>
      <c r="BB175" s="4" t="s">
        <v>1106</v>
      </c>
      <c r="BC175" s="4" t="s">
        <v>1107</v>
      </c>
      <c r="BD175" s="4" t="s">
        <v>127</v>
      </c>
      <c r="BE175" s="4" t="s">
        <v>127</v>
      </c>
      <c r="BF175" s="4" t="s">
        <v>200</v>
      </c>
      <c r="BG175" s="4" t="s">
        <v>200</v>
      </c>
      <c r="BH175" s="4" t="s">
        <v>200</v>
      </c>
      <c r="BI175" s="4" t="s">
        <v>200</v>
      </c>
      <c r="BJ175" s="4" t="s">
        <v>200</v>
      </c>
      <c r="BK175" s="4" t="s">
        <v>200</v>
      </c>
      <c r="BL175" s="4" t="s">
        <v>200</v>
      </c>
      <c r="BM175" s="4" t="s">
        <v>200</v>
      </c>
      <c r="BN175" s="4" t="s">
        <v>200</v>
      </c>
      <c r="BO175" s="4" t="s">
        <v>200</v>
      </c>
    </row>
    <row r="176" spans="1:67" ht="16" x14ac:dyDescent="0.4">
      <c r="A176" s="4" t="s">
        <v>1103</v>
      </c>
      <c r="B176" s="4" t="s">
        <v>1108</v>
      </c>
      <c r="C176" s="4" t="s">
        <v>127</v>
      </c>
      <c r="D176" s="4" t="s">
        <v>128</v>
      </c>
      <c r="E176" s="189">
        <v>45260</v>
      </c>
      <c r="F176" s="6">
        <f t="shared" si="8"/>
        <v>2023</v>
      </c>
      <c r="G176" s="4" t="s">
        <v>1109</v>
      </c>
      <c r="H176" s="22" t="str">
        <f>VLOOKUP($G176,'Item Classification'!B:C,2,0)</f>
        <v>Main Battle Tank (MBT) (training)</v>
      </c>
      <c r="I176" s="6" t="str">
        <f>VLOOKUP($G176,'Item Classification'!B:D,3,0)</f>
        <v>Tank</v>
      </c>
      <c r="J176" s="23">
        <f>VLOOKUP($G176,'Item Classification'!B:E,4,0)</f>
        <v>1</v>
      </c>
      <c r="K176" s="116" t="s">
        <v>274</v>
      </c>
      <c r="L176" s="116" t="s">
        <v>329</v>
      </c>
      <c r="M176" s="116" t="str">
        <f>VLOOKUP(L176,'NATO Classifications'!$D$6:$E$647,2,0)</f>
        <v>Combat, Assault, and Tactical Vehicles, Tracked</v>
      </c>
      <c r="N176" s="4">
        <v>16</v>
      </c>
      <c r="O176" s="81"/>
      <c r="P176" s="81"/>
      <c r="Q176" s="4">
        <v>2026</v>
      </c>
      <c r="R176" s="4">
        <v>2029</v>
      </c>
      <c r="S176" s="4"/>
      <c r="T176" s="91" t="s">
        <v>132</v>
      </c>
      <c r="U176" s="104">
        <f>_xlfn.IFNA(S176/INDEX('Exchange Rates'!$C$7:$F$14,MATCH('MAIN DATA, Orders'!F176,'Exchange Rates'!$B$7:$B$14,0),MATCH('MAIN DATA, Orders'!T176,'Exchange Rates'!$C$6:$F$6,0)), "-")</f>
        <v>0</v>
      </c>
      <c r="V176" s="4" t="s">
        <v>682</v>
      </c>
      <c r="W176" s="4" t="s">
        <v>127</v>
      </c>
      <c r="X176" s="4" t="s">
        <v>128</v>
      </c>
      <c r="Y176" s="24">
        <f t="shared" si="12"/>
        <v>202311</v>
      </c>
      <c r="Z176" s="115">
        <v>1</v>
      </c>
      <c r="AA176" s="115">
        <v>0</v>
      </c>
      <c r="AB176" s="115">
        <v>0</v>
      </c>
      <c r="AC176" s="115">
        <v>1</v>
      </c>
      <c r="AD176" s="115">
        <v>0</v>
      </c>
      <c r="AE176" s="115">
        <v>0</v>
      </c>
      <c r="AF176" s="115">
        <v>0</v>
      </c>
      <c r="AG176" s="122" t="s">
        <v>488</v>
      </c>
      <c r="AH176" s="4" t="s">
        <v>128</v>
      </c>
      <c r="AI176" s="4" t="s">
        <v>127</v>
      </c>
      <c r="AJ176" s="4" t="s">
        <v>127</v>
      </c>
      <c r="AK176" s="4" t="s">
        <v>127</v>
      </c>
      <c r="AL176" s="4" t="s">
        <v>127</v>
      </c>
      <c r="AM176" s="4" t="s">
        <v>127</v>
      </c>
      <c r="AN176" s="4" t="s">
        <v>127</v>
      </c>
      <c r="AO176" s="4" t="s">
        <v>127</v>
      </c>
      <c r="AP176" s="4" t="s">
        <v>127</v>
      </c>
      <c r="AQ176" s="4" t="s">
        <v>127</v>
      </c>
      <c r="AR176" s="4" t="s">
        <v>127</v>
      </c>
      <c r="AS176" s="4" t="s">
        <v>127</v>
      </c>
      <c r="AT176" s="4" t="s">
        <v>127</v>
      </c>
      <c r="AU176" s="4" t="s">
        <v>127</v>
      </c>
      <c r="AV176" s="4" t="s">
        <v>127</v>
      </c>
      <c r="AW176" s="4" t="s">
        <v>127</v>
      </c>
      <c r="AX176" s="4" t="s">
        <v>127</v>
      </c>
      <c r="AY176" s="96" t="s">
        <v>1098</v>
      </c>
      <c r="AZ176" s="96" t="s">
        <v>1100</v>
      </c>
      <c r="BA176" s="4" t="s">
        <v>127</v>
      </c>
      <c r="BB176" s="4" t="s">
        <v>1106</v>
      </c>
      <c r="BC176" s="4" t="s">
        <v>1107</v>
      </c>
      <c r="BD176" s="4" t="s">
        <v>127</v>
      </c>
      <c r="BE176" s="4" t="s">
        <v>127</v>
      </c>
      <c r="BF176" s="4" t="s">
        <v>200</v>
      </c>
      <c r="BG176" s="4" t="s">
        <v>200</v>
      </c>
      <c r="BH176" s="4" t="s">
        <v>200</v>
      </c>
      <c r="BI176" s="4" t="s">
        <v>200</v>
      </c>
      <c r="BJ176" s="4" t="s">
        <v>200</v>
      </c>
      <c r="BK176" s="4" t="s">
        <v>200</v>
      </c>
      <c r="BL176" s="4" t="s">
        <v>200</v>
      </c>
      <c r="BM176" s="4" t="s">
        <v>200</v>
      </c>
      <c r="BN176" s="4" t="s">
        <v>200</v>
      </c>
      <c r="BO176" s="4" t="s">
        <v>200</v>
      </c>
    </row>
    <row r="177" spans="1:67" ht="16" x14ac:dyDescent="0.4">
      <c r="A177" s="4" t="s">
        <v>1103</v>
      </c>
      <c r="B177" s="4" t="s">
        <v>1110</v>
      </c>
      <c r="C177" s="4" t="s">
        <v>127</v>
      </c>
      <c r="D177" s="33" t="s">
        <v>128</v>
      </c>
      <c r="E177" s="189">
        <v>45260</v>
      </c>
      <c r="F177" s="6">
        <f t="shared" si="8"/>
        <v>2023</v>
      </c>
      <c r="G177" s="4" t="s">
        <v>1111</v>
      </c>
      <c r="H177" s="22" t="str">
        <f>VLOOKUP($G177,'Item Classification'!B:C,2,0)</f>
        <v>Main Battle Tank (MBT) (training)</v>
      </c>
      <c r="I177" s="6" t="str">
        <f>VLOOKUP($G177,'Item Classification'!B:D,3,0)</f>
        <v>Tank</v>
      </c>
      <c r="J177" s="23">
        <f>VLOOKUP($G177,'Item Classification'!B:E,4,0)</f>
        <v>1</v>
      </c>
      <c r="K177" s="116" t="s">
        <v>274</v>
      </c>
      <c r="L177" s="116" t="s">
        <v>329</v>
      </c>
      <c r="M177" s="116" t="str">
        <f>VLOOKUP(L177,'NATO Classifications'!$D$6:$E$647,2,0)</f>
        <v>Combat, Assault, and Tactical Vehicles, Tracked</v>
      </c>
      <c r="N177" s="4">
        <v>8</v>
      </c>
      <c r="O177" s="81"/>
      <c r="P177" s="81"/>
      <c r="Q177" s="4">
        <v>2026</v>
      </c>
      <c r="R177" s="4">
        <v>2029</v>
      </c>
      <c r="S177" s="4"/>
      <c r="T177" s="91" t="s">
        <v>132</v>
      </c>
      <c r="U177" s="104">
        <f>_xlfn.IFNA(S177/INDEX('Exchange Rates'!$C$7:$F$14,MATCH('MAIN DATA, Orders'!F177,'Exchange Rates'!$B$7:$B$14,0),MATCH('MAIN DATA, Orders'!T177,'Exchange Rates'!$C$6:$F$6,0)), "-")</f>
        <v>0</v>
      </c>
      <c r="V177" s="4" t="s">
        <v>682</v>
      </c>
      <c r="W177" s="4" t="s">
        <v>127</v>
      </c>
      <c r="X177" s="4" t="s">
        <v>128</v>
      </c>
      <c r="Y177" s="24">
        <f t="shared" si="12"/>
        <v>202311</v>
      </c>
      <c r="Z177" s="115">
        <v>1</v>
      </c>
      <c r="AA177" s="115">
        <v>0</v>
      </c>
      <c r="AB177" s="115">
        <v>0</v>
      </c>
      <c r="AC177" s="115">
        <v>1</v>
      </c>
      <c r="AD177" s="115">
        <v>0</v>
      </c>
      <c r="AE177" s="115">
        <v>0</v>
      </c>
      <c r="AF177" s="115">
        <v>0</v>
      </c>
      <c r="AG177" s="122" t="s">
        <v>488</v>
      </c>
      <c r="AH177" s="4" t="s">
        <v>128</v>
      </c>
      <c r="AI177" s="4" t="s">
        <v>127</v>
      </c>
      <c r="AJ177" s="4" t="s">
        <v>127</v>
      </c>
      <c r="AK177" s="4" t="s">
        <v>127</v>
      </c>
      <c r="AL177" s="4" t="s">
        <v>127</v>
      </c>
      <c r="AM177" s="4" t="s">
        <v>127</v>
      </c>
      <c r="AN177" s="4" t="s">
        <v>127</v>
      </c>
      <c r="AO177" s="4" t="s">
        <v>127</v>
      </c>
      <c r="AP177" s="4" t="s">
        <v>127</v>
      </c>
      <c r="AQ177" s="4" t="s">
        <v>127</v>
      </c>
      <c r="AR177" s="4" t="s">
        <v>127</v>
      </c>
      <c r="AS177" s="4" t="s">
        <v>127</v>
      </c>
      <c r="AT177" s="4" t="s">
        <v>127</v>
      </c>
      <c r="AU177" s="4" t="s">
        <v>127</v>
      </c>
      <c r="AV177" s="4" t="s">
        <v>127</v>
      </c>
      <c r="AW177" s="4" t="s">
        <v>127</v>
      </c>
      <c r="AX177" s="4" t="s">
        <v>127</v>
      </c>
      <c r="AY177" s="96" t="s">
        <v>1098</v>
      </c>
      <c r="AZ177" s="96" t="s">
        <v>1100</v>
      </c>
      <c r="BA177" s="4" t="s">
        <v>127</v>
      </c>
      <c r="BB177" s="4" t="s">
        <v>1106</v>
      </c>
      <c r="BC177" s="4" t="s">
        <v>1107</v>
      </c>
      <c r="BD177" s="4" t="s">
        <v>127</v>
      </c>
      <c r="BE177" s="4" t="s">
        <v>127</v>
      </c>
      <c r="BF177" s="4" t="s">
        <v>200</v>
      </c>
      <c r="BG177" s="4" t="s">
        <v>200</v>
      </c>
      <c r="BH177" s="4" t="s">
        <v>200</v>
      </c>
      <c r="BI177" s="4" t="s">
        <v>200</v>
      </c>
      <c r="BJ177" s="4" t="s">
        <v>200</v>
      </c>
      <c r="BK177" s="4" t="s">
        <v>200</v>
      </c>
      <c r="BL177" s="4" t="s">
        <v>200</v>
      </c>
      <c r="BM177" s="4" t="s">
        <v>200</v>
      </c>
      <c r="BN177" s="4" t="s">
        <v>200</v>
      </c>
      <c r="BO177" s="4" t="s">
        <v>200</v>
      </c>
    </row>
    <row r="178" spans="1:67" ht="16" x14ac:dyDescent="0.4">
      <c r="A178" s="4" t="s">
        <v>1112</v>
      </c>
      <c r="B178" s="4" t="s">
        <v>1112</v>
      </c>
      <c r="C178" s="4" t="s">
        <v>1113</v>
      </c>
      <c r="D178" s="4" t="s">
        <v>128</v>
      </c>
      <c r="E178" s="189">
        <v>45274</v>
      </c>
      <c r="F178" s="6">
        <f t="shared" si="8"/>
        <v>2023</v>
      </c>
      <c r="G178" s="4" t="s">
        <v>1114</v>
      </c>
      <c r="H178" s="22" t="str">
        <f>VLOOKUP($G178,'Item Classification'!B:C,2,0)</f>
        <v>155mm howitzer ammunition</v>
      </c>
      <c r="I178" s="6" t="str">
        <f>VLOOKUP($G178,'Item Classification'!B:D,3,0)</f>
        <v>Ammunition</v>
      </c>
      <c r="J178" s="23">
        <f>VLOOKUP($G178,'Item Classification'!B:E,4,0)</f>
        <v>4</v>
      </c>
      <c r="K178" s="116" t="s">
        <v>189</v>
      </c>
      <c r="L178" s="116" t="s">
        <v>733</v>
      </c>
      <c r="M178" s="116" t="str">
        <f>VLOOKUP(L178,'NATO Classifications'!$D$6:$E$647,2,0)</f>
        <v>Ammunition over 75mm</v>
      </c>
      <c r="N178" s="4">
        <v>68000</v>
      </c>
      <c r="O178" s="81">
        <f t="shared" si="10"/>
        <v>4088.2352941176468</v>
      </c>
      <c r="P178" s="81">
        <f t="shared" si="11"/>
        <v>4088.2352941176468</v>
      </c>
      <c r="Q178" s="4"/>
      <c r="R178" s="4"/>
      <c r="S178" s="112">
        <v>278000000</v>
      </c>
      <c r="T178" s="91" t="s">
        <v>132</v>
      </c>
      <c r="U178" s="104">
        <f>_xlfn.IFNA(S178/INDEX('Exchange Rates'!$C$7:$F$14,MATCH('MAIN DATA, Orders'!F178,'Exchange Rates'!$B$7:$B$14,0),MATCH('MAIN DATA, Orders'!T178,'Exchange Rates'!$C$6:$F$6,0)), "-")</f>
        <v>278000000</v>
      </c>
      <c r="V178" s="4" t="s">
        <v>808</v>
      </c>
      <c r="W178" s="4" t="s">
        <v>127</v>
      </c>
      <c r="X178" s="4" t="s">
        <v>809</v>
      </c>
      <c r="Y178" s="24">
        <f t="shared" si="12"/>
        <v>202312</v>
      </c>
      <c r="Z178" s="115">
        <v>1</v>
      </c>
      <c r="AA178" s="115">
        <v>0</v>
      </c>
      <c r="AB178" s="115">
        <v>0</v>
      </c>
      <c r="AC178" s="115">
        <v>1</v>
      </c>
      <c r="AD178" s="115">
        <v>0</v>
      </c>
      <c r="AE178" s="115">
        <v>0</v>
      </c>
      <c r="AF178" s="115">
        <v>0</v>
      </c>
      <c r="AG178" s="4" t="s">
        <v>1115</v>
      </c>
      <c r="AH178" s="4" t="s">
        <v>151</v>
      </c>
      <c r="AI178" s="4" t="s">
        <v>127</v>
      </c>
      <c r="AJ178" s="4" t="s">
        <v>127</v>
      </c>
      <c r="AK178" s="4" t="s">
        <v>127</v>
      </c>
      <c r="AL178" s="4" t="s">
        <v>127</v>
      </c>
      <c r="AM178" s="4" t="s">
        <v>127</v>
      </c>
      <c r="AN178" s="4" t="s">
        <v>127</v>
      </c>
      <c r="AO178" s="4" t="s">
        <v>127</v>
      </c>
      <c r="AP178" s="4" t="s">
        <v>127</v>
      </c>
      <c r="AQ178" s="4" t="s">
        <v>127</v>
      </c>
      <c r="AR178" s="4" t="s">
        <v>127</v>
      </c>
      <c r="AS178" s="4" t="s">
        <v>127</v>
      </c>
      <c r="AT178" s="4" t="s">
        <v>127</v>
      </c>
      <c r="AU178" s="4" t="s">
        <v>127</v>
      </c>
      <c r="AV178" s="4" t="s">
        <v>127</v>
      </c>
      <c r="AW178" s="4" t="s">
        <v>127</v>
      </c>
      <c r="AX178" s="4" t="s">
        <v>127</v>
      </c>
      <c r="AY178" s="96" t="s">
        <v>1116</v>
      </c>
      <c r="AZ178" s="96" t="s">
        <v>1091</v>
      </c>
      <c r="BA178" s="96" t="s">
        <v>1117</v>
      </c>
      <c r="BB178" s="4" t="s">
        <v>1118</v>
      </c>
      <c r="BC178" s="4" t="s">
        <v>1119</v>
      </c>
      <c r="BD178" s="4" t="s">
        <v>127</v>
      </c>
      <c r="BE178" s="4" t="s">
        <v>127</v>
      </c>
      <c r="BF178" s="4"/>
      <c r="BG178" s="4"/>
      <c r="BH178" s="4"/>
      <c r="BI178" s="4"/>
      <c r="BJ178" s="4"/>
      <c r="BK178" s="4"/>
      <c r="BL178" s="4"/>
      <c r="BM178" s="4"/>
      <c r="BN178" s="4"/>
      <c r="BO178" s="4"/>
    </row>
    <row r="179" spans="1:67" ht="16" x14ac:dyDescent="0.4">
      <c r="A179" s="4" t="s">
        <v>1120</v>
      </c>
      <c r="B179" s="4" t="s">
        <v>1120</v>
      </c>
      <c r="C179" s="4" t="s">
        <v>127</v>
      </c>
      <c r="D179" s="4" t="s">
        <v>128</v>
      </c>
      <c r="E179" s="189">
        <v>45274</v>
      </c>
      <c r="F179" s="6">
        <f t="shared" si="8"/>
        <v>2023</v>
      </c>
      <c r="G179" s="4" t="s">
        <v>1121</v>
      </c>
      <c r="H179" s="22" t="str">
        <f>VLOOKUP($G179,'Item Classification'!B:C,2,0)</f>
        <v>Light attack helicopter</v>
      </c>
      <c r="I179" s="6" t="str">
        <f>VLOOKUP($G179,'Item Classification'!B:D,3,0)</f>
        <v>Helicopter</v>
      </c>
      <c r="J179" s="23">
        <f>VLOOKUP($G179,'Item Classification'!B:E,4,0)</f>
        <v>10</v>
      </c>
      <c r="K179" s="116" t="s">
        <v>130</v>
      </c>
      <c r="L179" s="116" t="s">
        <v>266</v>
      </c>
      <c r="M179" s="116" t="str">
        <f>VLOOKUP(L179,'NATO Classifications'!$D$6:$E$647,2,0)</f>
        <v>Aircraft, Rotary Wing</v>
      </c>
      <c r="N179" s="4">
        <v>62</v>
      </c>
      <c r="O179" s="81">
        <f t="shared" si="10"/>
        <v>42419354.838709675</v>
      </c>
      <c r="P179" s="81">
        <f t="shared" si="11"/>
        <v>42419354.838709675</v>
      </c>
      <c r="Q179" s="4">
        <v>2024</v>
      </c>
      <c r="R179" s="4">
        <v>2028</v>
      </c>
      <c r="S179" s="112">
        <v>2630000000</v>
      </c>
      <c r="T179" s="91" t="s">
        <v>132</v>
      </c>
      <c r="U179" s="104">
        <f>_xlfn.IFNA(S179/INDEX('Exchange Rates'!$C$7:$F$14,MATCH('MAIN DATA, Orders'!F179,'Exchange Rates'!$B$7:$B$14,0),MATCH('MAIN DATA, Orders'!T179,'Exchange Rates'!$C$6:$F$6,0)), "-")</f>
        <v>2630000000</v>
      </c>
      <c r="V179" s="4" t="s">
        <v>682</v>
      </c>
      <c r="W179" s="4" t="s">
        <v>133</v>
      </c>
      <c r="X179" s="4" t="s">
        <v>128</v>
      </c>
      <c r="Y179" s="24">
        <f t="shared" si="12"/>
        <v>202312</v>
      </c>
      <c r="Z179" s="115">
        <v>1</v>
      </c>
      <c r="AA179" s="115">
        <v>0</v>
      </c>
      <c r="AB179" s="115">
        <v>0</v>
      </c>
      <c r="AC179" s="115">
        <v>1</v>
      </c>
      <c r="AD179" s="115">
        <v>1</v>
      </c>
      <c r="AE179" s="115">
        <v>0</v>
      </c>
      <c r="AF179" s="115">
        <v>1</v>
      </c>
      <c r="AG179" s="4" t="s">
        <v>267</v>
      </c>
      <c r="AH179" s="4" t="s">
        <v>128</v>
      </c>
      <c r="AI179" s="4" t="s">
        <v>127</v>
      </c>
      <c r="AJ179" s="4" t="s">
        <v>127</v>
      </c>
      <c r="AK179" s="4" t="s">
        <v>127</v>
      </c>
      <c r="AL179" s="4" t="s">
        <v>127</v>
      </c>
      <c r="AM179" s="4" t="s">
        <v>127</v>
      </c>
      <c r="AN179" s="4" t="s">
        <v>151</v>
      </c>
      <c r="AO179" s="4" t="s">
        <v>127</v>
      </c>
      <c r="AP179" s="4" t="s">
        <v>127</v>
      </c>
      <c r="AQ179" s="4" t="s">
        <v>127</v>
      </c>
      <c r="AR179" s="4" t="s">
        <v>127</v>
      </c>
      <c r="AS179" s="4" t="s">
        <v>127</v>
      </c>
      <c r="AT179" s="4" t="s">
        <v>127</v>
      </c>
      <c r="AU179" s="4" t="s">
        <v>127</v>
      </c>
      <c r="AV179" s="4" t="s">
        <v>127</v>
      </c>
      <c r="AW179" s="4" t="s">
        <v>127</v>
      </c>
      <c r="AX179" s="4" t="s">
        <v>127</v>
      </c>
      <c r="AY179" s="96" t="s">
        <v>1122</v>
      </c>
      <c r="AZ179" s="96" t="s">
        <v>1123</v>
      </c>
      <c r="BA179" s="96" t="s">
        <v>1124</v>
      </c>
      <c r="BB179" s="4" t="s">
        <v>1125</v>
      </c>
      <c r="BC179" s="4" t="s">
        <v>1126</v>
      </c>
      <c r="BD179" s="4" t="s">
        <v>1127</v>
      </c>
      <c r="BE179" s="4" t="s">
        <v>127</v>
      </c>
      <c r="BF179" s="4"/>
      <c r="BG179" s="4"/>
      <c r="BH179" s="4"/>
      <c r="BI179" s="4"/>
      <c r="BJ179" s="4"/>
      <c r="BK179" s="4"/>
      <c r="BL179" s="4"/>
      <c r="BM179" s="4"/>
      <c r="BN179" s="4"/>
      <c r="BO179" s="4"/>
    </row>
    <row r="180" spans="1:67" ht="16" x14ac:dyDescent="0.4">
      <c r="A180" s="4" t="s">
        <v>1128</v>
      </c>
      <c r="B180" s="4" t="s">
        <v>1128</v>
      </c>
      <c r="C180" s="4" t="s">
        <v>774</v>
      </c>
      <c r="D180" s="4" t="s">
        <v>128</v>
      </c>
      <c r="E180" s="189">
        <v>45274</v>
      </c>
      <c r="F180" s="6">
        <f t="shared" si="8"/>
        <v>2023</v>
      </c>
      <c r="G180" s="4" t="s">
        <v>1129</v>
      </c>
      <c r="H180" s="22" t="str">
        <f>VLOOKUP($G180,'Item Classification'!B:C,2,0)</f>
        <v>All-terrain vehicle equipment</v>
      </c>
      <c r="I180" s="6" t="str">
        <f>VLOOKUP($G180,'Item Classification'!B:D,3,0)</f>
        <v>Armoured vehicle</v>
      </c>
      <c r="J180" s="23">
        <f>VLOOKUP($G180,'Item Classification'!B:E,4,0)</f>
        <v>2</v>
      </c>
      <c r="K180" s="116" t="s">
        <v>158</v>
      </c>
      <c r="L180" s="116" t="s">
        <v>567</v>
      </c>
      <c r="M180" s="116" t="str">
        <f>VLOOKUP(L180,'NATO Classifications'!$D$6:$E$647,2,0)</f>
        <v>Communication, Detection, and Coherent Radiation Equipment (other)</v>
      </c>
      <c r="N180" s="4">
        <v>367</v>
      </c>
      <c r="O180" s="81">
        <f t="shared" si="10"/>
        <v>174386.92098092643</v>
      </c>
      <c r="P180" s="81">
        <f t="shared" si="11"/>
        <v>174386.92098092643</v>
      </c>
      <c r="Q180" s="4"/>
      <c r="R180" s="4"/>
      <c r="S180" s="112">
        <v>64000000</v>
      </c>
      <c r="T180" s="91" t="s">
        <v>132</v>
      </c>
      <c r="U180" s="104">
        <f>_xlfn.IFNA(S180/INDEX('Exchange Rates'!$C$7:$F$14,MATCH('MAIN DATA, Orders'!F180,'Exchange Rates'!$B$7:$B$14,0),MATCH('MAIN DATA, Orders'!T180,'Exchange Rates'!$C$6:$F$6,0)), "-")</f>
        <v>64000000</v>
      </c>
      <c r="V180" s="4" t="s">
        <v>682</v>
      </c>
      <c r="W180" s="4" t="s">
        <v>127</v>
      </c>
      <c r="X180" s="4" t="s">
        <v>128</v>
      </c>
      <c r="Y180" s="24">
        <f t="shared" si="12"/>
        <v>202312</v>
      </c>
      <c r="Z180" s="115">
        <v>0</v>
      </c>
      <c r="AA180" s="115">
        <v>0</v>
      </c>
      <c r="AB180" s="115">
        <v>0</v>
      </c>
      <c r="AC180" s="115">
        <v>1</v>
      </c>
      <c r="AD180" s="115">
        <v>1</v>
      </c>
      <c r="AE180" s="115">
        <v>0</v>
      </c>
      <c r="AF180" s="115">
        <v>1</v>
      </c>
      <c r="AG180" s="4" t="s">
        <v>776</v>
      </c>
      <c r="AH180" s="4" t="s">
        <v>128</v>
      </c>
      <c r="AI180" s="4" t="s">
        <v>213</v>
      </c>
      <c r="AJ180" s="4" t="s">
        <v>127</v>
      </c>
      <c r="AK180" s="4" t="s">
        <v>127</v>
      </c>
      <c r="AL180" s="4" t="s">
        <v>127</v>
      </c>
      <c r="AM180" s="4" t="s">
        <v>127</v>
      </c>
      <c r="AN180" s="4" t="s">
        <v>213</v>
      </c>
      <c r="AO180" s="4" t="s">
        <v>238</v>
      </c>
      <c r="AP180" s="4" t="s">
        <v>127</v>
      </c>
      <c r="AQ180" s="4" t="s">
        <v>127</v>
      </c>
      <c r="AR180" s="4" t="s">
        <v>127</v>
      </c>
      <c r="AS180" s="4" t="s">
        <v>127</v>
      </c>
      <c r="AT180" s="4" t="s">
        <v>127</v>
      </c>
      <c r="AU180" s="4" t="s">
        <v>127</v>
      </c>
      <c r="AV180" s="4" t="s">
        <v>127</v>
      </c>
      <c r="AW180" s="4" t="s">
        <v>127</v>
      </c>
      <c r="AX180" s="4" t="s">
        <v>127</v>
      </c>
      <c r="AY180" s="96" t="s">
        <v>1122</v>
      </c>
      <c r="AZ180" s="96" t="s">
        <v>1130</v>
      </c>
      <c r="BA180" s="96" t="s">
        <v>1131</v>
      </c>
      <c r="BB180" s="4" t="s">
        <v>1132</v>
      </c>
      <c r="BC180" s="4" t="s">
        <v>127</v>
      </c>
      <c r="BD180" s="4" t="s">
        <v>127</v>
      </c>
      <c r="BE180" s="4" t="s">
        <v>127</v>
      </c>
      <c r="BF180" s="4"/>
      <c r="BG180" s="4"/>
      <c r="BH180" s="4"/>
      <c r="BI180" s="4"/>
      <c r="BJ180" s="4"/>
      <c r="BK180" s="4"/>
      <c r="BL180" s="4"/>
      <c r="BM180" s="4"/>
      <c r="BN180" s="4"/>
      <c r="BO180" s="4"/>
    </row>
    <row r="181" spans="1:67" ht="16" x14ac:dyDescent="0.4">
      <c r="A181" s="4" t="s">
        <v>1133</v>
      </c>
      <c r="B181" s="4" t="s">
        <v>1133</v>
      </c>
      <c r="C181" s="4" t="s">
        <v>127</v>
      </c>
      <c r="D181" s="4" t="s">
        <v>128</v>
      </c>
      <c r="E181" s="189">
        <v>45274</v>
      </c>
      <c r="F181" s="6">
        <f t="shared" si="8"/>
        <v>2023</v>
      </c>
      <c r="G181" s="4" t="s">
        <v>1134</v>
      </c>
      <c r="H181" s="22" t="str">
        <f>VLOOKUP($G181,'Item Classification'!B:C,2,0)</f>
        <v>Underwater situational display system</v>
      </c>
      <c r="I181" s="6" t="str">
        <f>VLOOKUP($G181,'Item Classification'!B:D,3,0)</f>
        <v>Naval</v>
      </c>
      <c r="J181" s="23">
        <f>VLOOKUP($G181,'Item Classification'!B:E,4,0)</f>
        <v>12</v>
      </c>
      <c r="K181" s="116" t="s">
        <v>158</v>
      </c>
      <c r="L181" s="116" t="s">
        <v>1135</v>
      </c>
      <c r="M181" s="116" t="str">
        <f>VLOOKUP(L181,'NATO Classifications'!$D$6:$E$647,2,0)</f>
        <v>Radar and Sensor</v>
      </c>
      <c r="N181" s="4">
        <v>11</v>
      </c>
      <c r="O181" s="81">
        <f t="shared" si="10"/>
        <v>9072727.2727272734</v>
      </c>
      <c r="P181" s="81">
        <f t="shared" si="11"/>
        <v>9072727.2727272734</v>
      </c>
      <c r="Q181" s="4">
        <v>2024</v>
      </c>
      <c r="R181" s="4">
        <v>2026</v>
      </c>
      <c r="S181" s="112">
        <v>99800000</v>
      </c>
      <c r="T181" s="91" t="s">
        <v>132</v>
      </c>
      <c r="U181" s="104">
        <f>_xlfn.IFNA(S181/INDEX('Exchange Rates'!$C$7:$F$14,MATCH('MAIN DATA, Orders'!F181,'Exchange Rates'!$B$7:$B$14,0),MATCH('MAIN DATA, Orders'!T181,'Exchange Rates'!$C$6:$F$6,0)), "-")</f>
        <v>99800000</v>
      </c>
      <c r="V181" s="4" t="s">
        <v>682</v>
      </c>
      <c r="W181" s="4" t="s">
        <v>127</v>
      </c>
      <c r="X181" s="4" t="s">
        <v>128</v>
      </c>
      <c r="Y181" s="24">
        <f t="shared" si="12"/>
        <v>202312</v>
      </c>
      <c r="Z181" s="115">
        <v>1</v>
      </c>
      <c r="AA181" s="115">
        <v>0</v>
      </c>
      <c r="AB181" s="115">
        <v>0</v>
      </c>
      <c r="AC181" s="115">
        <v>1</v>
      </c>
      <c r="AD181" s="115">
        <v>0</v>
      </c>
      <c r="AE181" s="115">
        <v>0</v>
      </c>
      <c r="AF181" s="115">
        <v>0</v>
      </c>
      <c r="AG181" s="4" t="s">
        <v>247</v>
      </c>
      <c r="AH181" s="4" t="s">
        <v>128</v>
      </c>
      <c r="AI181" s="4" t="s">
        <v>128</v>
      </c>
      <c r="AJ181" s="4" t="s">
        <v>127</v>
      </c>
      <c r="AK181" s="4" t="s">
        <v>127</v>
      </c>
      <c r="AL181" s="4" t="s">
        <v>127</v>
      </c>
      <c r="AM181" s="4" t="s">
        <v>127</v>
      </c>
      <c r="AN181" s="4" t="s">
        <v>127</v>
      </c>
      <c r="AO181" s="4" t="s">
        <v>127</v>
      </c>
      <c r="AP181" s="4" t="s">
        <v>127</v>
      </c>
      <c r="AQ181" s="4" t="s">
        <v>127</v>
      </c>
      <c r="AR181" s="4" t="s">
        <v>127</v>
      </c>
      <c r="AS181" s="4" t="s">
        <v>127</v>
      </c>
      <c r="AT181" s="4" t="s">
        <v>127</v>
      </c>
      <c r="AU181" s="4" t="s">
        <v>127</v>
      </c>
      <c r="AV181" s="4" t="s">
        <v>127</v>
      </c>
      <c r="AW181" s="4" t="s">
        <v>127</v>
      </c>
      <c r="AX181" s="4" t="s">
        <v>127</v>
      </c>
      <c r="AY181" s="96" t="s">
        <v>1122</v>
      </c>
      <c r="AZ181" s="96" t="s">
        <v>1136</v>
      </c>
      <c r="BA181" s="96" t="s">
        <v>1137</v>
      </c>
      <c r="BB181" s="4" t="s">
        <v>1138</v>
      </c>
      <c r="BC181" s="4" t="s">
        <v>127</v>
      </c>
      <c r="BD181" s="4" t="s">
        <v>127</v>
      </c>
      <c r="BE181" s="4" t="s">
        <v>127</v>
      </c>
      <c r="BF181" s="4"/>
      <c r="BG181" s="4"/>
      <c r="BH181" s="4"/>
      <c r="BI181" s="4"/>
      <c r="BJ181" s="4"/>
      <c r="BK181" s="4"/>
      <c r="BL181" s="4"/>
      <c r="BM181" s="4"/>
      <c r="BN181" s="4"/>
      <c r="BO181" s="4"/>
    </row>
    <row r="182" spans="1:67" ht="16" x14ac:dyDescent="0.4">
      <c r="A182" s="4" t="s">
        <v>1139</v>
      </c>
      <c r="B182" s="4" t="s">
        <v>1139</v>
      </c>
      <c r="C182" s="4" t="s">
        <v>127</v>
      </c>
      <c r="D182" s="4" t="s">
        <v>128</v>
      </c>
      <c r="E182" s="189">
        <v>45274</v>
      </c>
      <c r="F182" s="6">
        <f t="shared" si="8"/>
        <v>2023</v>
      </c>
      <c r="G182" s="4" t="s">
        <v>1140</v>
      </c>
      <c r="H182" s="22" t="str">
        <f>VLOOKUP($G182,'Item Classification'!B:C,2,0)</f>
        <v>Communication equipment</v>
      </c>
      <c r="I182" s="6" t="str">
        <f>VLOOKUP($G182,'Item Classification'!B:D,3,0)</f>
        <v>Modernisation</v>
      </c>
      <c r="J182" s="23">
        <f>VLOOKUP($G182,'Item Classification'!B:E,4,0)</f>
        <v>13</v>
      </c>
      <c r="K182" s="116" t="s">
        <v>158</v>
      </c>
      <c r="L182" s="116" t="s">
        <v>174</v>
      </c>
      <c r="M182" s="116" t="str">
        <f>VLOOKUP(L182,'NATO Classifications'!$D$6:$E$647,2,0)</f>
        <v>Communication, Detection, and Coherent Radiation Equipment (other)</v>
      </c>
      <c r="N182" s="4">
        <v>1001</v>
      </c>
      <c r="O182" s="81">
        <f t="shared" si="10"/>
        <v>34745.254745254744</v>
      </c>
      <c r="P182" s="81">
        <f t="shared" si="11"/>
        <v>34745.254745254744</v>
      </c>
      <c r="Q182" s="4"/>
      <c r="R182" s="4"/>
      <c r="S182" s="112">
        <v>34780000</v>
      </c>
      <c r="T182" s="91" t="s">
        <v>132</v>
      </c>
      <c r="U182" s="104">
        <f>_xlfn.IFNA(S182/INDEX('Exchange Rates'!$C$7:$F$14,MATCH('MAIN DATA, Orders'!F182,'Exchange Rates'!$B$7:$B$14,0),MATCH('MAIN DATA, Orders'!T182,'Exchange Rates'!$C$6:$F$6,0)), "-")</f>
        <v>34780000</v>
      </c>
      <c r="V182" s="4" t="s">
        <v>133</v>
      </c>
      <c r="W182" s="4" t="s">
        <v>127</v>
      </c>
      <c r="X182" s="4" t="s">
        <v>128</v>
      </c>
      <c r="Y182" s="24">
        <f t="shared" si="12"/>
        <v>202312</v>
      </c>
      <c r="Z182" s="115">
        <v>1</v>
      </c>
      <c r="AA182" s="115">
        <v>0</v>
      </c>
      <c r="AB182" s="115">
        <v>0</v>
      </c>
      <c r="AC182" s="115">
        <v>1</v>
      </c>
      <c r="AD182" s="115">
        <v>0</v>
      </c>
      <c r="AE182" s="115">
        <v>0</v>
      </c>
      <c r="AF182" s="115">
        <v>0</v>
      </c>
      <c r="AG182" s="4" t="s">
        <v>507</v>
      </c>
      <c r="AH182" s="4" t="s">
        <v>128</v>
      </c>
      <c r="AI182" s="4" t="s">
        <v>128</v>
      </c>
      <c r="AJ182" s="4" t="s">
        <v>127</v>
      </c>
      <c r="AK182" s="4" t="s">
        <v>127</v>
      </c>
      <c r="AL182" s="4" t="s">
        <v>127</v>
      </c>
      <c r="AM182" s="4" t="s">
        <v>127</v>
      </c>
      <c r="AN182" s="4" t="s">
        <v>127</v>
      </c>
      <c r="AO182" s="4" t="s">
        <v>127</v>
      </c>
      <c r="AP182" s="4" t="s">
        <v>127</v>
      </c>
      <c r="AQ182" s="4" t="s">
        <v>127</v>
      </c>
      <c r="AR182" s="4" t="s">
        <v>127</v>
      </c>
      <c r="AS182" s="4" t="s">
        <v>127</v>
      </c>
      <c r="AT182" s="4" t="s">
        <v>127</v>
      </c>
      <c r="AU182" s="4" t="s">
        <v>127</v>
      </c>
      <c r="AV182" s="4" t="s">
        <v>127</v>
      </c>
      <c r="AW182" s="4" t="s">
        <v>127</v>
      </c>
      <c r="AX182" s="4" t="s">
        <v>127</v>
      </c>
      <c r="AY182" s="96" t="s">
        <v>1122</v>
      </c>
      <c r="AZ182" s="96" t="s">
        <v>1141</v>
      </c>
      <c r="BA182" s="4" t="s">
        <v>127</v>
      </c>
      <c r="BB182" s="4" t="s">
        <v>1142</v>
      </c>
      <c r="BC182" s="4" t="s">
        <v>127</v>
      </c>
      <c r="BD182" s="4" t="s">
        <v>127</v>
      </c>
      <c r="BE182" s="4" t="s">
        <v>127</v>
      </c>
      <c r="BF182" s="4"/>
      <c r="BG182" s="4"/>
      <c r="BH182" s="4"/>
      <c r="BI182" s="4"/>
      <c r="BJ182" s="4"/>
      <c r="BK182" s="4"/>
      <c r="BL182" s="4"/>
      <c r="BM182" s="4"/>
      <c r="BN182" s="4"/>
      <c r="BO182" s="4"/>
    </row>
    <row r="183" spans="1:67" ht="16" x14ac:dyDescent="0.4">
      <c r="A183" s="4" t="s">
        <v>1143</v>
      </c>
      <c r="B183" s="4" t="s">
        <v>1143</v>
      </c>
      <c r="C183" s="4" t="s">
        <v>127</v>
      </c>
      <c r="D183" s="4" t="s">
        <v>128</v>
      </c>
      <c r="E183" s="189">
        <v>45274</v>
      </c>
      <c r="F183" s="6">
        <f t="shared" si="8"/>
        <v>2023</v>
      </c>
      <c r="G183" s="4" t="s">
        <v>1144</v>
      </c>
      <c r="H183" s="22" t="str">
        <f>VLOOKUP($G183,'Item Classification'!B:C,2,0)</f>
        <v>Air-to-air missile (AAM)</v>
      </c>
      <c r="I183" s="6" t="str">
        <f>VLOOKUP($G183,'Item Classification'!B:D,3,0)</f>
        <v>Missile (Air)</v>
      </c>
      <c r="J183" s="23">
        <f>VLOOKUP($G183,'Item Classification'!B:E,4,0)</f>
        <v>6</v>
      </c>
      <c r="K183" s="116" t="s">
        <v>211</v>
      </c>
      <c r="L183" s="116" t="s">
        <v>211</v>
      </c>
      <c r="M183" s="116" t="str">
        <f>VLOOKUP(L183,'NATO Classifications'!$D$6:$E$647,2,0)</f>
        <v>Guided Missiles</v>
      </c>
      <c r="N183" s="4">
        <v>120</v>
      </c>
      <c r="O183" s="81">
        <f t="shared" si="10"/>
        <v>900000</v>
      </c>
      <c r="P183" s="81">
        <f t="shared" si="11"/>
        <v>900000</v>
      </c>
      <c r="Q183" s="4">
        <v>2026</v>
      </c>
      <c r="R183" s="4">
        <v>2026</v>
      </c>
      <c r="S183" s="112">
        <v>108000000</v>
      </c>
      <c r="T183" s="91" t="s">
        <v>132</v>
      </c>
      <c r="U183" s="104">
        <f>_xlfn.IFNA(S183/INDEX('Exchange Rates'!$C$7:$F$14,MATCH('MAIN DATA, Orders'!F183,'Exchange Rates'!$B$7:$B$14,0),MATCH('MAIN DATA, Orders'!T183,'Exchange Rates'!$C$6:$F$6,0)), "-")</f>
        <v>108000000</v>
      </c>
      <c r="V183" s="4" t="s">
        <v>808</v>
      </c>
      <c r="W183" s="4" t="s">
        <v>127</v>
      </c>
      <c r="X183" s="4" t="s">
        <v>128</v>
      </c>
      <c r="Y183" s="24">
        <f t="shared" si="12"/>
        <v>202312</v>
      </c>
      <c r="Z183" s="115">
        <v>1</v>
      </c>
      <c r="AA183" s="115">
        <v>0</v>
      </c>
      <c r="AB183" s="115">
        <v>0</v>
      </c>
      <c r="AC183" s="115">
        <v>1</v>
      </c>
      <c r="AD183" s="115">
        <v>1</v>
      </c>
      <c r="AE183" s="115">
        <v>0</v>
      </c>
      <c r="AF183" s="115">
        <v>1</v>
      </c>
      <c r="AG183" s="4" t="s">
        <v>191</v>
      </c>
      <c r="AH183" s="4" t="s">
        <v>128</v>
      </c>
      <c r="AI183" s="4" t="s">
        <v>127</v>
      </c>
      <c r="AJ183" s="4" t="s">
        <v>127</v>
      </c>
      <c r="AK183" s="4" t="s">
        <v>127</v>
      </c>
      <c r="AL183" s="4" t="s">
        <v>127</v>
      </c>
      <c r="AM183" s="4" t="s">
        <v>127</v>
      </c>
      <c r="AN183" s="4" t="s">
        <v>372</v>
      </c>
      <c r="AO183" s="4" t="s">
        <v>197</v>
      </c>
      <c r="AP183" s="4" t="s">
        <v>468</v>
      </c>
      <c r="AQ183" s="4" t="s">
        <v>830</v>
      </c>
      <c r="AR183" s="4" t="s">
        <v>213</v>
      </c>
      <c r="AS183" s="4" t="s">
        <v>162</v>
      </c>
      <c r="AT183" s="4" t="s">
        <v>127</v>
      </c>
      <c r="AU183" s="4" t="s">
        <v>127</v>
      </c>
      <c r="AV183" s="4" t="s">
        <v>127</v>
      </c>
      <c r="AW183" s="4" t="s">
        <v>127</v>
      </c>
      <c r="AX183" s="4" t="s">
        <v>127</v>
      </c>
      <c r="AY183" s="96" t="s">
        <v>1145</v>
      </c>
      <c r="AZ183" s="96" t="s">
        <v>1146</v>
      </c>
      <c r="BA183" s="96" t="s">
        <v>1147</v>
      </c>
      <c r="BB183" s="4" t="s">
        <v>1148</v>
      </c>
      <c r="BC183" s="4" t="s">
        <v>1149</v>
      </c>
      <c r="BD183" s="4" t="s">
        <v>127</v>
      </c>
      <c r="BE183" s="4" t="s">
        <v>127</v>
      </c>
      <c r="BF183" s="4"/>
      <c r="BG183" s="4"/>
      <c r="BH183" s="4"/>
      <c r="BI183" s="4"/>
      <c r="BJ183" s="4"/>
      <c r="BK183" s="4"/>
      <c r="BL183" s="4"/>
      <c r="BM183" s="4"/>
      <c r="BN183" s="4"/>
      <c r="BO183" s="4"/>
    </row>
    <row r="184" spans="1:67" ht="16" x14ac:dyDescent="0.4">
      <c r="A184" s="4" t="s">
        <v>1150</v>
      </c>
      <c r="B184" s="4" t="s">
        <v>1150</v>
      </c>
      <c r="C184" s="4" t="s">
        <v>127</v>
      </c>
      <c r="D184" s="4" t="s">
        <v>128</v>
      </c>
      <c r="E184" s="189">
        <v>45274</v>
      </c>
      <c r="F184" s="6">
        <f t="shared" si="8"/>
        <v>2023</v>
      </c>
      <c r="G184" s="4" t="s">
        <v>1151</v>
      </c>
      <c r="H184" s="22" t="str">
        <f>VLOOKUP($G184,'Item Classification'!B:C,2,0)</f>
        <v>Surface-to-air missile (SAM)</v>
      </c>
      <c r="I184" s="6" t="str">
        <f>VLOOKUP($G184,'Item Classification'!B:D,3,0)</f>
        <v>Missile (Land)</v>
      </c>
      <c r="J184" s="23">
        <f>VLOOKUP($G184,'Item Classification'!B:E,4,0)</f>
        <v>6</v>
      </c>
      <c r="K184" s="116" t="s">
        <v>211</v>
      </c>
      <c r="L184" s="116" t="s">
        <v>211</v>
      </c>
      <c r="M184" s="116" t="str">
        <f>VLOOKUP(L184,'NATO Classifications'!$D$6:$E$647,2,0)</f>
        <v>Guided Missiles</v>
      </c>
      <c r="N184" s="4">
        <v>400</v>
      </c>
      <c r="O184" s="81">
        <f t="shared" si="10"/>
        <v>6000000</v>
      </c>
      <c r="P184" s="81">
        <f t="shared" si="11"/>
        <v>6000000</v>
      </c>
      <c r="Q184" s="4">
        <v>2027</v>
      </c>
      <c r="R184" s="4">
        <v>2033</v>
      </c>
      <c r="S184" s="112">
        <v>2400000000</v>
      </c>
      <c r="T184" s="91" t="s">
        <v>132</v>
      </c>
      <c r="U184" s="104">
        <f>_xlfn.IFNA(S184/INDEX('Exchange Rates'!$C$7:$F$14,MATCH('MAIN DATA, Orders'!F184,'Exchange Rates'!$B$7:$B$14,0),MATCH('MAIN DATA, Orders'!T184,'Exchange Rates'!$C$6:$F$6,0)), "-")</f>
        <v>2400000000</v>
      </c>
      <c r="V184" s="4" t="s">
        <v>682</v>
      </c>
      <c r="W184" s="4" t="s">
        <v>133</v>
      </c>
      <c r="X184" s="4" t="s">
        <v>128</v>
      </c>
      <c r="Y184" s="24">
        <f t="shared" si="12"/>
        <v>202312</v>
      </c>
      <c r="Z184" s="115">
        <v>0</v>
      </c>
      <c r="AA184" s="115">
        <v>0</v>
      </c>
      <c r="AB184" s="115">
        <v>0</v>
      </c>
      <c r="AC184" s="115">
        <v>0</v>
      </c>
      <c r="AD184" s="115">
        <v>0</v>
      </c>
      <c r="AE184" s="115">
        <v>1</v>
      </c>
      <c r="AF184" s="115">
        <v>1</v>
      </c>
      <c r="AG184" s="4" t="s">
        <v>718</v>
      </c>
      <c r="AH184" s="4" t="s">
        <v>196</v>
      </c>
      <c r="AI184" s="4" t="s">
        <v>128</v>
      </c>
      <c r="AJ184" s="4" t="s">
        <v>717</v>
      </c>
      <c r="AK184" s="4" t="s">
        <v>127</v>
      </c>
      <c r="AL184" s="4" t="s">
        <v>127</v>
      </c>
      <c r="AM184" s="4" t="s">
        <v>127</v>
      </c>
      <c r="AN184" s="4" t="s">
        <v>128</v>
      </c>
      <c r="AO184" s="4" t="s">
        <v>127</v>
      </c>
      <c r="AP184" s="4" t="s">
        <v>127</v>
      </c>
      <c r="AQ184" s="4" t="s">
        <v>127</v>
      </c>
      <c r="AR184" s="4" t="s">
        <v>127</v>
      </c>
      <c r="AS184" s="4" t="s">
        <v>127</v>
      </c>
      <c r="AT184" s="4" t="s">
        <v>127</v>
      </c>
      <c r="AU184" s="4" t="s">
        <v>127</v>
      </c>
      <c r="AV184" s="4" t="s">
        <v>127</v>
      </c>
      <c r="AW184" s="4" t="s">
        <v>127</v>
      </c>
      <c r="AX184" s="4" t="s">
        <v>127</v>
      </c>
      <c r="AY184" s="96" t="s">
        <v>1145</v>
      </c>
      <c r="AZ184" s="96" t="s">
        <v>1152</v>
      </c>
      <c r="BA184" s="96" t="s">
        <v>1153</v>
      </c>
      <c r="BB184" s="4" t="s">
        <v>1154</v>
      </c>
      <c r="BC184" s="4" t="s">
        <v>127</v>
      </c>
      <c r="BD184" s="4" t="s">
        <v>127</v>
      </c>
      <c r="BE184" s="4" t="s">
        <v>127</v>
      </c>
      <c r="BF184" s="4"/>
      <c r="BG184" s="4"/>
      <c r="BH184" s="4"/>
      <c r="BI184" s="4"/>
      <c r="BJ184" s="4"/>
      <c r="BK184" s="4"/>
      <c r="BL184" s="4"/>
      <c r="BM184" s="4"/>
      <c r="BN184" s="4"/>
      <c r="BO184" s="4"/>
    </row>
    <row r="185" spans="1:67" ht="16" x14ac:dyDescent="0.4">
      <c r="A185" s="4" t="s">
        <v>1155</v>
      </c>
      <c r="B185" s="4" t="s">
        <v>1155</v>
      </c>
      <c r="C185" s="4" t="s">
        <v>127</v>
      </c>
      <c r="D185" s="4" t="s">
        <v>128</v>
      </c>
      <c r="E185" s="189">
        <v>45274</v>
      </c>
      <c r="F185" s="6">
        <f t="shared" si="8"/>
        <v>2023</v>
      </c>
      <c r="G185" s="4" t="s">
        <v>1151</v>
      </c>
      <c r="H185" s="22" t="str">
        <f>VLOOKUP($G185,'Item Classification'!B:C,2,0)</f>
        <v>Surface-to-air missile (SAM)</v>
      </c>
      <c r="I185" s="6" t="str">
        <f>VLOOKUP($G185,'Item Classification'!B:D,3,0)</f>
        <v>Missile (Land)</v>
      </c>
      <c r="J185" s="23">
        <f>VLOOKUP($G185,'Item Classification'!B:E,4,0)</f>
        <v>6</v>
      </c>
      <c r="K185" s="116" t="s">
        <v>211</v>
      </c>
      <c r="L185" s="116" t="s">
        <v>211</v>
      </c>
      <c r="M185" s="116" t="str">
        <f>VLOOKUP(L185,'NATO Classifications'!$D$6:$E$647,2,0)</f>
        <v>Guided Missiles</v>
      </c>
      <c r="N185" s="4">
        <v>100</v>
      </c>
      <c r="O185" s="81">
        <f t="shared" si="10"/>
        <v>6020000</v>
      </c>
      <c r="P185" s="81">
        <f t="shared" si="11"/>
        <v>6020000</v>
      </c>
      <c r="Q185" s="4">
        <v>2027</v>
      </c>
      <c r="R185" s="4">
        <v>2033</v>
      </c>
      <c r="S185" s="112">
        <v>602000000</v>
      </c>
      <c r="T185" s="91" t="s">
        <v>132</v>
      </c>
      <c r="U185" s="104">
        <f>_xlfn.IFNA(S185/INDEX('Exchange Rates'!$C$7:$F$14,MATCH('MAIN DATA, Orders'!F185,'Exchange Rates'!$B$7:$B$14,0),MATCH('MAIN DATA, Orders'!T185,'Exchange Rates'!$C$6:$F$6,0)), "-")</f>
        <v>602000000</v>
      </c>
      <c r="V185" s="4" t="s">
        <v>808</v>
      </c>
      <c r="W185" s="4" t="s">
        <v>127</v>
      </c>
      <c r="X185" s="4" t="s">
        <v>128</v>
      </c>
      <c r="Y185" s="24">
        <f t="shared" si="12"/>
        <v>202312</v>
      </c>
      <c r="Z185" s="115">
        <v>0</v>
      </c>
      <c r="AA185" s="115">
        <v>0</v>
      </c>
      <c r="AB185" s="115">
        <v>0</v>
      </c>
      <c r="AC185" s="115">
        <v>0</v>
      </c>
      <c r="AD185" s="115">
        <v>0</v>
      </c>
      <c r="AE185" s="115">
        <v>1</v>
      </c>
      <c r="AF185" s="115">
        <v>1</v>
      </c>
      <c r="AG185" s="4" t="s">
        <v>718</v>
      </c>
      <c r="AH185" s="4" t="s">
        <v>196</v>
      </c>
      <c r="AI185" s="4" t="s">
        <v>128</v>
      </c>
      <c r="AJ185" s="4" t="s">
        <v>717</v>
      </c>
      <c r="AK185" s="4" t="s">
        <v>127</v>
      </c>
      <c r="AL185" s="4" t="s">
        <v>127</v>
      </c>
      <c r="AM185" s="4" t="s">
        <v>127</v>
      </c>
      <c r="AN185" s="4" t="s">
        <v>128</v>
      </c>
      <c r="AO185" s="4" t="s">
        <v>127</v>
      </c>
      <c r="AP185" s="4" t="s">
        <v>127</v>
      </c>
      <c r="AQ185" s="4" t="s">
        <v>127</v>
      </c>
      <c r="AR185" s="4" t="s">
        <v>127</v>
      </c>
      <c r="AS185" s="4" t="s">
        <v>127</v>
      </c>
      <c r="AT185" s="4" t="s">
        <v>127</v>
      </c>
      <c r="AU185" s="4" t="s">
        <v>127</v>
      </c>
      <c r="AV185" s="4" t="s">
        <v>127</v>
      </c>
      <c r="AW185" s="4" t="s">
        <v>127</v>
      </c>
      <c r="AX185" s="4" t="s">
        <v>127</v>
      </c>
      <c r="AY185" s="96" t="s">
        <v>1145</v>
      </c>
      <c r="AZ185" s="96" t="s">
        <v>1152</v>
      </c>
      <c r="BA185" s="96" t="s">
        <v>1153</v>
      </c>
      <c r="BB185" s="4" t="s">
        <v>1154</v>
      </c>
      <c r="BC185" s="4" t="s">
        <v>127</v>
      </c>
      <c r="BD185" s="4" t="s">
        <v>127</v>
      </c>
      <c r="BE185" s="4" t="s">
        <v>127</v>
      </c>
      <c r="BF185" s="4"/>
      <c r="BG185" s="4"/>
      <c r="BH185" s="4"/>
      <c r="BI185" s="4"/>
      <c r="BJ185" s="4"/>
      <c r="BK185" s="4"/>
      <c r="BL185" s="4"/>
      <c r="BM185" s="4"/>
      <c r="BN185" s="4"/>
      <c r="BO185" s="4"/>
    </row>
    <row r="186" spans="1:67" ht="16" x14ac:dyDescent="0.4">
      <c r="A186" s="4" t="s">
        <v>1156</v>
      </c>
      <c r="B186" s="4" t="s">
        <v>1156</v>
      </c>
      <c r="C186" s="4" t="s">
        <v>127</v>
      </c>
      <c r="D186" s="4" t="s">
        <v>128</v>
      </c>
      <c r="E186" s="189">
        <v>45274</v>
      </c>
      <c r="F186" s="6">
        <f t="shared" si="8"/>
        <v>2023</v>
      </c>
      <c r="G186" s="4" t="s">
        <v>1157</v>
      </c>
      <c r="H186" s="22" t="str">
        <f>VLOOKUP($G186,'Item Classification'!B:C,2,0)</f>
        <v>Air-to-air missile (AAM) development</v>
      </c>
      <c r="I186" s="6" t="str">
        <f>VLOOKUP($G186,'Item Classification'!B:D,3,0)</f>
        <v>Development - Missile (Air)</v>
      </c>
      <c r="J186" s="23">
        <f>VLOOKUP($G186,'Item Classification'!B:E,4,0)</f>
        <v>15</v>
      </c>
      <c r="K186" s="116" t="s">
        <v>211</v>
      </c>
      <c r="L186" s="116" t="s">
        <v>211</v>
      </c>
      <c r="M186" s="116" t="str">
        <f>VLOOKUP(L186,'NATO Classifications'!$D$6:$E$647,2,0)</f>
        <v>Guided Missiles</v>
      </c>
      <c r="N186" s="4"/>
      <c r="O186" s="81"/>
      <c r="P186" s="81"/>
      <c r="Q186" s="4">
        <v>2025</v>
      </c>
      <c r="R186" s="4"/>
      <c r="S186" s="112">
        <v>34900000</v>
      </c>
      <c r="T186" s="91" t="s">
        <v>132</v>
      </c>
      <c r="U186" s="104">
        <f>_xlfn.IFNA(S186/INDEX('Exchange Rates'!$C$7:$F$14,MATCH('MAIN DATA, Orders'!F186,'Exchange Rates'!$B$7:$B$14,0),MATCH('MAIN DATA, Orders'!T186,'Exchange Rates'!$C$6:$F$6,0)), "-")</f>
        <v>34900000</v>
      </c>
      <c r="V186" s="4" t="s">
        <v>133</v>
      </c>
      <c r="W186" s="4" t="s">
        <v>127</v>
      </c>
      <c r="X186" s="4" t="s">
        <v>128</v>
      </c>
      <c r="Y186" s="24">
        <f t="shared" si="12"/>
        <v>202312</v>
      </c>
      <c r="Z186" s="115">
        <v>0</v>
      </c>
      <c r="AA186" s="115">
        <v>0</v>
      </c>
      <c r="AB186" s="115">
        <v>0</v>
      </c>
      <c r="AC186" s="115">
        <v>1</v>
      </c>
      <c r="AD186" s="115">
        <v>1</v>
      </c>
      <c r="AE186" s="115">
        <v>0</v>
      </c>
      <c r="AF186" s="115">
        <v>1</v>
      </c>
      <c r="AG186" s="4" t="s">
        <v>475</v>
      </c>
      <c r="AH186" s="4" t="s">
        <v>128</v>
      </c>
      <c r="AI186" s="4" t="s">
        <v>128</v>
      </c>
      <c r="AJ186" s="4" t="s">
        <v>127</v>
      </c>
      <c r="AK186" s="4" t="s">
        <v>127</v>
      </c>
      <c r="AL186" s="4" t="s">
        <v>127</v>
      </c>
      <c r="AM186" s="4" t="s">
        <v>127</v>
      </c>
      <c r="AN186" s="4" t="s">
        <v>151</v>
      </c>
      <c r="AO186" s="4" t="s">
        <v>238</v>
      </c>
      <c r="AP186" s="4" t="s">
        <v>197</v>
      </c>
      <c r="AQ186" s="4" t="s">
        <v>162</v>
      </c>
      <c r="AR186" s="4" t="s">
        <v>213</v>
      </c>
      <c r="AS186" s="4" t="s">
        <v>127</v>
      </c>
      <c r="AT186" s="4" t="s">
        <v>127</v>
      </c>
      <c r="AU186" s="4" t="s">
        <v>127</v>
      </c>
      <c r="AV186" s="4" t="s">
        <v>127</v>
      </c>
      <c r="AW186" s="4" t="s">
        <v>151</v>
      </c>
      <c r="AX186" s="4" t="s">
        <v>238</v>
      </c>
      <c r="AY186" s="96" t="s">
        <v>1145</v>
      </c>
      <c r="AZ186" s="96" t="s">
        <v>1158</v>
      </c>
      <c r="BA186" s="96" t="s">
        <v>1159</v>
      </c>
      <c r="BB186" s="4" t="s">
        <v>1160</v>
      </c>
      <c r="BC186" s="4" t="s">
        <v>127</v>
      </c>
      <c r="BD186" s="4" t="s">
        <v>127</v>
      </c>
      <c r="BE186" s="4" t="s">
        <v>127</v>
      </c>
      <c r="BF186" s="4"/>
      <c r="BG186" s="4"/>
      <c r="BH186" s="4"/>
      <c r="BI186" s="4"/>
      <c r="BJ186" s="4"/>
      <c r="BK186" s="4"/>
      <c r="BL186" s="4"/>
      <c r="BM186" s="4"/>
      <c r="BN186" s="4"/>
      <c r="BO186" s="4"/>
    </row>
    <row r="187" spans="1:67" ht="16" x14ac:dyDescent="0.4">
      <c r="A187" s="4" t="s">
        <v>1161</v>
      </c>
      <c r="B187" s="4" t="s">
        <v>1161</v>
      </c>
      <c r="C187" s="4" t="s">
        <v>127</v>
      </c>
      <c r="D187" s="4" t="s">
        <v>128</v>
      </c>
      <c r="E187" s="189">
        <v>45310</v>
      </c>
      <c r="F187" s="6">
        <f t="shared" si="8"/>
        <v>2024</v>
      </c>
      <c r="G187" s="4" t="s">
        <v>1162</v>
      </c>
      <c r="H187" s="22" t="str">
        <f>VLOOKUP($G187,'Item Classification'!B:C,2,0)</f>
        <v>Ground based air defence system development</v>
      </c>
      <c r="I187" s="6" t="str">
        <f>VLOOKUP($G187,'Item Classification'!B:D,3,0)</f>
        <v>Development - Air defence system</v>
      </c>
      <c r="J187" s="23">
        <f>VLOOKUP($G187,'Item Classification'!B:E,4,0)</f>
        <v>15</v>
      </c>
      <c r="K187" s="116" t="s">
        <v>211</v>
      </c>
      <c r="L187" s="116" t="s">
        <v>326</v>
      </c>
      <c r="M187" s="116" t="str">
        <f>VLOOKUP(L187,'NATO Classifications'!$D$6:$E$647,2,0)</f>
        <v>Guided Missile Systems, Complete</v>
      </c>
      <c r="N187" s="4"/>
      <c r="O187" s="81"/>
      <c r="P187" s="81"/>
      <c r="Q187" s="4">
        <v>2028</v>
      </c>
      <c r="R187" s="4"/>
      <c r="S187" s="112">
        <v>1230000000</v>
      </c>
      <c r="T187" s="91" t="s">
        <v>132</v>
      </c>
      <c r="U187" s="104">
        <f>_xlfn.IFNA(S187/INDEX('Exchange Rates'!$C$7:$F$14,MATCH('MAIN DATA, Orders'!F187,'Exchange Rates'!$B$7:$B$14,0),MATCH('MAIN DATA, Orders'!T187,'Exchange Rates'!$C$6:$F$6,0)), "-")</f>
        <v>1230000000</v>
      </c>
      <c r="V187" s="4" t="s">
        <v>682</v>
      </c>
      <c r="W187" s="4" t="s">
        <v>133</v>
      </c>
      <c r="X187" s="4" t="s">
        <v>128</v>
      </c>
      <c r="Y187" s="24">
        <f t="shared" si="12"/>
        <v>202401</v>
      </c>
      <c r="Z187" s="115">
        <v>0</v>
      </c>
      <c r="AA187" s="115">
        <v>0</v>
      </c>
      <c r="AB187" s="115">
        <v>0</v>
      </c>
      <c r="AC187" s="115">
        <v>1</v>
      </c>
      <c r="AD187" s="115">
        <v>0</v>
      </c>
      <c r="AE187" s="115">
        <v>0</v>
      </c>
      <c r="AF187" s="115">
        <v>0</v>
      </c>
      <c r="AG187" s="4" t="s">
        <v>256</v>
      </c>
      <c r="AH187" s="4" t="s">
        <v>128</v>
      </c>
      <c r="AI187" s="4" t="s">
        <v>128</v>
      </c>
      <c r="AJ187" s="4" t="s">
        <v>191</v>
      </c>
      <c r="AK187" s="4" t="s">
        <v>149</v>
      </c>
      <c r="AL187" s="4" t="s">
        <v>127</v>
      </c>
      <c r="AM187" s="4" t="s">
        <v>127</v>
      </c>
      <c r="AN187" s="4" t="s">
        <v>127</v>
      </c>
      <c r="AO187" s="4" t="s">
        <v>127</v>
      </c>
      <c r="AP187" s="4" t="s">
        <v>127</v>
      </c>
      <c r="AQ187" s="4" t="s">
        <v>127</v>
      </c>
      <c r="AR187" s="4" t="s">
        <v>127</v>
      </c>
      <c r="AS187" s="4" t="s">
        <v>127</v>
      </c>
      <c r="AT187" s="4" t="s">
        <v>127</v>
      </c>
      <c r="AU187" s="4" t="s">
        <v>127</v>
      </c>
      <c r="AV187" s="4" t="s">
        <v>127</v>
      </c>
      <c r="AW187" s="4" t="s">
        <v>127</v>
      </c>
      <c r="AX187" s="4" t="s">
        <v>127</v>
      </c>
      <c r="AY187" s="96" t="s">
        <v>1163</v>
      </c>
      <c r="AZ187" s="96" t="s">
        <v>1164</v>
      </c>
      <c r="BA187" s="96" t="s">
        <v>1165</v>
      </c>
      <c r="BB187" s="4" t="s">
        <v>1166</v>
      </c>
      <c r="BC187" s="4" t="s">
        <v>1167</v>
      </c>
      <c r="BD187" s="4" t="s">
        <v>127</v>
      </c>
      <c r="BE187" s="4" t="s">
        <v>127</v>
      </c>
      <c r="BF187" s="4"/>
      <c r="BG187" s="4"/>
      <c r="BH187" s="4"/>
      <c r="BI187" s="4"/>
      <c r="BJ187" s="4"/>
      <c r="BK187" s="4"/>
      <c r="BL187" s="4"/>
      <c r="BM187" s="4"/>
      <c r="BN187" s="4"/>
      <c r="BO187" s="4"/>
    </row>
    <row r="188" spans="1:67" ht="16" x14ac:dyDescent="0.4">
      <c r="A188" s="4" t="s">
        <v>1168</v>
      </c>
      <c r="B188" s="4" t="s">
        <v>1168</v>
      </c>
      <c r="C188" s="4" t="s">
        <v>404</v>
      </c>
      <c r="D188" s="4" t="s">
        <v>128</v>
      </c>
      <c r="E188" s="189">
        <v>45343</v>
      </c>
      <c r="F188" s="6">
        <f t="shared" si="8"/>
        <v>2024</v>
      </c>
      <c r="G188" s="4" t="s">
        <v>658</v>
      </c>
      <c r="H188" s="22" t="str">
        <f>VLOOKUP($G188,'Item Classification'!B:C,2,0)</f>
        <v>Clothing and personal equipment</v>
      </c>
      <c r="I188" s="6" t="str">
        <f>VLOOKUP($G188,'Item Classification'!B:D,3,0)</f>
        <v>Modernisation</v>
      </c>
      <c r="J188" s="23">
        <f>VLOOKUP($G188,'Item Classification'!B:E,4,0)</f>
        <v>13</v>
      </c>
      <c r="K188" s="116" t="s">
        <v>221</v>
      </c>
      <c r="L188" s="116" t="s">
        <v>222</v>
      </c>
      <c r="M188" s="116" t="str">
        <f>VLOOKUP(L188,'NATO Classifications'!$D$6:$E$647,2,0)</f>
        <v>Clothing, Special Purpose</v>
      </c>
      <c r="N188" s="4"/>
      <c r="O188" s="81"/>
      <c r="P188" s="81"/>
      <c r="Q188" s="4"/>
      <c r="R188" s="4"/>
      <c r="S188" s="112">
        <v>2200000000</v>
      </c>
      <c r="T188" s="91" t="s">
        <v>132</v>
      </c>
      <c r="U188" s="104">
        <f>_xlfn.IFNA(S188/INDEX('Exchange Rates'!$C$7:$F$14,MATCH('MAIN DATA, Orders'!F188,'Exchange Rates'!$B$7:$B$14,0),MATCH('MAIN DATA, Orders'!T188,'Exchange Rates'!$C$6:$F$6,0)), "-")</f>
        <v>2200000000</v>
      </c>
      <c r="V188" s="4" t="s">
        <v>133</v>
      </c>
      <c r="W188" s="4" t="s">
        <v>127</v>
      </c>
      <c r="X188" s="4" t="s">
        <v>128</v>
      </c>
      <c r="Y188" s="24">
        <f t="shared" si="12"/>
        <v>202402</v>
      </c>
      <c r="Z188" s="115">
        <v>0</v>
      </c>
      <c r="AA188" s="115">
        <v>0</v>
      </c>
      <c r="AB188" s="115">
        <v>0</v>
      </c>
      <c r="AC188" s="115">
        <v>1</v>
      </c>
      <c r="AD188" s="115">
        <v>0</v>
      </c>
      <c r="AE188" s="115">
        <v>0</v>
      </c>
      <c r="AF188" s="115">
        <v>0</v>
      </c>
      <c r="AG188" s="4" t="s">
        <v>223</v>
      </c>
      <c r="AH188" s="4" t="s">
        <v>128</v>
      </c>
      <c r="AI188" s="4" t="s">
        <v>127</v>
      </c>
      <c r="AJ188" s="4" t="s">
        <v>127</v>
      </c>
      <c r="AK188" s="4" t="s">
        <v>127</v>
      </c>
      <c r="AL188" s="4" t="s">
        <v>127</v>
      </c>
      <c r="AM188" s="4" t="s">
        <v>127</v>
      </c>
      <c r="AN188" s="4" t="s">
        <v>127</v>
      </c>
      <c r="AO188" s="4" t="s">
        <v>127</v>
      </c>
      <c r="AP188" s="4" t="s">
        <v>127</v>
      </c>
      <c r="AQ188" s="4" t="s">
        <v>127</v>
      </c>
      <c r="AR188" s="4" t="s">
        <v>127</v>
      </c>
      <c r="AS188" s="4" t="s">
        <v>127</v>
      </c>
      <c r="AT188" s="4" t="s">
        <v>127</v>
      </c>
      <c r="AU188" s="4" t="s">
        <v>127</v>
      </c>
      <c r="AV188" s="4" t="s">
        <v>127</v>
      </c>
      <c r="AW188" s="4" t="s">
        <v>127</v>
      </c>
      <c r="AX188" s="4" t="s">
        <v>127</v>
      </c>
      <c r="AY188" s="96" t="s">
        <v>1169</v>
      </c>
      <c r="AZ188" s="4" t="s">
        <v>127</v>
      </c>
      <c r="BA188" s="4" t="s">
        <v>127</v>
      </c>
      <c r="BB188" s="4" t="s">
        <v>1170</v>
      </c>
      <c r="BC188" s="4" t="s">
        <v>127</v>
      </c>
      <c r="BD188" s="4" t="s">
        <v>127</v>
      </c>
      <c r="BE188" s="4" t="s">
        <v>127</v>
      </c>
      <c r="BF188" s="4"/>
      <c r="BG188" s="4"/>
      <c r="BH188" s="4"/>
      <c r="BI188" s="4"/>
      <c r="BJ188" s="4"/>
      <c r="BK188" s="4"/>
      <c r="BL188" s="4"/>
      <c r="BM188" s="4"/>
      <c r="BN188" s="4"/>
      <c r="BO188" s="4"/>
    </row>
    <row r="189" spans="1:67" ht="16" x14ac:dyDescent="0.4">
      <c r="A189" s="4" t="s">
        <v>1171</v>
      </c>
      <c r="B189" s="4" t="s">
        <v>1171</v>
      </c>
      <c r="C189" s="4" t="s">
        <v>127</v>
      </c>
      <c r="D189" s="4" t="s">
        <v>128</v>
      </c>
      <c r="E189" s="189">
        <v>45343</v>
      </c>
      <c r="F189" s="6">
        <f t="shared" si="8"/>
        <v>2024</v>
      </c>
      <c r="G189" s="4" t="s">
        <v>1172</v>
      </c>
      <c r="H189" s="22" t="str">
        <f>VLOOKUP($G189,'Item Classification'!B:C,2,0)</f>
        <v>Self-propelled anti-aircraft weapon</v>
      </c>
      <c r="I189" s="6" t="str">
        <f>VLOOKUP($G189,'Item Classification'!B:D,3,0)</f>
        <v>Air defence system</v>
      </c>
      <c r="J189" s="23">
        <f>VLOOKUP($G189,'Item Classification'!B:E,4,0)</f>
        <v>5</v>
      </c>
      <c r="K189" s="116" t="s">
        <v>274</v>
      </c>
      <c r="L189" s="116" t="s">
        <v>493</v>
      </c>
      <c r="M189" s="116" t="str">
        <f>VLOOKUP(L189,'NATO Classifications'!$D$6:$E$647,2,0)</f>
        <v>Combat, Assault, and Tactical Vehicles, Wheeled</v>
      </c>
      <c r="N189" s="4">
        <v>19</v>
      </c>
      <c r="O189" s="81">
        <f t="shared" si="10"/>
        <v>34157894.736842103</v>
      </c>
      <c r="P189" s="81">
        <f t="shared" si="11"/>
        <v>34157894.736842103</v>
      </c>
      <c r="Q189" s="4">
        <v>2026</v>
      </c>
      <c r="R189" s="4">
        <v>2028</v>
      </c>
      <c r="S189" s="112">
        <v>649000000</v>
      </c>
      <c r="T189" s="91" t="s">
        <v>132</v>
      </c>
      <c r="U189" s="104">
        <f>_xlfn.IFNA(S189/INDEX('Exchange Rates'!$C$7:$F$14,MATCH('MAIN DATA, Orders'!F189,'Exchange Rates'!$B$7:$B$14,0),MATCH('MAIN DATA, Orders'!T189,'Exchange Rates'!$C$6:$F$6,0)), "-")</f>
        <v>649000000</v>
      </c>
      <c r="V189" s="4" t="s">
        <v>682</v>
      </c>
      <c r="W189" s="4" t="s">
        <v>127</v>
      </c>
      <c r="X189" s="4" t="s">
        <v>128</v>
      </c>
      <c r="Y189" s="24">
        <f t="shared" si="12"/>
        <v>202402</v>
      </c>
      <c r="Z189" s="115">
        <v>1</v>
      </c>
      <c r="AA189" s="115">
        <v>0</v>
      </c>
      <c r="AB189" s="115">
        <v>0</v>
      </c>
      <c r="AC189" s="115">
        <v>1</v>
      </c>
      <c r="AD189" s="115">
        <v>0</v>
      </c>
      <c r="AE189" s="115">
        <v>0</v>
      </c>
      <c r="AF189" s="115">
        <v>0</v>
      </c>
      <c r="AG189" s="4" t="s">
        <v>256</v>
      </c>
      <c r="AH189" s="4" t="s">
        <v>128</v>
      </c>
      <c r="AI189" s="4" t="s">
        <v>128</v>
      </c>
      <c r="AJ189" s="4" t="s">
        <v>488</v>
      </c>
      <c r="AK189" s="4" t="s">
        <v>127</v>
      </c>
      <c r="AL189" s="4" t="s">
        <v>127</v>
      </c>
      <c r="AM189" s="4" t="s">
        <v>127</v>
      </c>
      <c r="AN189" s="4" t="s">
        <v>127</v>
      </c>
      <c r="AO189" s="4" t="s">
        <v>127</v>
      </c>
      <c r="AP189" s="4" t="s">
        <v>127</v>
      </c>
      <c r="AQ189" s="4" t="s">
        <v>127</v>
      </c>
      <c r="AR189" s="4" t="s">
        <v>127</v>
      </c>
      <c r="AS189" s="4" t="s">
        <v>127</v>
      </c>
      <c r="AT189" s="4" t="s">
        <v>127</v>
      </c>
      <c r="AU189" s="4" t="s">
        <v>127</v>
      </c>
      <c r="AV189" s="4" t="s">
        <v>127</v>
      </c>
      <c r="AW189" s="4" t="s">
        <v>127</v>
      </c>
      <c r="AX189" s="4" t="s">
        <v>127</v>
      </c>
      <c r="AY189" s="96" t="s">
        <v>1173</v>
      </c>
      <c r="AZ189" s="96" t="s">
        <v>1174</v>
      </c>
      <c r="BA189" s="96" t="s">
        <v>1175</v>
      </c>
      <c r="BB189" s="4" t="s">
        <v>1176</v>
      </c>
      <c r="BC189" s="4" t="s">
        <v>1177</v>
      </c>
      <c r="BD189" s="4" t="s">
        <v>127</v>
      </c>
      <c r="BE189" s="4" t="s">
        <v>127</v>
      </c>
      <c r="BF189" s="4"/>
      <c r="BG189" s="4"/>
      <c r="BH189" s="4"/>
      <c r="BI189" s="4"/>
      <c r="BJ189" s="4"/>
      <c r="BK189" s="4"/>
      <c r="BL189" s="4"/>
      <c r="BM189" s="4"/>
      <c r="BN189" s="4"/>
      <c r="BO189" s="4"/>
    </row>
    <row r="190" spans="1:67" ht="16" x14ac:dyDescent="0.4">
      <c r="A190" s="4" t="s">
        <v>1178</v>
      </c>
      <c r="B190" s="4" t="s">
        <v>1178</v>
      </c>
      <c r="C190" s="4" t="s">
        <v>127</v>
      </c>
      <c r="D190" s="4" t="s">
        <v>128</v>
      </c>
      <c r="E190" s="189">
        <v>45365</v>
      </c>
      <c r="F190" s="6">
        <f t="shared" si="8"/>
        <v>2024</v>
      </c>
      <c r="G190" s="4" t="s">
        <v>127</v>
      </c>
      <c r="H190" s="22" t="s">
        <v>624</v>
      </c>
      <c r="I190" s="6" t="s">
        <v>287</v>
      </c>
      <c r="J190" s="23">
        <v>16</v>
      </c>
      <c r="K190" s="116" t="s">
        <v>158</v>
      </c>
      <c r="L190" s="116" t="s">
        <v>369</v>
      </c>
      <c r="M190" s="116" t="str">
        <f>VLOOKUP(L190,'NATO Classifications'!$D$6:$E$647,2,0)</f>
        <v>Communication, Detection, and Coherent Radiation Equipment (other)</v>
      </c>
      <c r="N190" s="4"/>
      <c r="O190" s="81"/>
      <c r="P190" s="81"/>
      <c r="Q190" s="4"/>
      <c r="R190" s="4"/>
      <c r="S190" s="112">
        <v>162000000</v>
      </c>
      <c r="T190" s="91" t="s">
        <v>132</v>
      </c>
      <c r="U190" s="104">
        <f>_xlfn.IFNA(S190/INDEX('Exchange Rates'!$C$7:$F$14,MATCH('MAIN DATA, Orders'!F190,'Exchange Rates'!$B$7:$B$14,0),MATCH('MAIN DATA, Orders'!T190,'Exchange Rates'!$C$6:$F$6,0)), "-")</f>
        <v>162000000</v>
      </c>
      <c r="V190" s="4" t="s">
        <v>682</v>
      </c>
      <c r="W190" s="4" t="s">
        <v>127</v>
      </c>
      <c r="X190" s="4" t="s">
        <v>128</v>
      </c>
      <c r="Y190" s="24">
        <f t="shared" si="12"/>
        <v>202403</v>
      </c>
      <c r="Z190" s="115">
        <v>1</v>
      </c>
      <c r="AA190" s="115">
        <v>0</v>
      </c>
      <c r="AB190" s="115">
        <v>0</v>
      </c>
      <c r="AC190" s="115">
        <v>1</v>
      </c>
      <c r="AD190" s="115">
        <v>1</v>
      </c>
      <c r="AE190" s="115">
        <v>0</v>
      </c>
      <c r="AF190" s="115">
        <v>1</v>
      </c>
      <c r="AG190" s="4" t="s">
        <v>149</v>
      </c>
      <c r="AH190" s="4" t="s">
        <v>128</v>
      </c>
      <c r="AI190" s="4" t="s">
        <v>128</v>
      </c>
      <c r="AJ190" s="4" t="s">
        <v>371</v>
      </c>
      <c r="AK190" s="4" t="s">
        <v>127</v>
      </c>
      <c r="AL190" s="4" t="s">
        <v>127</v>
      </c>
      <c r="AM190" s="4" t="s">
        <v>127</v>
      </c>
      <c r="AN190" s="4" t="s">
        <v>372</v>
      </c>
      <c r="AO190" s="4" t="s">
        <v>127</v>
      </c>
      <c r="AP190" s="4" t="s">
        <v>127</v>
      </c>
      <c r="AQ190" s="4" t="s">
        <v>127</v>
      </c>
      <c r="AR190" s="4" t="s">
        <v>127</v>
      </c>
      <c r="AS190" s="4" t="s">
        <v>127</v>
      </c>
      <c r="AT190" s="4" t="s">
        <v>127</v>
      </c>
      <c r="AU190" s="4" t="s">
        <v>127</v>
      </c>
      <c r="AV190" s="4" t="s">
        <v>127</v>
      </c>
      <c r="AW190" s="4" t="s">
        <v>127</v>
      </c>
      <c r="AX190" s="4" t="s">
        <v>127</v>
      </c>
      <c r="AY190" s="96" t="s">
        <v>1179</v>
      </c>
      <c r="AZ190" s="96" t="s">
        <v>1180</v>
      </c>
      <c r="BA190" s="96" t="s">
        <v>1181</v>
      </c>
      <c r="BB190" s="4" t="s">
        <v>1182</v>
      </c>
      <c r="BC190" s="4" t="s">
        <v>1183</v>
      </c>
      <c r="BD190" s="4" t="s">
        <v>127</v>
      </c>
      <c r="BE190" s="4" t="s">
        <v>127</v>
      </c>
      <c r="BF190" s="4" t="s">
        <v>200</v>
      </c>
      <c r="BG190" s="4" t="s">
        <v>200</v>
      </c>
      <c r="BH190" s="4" t="s">
        <v>200</v>
      </c>
      <c r="BI190" s="4" t="s">
        <v>200</v>
      </c>
      <c r="BJ190" s="4" t="s">
        <v>200</v>
      </c>
      <c r="BK190" s="4" t="s">
        <v>200</v>
      </c>
      <c r="BL190" s="4" t="s">
        <v>200</v>
      </c>
      <c r="BM190" s="4" t="s">
        <v>200</v>
      </c>
      <c r="BN190" s="4" t="s">
        <v>200</v>
      </c>
      <c r="BO190" s="4" t="s">
        <v>200</v>
      </c>
    </row>
    <row r="191" spans="1:67" ht="16" x14ac:dyDescent="0.4">
      <c r="A191" s="4" t="s">
        <v>1178</v>
      </c>
      <c r="B191" s="4" t="s">
        <v>1184</v>
      </c>
      <c r="C191" s="4" t="s">
        <v>127</v>
      </c>
      <c r="D191" s="4" t="s">
        <v>128</v>
      </c>
      <c r="E191" s="189">
        <v>45365</v>
      </c>
      <c r="F191" s="6">
        <f t="shared" si="8"/>
        <v>2024</v>
      </c>
      <c r="G191" s="4" t="s">
        <v>368</v>
      </c>
      <c r="H191" s="22" t="str">
        <f>VLOOKUP($G191,'Item Classification'!B:C,2,0)</f>
        <v>Military equipment</v>
      </c>
      <c r="I191" s="6" t="str">
        <f>VLOOKUP($G191,'Item Classification'!B:D,3,0)</f>
        <v>Other</v>
      </c>
      <c r="J191" s="23">
        <f>VLOOKUP($G191,'Item Classification'!B:E,4,0)</f>
        <v>16</v>
      </c>
      <c r="K191" s="116" t="s">
        <v>158</v>
      </c>
      <c r="L191" s="116" t="s">
        <v>369</v>
      </c>
      <c r="M191" s="116" t="str">
        <f>VLOOKUP(L191,'NATO Classifications'!$D$6:$E$647,2,0)</f>
        <v>Communication, Detection, and Coherent Radiation Equipment (other)</v>
      </c>
      <c r="N191" s="4">
        <v>16041</v>
      </c>
      <c r="O191" s="81"/>
      <c r="P191" s="81"/>
      <c r="Q191" s="4"/>
      <c r="R191" s="4"/>
      <c r="S191" s="4"/>
      <c r="T191" s="91" t="s">
        <v>132</v>
      </c>
      <c r="U191" s="104">
        <f>_xlfn.IFNA(S191/INDEX('Exchange Rates'!$C$7:$F$14,MATCH('MAIN DATA, Orders'!F191,'Exchange Rates'!$B$7:$B$14,0),MATCH('MAIN DATA, Orders'!T191,'Exchange Rates'!$C$6:$F$6,0)), "-")</f>
        <v>0</v>
      </c>
      <c r="V191" s="4" t="s">
        <v>682</v>
      </c>
      <c r="W191" s="4" t="s">
        <v>127</v>
      </c>
      <c r="X191" s="4" t="s">
        <v>128</v>
      </c>
      <c r="Y191" s="24">
        <f t="shared" si="12"/>
        <v>202403</v>
      </c>
      <c r="Z191" s="115">
        <v>1</v>
      </c>
      <c r="AA191" s="115">
        <v>0</v>
      </c>
      <c r="AB191" s="115">
        <v>0</v>
      </c>
      <c r="AC191" s="115">
        <v>1</v>
      </c>
      <c r="AD191" s="115">
        <v>1</v>
      </c>
      <c r="AE191" s="115">
        <v>0</v>
      </c>
      <c r="AF191" s="115">
        <v>1</v>
      </c>
      <c r="AG191" s="4" t="s">
        <v>149</v>
      </c>
      <c r="AH191" s="4" t="s">
        <v>128</v>
      </c>
      <c r="AI191" s="4" t="s">
        <v>128</v>
      </c>
      <c r="AJ191" s="4" t="s">
        <v>371</v>
      </c>
      <c r="AK191" s="4" t="s">
        <v>127</v>
      </c>
      <c r="AL191" s="4" t="s">
        <v>127</v>
      </c>
      <c r="AM191" s="4" t="s">
        <v>127</v>
      </c>
      <c r="AN191" s="4" t="s">
        <v>372</v>
      </c>
      <c r="AO191" s="4" t="s">
        <v>127</v>
      </c>
      <c r="AP191" s="4" t="s">
        <v>127</v>
      </c>
      <c r="AQ191" s="4" t="s">
        <v>127</v>
      </c>
      <c r="AR191" s="4" t="s">
        <v>127</v>
      </c>
      <c r="AS191" s="4" t="s">
        <v>127</v>
      </c>
      <c r="AT191" s="4" t="s">
        <v>127</v>
      </c>
      <c r="AU191" s="4" t="s">
        <v>127</v>
      </c>
      <c r="AV191" s="4" t="s">
        <v>127</v>
      </c>
      <c r="AW191" s="4" t="s">
        <v>127</v>
      </c>
      <c r="AX191" s="4" t="s">
        <v>127</v>
      </c>
      <c r="AY191" s="96" t="s">
        <v>1179</v>
      </c>
      <c r="AZ191" s="96" t="s">
        <v>1180</v>
      </c>
      <c r="BA191" s="96" t="s">
        <v>1181</v>
      </c>
      <c r="BB191" s="4" t="s">
        <v>1182</v>
      </c>
      <c r="BC191" s="4" t="s">
        <v>1183</v>
      </c>
      <c r="BD191" s="4" t="s">
        <v>127</v>
      </c>
      <c r="BE191" s="4" t="s">
        <v>127</v>
      </c>
      <c r="BF191" s="4" t="s">
        <v>200</v>
      </c>
      <c r="BG191" s="4" t="s">
        <v>200</v>
      </c>
      <c r="BH191" s="4" t="s">
        <v>200</v>
      </c>
      <c r="BI191" s="4" t="s">
        <v>200</v>
      </c>
      <c r="BJ191" s="4" t="s">
        <v>200</v>
      </c>
      <c r="BK191" s="4" t="s">
        <v>200</v>
      </c>
      <c r="BL191" s="4" t="s">
        <v>200</v>
      </c>
      <c r="BM191" s="4" t="s">
        <v>200</v>
      </c>
      <c r="BN191" s="4" t="s">
        <v>200</v>
      </c>
      <c r="BO191" s="4" t="s">
        <v>200</v>
      </c>
    </row>
    <row r="192" spans="1:67" ht="16" x14ac:dyDescent="0.4">
      <c r="A192" s="4" t="s">
        <v>1178</v>
      </c>
      <c r="B192" s="4" t="s">
        <v>1185</v>
      </c>
      <c r="C192" s="4" t="s">
        <v>127</v>
      </c>
      <c r="D192" s="4" t="s">
        <v>128</v>
      </c>
      <c r="E192" s="189">
        <v>45365</v>
      </c>
      <c r="F192" s="6">
        <f t="shared" si="8"/>
        <v>2024</v>
      </c>
      <c r="G192" s="4" t="s">
        <v>1186</v>
      </c>
      <c r="H192" s="22" t="str">
        <f>VLOOKUP($G192,'Item Classification'!B:C,2,0)</f>
        <v>Military equipment</v>
      </c>
      <c r="I192" s="6" t="str">
        <f>VLOOKUP($G192,'Item Classification'!B:D,3,0)</f>
        <v>Other</v>
      </c>
      <c r="J192" s="23">
        <f>VLOOKUP($G192,'Item Classification'!B:E,4,0)</f>
        <v>16</v>
      </c>
      <c r="K192" s="116" t="s">
        <v>158</v>
      </c>
      <c r="L192" s="116" t="s">
        <v>369</v>
      </c>
      <c r="M192" s="116" t="str">
        <f>VLOOKUP(L192,'NATO Classifications'!$D$6:$E$647,2,0)</f>
        <v>Communication, Detection, and Coherent Radiation Equipment (other)</v>
      </c>
      <c r="N192" s="4">
        <v>8423</v>
      </c>
      <c r="O192" s="81"/>
      <c r="P192" s="81"/>
      <c r="Q192" s="4"/>
      <c r="R192" s="4"/>
      <c r="S192" s="4"/>
      <c r="T192" s="91" t="s">
        <v>132</v>
      </c>
      <c r="U192" s="104">
        <f>_xlfn.IFNA(S192/INDEX('Exchange Rates'!$C$7:$F$14,MATCH('MAIN DATA, Orders'!F192,'Exchange Rates'!$B$7:$B$14,0),MATCH('MAIN DATA, Orders'!T192,'Exchange Rates'!$C$6:$F$6,0)), "-")</f>
        <v>0</v>
      </c>
      <c r="V192" s="4" t="s">
        <v>682</v>
      </c>
      <c r="W192" s="4" t="s">
        <v>127</v>
      </c>
      <c r="X192" s="4" t="s">
        <v>128</v>
      </c>
      <c r="Y192" s="24">
        <f t="shared" si="12"/>
        <v>202403</v>
      </c>
      <c r="Z192" s="115">
        <v>1</v>
      </c>
      <c r="AA192" s="115">
        <v>0</v>
      </c>
      <c r="AB192" s="115">
        <v>0</v>
      </c>
      <c r="AC192" s="115">
        <v>1</v>
      </c>
      <c r="AD192" s="115">
        <v>1</v>
      </c>
      <c r="AE192" s="115">
        <v>0</v>
      </c>
      <c r="AF192" s="115">
        <v>1</v>
      </c>
      <c r="AG192" s="4" t="s">
        <v>149</v>
      </c>
      <c r="AH192" s="4" t="s">
        <v>128</v>
      </c>
      <c r="AI192" s="4" t="s">
        <v>128</v>
      </c>
      <c r="AJ192" s="4" t="s">
        <v>371</v>
      </c>
      <c r="AK192" s="4" t="s">
        <v>127</v>
      </c>
      <c r="AL192" s="4" t="s">
        <v>127</v>
      </c>
      <c r="AM192" s="4" t="s">
        <v>127</v>
      </c>
      <c r="AN192" s="4" t="s">
        <v>372</v>
      </c>
      <c r="AO192" s="4" t="s">
        <v>127</v>
      </c>
      <c r="AP192" s="4" t="s">
        <v>127</v>
      </c>
      <c r="AQ192" s="4" t="s">
        <v>127</v>
      </c>
      <c r="AR192" s="4" t="s">
        <v>127</v>
      </c>
      <c r="AS192" s="4" t="s">
        <v>127</v>
      </c>
      <c r="AT192" s="4" t="s">
        <v>127</v>
      </c>
      <c r="AU192" s="4" t="s">
        <v>127</v>
      </c>
      <c r="AV192" s="4" t="s">
        <v>127</v>
      </c>
      <c r="AW192" s="4" t="s">
        <v>127</v>
      </c>
      <c r="AX192" s="4" t="s">
        <v>127</v>
      </c>
      <c r="AY192" s="96" t="s">
        <v>1179</v>
      </c>
      <c r="AZ192" s="96" t="s">
        <v>1180</v>
      </c>
      <c r="BA192" s="96" t="s">
        <v>1181</v>
      </c>
      <c r="BB192" s="4" t="s">
        <v>1182</v>
      </c>
      <c r="BC192" s="4" t="s">
        <v>1183</v>
      </c>
      <c r="BD192" s="4" t="s">
        <v>127</v>
      </c>
      <c r="BE192" s="4" t="s">
        <v>127</v>
      </c>
      <c r="BF192" s="4" t="s">
        <v>200</v>
      </c>
      <c r="BG192" s="4" t="s">
        <v>200</v>
      </c>
      <c r="BH192" s="4" t="s">
        <v>200</v>
      </c>
      <c r="BI192" s="4" t="s">
        <v>200</v>
      </c>
      <c r="BJ192" s="4" t="s">
        <v>200</v>
      </c>
      <c r="BK192" s="4" t="s">
        <v>200</v>
      </c>
      <c r="BL192" s="4" t="s">
        <v>200</v>
      </c>
      <c r="BM192" s="4" t="s">
        <v>200</v>
      </c>
      <c r="BN192" s="4" t="s">
        <v>200</v>
      </c>
      <c r="BO192" s="4" t="s">
        <v>200</v>
      </c>
    </row>
    <row r="193" spans="1:67" ht="16" x14ac:dyDescent="0.4">
      <c r="A193" s="4" t="s">
        <v>1187</v>
      </c>
      <c r="B193" s="4" t="s">
        <v>1187</v>
      </c>
      <c r="C193" s="4" t="s">
        <v>1038</v>
      </c>
      <c r="D193" s="4" t="s">
        <v>128</v>
      </c>
      <c r="E193" s="189">
        <v>45365</v>
      </c>
      <c r="F193" s="6">
        <f t="shared" si="8"/>
        <v>2024</v>
      </c>
      <c r="G193" s="4" t="s">
        <v>1188</v>
      </c>
      <c r="H193" s="22" t="str">
        <f>VLOOKUP($G193,'Item Classification'!B:C,2,0)</f>
        <v>Fighter jet radar development</v>
      </c>
      <c r="I193" s="6" t="str">
        <f>VLOOKUP($G193,'Item Classification'!B:D,3,0)</f>
        <v>Development - Aircraft</v>
      </c>
      <c r="J193" s="23">
        <f>VLOOKUP($G193,'Item Classification'!B:E,4,0)</f>
        <v>15</v>
      </c>
      <c r="K193" s="116" t="s">
        <v>158</v>
      </c>
      <c r="L193" s="116" t="s">
        <v>159</v>
      </c>
      <c r="M193" s="116" t="str">
        <f>VLOOKUP(L193,'NATO Classifications'!$D$6:$E$647,2,0)</f>
        <v>Radar and Sensor</v>
      </c>
      <c r="N193" s="4"/>
      <c r="O193" s="81"/>
      <c r="P193" s="81"/>
      <c r="Q193" s="4"/>
      <c r="R193" s="4"/>
      <c r="S193" s="112">
        <v>102000000</v>
      </c>
      <c r="T193" s="91" t="s">
        <v>132</v>
      </c>
      <c r="U193" s="104">
        <f>_xlfn.IFNA(S193/INDEX('Exchange Rates'!$C$7:$F$14,MATCH('MAIN DATA, Orders'!F193,'Exchange Rates'!$B$7:$B$14,0),MATCH('MAIN DATA, Orders'!T193,'Exchange Rates'!$C$6:$F$6,0)), "-")</f>
        <v>102000000</v>
      </c>
      <c r="V193" s="4" t="s">
        <v>682</v>
      </c>
      <c r="W193" s="4" t="s">
        <v>127</v>
      </c>
      <c r="X193" s="4" t="s">
        <v>128</v>
      </c>
      <c r="Y193" s="24">
        <f t="shared" si="12"/>
        <v>202403</v>
      </c>
      <c r="Z193" s="115">
        <v>0</v>
      </c>
      <c r="AA193" s="115">
        <v>0</v>
      </c>
      <c r="AB193" s="115">
        <v>0</v>
      </c>
      <c r="AC193" s="115">
        <v>1</v>
      </c>
      <c r="AD193" s="115">
        <v>1</v>
      </c>
      <c r="AE193" s="115">
        <v>0</v>
      </c>
      <c r="AF193" s="115">
        <v>1</v>
      </c>
      <c r="AG193" s="4" t="s">
        <v>127</v>
      </c>
      <c r="AH193" s="4" t="s">
        <v>128</v>
      </c>
      <c r="AI193" s="4" t="s">
        <v>127</v>
      </c>
      <c r="AJ193" s="4" t="s">
        <v>127</v>
      </c>
      <c r="AK193" s="4" t="s">
        <v>127</v>
      </c>
      <c r="AL193" s="4" t="s">
        <v>127</v>
      </c>
      <c r="AM193" s="4" t="s">
        <v>127</v>
      </c>
      <c r="AN193" s="4" t="s">
        <v>238</v>
      </c>
      <c r="AO193" s="4" t="s">
        <v>197</v>
      </c>
      <c r="AP193" s="4" t="s">
        <v>162</v>
      </c>
      <c r="AQ193" s="4" t="s">
        <v>127</v>
      </c>
      <c r="AR193" s="4" t="s">
        <v>127</v>
      </c>
      <c r="AS193" s="4" t="s">
        <v>127</v>
      </c>
      <c r="AT193" s="4" t="s">
        <v>127</v>
      </c>
      <c r="AU193" s="4" t="s">
        <v>127</v>
      </c>
      <c r="AV193" s="4" t="s">
        <v>127</v>
      </c>
      <c r="AW193" s="4" t="s">
        <v>127</v>
      </c>
      <c r="AX193" s="4" t="s">
        <v>127</v>
      </c>
      <c r="AY193" s="96" t="s">
        <v>1179</v>
      </c>
      <c r="AZ193" s="4" t="s">
        <v>127</v>
      </c>
      <c r="BA193" s="4" t="s">
        <v>127</v>
      </c>
      <c r="BB193" s="4" t="s">
        <v>1189</v>
      </c>
      <c r="BC193" s="4" t="s">
        <v>127</v>
      </c>
      <c r="BD193" s="4" t="s">
        <v>127</v>
      </c>
      <c r="BE193" s="4" t="s">
        <v>127</v>
      </c>
      <c r="BF193" s="4"/>
      <c r="BG193" s="4"/>
      <c r="BH193" s="4"/>
      <c r="BI193" s="4"/>
      <c r="BJ193" s="4"/>
      <c r="BK193" s="4"/>
      <c r="BL193" s="4"/>
      <c r="BM193" s="4"/>
      <c r="BN193" s="4"/>
      <c r="BO193" s="4"/>
    </row>
    <row r="194" spans="1:67" ht="16" x14ac:dyDescent="0.4">
      <c r="A194" s="4" t="s">
        <v>1190</v>
      </c>
      <c r="B194" s="4" t="s">
        <v>1190</v>
      </c>
      <c r="C194" s="4" t="s">
        <v>127</v>
      </c>
      <c r="D194" s="4" t="s">
        <v>128</v>
      </c>
      <c r="E194" s="189">
        <v>45371</v>
      </c>
      <c r="F194" s="6">
        <f t="shared" ref="F194:F257" si="13">YEAR(E194)</f>
        <v>2024</v>
      </c>
      <c r="G194" s="4" t="s">
        <v>1191</v>
      </c>
      <c r="H194" s="22" t="str">
        <f>VLOOKUP($G194,'Item Classification'!B:C,2,0)</f>
        <v>Anti-aircraft surface-to-air missile (SAM) system (long-range)</v>
      </c>
      <c r="I194" s="6" t="str">
        <f>VLOOKUP($G194,'Item Classification'!B:D,3,0)</f>
        <v>Air defence system</v>
      </c>
      <c r="J194" s="23">
        <f>VLOOKUP($G194,'Item Classification'!B:E,4,0)</f>
        <v>5</v>
      </c>
      <c r="K194" s="116" t="s">
        <v>211</v>
      </c>
      <c r="L194" s="116" t="s">
        <v>326</v>
      </c>
      <c r="M194" s="116" t="str">
        <f>VLOOKUP(L194,'NATO Classifications'!$D$6:$E$647,2,0)</f>
        <v>Guided Missile Systems, Complete</v>
      </c>
      <c r="N194" s="4">
        <v>2</v>
      </c>
      <c r="O194" s="81">
        <f t="shared" ref="O194:O256" si="14">S194/N194</f>
        <v>350000000</v>
      </c>
      <c r="P194" s="81">
        <f t="shared" ref="P194:P256" si="15">U194/N194</f>
        <v>350000000</v>
      </c>
      <c r="Q194" s="4"/>
      <c r="R194" s="4">
        <v>2029</v>
      </c>
      <c r="S194" s="112">
        <v>700000000</v>
      </c>
      <c r="T194" s="91" t="s">
        <v>132</v>
      </c>
      <c r="U194" s="104">
        <f>_xlfn.IFNA(S194/INDEX('Exchange Rates'!$C$7:$F$14,MATCH('MAIN DATA, Orders'!F194,'Exchange Rates'!$B$7:$B$14,0),MATCH('MAIN DATA, Orders'!T194,'Exchange Rates'!$C$6:$F$6,0)), "-")</f>
        <v>700000000</v>
      </c>
      <c r="V194" s="4" t="s">
        <v>682</v>
      </c>
      <c r="W194" s="4" t="s">
        <v>133</v>
      </c>
      <c r="X194" s="4" t="s">
        <v>128</v>
      </c>
      <c r="Y194" s="24">
        <f t="shared" si="12"/>
        <v>202403</v>
      </c>
      <c r="Z194" s="115">
        <v>0</v>
      </c>
      <c r="AA194" s="115">
        <v>0</v>
      </c>
      <c r="AB194" s="115">
        <v>0</v>
      </c>
      <c r="AC194" s="115">
        <v>0</v>
      </c>
      <c r="AD194" s="115">
        <v>0</v>
      </c>
      <c r="AE194" s="115">
        <v>0</v>
      </c>
      <c r="AF194" s="115">
        <v>0</v>
      </c>
      <c r="AG194" s="4" t="s">
        <v>718</v>
      </c>
      <c r="AH194" s="4" t="s">
        <v>196</v>
      </c>
      <c r="AI194" s="4" t="s">
        <v>127</v>
      </c>
      <c r="AJ194" s="4" t="s">
        <v>127</v>
      </c>
      <c r="AK194" s="4" t="s">
        <v>127</v>
      </c>
      <c r="AL194" s="4" t="s">
        <v>127</v>
      </c>
      <c r="AM194" s="4" t="s">
        <v>127</v>
      </c>
      <c r="AN194" s="4" t="s">
        <v>127</v>
      </c>
      <c r="AO194" s="4" t="s">
        <v>127</v>
      </c>
      <c r="AP194" s="4" t="s">
        <v>127</v>
      </c>
      <c r="AQ194" s="4" t="s">
        <v>127</v>
      </c>
      <c r="AR194" s="4" t="s">
        <v>127</v>
      </c>
      <c r="AS194" s="4" t="s">
        <v>127</v>
      </c>
      <c r="AT194" s="4" t="s">
        <v>127</v>
      </c>
      <c r="AU194" s="4" t="s">
        <v>127</v>
      </c>
      <c r="AV194" s="4" t="s">
        <v>127</v>
      </c>
      <c r="AW194" s="4" t="s">
        <v>127</v>
      </c>
      <c r="AX194" s="4" t="s">
        <v>127</v>
      </c>
      <c r="AY194" s="96" t="s">
        <v>1192</v>
      </c>
      <c r="AZ194" s="96" t="s">
        <v>1193</v>
      </c>
      <c r="BA194" s="4" t="s">
        <v>127</v>
      </c>
      <c r="BB194" s="4" t="s">
        <v>1194</v>
      </c>
      <c r="BC194" s="4" t="s">
        <v>1195</v>
      </c>
      <c r="BD194" s="4" t="s">
        <v>127</v>
      </c>
      <c r="BE194" s="4" t="s">
        <v>127</v>
      </c>
      <c r="BF194" s="4"/>
      <c r="BG194" s="4"/>
      <c r="BH194" s="4"/>
      <c r="BI194" s="4"/>
      <c r="BJ194" s="4"/>
      <c r="BK194" s="4"/>
      <c r="BL194" s="4"/>
      <c r="BM194" s="4"/>
      <c r="BN194" s="4"/>
      <c r="BO194" s="4"/>
    </row>
    <row r="195" spans="1:67" ht="16" x14ac:dyDescent="0.4">
      <c r="A195" s="4" t="s">
        <v>1196</v>
      </c>
      <c r="B195" s="4" t="s">
        <v>1196</v>
      </c>
      <c r="C195" s="4" t="s">
        <v>127</v>
      </c>
      <c r="D195" s="4" t="s">
        <v>128</v>
      </c>
      <c r="E195" s="189">
        <v>45371</v>
      </c>
      <c r="F195" s="6">
        <f t="shared" si="13"/>
        <v>2024</v>
      </c>
      <c r="G195" s="4" t="s">
        <v>1191</v>
      </c>
      <c r="H195" s="22" t="str">
        <f>VLOOKUP($G195,'Item Classification'!B:C,2,0)</f>
        <v>Anti-aircraft surface-to-air missile (SAM) system (long-range)</v>
      </c>
      <c r="I195" s="6" t="str">
        <f>VLOOKUP($G195,'Item Classification'!B:D,3,0)</f>
        <v>Air defence system</v>
      </c>
      <c r="J195" s="23">
        <f>VLOOKUP($G195,'Item Classification'!B:E,4,0)</f>
        <v>5</v>
      </c>
      <c r="K195" s="116" t="s">
        <v>211</v>
      </c>
      <c r="L195" s="116" t="s">
        <v>326</v>
      </c>
      <c r="M195" s="116" t="str">
        <f>VLOOKUP(L195,'NATO Classifications'!$D$6:$E$647,2,0)</f>
        <v>Guided Missile Systems, Complete</v>
      </c>
      <c r="N195" s="4">
        <v>2</v>
      </c>
      <c r="O195" s="81">
        <f t="shared" si="14"/>
        <v>350000000</v>
      </c>
      <c r="P195" s="81">
        <f t="shared" si="15"/>
        <v>350000000</v>
      </c>
      <c r="Q195" s="4"/>
      <c r="R195" s="4">
        <v>2029</v>
      </c>
      <c r="S195" s="112">
        <v>700000000</v>
      </c>
      <c r="T195" s="91" t="s">
        <v>132</v>
      </c>
      <c r="U195" s="104">
        <f>_xlfn.IFNA(S195/INDEX('Exchange Rates'!$C$7:$F$14,MATCH('MAIN DATA, Orders'!F195,'Exchange Rates'!$B$7:$B$14,0),MATCH('MAIN DATA, Orders'!T195,'Exchange Rates'!$C$6:$F$6,0)), "-")</f>
        <v>700000000</v>
      </c>
      <c r="V195" s="4" t="s">
        <v>808</v>
      </c>
      <c r="W195" s="4" t="s">
        <v>127</v>
      </c>
      <c r="X195" s="4" t="s">
        <v>128</v>
      </c>
      <c r="Y195" s="24">
        <f t="shared" si="12"/>
        <v>202403</v>
      </c>
      <c r="Z195" s="115">
        <v>0</v>
      </c>
      <c r="AA195" s="115">
        <v>0</v>
      </c>
      <c r="AB195" s="115">
        <v>0</v>
      </c>
      <c r="AC195" s="115">
        <v>0</v>
      </c>
      <c r="AD195" s="115">
        <v>0</v>
      </c>
      <c r="AE195" s="115">
        <v>0</v>
      </c>
      <c r="AF195" s="115">
        <v>0</v>
      </c>
      <c r="AG195" s="4" t="s">
        <v>718</v>
      </c>
      <c r="AH195" s="4" t="s">
        <v>196</v>
      </c>
      <c r="AI195" s="4" t="s">
        <v>127</v>
      </c>
      <c r="AJ195" s="4" t="s">
        <v>127</v>
      </c>
      <c r="AK195" s="4" t="s">
        <v>127</v>
      </c>
      <c r="AL195" s="4" t="s">
        <v>127</v>
      </c>
      <c r="AM195" s="4" t="s">
        <v>127</v>
      </c>
      <c r="AN195" s="4" t="s">
        <v>127</v>
      </c>
      <c r="AO195" s="4" t="s">
        <v>127</v>
      </c>
      <c r="AP195" s="4" t="s">
        <v>127</v>
      </c>
      <c r="AQ195" s="4" t="s">
        <v>127</v>
      </c>
      <c r="AR195" s="4" t="s">
        <v>127</v>
      </c>
      <c r="AS195" s="4" t="s">
        <v>127</v>
      </c>
      <c r="AT195" s="4" t="s">
        <v>127</v>
      </c>
      <c r="AU195" s="4" t="s">
        <v>127</v>
      </c>
      <c r="AV195" s="4" t="s">
        <v>127</v>
      </c>
      <c r="AW195" s="4" t="s">
        <v>127</v>
      </c>
      <c r="AX195" s="4" t="s">
        <v>127</v>
      </c>
      <c r="AY195" s="96" t="s">
        <v>1192</v>
      </c>
      <c r="AZ195" s="96" t="s">
        <v>1193</v>
      </c>
      <c r="BA195" s="4" t="s">
        <v>127</v>
      </c>
      <c r="BB195" s="4" t="s">
        <v>1194</v>
      </c>
      <c r="BC195" s="4" t="s">
        <v>1195</v>
      </c>
      <c r="BD195" s="4" t="s">
        <v>127</v>
      </c>
      <c r="BE195" s="4" t="s">
        <v>127</v>
      </c>
      <c r="BF195" s="4"/>
      <c r="BG195" s="4"/>
      <c r="BH195" s="4"/>
      <c r="BI195" s="4"/>
      <c r="BJ195" s="4"/>
      <c r="BK195" s="4"/>
      <c r="BL195" s="4"/>
      <c r="BM195" s="4"/>
      <c r="BN195" s="4"/>
      <c r="BO195" s="4"/>
    </row>
    <row r="196" spans="1:67" ht="16" x14ac:dyDescent="0.4">
      <c r="A196" s="4" t="s">
        <v>1197</v>
      </c>
      <c r="B196" s="4" t="s">
        <v>1197</v>
      </c>
      <c r="C196" s="4" t="s">
        <v>127</v>
      </c>
      <c r="D196" s="4" t="s">
        <v>128</v>
      </c>
      <c r="E196" s="189">
        <v>45371</v>
      </c>
      <c r="F196" s="6">
        <f t="shared" si="13"/>
        <v>2024</v>
      </c>
      <c r="G196" s="4" t="s">
        <v>726</v>
      </c>
      <c r="H196" s="22" t="str">
        <f>VLOOKUP($G196,'Item Classification'!B:C,2,0)</f>
        <v>Communication equipment</v>
      </c>
      <c r="I196" s="6" t="str">
        <f>VLOOKUP($G196,'Item Classification'!B:D,3,0)</f>
        <v>Modernisation</v>
      </c>
      <c r="J196" s="23">
        <f>VLOOKUP($G196,'Item Classification'!B:E,4,0)</f>
        <v>13</v>
      </c>
      <c r="K196" s="116" t="s">
        <v>727</v>
      </c>
      <c r="L196" s="116" t="s">
        <v>728</v>
      </c>
      <c r="M196" s="116" t="str">
        <f>VLOOKUP(L196,'NATO Classifications'!$D$6:$E$647,2,0)</f>
        <v>Headsets, Handsets, Microphones and Speakers</v>
      </c>
      <c r="N196" s="4">
        <v>30000</v>
      </c>
      <c r="O196" s="81">
        <f t="shared" si="14"/>
        <v>2700</v>
      </c>
      <c r="P196" s="81">
        <f t="shared" si="15"/>
        <v>2700</v>
      </c>
      <c r="Q196" s="4">
        <v>2024</v>
      </c>
      <c r="R196" s="4">
        <v>2024</v>
      </c>
      <c r="S196" s="112">
        <v>81000000</v>
      </c>
      <c r="T196" s="91" t="s">
        <v>132</v>
      </c>
      <c r="U196" s="104">
        <f>_xlfn.IFNA(S196/INDEX('Exchange Rates'!$C$7:$F$14,MATCH('MAIN DATA, Orders'!F196,'Exchange Rates'!$B$7:$B$14,0),MATCH('MAIN DATA, Orders'!T196,'Exchange Rates'!$C$6:$F$6,0)), "-")</f>
        <v>81000000</v>
      </c>
      <c r="V196" s="4" t="s">
        <v>133</v>
      </c>
      <c r="W196" s="4" t="s">
        <v>127</v>
      </c>
      <c r="X196" s="4" t="s">
        <v>128</v>
      </c>
      <c r="Y196" s="24">
        <f t="shared" si="12"/>
        <v>202403</v>
      </c>
      <c r="Z196" s="115">
        <v>1</v>
      </c>
      <c r="AA196" s="115">
        <v>0</v>
      </c>
      <c r="AB196" s="115">
        <v>0</v>
      </c>
      <c r="AC196" s="115">
        <v>1</v>
      </c>
      <c r="AD196" s="115">
        <v>0</v>
      </c>
      <c r="AE196" s="115">
        <v>0</v>
      </c>
      <c r="AF196" s="115">
        <v>0</v>
      </c>
      <c r="AG196" s="4" t="s">
        <v>256</v>
      </c>
      <c r="AH196" s="4" t="s">
        <v>128</v>
      </c>
      <c r="AI196" s="4" t="s">
        <v>127</v>
      </c>
      <c r="AJ196" s="4" t="s">
        <v>127</v>
      </c>
      <c r="AK196" s="4" t="s">
        <v>127</v>
      </c>
      <c r="AL196" s="4" t="s">
        <v>127</v>
      </c>
      <c r="AM196" s="4" t="s">
        <v>127</v>
      </c>
      <c r="AN196" s="4" t="s">
        <v>127</v>
      </c>
      <c r="AO196" s="4" t="s">
        <v>127</v>
      </c>
      <c r="AP196" s="4" t="s">
        <v>127</v>
      </c>
      <c r="AQ196" s="4" t="s">
        <v>127</v>
      </c>
      <c r="AR196" s="4" t="s">
        <v>127</v>
      </c>
      <c r="AS196" s="4" t="s">
        <v>127</v>
      </c>
      <c r="AT196" s="4" t="s">
        <v>127</v>
      </c>
      <c r="AU196" s="4" t="s">
        <v>127</v>
      </c>
      <c r="AV196" s="4" t="s">
        <v>127</v>
      </c>
      <c r="AW196" s="4" t="s">
        <v>127</v>
      </c>
      <c r="AX196" s="4" t="s">
        <v>127</v>
      </c>
      <c r="AY196" s="96" t="s">
        <v>1192</v>
      </c>
      <c r="AZ196" s="96" t="s">
        <v>1198</v>
      </c>
      <c r="BA196" s="96" t="s">
        <v>1199</v>
      </c>
      <c r="BB196" s="4" t="s">
        <v>1200</v>
      </c>
      <c r="BC196" s="4" t="s">
        <v>1201</v>
      </c>
      <c r="BD196" s="4" t="s">
        <v>127</v>
      </c>
      <c r="BE196" s="4" t="s">
        <v>127</v>
      </c>
      <c r="BF196" s="4"/>
      <c r="BG196" s="4"/>
      <c r="BH196" s="4"/>
      <c r="BI196" s="4"/>
      <c r="BJ196" s="4"/>
      <c r="BK196" s="4"/>
      <c r="BL196" s="4"/>
      <c r="BM196" s="4"/>
      <c r="BN196" s="4"/>
      <c r="BO196" s="4"/>
    </row>
    <row r="197" spans="1:67" ht="16" x14ac:dyDescent="0.4">
      <c r="A197" s="4" t="s">
        <v>1202</v>
      </c>
      <c r="B197" s="4" t="s">
        <v>1202</v>
      </c>
      <c r="C197" s="4" t="s">
        <v>127</v>
      </c>
      <c r="D197" s="4" t="s">
        <v>128</v>
      </c>
      <c r="E197" s="189">
        <v>45371</v>
      </c>
      <c r="F197" s="6">
        <f t="shared" si="13"/>
        <v>2024</v>
      </c>
      <c r="G197" s="4" t="s">
        <v>1203</v>
      </c>
      <c r="H197" s="22" t="str">
        <f>VLOOKUP($G197,'Item Classification'!B:C,2,0)</f>
        <v>Light tank</v>
      </c>
      <c r="I197" s="6" t="str">
        <f>VLOOKUP($G197,'Item Classification'!B:D,3,0)</f>
        <v>Armoured vehicle</v>
      </c>
      <c r="J197" s="23">
        <f>VLOOKUP($G197,'Item Classification'!B:E,4,0)</f>
        <v>2</v>
      </c>
      <c r="K197" s="116" t="s">
        <v>274</v>
      </c>
      <c r="L197" s="116" t="s">
        <v>493</v>
      </c>
      <c r="M197" s="116" t="str">
        <f>VLOOKUP(L197,'NATO Classifications'!$D$6:$E$647,2,0)</f>
        <v>Combat, Assault, and Tactical Vehicles, Wheeled</v>
      </c>
      <c r="N197" s="4">
        <v>123</v>
      </c>
      <c r="O197" s="81">
        <f t="shared" si="14"/>
        <v>15772357.723577235</v>
      </c>
      <c r="P197" s="81">
        <f t="shared" si="15"/>
        <v>15772357.723577235</v>
      </c>
      <c r="Q197" s="4">
        <v>2025</v>
      </c>
      <c r="R197" s="4">
        <v>2030</v>
      </c>
      <c r="S197" s="112">
        <v>1940000000</v>
      </c>
      <c r="T197" s="91" t="s">
        <v>132</v>
      </c>
      <c r="U197" s="104">
        <f>_xlfn.IFNA(S197/INDEX('Exchange Rates'!$C$7:$F$14,MATCH('MAIN DATA, Orders'!F197,'Exchange Rates'!$B$7:$B$14,0),MATCH('MAIN DATA, Orders'!T197,'Exchange Rates'!$C$6:$F$6,0)), "-")</f>
        <v>1940000000</v>
      </c>
      <c r="V197" s="4" t="s">
        <v>682</v>
      </c>
      <c r="W197" s="4" t="s">
        <v>127</v>
      </c>
      <c r="X197" s="4" t="s">
        <v>128</v>
      </c>
      <c r="Y197" s="24">
        <f t="shared" si="12"/>
        <v>202403</v>
      </c>
      <c r="Z197" s="115">
        <v>0</v>
      </c>
      <c r="AA197" s="115">
        <v>0</v>
      </c>
      <c r="AB197" s="115">
        <v>0</v>
      </c>
      <c r="AC197" s="115">
        <v>1</v>
      </c>
      <c r="AD197" s="115">
        <v>0</v>
      </c>
      <c r="AE197" s="115">
        <v>1</v>
      </c>
      <c r="AF197" s="115">
        <v>0</v>
      </c>
      <c r="AG197" s="4" t="s">
        <v>256</v>
      </c>
      <c r="AH197" s="4" t="s">
        <v>128</v>
      </c>
      <c r="AI197" s="4" t="s">
        <v>531</v>
      </c>
      <c r="AJ197" s="4" t="s">
        <v>127</v>
      </c>
      <c r="AK197" s="4" t="s">
        <v>127</v>
      </c>
      <c r="AL197" s="4" t="s">
        <v>127</v>
      </c>
      <c r="AM197" s="4" t="s">
        <v>127</v>
      </c>
      <c r="AN197" s="4" t="s">
        <v>127</v>
      </c>
      <c r="AO197" s="4" t="s">
        <v>127</v>
      </c>
      <c r="AP197" s="4" t="s">
        <v>127</v>
      </c>
      <c r="AQ197" s="4" t="s">
        <v>127</v>
      </c>
      <c r="AR197" s="4" t="s">
        <v>127</v>
      </c>
      <c r="AS197" s="4" t="s">
        <v>127</v>
      </c>
      <c r="AT197" s="4" t="s">
        <v>127</v>
      </c>
      <c r="AU197" s="4" t="s">
        <v>127</v>
      </c>
      <c r="AV197" s="4" t="s">
        <v>127</v>
      </c>
      <c r="AW197" s="4" t="s">
        <v>127</v>
      </c>
      <c r="AX197" s="4" t="s">
        <v>127</v>
      </c>
      <c r="AY197" s="96" t="s">
        <v>1204</v>
      </c>
      <c r="AZ197" s="96" t="s">
        <v>1205</v>
      </c>
      <c r="BA197" s="4" t="s">
        <v>127</v>
      </c>
      <c r="BB197" s="4" t="s">
        <v>1206</v>
      </c>
      <c r="BC197" s="4" t="s">
        <v>1207</v>
      </c>
      <c r="BD197" s="4" t="s">
        <v>1208</v>
      </c>
      <c r="BE197" s="4" t="s">
        <v>127</v>
      </c>
      <c r="BF197" s="4"/>
      <c r="BG197" s="4"/>
      <c r="BH197" s="4"/>
      <c r="BI197" s="4"/>
      <c r="BJ197" s="4"/>
      <c r="BK197" s="4"/>
      <c r="BL197" s="4"/>
      <c r="BM197" s="4"/>
      <c r="BN197" s="4"/>
      <c r="BO197" s="4"/>
    </row>
    <row r="198" spans="1:67" ht="16" x14ac:dyDescent="0.4">
      <c r="A198" s="4" t="s">
        <v>1209</v>
      </c>
      <c r="B198" s="4" t="s">
        <v>1209</v>
      </c>
      <c r="C198" s="4" t="s">
        <v>127</v>
      </c>
      <c r="D198" s="4" t="s">
        <v>128</v>
      </c>
      <c r="E198" s="189">
        <v>45371</v>
      </c>
      <c r="F198" s="6">
        <f t="shared" si="13"/>
        <v>2024</v>
      </c>
      <c r="G198" s="4" t="s">
        <v>1210</v>
      </c>
      <c r="H198" s="22" t="str">
        <f>VLOOKUP($G198,'Item Classification'!B:C,2,0)</f>
        <v>Armored fighting vehicle maintenance</v>
      </c>
      <c r="I198" s="6" t="str">
        <f>VLOOKUP($G198,'Item Classification'!B:D,3,0)</f>
        <v>Maintenance</v>
      </c>
      <c r="J198" s="23">
        <f>VLOOKUP($G198,'Item Classification'!B:E,4,0)</f>
        <v>14</v>
      </c>
      <c r="K198" s="116" t="s">
        <v>274</v>
      </c>
      <c r="L198" s="116" t="s">
        <v>493</v>
      </c>
      <c r="M198" s="116" t="str">
        <f>VLOOKUP(L198,'NATO Classifications'!$D$6:$E$647,2,0)</f>
        <v>Combat, Assault, and Tactical Vehicles, Wheeled</v>
      </c>
      <c r="N198" s="4">
        <v>5</v>
      </c>
      <c r="O198" s="81">
        <f t="shared" si="14"/>
        <v>149380000</v>
      </c>
      <c r="P198" s="81">
        <f t="shared" si="15"/>
        <v>149380000</v>
      </c>
      <c r="Q198" s="4">
        <v>2025</v>
      </c>
      <c r="R198" s="4">
        <v>2030</v>
      </c>
      <c r="S198" s="112">
        <v>746900000</v>
      </c>
      <c r="T198" s="91" t="s">
        <v>132</v>
      </c>
      <c r="U198" s="104">
        <f>_xlfn.IFNA(S198/INDEX('Exchange Rates'!$C$7:$F$14,MATCH('MAIN DATA, Orders'!F198,'Exchange Rates'!$B$7:$B$14,0),MATCH('MAIN DATA, Orders'!T198,'Exchange Rates'!$C$6:$F$6,0)), "-")</f>
        <v>746900000</v>
      </c>
      <c r="V198" s="4" t="s">
        <v>682</v>
      </c>
      <c r="W198" s="4" t="s">
        <v>127</v>
      </c>
      <c r="X198" s="4" t="s">
        <v>128</v>
      </c>
      <c r="Y198" s="24">
        <f t="shared" si="12"/>
        <v>202403</v>
      </c>
      <c r="Z198" s="115">
        <v>0</v>
      </c>
      <c r="AA198" s="115">
        <v>1</v>
      </c>
      <c r="AB198" s="115">
        <v>0</v>
      </c>
      <c r="AC198" s="115">
        <v>1</v>
      </c>
      <c r="AD198" s="115">
        <v>0</v>
      </c>
      <c r="AE198" s="115">
        <v>0</v>
      </c>
      <c r="AF198" s="115">
        <v>0</v>
      </c>
      <c r="AG198" s="4" t="s">
        <v>256</v>
      </c>
      <c r="AH198" s="4" t="s">
        <v>128</v>
      </c>
      <c r="AI198" s="4" t="s">
        <v>127</v>
      </c>
      <c r="AJ198" s="4" t="s">
        <v>127</v>
      </c>
      <c r="AK198" s="4" t="s">
        <v>127</v>
      </c>
      <c r="AL198" s="4" t="s">
        <v>127</v>
      </c>
      <c r="AM198" s="4" t="s">
        <v>127</v>
      </c>
      <c r="AN198" s="4" t="s">
        <v>127</v>
      </c>
      <c r="AO198" s="4" t="s">
        <v>127</v>
      </c>
      <c r="AP198" s="4" t="s">
        <v>127</v>
      </c>
      <c r="AQ198" s="4" t="s">
        <v>127</v>
      </c>
      <c r="AR198" s="4" t="s">
        <v>127</v>
      </c>
      <c r="AS198" s="4" t="s">
        <v>127</v>
      </c>
      <c r="AT198" s="4" t="s">
        <v>127</v>
      </c>
      <c r="AU198" s="4" t="s">
        <v>127</v>
      </c>
      <c r="AV198" s="4" t="s">
        <v>127</v>
      </c>
      <c r="AW198" s="4" t="s">
        <v>127</v>
      </c>
      <c r="AX198" s="4" t="s">
        <v>127</v>
      </c>
      <c r="AY198" s="96" t="s">
        <v>1204</v>
      </c>
      <c r="AZ198" s="4" t="s">
        <v>127</v>
      </c>
      <c r="BA198" s="4" t="s">
        <v>127</v>
      </c>
      <c r="BB198" s="4" t="s">
        <v>1206</v>
      </c>
      <c r="BC198" s="4" t="s">
        <v>1207</v>
      </c>
      <c r="BD198" s="4" t="s">
        <v>1208</v>
      </c>
      <c r="BE198" s="4" t="s">
        <v>127</v>
      </c>
      <c r="BF198" s="4"/>
      <c r="BG198" s="4"/>
      <c r="BH198" s="4"/>
      <c r="BI198" s="4"/>
      <c r="BJ198" s="4"/>
      <c r="BK198" s="4"/>
      <c r="BL198" s="4"/>
      <c r="BM198" s="4"/>
      <c r="BN198" s="4"/>
      <c r="BO198" s="4"/>
    </row>
    <row r="199" spans="1:67" ht="16" x14ac:dyDescent="0.4">
      <c r="A199" s="4" t="s">
        <v>1211</v>
      </c>
      <c r="B199" s="4" t="s">
        <v>1211</v>
      </c>
      <c r="C199" s="4" t="s">
        <v>127</v>
      </c>
      <c r="D199" s="4" t="s">
        <v>128</v>
      </c>
      <c r="E199" s="189">
        <v>45392</v>
      </c>
      <c r="F199" s="6">
        <f t="shared" si="13"/>
        <v>2024</v>
      </c>
      <c r="G199" s="4" t="s">
        <v>1212</v>
      </c>
      <c r="H199" s="22" t="str">
        <f>VLOOKUP($G199,'Item Classification'!B:C,2,0)</f>
        <v>Infantry fighting vehicle (IFV) equipment</v>
      </c>
      <c r="I199" s="6" t="str">
        <f>VLOOKUP($G199,'Item Classification'!B:D,3,0)</f>
        <v>Armoured vehicle</v>
      </c>
      <c r="J199" s="23">
        <f>VLOOKUP($G199,'Item Classification'!B:E,4,0)</f>
        <v>2</v>
      </c>
      <c r="K199" s="116" t="s">
        <v>941</v>
      </c>
      <c r="L199" s="116" t="s">
        <v>942</v>
      </c>
      <c r="M199" s="116" t="str">
        <f>VLOOKUP(L199,'NATO Classifications'!$D$6:$E$647,2,0)</f>
        <v>Training Aids</v>
      </c>
      <c r="N199" s="4">
        <v>258</v>
      </c>
      <c r="O199" s="81">
        <f t="shared" si="14"/>
        <v>422480.62015503878</v>
      </c>
      <c r="P199" s="81">
        <f t="shared" si="15"/>
        <v>422480.62015503878</v>
      </c>
      <c r="Q199" s="4"/>
      <c r="R199" s="4">
        <v>2026</v>
      </c>
      <c r="S199" s="112">
        <v>109000000</v>
      </c>
      <c r="T199" s="91" t="s">
        <v>132</v>
      </c>
      <c r="U199" s="104">
        <f>_xlfn.IFNA(S199/INDEX('Exchange Rates'!$C$7:$F$14,MATCH('MAIN DATA, Orders'!F199,'Exchange Rates'!$B$7:$B$14,0),MATCH('MAIN DATA, Orders'!T199,'Exchange Rates'!$C$6:$F$6,0)), "-")</f>
        <v>109000000</v>
      </c>
      <c r="V199" s="4" t="s">
        <v>682</v>
      </c>
      <c r="W199" s="4" t="s">
        <v>127</v>
      </c>
      <c r="X199" s="4" t="s">
        <v>128</v>
      </c>
      <c r="Y199" s="24">
        <f t="shared" si="12"/>
        <v>202404</v>
      </c>
      <c r="Z199" s="115">
        <v>0</v>
      </c>
      <c r="AA199" s="115">
        <v>0</v>
      </c>
      <c r="AB199" s="115">
        <v>0</v>
      </c>
      <c r="AC199" s="115">
        <v>1</v>
      </c>
      <c r="AD199" s="115">
        <v>0</v>
      </c>
      <c r="AE199" s="115">
        <v>0</v>
      </c>
      <c r="AF199" s="115">
        <v>0</v>
      </c>
      <c r="AG199" s="4" t="s">
        <v>256</v>
      </c>
      <c r="AH199" s="4" t="s">
        <v>128</v>
      </c>
      <c r="AI199" s="4" t="s">
        <v>127</v>
      </c>
      <c r="AJ199" s="4" t="s">
        <v>1213</v>
      </c>
      <c r="AK199" s="4" t="s">
        <v>127</v>
      </c>
      <c r="AL199" s="4" t="s">
        <v>127</v>
      </c>
      <c r="AM199" s="4" t="s">
        <v>127</v>
      </c>
      <c r="AN199" s="4" t="s">
        <v>127</v>
      </c>
      <c r="AO199" s="4" t="s">
        <v>127</v>
      </c>
      <c r="AP199" s="4" t="s">
        <v>127</v>
      </c>
      <c r="AQ199" s="4" t="s">
        <v>127</v>
      </c>
      <c r="AR199" s="4" t="s">
        <v>127</v>
      </c>
      <c r="AS199" s="4" t="s">
        <v>127</v>
      </c>
      <c r="AT199" s="4" t="s">
        <v>127</v>
      </c>
      <c r="AU199" s="4" t="s">
        <v>127</v>
      </c>
      <c r="AV199" s="4" t="s">
        <v>127</v>
      </c>
      <c r="AW199" s="4" t="s">
        <v>127</v>
      </c>
      <c r="AX199" s="4" t="s">
        <v>127</v>
      </c>
      <c r="AY199" s="96" t="s">
        <v>1214</v>
      </c>
      <c r="AZ199" s="96" t="s">
        <v>1215</v>
      </c>
      <c r="BA199" s="4" t="s">
        <v>127</v>
      </c>
      <c r="BB199" s="4" t="s">
        <v>1216</v>
      </c>
      <c r="BC199" s="4" t="s">
        <v>1217</v>
      </c>
      <c r="BD199" s="4" t="s">
        <v>127</v>
      </c>
      <c r="BE199" s="4" t="s">
        <v>127</v>
      </c>
      <c r="BF199" s="4"/>
      <c r="BG199" s="4"/>
      <c r="BH199" s="4"/>
      <c r="BI199" s="4"/>
      <c r="BJ199" s="4"/>
      <c r="BK199" s="4"/>
      <c r="BL199" s="4"/>
      <c r="BM199" s="4"/>
      <c r="BN199" s="4"/>
      <c r="BO199" s="4"/>
    </row>
    <row r="200" spans="1:67" ht="16" x14ac:dyDescent="0.4">
      <c r="A200" s="4" t="s">
        <v>1218</v>
      </c>
      <c r="B200" s="4" t="s">
        <v>1218</v>
      </c>
      <c r="C200" s="4" t="s">
        <v>1219</v>
      </c>
      <c r="D200" s="4" t="s">
        <v>128</v>
      </c>
      <c r="E200" s="189">
        <v>45392</v>
      </c>
      <c r="F200" s="6">
        <f t="shared" si="13"/>
        <v>2024</v>
      </c>
      <c r="G200" s="4" t="s">
        <v>1220</v>
      </c>
      <c r="H200" s="22" t="str">
        <f>VLOOKUP($G200,'Item Classification'!B:C,2,0)</f>
        <v>70mm attack helicopter rocket</v>
      </c>
      <c r="I200" s="6" t="str">
        <f>VLOOKUP($G200,'Item Classification'!B:D,3,0)</f>
        <v>Ammunition</v>
      </c>
      <c r="J200" s="23">
        <f>VLOOKUP($G200,'Item Classification'!B:E,4,0)</f>
        <v>4</v>
      </c>
      <c r="K200" s="116" t="s">
        <v>189</v>
      </c>
      <c r="L200" s="116" t="s">
        <v>1221</v>
      </c>
      <c r="M200" s="116" t="str">
        <f>VLOOKUP(L200,'NATO Classifications'!$D$6:$E$647,2,0)</f>
        <v>Ammunition and Explosives (other)</v>
      </c>
      <c r="N200" s="4">
        <v>15180</v>
      </c>
      <c r="O200" s="81">
        <f t="shared" si="14"/>
        <v>3557.312252964427</v>
      </c>
      <c r="P200" s="81">
        <f t="shared" si="15"/>
        <v>3557.312252964427</v>
      </c>
      <c r="Q200" s="4">
        <v>2024</v>
      </c>
      <c r="R200" s="4">
        <v>2026</v>
      </c>
      <c r="S200" s="112">
        <v>54000000</v>
      </c>
      <c r="T200" s="91" t="s">
        <v>132</v>
      </c>
      <c r="U200" s="104">
        <f>_xlfn.IFNA(S200/INDEX('Exchange Rates'!$C$7:$F$14,MATCH('MAIN DATA, Orders'!F200,'Exchange Rates'!$B$7:$B$14,0),MATCH('MAIN DATA, Orders'!T200,'Exchange Rates'!$C$6:$F$6,0)), "-")</f>
        <v>54000000</v>
      </c>
      <c r="V200" s="4" t="s">
        <v>682</v>
      </c>
      <c r="W200" s="4" t="s">
        <v>127</v>
      </c>
      <c r="X200" s="4" t="s">
        <v>128</v>
      </c>
      <c r="Y200" s="24">
        <f t="shared" si="12"/>
        <v>202404</v>
      </c>
      <c r="Z200" s="115">
        <v>1</v>
      </c>
      <c r="AA200" s="115">
        <v>0</v>
      </c>
      <c r="AB200" s="115">
        <v>0</v>
      </c>
      <c r="AC200" s="115">
        <v>1</v>
      </c>
      <c r="AD200" s="115">
        <v>1</v>
      </c>
      <c r="AE200" s="115">
        <v>0</v>
      </c>
      <c r="AF200" s="115">
        <v>1</v>
      </c>
      <c r="AG200" s="4" t="s">
        <v>256</v>
      </c>
      <c r="AH200" s="4" t="s">
        <v>128</v>
      </c>
      <c r="AI200" s="4" t="s">
        <v>127</v>
      </c>
      <c r="AJ200" s="4" t="s">
        <v>148</v>
      </c>
      <c r="AK200" s="4" t="s">
        <v>127</v>
      </c>
      <c r="AL200" s="4" t="s">
        <v>127</v>
      </c>
      <c r="AM200" s="4" t="s">
        <v>127</v>
      </c>
      <c r="AN200" s="4" t="s">
        <v>1222</v>
      </c>
      <c r="AO200" s="4" t="s">
        <v>127</v>
      </c>
      <c r="AP200" s="4" t="s">
        <v>127</v>
      </c>
      <c r="AQ200" s="4" t="s">
        <v>127</v>
      </c>
      <c r="AR200" s="4" t="s">
        <v>127</v>
      </c>
      <c r="AS200" s="4" t="s">
        <v>127</v>
      </c>
      <c r="AT200" s="4" t="s">
        <v>127</v>
      </c>
      <c r="AU200" s="4" t="s">
        <v>127</v>
      </c>
      <c r="AV200" s="4" t="s">
        <v>127</v>
      </c>
      <c r="AW200" s="4" t="s">
        <v>127</v>
      </c>
      <c r="AX200" s="4" t="s">
        <v>127</v>
      </c>
      <c r="AY200" s="96" t="s">
        <v>1214</v>
      </c>
      <c r="AZ200" s="96" t="s">
        <v>1223</v>
      </c>
      <c r="BA200" s="96" t="s">
        <v>1224</v>
      </c>
      <c r="BB200" s="4" t="s">
        <v>1225</v>
      </c>
      <c r="BC200" s="4" t="s">
        <v>1226</v>
      </c>
      <c r="BD200" s="4" t="s">
        <v>127</v>
      </c>
      <c r="BE200" s="4" t="s">
        <v>127</v>
      </c>
      <c r="BF200" s="4"/>
      <c r="BG200" s="4"/>
      <c r="BH200" s="4"/>
      <c r="BI200" s="4"/>
      <c r="BJ200" s="4"/>
      <c r="BK200" s="4"/>
      <c r="BL200" s="4"/>
      <c r="BM200" s="4"/>
      <c r="BN200" s="4"/>
      <c r="BO200" s="4"/>
    </row>
    <row r="201" spans="1:67" ht="16" x14ac:dyDescent="0.4">
      <c r="A201" s="4" t="s">
        <v>1227</v>
      </c>
      <c r="B201" s="4" t="s">
        <v>1227</v>
      </c>
      <c r="C201" s="4" t="s">
        <v>1228</v>
      </c>
      <c r="D201" s="4" t="s">
        <v>128</v>
      </c>
      <c r="E201" s="189">
        <v>45406</v>
      </c>
      <c r="F201" s="6">
        <f t="shared" si="13"/>
        <v>2024</v>
      </c>
      <c r="G201" s="4" t="s">
        <v>127</v>
      </c>
      <c r="H201" s="22" t="s">
        <v>1229</v>
      </c>
      <c r="I201" s="6" t="s">
        <v>608</v>
      </c>
      <c r="J201" s="23">
        <v>10</v>
      </c>
      <c r="K201" s="116" t="s">
        <v>130</v>
      </c>
      <c r="L201" s="116" t="s">
        <v>266</v>
      </c>
      <c r="M201" s="116" t="str">
        <f>VLOOKUP(L201,'NATO Classifications'!$D$6:$E$647,2,0)</f>
        <v>Aircraft, Rotary Wing</v>
      </c>
      <c r="N201" s="4"/>
      <c r="O201" s="81"/>
      <c r="P201" s="81"/>
      <c r="Q201" s="4"/>
      <c r="R201" s="4"/>
      <c r="S201" s="112">
        <v>217000000</v>
      </c>
      <c r="T201" s="91" t="s">
        <v>132</v>
      </c>
      <c r="U201" s="104">
        <f>_xlfn.IFNA(S201/INDEX('Exchange Rates'!$C$7:$F$14,MATCH('MAIN DATA, Orders'!F201,'Exchange Rates'!$B$7:$B$14,0),MATCH('MAIN DATA, Orders'!T201,'Exchange Rates'!$C$6:$F$6,0)), "-")</f>
        <v>217000000</v>
      </c>
      <c r="V201" s="4" t="s">
        <v>682</v>
      </c>
      <c r="W201" s="4" t="s">
        <v>127</v>
      </c>
      <c r="X201" s="4" t="s">
        <v>128</v>
      </c>
      <c r="Y201" s="24">
        <f t="shared" si="12"/>
        <v>202404</v>
      </c>
      <c r="Z201" s="115">
        <v>1</v>
      </c>
      <c r="AA201" s="115">
        <v>0</v>
      </c>
      <c r="AB201" s="115">
        <v>0</v>
      </c>
      <c r="AC201" s="115">
        <v>1</v>
      </c>
      <c r="AD201" s="115">
        <v>1</v>
      </c>
      <c r="AE201" s="115">
        <v>0</v>
      </c>
      <c r="AF201" s="115">
        <v>1</v>
      </c>
      <c r="AG201" s="4" t="s">
        <v>127</v>
      </c>
      <c r="AH201" s="4" t="s">
        <v>128</v>
      </c>
      <c r="AI201" s="4" t="s">
        <v>127</v>
      </c>
      <c r="AJ201" s="4" t="s">
        <v>127</v>
      </c>
      <c r="AK201" s="4" t="s">
        <v>127</v>
      </c>
      <c r="AL201" s="4" t="s">
        <v>127</v>
      </c>
      <c r="AM201" s="4" t="s">
        <v>127</v>
      </c>
      <c r="AN201" s="4" t="s">
        <v>197</v>
      </c>
      <c r="AO201" s="4" t="s">
        <v>146</v>
      </c>
      <c r="AP201" s="4" t="s">
        <v>151</v>
      </c>
      <c r="AQ201" s="4" t="s">
        <v>127</v>
      </c>
      <c r="AR201" s="4" t="s">
        <v>127</v>
      </c>
      <c r="AS201" s="4" t="s">
        <v>127</v>
      </c>
      <c r="AT201" s="4" t="s">
        <v>127</v>
      </c>
      <c r="AU201" s="4" t="s">
        <v>127</v>
      </c>
      <c r="AV201" s="4" t="s">
        <v>127</v>
      </c>
      <c r="AW201" s="4" t="s">
        <v>127</v>
      </c>
      <c r="AX201" s="4" t="s">
        <v>127</v>
      </c>
      <c r="AY201" s="96" t="s">
        <v>269</v>
      </c>
      <c r="AZ201" s="96" t="s">
        <v>1230</v>
      </c>
      <c r="BA201" s="96" t="s">
        <v>1231</v>
      </c>
      <c r="BB201" s="4" t="s">
        <v>1232</v>
      </c>
      <c r="BC201" s="4" t="s">
        <v>1233</v>
      </c>
      <c r="BD201" s="4" t="s">
        <v>127</v>
      </c>
      <c r="BE201" s="4" t="s">
        <v>127</v>
      </c>
      <c r="BF201" s="4" t="s">
        <v>200</v>
      </c>
      <c r="BG201" s="4" t="s">
        <v>200</v>
      </c>
      <c r="BH201" s="4" t="s">
        <v>200</v>
      </c>
      <c r="BI201" s="4" t="s">
        <v>200</v>
      </c>
      <c r="BJ201" s="4" t="s">
        <v>200</v>
      </c>
      <c r="BK201" s="4" t="s">
        <v>200</v>
      </c>
      <c r="BL201" s="4" t="s">
        <v>200</v>
      </c>
      <c r="BM201" s="4" t="s">
        <v>200</v>
      </c>
      <c r="BN201" s="4" t="s">
        <v>200</v>
      </c>
      <c r="BO201" s="4" t="s">
        <v>200</v>
      </c>
    </row>
    <row r="202" spans="1:67" ht="16" x14ac:dyDescent="0.4">
      <c r="A202" s="4" t="s">
        <v>1227</v>
      </c>
      <c r="B202" s="4" t="s">
        <v>1234</v>
      </c>
      <c r="C202" s="4" t="s">
        <v>1228</v>
      </c>
      <c r="D202" s="4" t="s">
        <v>128</v>
      </c>
      <c r="E202" s="189">
        <v>45406</v>
      </c>
      <c r="F202" s="6">
        <f t="shared" si="13"/>
        <v>2024</v>
      </c>
      <c r="G202" s="4" t="s">
        <v>1235</v>
      </c>
      <c r="H202" s="22" t="str">
        <f>VLOOKUP($G202,'Item Classification'!B:C,2,0)</f>
        <v>Multi role transport helicopter</v>
      </c>
      <c r="I202" s="6" t="str">
        <f>VLOOKUP($G202,'Item Classification'!B:D,3,0)</f>
        <v>Helicopter</v>
      </c>
      <c r="J202" s="23">
        <f>VLOOKUP($G202,'Item Classification'!B:E,4,0)</f>
        <v>10</v>
      </c>
      <c r="K202" s="116" t="s">
        <v>168</v>
      </c>
      <c r="L202" s="116" t="s">
        <v>182</v>
      </c>
      <c r="M202" s="116" t="str">
        <f>VLOOKUP(L202,'NATO Classifications'!$D$6:$E$647,2,0)</f>
        <v>ADP Software</v>
      </c>
      <c r="N202" s="4">
        <v>82</v>
      </c>
      <c r="O202" s="81"/>
      <c r="P202" s="81"/>
      <c r="Q202" s="4"/>
      <c r="R202" s="4"/>
      <c r="S202" s="4"/>
      <c r="T202" s="91" t="s">
        <v>132</v>
      </c>
      <c r="U202" s="104">
        <f>_xlfn.IFNA(S202/INDEX('Exchange Rates'!$C$7:$F$14,MATCH('MAIN DATA, Orders'!F202,'Exchange Rates'!$B$7:$B$14,0),MATCH('MAIN DATA, Orders'!T202,'Exchange Rates'!$C$6:$F$6,0)), "-")</f>
        <v>0</v>
      </c>
      <c r="V202" s="4" t="s">
        <v>682</v>
      </c>
      <c r="W202" s="4" t="s">
        <v>127</v>
      </c>
      <c r="X202" s="4" t="s">
        <v>128</v>
      </c>
      <c r="Y202" s="24">
        <f t="shared" si="12"/>
        <v>202404</v>
      </c>
      <c r="Z202" s="115">
        <v>1</v>
      </c>
      <c r="AA202" s="115">
        <v>0</v>
      </c>
      <c r="AB202" s="115">
        <v>0</v>
      </c>
      <c r="AC202" s="115">
        <v>1</v>
      </c>
      <c r="AD202" s="115">
        <v>1</v>
      </c>
      <c r="AE202" s="115">
        <v>0</v>
      </c>
      <c r="AF202" s="115">
        <v>1</v>
      </c>
      <c r="AG202" s="4" t="s">
        <v>127</v>
      </c>
      <c r="AH202" s="4" t="s">
        <v>128</v>
      </c>
      <c r="AI202" s="4" t="s">
        <v>127</v>
      </c>
      <c r="AJ202" s="4" t="s">
        <v>127</v>
      </c>
      <c r="AK202" s="4" t="s">
        <v>127</v>
      </c>
      <c r="AL202" s="4" t="s">
        <v>127</v>
      </c>
      <c r="AM202" s="4" t="s">
        <v>127</v>
      </c>
      <c r="AN202" s="4" t="s">
        <v>197</v>
      </c>
      <c r="AO202" s="4" t="s">
        <v>146</v>
      </c>
      <c r="AP202" s="4" t="s">
        <v>151</v>
      </c>
      <c r="AQ202" s="4" t="s">
        <v>127</v>
      </c>
      <c r="AR202" s="4" t="s">
        <v>127</v>
      </c>
      <c r="AS202" s="4" t="s">
        <v>127</v>
      </c>
      <c r="AT202" s="4" t="s">
        <v>127</v>
      </c>
      <c r="AU202" s="4" t="s">
        <v>127</v>
      </c>
      <c r="AV202" s="4" t="s">
        <v>127</v>
      </c>
      <c r="AW202" s="4" t="s">
        <v>127</v>
      </c>
      <c r="AX202" s="4" t="s">
        <v>127</v>
      </c>
      <c r="AY202" s="96" t="s">
        <v>269</v>
      </c>
      <c r="AZ202" s="96" t="s">
        <v>1230</v>
      </c>
      <c r="BA202" s="96" t="s">
        <v>1231</v>
      </c>
      <c r="BB202" s="4" t="s">
        <v>1232</v>
      </c>
      <c r="BC202" s="4" t="s">
        <v>1233</v>
      </c>
      <c r="BD202" s="4" t="s">
        <v>127</v>
      </c>
      <c r="BE202" s="4" t="s">
        <v>127</v>
      </c>
      <c r="BF202" s="4" t="s">
        <v>200</v>
      </c>
      <c r="BG202" s="4" t="s">
        <v>200</v>
      </c>
      <c r="BH202" s="4" t="s">
        <v>200</v>
      </c>
      <c r="BI202" s="4" t="s">
        <v>200</v>
      </c>
      <c r="BJ202" s="4" t="s">
        <v>200</v>
      </c>
      <c r="BK202" s="4" t="s">
        <v>200</v>
      </c>
      <c r="BL202" s="4" t="s">
        <v>200</v>
      </c>
      <c r="BM202" s="4" t="s">
        <v>200</v>
      </c>
      <c r="BN202" s="4" t="s">
        <v>200</v>
      </c>
      <c r="BO202" s="4" t="s">
        <v>200</v>
      </c>
    </row>
    <row r="203" spans="1:67" ht="16" x14ac:dyDescent="0.4">
      <c r="A203" s="4" t="s">
        <v>1227</v>
      </c>
      <c r="B203" s="4" t="s">
        <v>1236</v>
      </c>
      <c r="C203" s="4" t="s">
        <v>1228</v>
      </c>
      <c r="D203" s="4" t="s">
        <v>128</v>
      </c>
      <c r="E203" s="189">
        <v>45406</v>
      </c>
      <c r="F203" s="6">
        <f t="shared" si="13"/>
        <v>2024</v>
      </c>
      <c r="G203" s="4" t="s">
        <v>1237</v>
      </c>
      <c r="H203" s="22" t="str">
        <f>VLOOKUP($G203,'Item Classification'!B:C,2,0)</f>
        <v>Maritime multi-role frigate helicopter</v>
      </c>
      <c r="I203" s="6" t="str">
        <f>VLOOKUP($G203,'Item Classification'!B:D,3,0)</f>
        <v>Naval</v>
      </c>
      <c r="J203" s="23">
        <f>VLOOKUP($G203,'Item Classification'!B:E,4,0)</f>
        <v>12</v>
      </c>
      <c r="K203" s="116" t="s">
        <v>168</v>
      </c>
      <c r="L203" s="116" t="s">
        <v>182</v>
      </c>
      <c r="M203" s="116" t="str">
        <f>VLOOKUP(L203,'NATO Classifications'!$D$6:$E$647,2,0)</f>
        <v>ADP Software</v>
      </c>
      <c r="N203" s="4">
        <v>18</v>
      </c>
      <c r="O203" s="81"/>
      <c r="P203" s="81"/>
      <c r="Q203" s="4"/>
      <c r="R203" s="4"/>
      <c r="S203" s="4"/>
      <c r="T203" s="91" t="s">
        <v>132</v>
      </c>
      <c r="U203" s="104">
        <f>_xlfn.IFNA(S203/INDEX('Exchange Rates'!$C$7:$F$14,MATCH('MAIN DATA, Orders'!F203,'Exchange Rates'!$B$7:$B$14,0),MATCH('MAIN DATA, Orders'!T203,'Exchange Rates'!$C$6:$F$6,0)), "-")</f>
        <v>0</v>
      </c>
      <c r="V203" s="4" t="s">
        <v>682</v>
      </c>
      <c r="W203" s="4" t="s">
        <v>127</v>
      </c>
      <c r="X203" s="4" t="s">
        <v>128</v>
      </c>
      <c r="Y203" s="24">
        <f t="shared" si="12"/>
        <v>202404</v>
      </c>
      <c r="Z203" s="115">
        <v>1</v>
      </c>
      <c r="AA203" s="115">
        <v>0</v>
      </c>
      <c r="AB203" s="115">
        <v>0</v>
      </c>
      <c r="AC203" s="115">
        <v>1</v>
      </c>
      <c r="AD203" s="115">
        <v>1</v>
      </c>
      <c r="AE203" s="115">
        <v>0</v>
      </c>
      <c r="AF203" s="115">
        <v>1</v>
      </c>
      <c r="AG203" s="4" t="s">
        <v>127</v>
      </c>
      <c r="AH203" s="4" t="s">
        <v>128</v>
      </c>
      <c r="AI203" s="4" t="s">
        <v>127</v>
      </c>
      <c r="AJ203" s="4" t="s">
        <v>127</v>
      </c>
      <c r="AK203" s="4" t="s">
        <v>127</v>
      </c>
      <c r="AL203" s="4" t="s">
        <v>127</v>
      </c>
      <c r="AM203" s="4" t="s">
        <v>127</v>
      </c>
      <c r="AN203" s="4" t="s">
        <v>197</v>
      </c>
      <c r="AO203" s="4" t="s">
        <v>146</v>
      </c>
      <c r="AP203" s="4" t="s">
        <v>151</v>
      </c>
      <c r="AQ203" s="4" t="s">
        <v>127</v>
      </c>
      <c r="AR203" s="4" t="s">
        <v>127</v>
      </c>
      <c r="AS203" s="4" t="s">
        <v>127</v>
      </c>
      <c r="AT203" s="4" t="s">
        <v>127</v>
      </c>
      <c r="AU203" s="4" t="s">
        <v>127</v>
      </c>
      <c r="AV203" s="4" t="s">
        <v>127</v>
      </c>
      <c r="AW203" s="4" t="s">
        <v>127</v>
      </c>
      <c r="AX203" s="4" t="s">
        <v>127</v>
      </c>
      <c r="AY203" s="96" t="s">
        <v>269</v>
      </c>
      <c r="AZ203" s="96" t="s">
        <v>1230</v>
      </c>
      <c r="BA203" s="96" t="s">
        <v>1231</v>
      </c>
      <c r="BB203" s="4" t="s">
        <v>1232</v>
      </c>
      <c r="BC203" s="4" t="s">
        <v>1233</v>
      </c>
      <c r="BD203" s="4" t="s">
        <v>127</v>
      </c>
      <c r="BE203" s="4" t="s">
        <v>127</v>
      </c>
      <c r="BF203" s="4" t="s">
        <v>200</v>
      </c>
      <c r="BG203" s="4" t="s">
        <v>200</v>
      </c>
      <c r="BH203" s="4" t="s">
        <v>200</v>
      </c>
      <c r="BI203" s="4" t="s">
        <v>200</v>
      </c>
      <c r="BJ203" s="4" t="s">
        <v>200</v>
      </c>
      <c r="BK203" s="4" t="s">
        <v>200</v>
      </c>
      <c r="BL203" s="4" t="s">
        <v>200</v>
      </c>
      <c r="BM203" s="4" t="s">
        <v>200</v>
      </c>
      <c r="BN203" s="4" t="s">
        <v>200</v>
      </c>
      <c r="BO203" s="4" t="s">
        <v>200</v>
      </c>
    </row>
    <row r="204" spans="1:67" ht="16" x14ac:dyDescent="0.4">
      <c r="A204" s="4" t="s">
        <v>1238</v>
      </c>
      <c r="B204" s="4" t="s">
        <v>1238</v>
      </c>
      <c r="C204" s="4" t="s">
        <v>127</v>
      </c>
      <c r="D204" s="4" t="s">
        <v>128</v>
      </c>
      <c r="E204" s="189">
        <v>45406</v>
      </c>
      <c r="F204" s="6">
        <f t="shared" si="13"/>
        <v>2024</v>
      </c>
      <c r="G204" s="4" t="s">
        <v>1239</v>
      </c>
      <c r="H204" s="22" t="str">
        <f>VLOOKUP($G204,'Item Classification'!B:C,2,0)</f>
        <v>Fighter jet development</v>
      </c>
      <c r="I204" s="6" t="str">
        <f>VLOOKUP($G204,'Item Classification'!B:D,3,0)</f>
        <v>Development - Aircraft</v>
      </c>
      <c r="J204" s="23">
        <f>VLOOKUP($G204,'Item Classification'!B:E,4,0)</f>
        <v>15</v>
      </c>
      <c r="K204" s="116" t="s">
        <v>130</v>
      </c>
      <c r="L204" s="116" t="s">
        <v>237</v>
      </c>
      <c r="M204" s="116" t="str">
        <f>VLOOKUP(L204,'NATO Classifications'!$D$6:$E$647,2,0)</f>
        <v>Aircraft, Fixed Wing</v>
      </c>
      <c r="N204" s="4"/>
      <c r="O204" s="81"/>
      <c r="P204" s="81"/>
      <c r="Q204" s="4"/>
      <c r="R204" s="4"/>
      <c r="S204" s="112">
        <v>97000000</v>
      </c>
      <c r="T204" s="91" t="s">
        <v>132</v>
      </c>
      <c r="U204" s="104">
        <f>_xlfn.IFNA(S204/INDEX('Exchange Rates'!$C$7:$F$14,MATCH('MAIN DATA, Orders'!F204,'Exchange Rates'!$B$7:$B$14,0),MATCH('MAIN DATA, Orders'!T204,'Exchange Rates'!$C$6:$F$6,0)), "-")</f>
        <v>97000000</v>
      </c>
      <c r="V204" s="4" t="s">
        <v>682</v>
      </c>
      <c r="W204" s="4" t="s">
        <v>127</v>
      </c>
      <c r="X204" s="4" t="s">
        <v>128</v>
      </c>
      <c r="Y204" s="24">
        <f t="shared" si="12"/>
        <v>202404</v>
      </c>
      <c r="Z204" s="115">
        <v>0</v>
      </c>
      <c r="AA204" s="115">
        <v>0</v>
      </c>
      <c r="AB204" s="115">
        <v>0</v>
      </c>
      <c r="AC204" s="115">
        <v>1</v>
      </c>
      <c r="AD204" s="115">
        <v>1</v>
      </c>
      <c r="AE204" s="115">
        <v>0</v>
      </c>
      <c r="AF204" s="115">
        <v>1</v>
      </c>
      <c r="AG204" s="4" t="s">
        <v>149</v>
      </c>
      <c r="AH204" s="4" t="s">
        <v>128</v>
      </c>
      <c r="AI204" s="4" t="s">
        <v>128</v>
      </c>
      <c r="AJ204" s="4" t="s">
        <v>1240</v>
      </c>
      <c r="AK204" s="4" t="s">
        <v>360</v>
      </c>
      <c r="AL204" s="4" t="s">
        <v>161</v>
      </c>
      <c r="AM204" s="4" t="s">
        <v>127</v>
      </c>
      <c r="AN204" s="4" t="s">
        <v>238</v>
      </c>
      <c r="AO204" s="4" t="s">
        <v>197</v>
      </c>
      <c r="AP204" s="4" t="s">
        <v>162</v>
      </c>
      <c r="AQ204" s="4" t="s">
        <v>127</v>
      </c>
      <c r="AR204" s="4" t="s">
        <v>127</v>
      </c>
      <c r="AS204" s="4" t="s">
        <v>127</v>
      </c>
      <c r="AT204" s="4" t="s">
        <v>127</v>
      </c>
      <c r="AU204" s="4" t="s">
        <v>127</v>
      </c>
      <c r="AV204" s="4" t="s">
        <v>127</v>
      </c>
      <c r="AW204" s="4" t="s">
        <v>127</v>
      </c>
      <c r="AX204" s="4" t="s">
        <v>127</v>
      </c>
      <c r="AY204" s="96" t="s">
        <v>269</v>
      </c>
      <c r="AZ204" s="96" t="s">
        <v>1241</v>
      </c>
      <c r="BA204" s="96" t="s">
        <v>1231</v>
      </c>
      <c r="BB204" s="4" t="s">
        <v>1242</v>
      </c>
      <c r="BC204" s="4" t="s">
        <v>127</v>
      </c>
      <c r="BD204" s="4" t="s">
        <v>127</v>
      </c>
      <c r="BE204" s="4" t="s">
        <v>127</v>
      </c>
      <c r="BF204" s="4"/>
      <c r="BG204" s="4"/>
      <c r="BH204" s="4"/>
      <c r="BI204" s="4"/>
      <c r="BJ204" s="4"/>
      <c r="BK204" s="4"/>
      <c r="BL204" s="4"/>
      <c r="BM204" s="4"/>
      <c r="BN204" s="4"/>
      <c r="BO204" s="4"/>
    </row>
    <row r="205" spans="1:67" ht="16" x14ac:dyDescent="0.4">
      <c r="A205" s="4" t="s">
        <v>1243</v>
      </c>
      <c r="B205" s="4" t="s">
        <v>1243</v>
      </c>
      <c r="C205" s="4" t="s">
        <v>127</v>
      </c>
      <c r="D205" s="4" t="s">
        <v>128</v>
      </c>
      <c r="E205" s="189">
        <v>45406</v>
      </c>
      <c r="F205" s="6">
        <f t="shared" si="13"/>
        <v>2024</v>
      </c>
      <c r="G205" s="4" t="s">
        <v>1244</v>
      </c>
      <c r="H205" s="22" t="str">
        <f>VLOOKUP($G205,'Item Classification'!B:C,2,0)</f>
        <v>Fighter aircraft support system</v>
      </c>
      <c r="I205" s="6" t="str">
        <f>VLOOKUP($G205,'Item Classification'!B:D,3,0)</f>
        <v>Aircraft</v>
      </c>
      <c r="J205" s="23">
        <f>VLOOKUP($G205,'Item Classification'!B:E,4,0)</f>
        <v>11</v>
      </c>
      <c r="K205" s="116" t="s">
        <v>130</v>
      </c>
      <c r="L205" s="116" t="s">
        <v>237</v>
      </c>
      <c r="M205" s="116" t="str">
        <f>VLOOKUP(L205,'NATO Classifications'!$D$6:$E$647,2,0)</f>
        <v>Aircraft, Fixed Wing</v>
      </c>
      <c r="N205" s="4"/>
      <c r="O205" s="81"/>
      <c r="P205" s="81"/>
      <c r="Q205" s="4"/>
      <c r="R205" s="4"/>
      <c r="S205" s="112">
        <v>43000000</v>
      </c>
      <c r="T205" s="91" t="s">
        <v>132</v>
      </c>
      <c r="U205" s="104">
        <f>_xlfn.IFNA(S205/INDEX('Exchange Rates'!$C$7:$F$14,MATCH('MAIN DATA, Orders'!F205,'Exchange Rates'!$B$7:$B$14,0),MATCH('MAIN DATA, Orders'!T205,'Exchange Rates'!$C$6:$F$6,0)), "-")</f>
        <v>43000000</v>
      </c>
      <c r="V205" s="4" t="s">
        <v>682</v>
      </c>
      <c r="W205" s="4" t="s">
        <v>127</v>
      </c>
      <c r="X205" s="4" t="s">
        <v>128</v>
      </c>
      <c r="Y205" s="24">
        <f t="shared" si="12"/>
        <v>202404</v>
      </c>
      <c r="Z205" s="115">
        <v>0</v>
      </c>
      <c r="AA205" s="115">
        <v>0</v>
      </c>
      <c r="AB205" s="115">
        <v>0</v>
      </c>
      <c r="AC205" s="115">
        <v>1</v>
      </c>
      <c r="AD205" s="115">
        <v>1</v>
      </c>
      <c r="AE205" s="115">
        <v>0</v>
      </c>
      <c r="AF205" s="115">
        <v>1</v>
      </c>
      <c r="AG205" s="4" t="s">
        <v>127</v>
      </c>
      <c r="AH205" s="4" t="s">
        <v>128</v>
      </c>
      <c r="AI205" s="4" t="s">
        <v>127</v>
      </c>
      <c r="AJ205" s="4" t="s">
        <v>127</v>
      </c>
      <c r="AK205" s="4" t="s">
        <v>127</v>
      </c>
      <c r="AL205" s="4" t="s">
        <v>127</v>
      </c>
      <c r="AM205" s="4" t="s">
        <v>127</v>
      </c>
      <c r="AN205" s="4" t="s">
        <v>238</v>
      </c>
      <c r="AO205" s="4" t="s">
        <v>197</v>
      </c>
      <c r="AP205" s="4" t="s">
        <v>162</v>
      </c>
      <c r="AQ205" s="4" t="s">
        <v>127</v>
      </c>
      <c r="AR205" s="4" t="s">
        <v>127</v>
      </c>
      <c r="AS205" s="4" t="s">
        <v>127</v>
      </c>
      <c r="AT205" s="4" t="s">
        <v>127</v>
      </c>
      <c r="AU205" s="4" t="s">
        <v>127</v>
      </c>
      <c r="AV205" s="4" t="s">
        <v>127</v>
      </c>
      <c r="AW205" s="4" t="s">
        <v>127</v>
      </c>
      <c r="AX205" s="4" t="s">
        <v>127</v>
      </c>
      <c r="AY205" s="96" t="s">
        <v>269</v>
      </c>
      <c r="AZ205" s="96" t="s">
        <v>1231</v>
      </c>
      <c r="BA205" s="4" t="s">
        <v>127</v>
      </c>
      <c r="BB205" s="4" t="s">
        <v>1245</v>
      </c>
      <c r="BC205" s="4" t="s">
        <v>1246</v>
      </c>
      <c r="BD205" s="4" t="s">
        <v>127</v>
      </c>
      <c r="BE205" s="4" t="s">
        <v>127</v>
      </c>
      <c r="BF205" s="4"/>
      <c r="BG205" s="4"/>
      <c r="BH205" s="4"/>
      <c r="BI205" s="4"/>
      <c r="BJ205" s="4"/>
      <c r="BK205" s="4"/>
      <c r="BL205" s="4"/>
      <c r="BM205" s="4"/>
      <c r="BN205" s="4"/>
      <c r="BO205" s="4"/>
    </row>
    <row r="206" spans="1:67" ht="16" x14ac:dyDescent="0.4">
      <c r="A206" s="4" t="s">
        <v>1247</v>
      </c>
      <c r="B206" s="4" t="s">
        <v>1247</v>
      </c>
      <c r="C206" s="4" t="s">
        <v>127</v>
      </c>
      <c r="D206" s="4" t="s">
        <v>128</v>
      </c>
      <c r="E206" s="189">
        <v>45406</v>
      </c>
      <c r="F206" s="6">
        <f t="shared" si="13"/>
        <v>2024</v>
      </c>
      <c r="G206" s="4" t="s">
        <v>1248</v>
      </c>
      <c r="H206" s="22" t="str">
        <f>VLOOKUP($G206,'Item Classification'!B:C,2,0)</f>
        <v>Smoke hand grenade</v>
      </c>
      <c r="I206" s="6" t="str">
        <f>VLOOKUP($G206,'Item Classification'!B:D,3,0)</f>
        <v>Infantry</v>
      </c>
      <c r="J206" s="23">
        <f>VLOOKUP($G206,'Item Classification'!B:E,4,0)</f>
        <v>8</v>
      </c>
      <c r="K206" s="116" t="s">
        <v>189</v>
      </c>
      <c r="L206" s="116" t="s">
        <v>1249</v>
      </c>
      <c r="M206" s="116" t="str">
        <f>VLOOKUP(L206,'NATO Classifications'!$D$6:$E$647,2,0)</f>
        <v>Grenades, Hand and Rifle</v>
      </c>
      <c r="N206" s="4">
        <v>962860</v>
      </c>
      <c r="O206" s="81">
        <f t="shared" si="14"/>
        <v>69.584363251147622</v>
      </c>
      <c r="P206" s="81">
        <f t="shared" si="15"/>
        <v>69.584363251147622</v>
      </c>
      <c r="Q206" s="4"/>
      <c r="R206" s="4">
        <v>2027</v>
      </c>
      <c r="S206" s="112">
        <v>67000000</v>
      </c>
      <c r="T206" s="91" t="s">
        <v>132</v>
      </c>
      <c r="U206" s="104">
        <f>_xlfn.IFNA(S206/INDEX('Exchange Rates'!$C$7:$F$14,MATCH('MAIN DATA, Orders'!F206,'Exchange Rates'!$B$7:$B$14,0),MATCH('MAIN DATA, Orders'!T206,'Exchange Rates'!$C$6:$F$6,0)), "-")</f>
        <v>67000000</v>
      </c>
      <c r="V206" s="4" t="s">
        <v>682</v>
      </c>
      <c r="W206" s="4" t="s">
        <v>127</v>
      </c>
      <c r="X206" s="4" t="s">
        <v>128</v>
      </c>
      <c r="Y206" s="24">
        <f t="shared" si="12"/>
        <v>202404</v>
      </c>
      <c r="Z206" s="115">
        <v>1</v>
      </c>
      <c r="AA206" s="115">
        <v>0</v>
      </c>
      <c r="AB206" s="115">
        <v>0</v>
      </c>
      <c r="AC206" s="115">
        <v>1</v>
      </c>
      <c r="AD206" s="115">
        <v>0</v>
      </c>
      <c r="AE206" s="115">
        <v>0</v>
      </c>
      <c r="AF206" s="115">
        <v>0</v>
      </c>
      <c r="AG206" s="4" t="s">
        <v>256</v>
      </c>
      <c r="AH206" s="4" t="s">
        <v>128</v>
      </c>
      <c r="AI206" s="4" t="s">
        <v>127</v>
      </c>
      <c r="AJ206" s="4" t="s">
        <v>127</v>
      </c>
      <c r="AK206" s="4" t="s">
        <v>127</v>
      </c>
      <c r="AL206" s="4" t="s">
        <v>127</v>
      </c>
      <c r="AM206" s="4" t="s">
        <v>127</v>
      </c>
      <c r="AN206" s="4" t="s">
        <v>127</v>
      </c>
      <c r="AO206" s="4" t="s">
        <v>127</v>
      </c>
      <c r="AP206" s="4" t="s">
        <v>127</v>
      </c>
      <c r="AQ206" s="4" t="s">
        <v>127</v>
      </c>
      <c r="AR206" s="4" t="s">
        <v>127</v>
      </c>
      <c r="AS206" s="4" t="s">
        <v>127</v>
      </c>
      <c r="AT206" s="4" t="s">
        <v>127</v>
      </c>
      <c r="AU206" s="4" t="s">
        <v>127</v>
      </c>
      <c r="AV206" s="4" t="s">
        <v>127</v>
      </c>
      <c r="AW206" s="4" t="s">
        <v>127</v>
      </c>
      <c r="AX206" s="4" t="s">
        <v>127</v>
      </c>
      <c r="AY206" s="96" t="s">
        <v>269</v>
      </c>
      <c r="AZ206" s="96" t="s">
        <v>1250</v>
      </c>
      <c r="BA206" s="96" t="s">
        <v>1231</v>
      </c>
      <c r="BB206" s="4" t="s">
        <v>1251</v>
      </c>
      <c r="BC206" s="4" t="s">
        <v>1252</v>
      </c>
      <c r="BD206" s="4" t="s">
        <v>127</v>
      </c>
      <c r="BE206" s="4" t="s">
        <v>127</v>
      </c>
      <c r="BF206" s="4"/>
      <c r="BG206" s="4"/>
      <c r="BH206" s="4"/>
      <c r="BI206" s="4"/>
      <c r="BJ206" s="4"/>
      <c r="BK206" s="4"/>
      <c r="BL206" s="4"/>
      <c r="BM206" s="4"/>
      <c r="BN206" s="4"/>
      <c r="BO206" s="4"/>
    </row>
    <row r="207" spans="1:67" ht="16" x14ac:dyDescent="0.4">
      <c r="A207" s="4" t="s">
        <v>1253</v>
      </c>
      <c r="B207" s="4" t="s">
        <v>1253</v>
      </c>
      <c r="C207" s="4" t="s">
        <v>127</v>
      </c>
      <c r="D207" s="4" t="s">
        <v>128</v>
      </c>
      <c r="E207" s="189">
        <v>45427</v>
      </c>
      <c r="F207" s="6">
        <f t="shared" si="13"/>
        <v>2024</v>
      </c>
      <c r="G207" s="4" t="s">
        <v>1254</v>
      </c>
      <c r="H207" s="22" t="str">
        <f>VLOOKUP($G207,'Item Classification'!B:C,2,0)</f>
        <v>Air-to-air missile (AAM)</v>
      </c>
      <c r="I207" s="6" t="str">
        <f>VLOOKUP($G207,'Item Classification'!B:D,3,0)</f>
        <v>Missile (Air)</v>
      </c>
      <c r="J207" s="23">
        <f>VLOOKUP($G207,'Item Classification'!B:E,4,0)</f>
        <v>6</v>
      </c>
      <c r="K207" s="116" t="s">
        <v>211</v>
      </c>
      <c r="L207" s="116" t="s">
        <v>211</v>
      </c>
      <c r="M207" s="116" t="str">
        <f>VLOOKUP(L207,'NATO Classifications'!$D$6:$E$647,2,0)</f>
        <v>Guided Missiles</v>
      </c>
      <c r="N207" s="4"/>
      <c r="O207" s="81"/>
      <c r="P207" s="81"/>
      <c r="Q207" s="4"/>
      <c r="R207" s="4"/>
      <c r="S207" s="112">
        <v>178000000</v>
      </c>
      <c r="T207" s="91" t="s">
        <v>132</v>
      </c>
      <c r="U207" s="104">
        <f>_xlfn.IFNA(S207/INDEX('Exchange Rates'!$C$7:$F$14,MATCH('MAIN DATA, Orders'!F207,'Exchange Rates'!$B$7:$B$14,0),MATCH('MAIN DATA, Orders'!T207,'Exchange Rates'!$C$6:$F$6,0)), "-")</f>
        <v>178000000</v>
      </c>
      <c r="V207" s="4" t="s">
        <v>133</v>
      </c>
      <c r="W207" s="4" t="s">
        <v>127</v>
      </c>
      <c r="X207" s="4" t="s">
        <v>128</v>
      </c>
      <c r="Y207" s="24">
        <f t="shared" si="12"/>
        <v>202405</v>
      </c>
      <c r="Z207" s="115">
        <v>1</v>
      </c>
      <c r="AA207" s="115">
        <v>0</v>
      </c>
      <c r="AB207" s="115">
        <v>0</v>
      </c>
      <c r="AC207" s="115">
        <v>0</v>
      </c>
      <c r="AD207" s="115">
        <v>0</v>
      </c>
      <c r="AE207" s="115">
        <v>0</v>
      </c>
      <c r="AF207" s="115">
        <v>0</v>
      </c>
      <c r="AG207" s="4" t="s">
        <v>718</v>
      </c>
      <c r="AH207" s="4" t="s">
        <v>196</v>
      </c>
      <c r="AI207" s="4" t="s">
        <v>127</v>
      </c>
      <c r="AJ207" s="4" t="s">
        <v>127</v>
      </c>
      <c r="AK207" s="4" t="s">
        <v>127</v>
      </c>
      <c r="AL207" s="4" t="s">
        <v>127</v>
      </c>
      <c r="AM207" s="4" t="s">
        <v>127</v>
      </c>
      <c r="AN207" s="4" t="s">
        <v>127</v>
      </c>
      <c r="AO207" s="4" t="s">
        <v>127</v>
      </c>
      <c r="AP207" s="4" t="s">
        <v>127</v>
      </c>
      <c r="AQ207" s="4" t="s">
        <v>127</v>
      </c>
      <c r="AR207" s="4" t="s">
        <v>127</v>
      </c>
      <c r="AS207" s="4" t="s">
        <v>127</v>
      </c>
      <c r="AT207" s="4" t="s">
        <v>127</v>
      </c>
      <c r="AU207" s="4" t="s">
        <v>127</v>
      </c>
      <c r="AV207" s="4" t="s">
        <v>127</v>
      </c>
      <c r="AW207" s="4" t="s">
        <v>127</v>
      </c>
      <c r="AX207" s="4" t="s">
        <v>127</v>
      </c>
      <c r="AY207" s="96" t="s">
        <v>1255</v>
      </c>
      <c r="AZ207" s="96" t="s">
        <v>1256</v>
      </c>
      <c r="BA207" s="4" t="s">
        <v>127</v>
      </c>
      <c r="BB207" s="4" t="s">
        <v>1257</v>
      </c>
      <c r="BC207" s="4" t="s">
        <v>1258</v>
      </c>
      <c r="BD207" s="4" t="s">
        <v>127</v>
      </c>
      <c r="BE207" s="4" t="s">
        <v>127</v>
      </c>
      <c r="BF207" s="4"/>
      <c r="BG207" s="4"/>
      <c r="BH207" s="4"/>
      <c r="BI207" s="4"/>
      <c r="BJ207" s="4"/>
      <c r="BK207" s="4"/>
      <c r="BL207" s="4"/>
      <c r="BM207" s="4"/>
      <c r="BN207" s="4"/>
      <c r="BO207" s="4"/>
    </row>
    <row r="208" spans="1:67" ht="16" x14ac:dyDescent="0.4">
      <c r="A208" s="4" t="s">
        <v>1259</v>
      </c>
      <c r="B208" s="4" t="s">
        <v>1259</v>
      </c>
      <c r="C208" s="4" t="s">
        <v>127</v>
      </c>
      <c r="D208" s="4" t="s">
        <v>128</v>
      </c>
      <c r="E208" s="189">
        <v>45427</v>
      </c>
      <c r="F208" s="6">
        <f t="shared" si="13"/>
        <v>2024</v>
      </c>
      <c r="G208" s="4" t="s">
        <v>863</v>
      </c>
      <c r="H208" s="22" t="str">
        <f>VLOOKUP($G208,'Item Classification'!B:C,2,0)</f>
        <v>Communication equipment</v>
      </c>
      <c r="I208" s="6" t="str">
        <f>VLOOKUP($G208,'Item Classification'!B:D,3,0)</f>
        <v>Modernisation</v>
      </c>
      <c r="J208" s="23">
        <f>VLOOKUP($G208,'Item Classification'!B:E,4,0)</f>
        <v>13</v>
      </c>
      <c r="K208" s="116" t="s">
        <v>168</v>
      </c>
      <c r="L208" s="116" t="s">
        <v>864</v>
      </c>
      <c r="M208" s="116" t="str">
        <f>VLOOKUP(L208,'NATO Classifications'!$D$6:$E$647,2,0)</f>
        <v>ADPE Central Processing Unit (CPU, Computer), Digital</v>
      </c>
      <c r="N208" s="4">
        <v>6376</v>
      </c>
      <c r="O208" s="81">
        <f t="shared" si="14"/>
        <v>22929.736511919698</v>
      </c>
      <c r="P208" s="81">
        <f t="shared" si="15"/>
        <v>22929.736511919698</v>
      </c>
      <c r="Q208" s="4"/>
      <c r="R208" s="4"/>
      <c r="S208" s="112">
        <v>146200000</v>
      </c>
      <c r="T208" s="91" t="s">
        <v>132</v>
      </c>
      <c r="U208" s="104">
        <f>_xlfn.IFNA(S208/INDEX('Exchange Rates'!$C$7:$F$14,MATCH('MAIN DATA, Orders'!F208,'Exchange Rates'!$B$7:$B$14,0),MATCH('MAIN DATA, Orders'!T208,'Exchange Rates'!$C$6:$F$6,0)), "-")</f>
        <v>146200000</v>
      </c>
      <c r="V208" s="4" t="s">
        <v>682</v>
      </c>
      <c r="W208" s="4" t="s">
        <v>127</v>
      </c>
      <c r="X208" s="4" t="s">
        <v>128</v>
      </c>
      <c r="Y208" s="24">
        <f t="shared" si="12"/>
        <v>202405</v>
      </c>
      <c r="Z208" s="115">
        <v>1</v>
      </c>
      <c r="AA208" s="115">
        <v>0</v>
      </c>
      <c r="AB208" s="115">
        <v>0</v>
      </c>
      <c r="AC208" s="115" t="s">
        <v>127</v>
      </c>
      <c r="AD208" s="115" t="s">
        <v>127</v>
      </c>
      <c r="AE208" s="115" t="s">
        <v>127</v>
      </c>
      <c r="AF208" s="115" t="s">
        <v>127</v>
      </c>
      <c r="AG208" s="4" t="s">
        <v>127</v>
      </c>
      <c r="AH208" s="4" t="s">
        <v>127</v>
      </c>
      <c r="AI208" s="4" t="s">
        <v>127</v>
      </c>
      <c r="AJ208" s="4" t="s">
        <v>127</v>
      </c>
      <c r="AK208" s="4" t="s">
        <v>127</v>
      </c>
      <c r="AL208" s="4" t="s">
        <v>127</v>
      </c>
      <c r="AM208" s="4" t="s">
        <v>127</v>
      </c>
      <c r="AN208" s="4" t="s">
        <v>127</v>
      </c>
      <c r="AO208" s="4" t="s">
        <v>127</v>
      </c>
      <c r="AP208" s="4" t="s">
        <v>127</v>
      </c>
      <c r="AQ208" s="4" t="s">
        <v>127</v>
      </c>
      <c r="AR208" s="4" t="s">
        <v>127</v>
      </c>
      <c r="AS208" s="4" t="s">
        <v>127</v>
      </c>
      <c r="AT208" s="4" t="s">
        <v>127</v>
      </c>
      <c r="AU208" s="4" t="s">
        <v>127</v>
      </c>
      <c r="AV208" s="4" t="s">
        <v>127</v>
      </c>
      <c r="AW208" s="4" t="s">
        <v>127</v>
      </c>
      <c r="AX208" s="4" t="s">
        <v>127</v>
      </c>
      <c r="AY208" s="96" t="s">
        <v>1255</v>
      </c>
      <c r="AZ208" s="96" t="s">
        <v>1256</v>
      </c>
      <c r="BA208" s="4" t="s">
        <v>127</v>
      </c>
      <c r="BB208" s="4" t="s">
        <v>1260</v>
      </c>
      <c r="BC208" s="4" t="s">
        <v>1261</v>
      </c>
      <c r="BD208" s="4" t="s">
        <v>127</v>
      </c>
      <c r="BE208" s="4" t="s">
        <v>127</v>
      </c>
      <c r="BF208" s="4"/>
      <c r="BG208" s="4"/>
      <c r="BH208" s="4"/>
      <c r="BI208" s="4"/>
      <c r="BJ208" s="4"/>
      <c r="BK208" s="4"/>
      <c r="BL208" s="4"/>
      <c r="BM208" s="4"/>
      <c r="BN208" s="4"/>
      <c r="BO208" s="4"/>
    </row>
    <row r="209" spans="1:67" ht="16" x14ac:dyDescent="0.4">
      <c r="A209" s="4" t="s">
        <v>1262</v>
      </c>
      <c r="B209" s="4" t="s">
        <v>1262</v>
      </c>
      <c r="C209" s="4" t="s">
        <v>652</v>
      </c>
      <c r="D209" s="4" t="s">
        <v>128</v>
      </c>
      <c r="E209" s="189">
        <v>45427</v>
      </c>
      <c r="F209" s="6">
        <f t="shared" si="13"/>
        <v>2024</v>
      </c>
      <c r="G209" s="4" t="s">
        <v>1263</v>
      </c>
      <c r="H209" s="22" t="str">
        <f>VLOOKUP($G209,'Item Classification'!B:C,2,0)</f>
        <v>Spare parts logistics</v>
      </c>
      <c r="I209" s="6" t="str">
        <f>VLOOKUP($G209,'Item Classification'!B:D,3,0)</f>
        <v>Maintenance</v>
      </c>
      <c r="J209" s="23">
        <f>VLOOKUP($G209,'Item Classification'!B:E,4,0)</f>
        <v>14</v>
      </c>
      <c r="K209" s="116" t="s">
        <v>229</v>
      </c>
      <c r="L209" s="116" t="s">
        <v>230</v>
      </c>
      <c r="M209" s="116" t="str">
        <f>VLOOKUP(L209,'NATO Classifications'!$D$6:$E$647,2,0)</f>
        <v>Miscellaneous Items</v>
      </c>
      <c r="N209" s="4"/>
      <c r="O209" s="81"/>
      <c r="P209" s="81"/>
      <c r="Q209" s="4"/>
      <c r="R209" s="4"/>
      <c r="S209" s="112">
        <v>324760000</v>
      </c>
      <c r="T209" s="91" t="s">
        <v>132</v>
      </c>
      <c r="U209" s="104">
        <f>_xlfn.IFNA(S209/INDEX('Exchange Rates'!$C$7:$F$14,MATCH('MAIN DATA, Orders'!F209,'Exchange Rates'!$B$7:$B$14,0),MATCH('MAIN DATA, Orders'!T209,'Exchange Rates'!$C$6:$F$6,0)), "-")</f>
        <v>324760000</v>
      </c>
      <c r="V209" s="4" t="s">
        <v>133</v>
      </c>
      <c r="W209" s="4" t="s">
        <v>127</v>
      </c>
      <c r="X209" s="4" t="s">
        <v>128</v>
      </c>
      <c r="Y209" s="24">
        <f t="shared" si="12"/>
        <v>202405</v>
      </c>
      <c r="Z209" s="115">
        <v>0</v>
      </c>
      <c r="AA209" s="115">
        <v>1</v>
      </c>
      <c r="AB209" s="115">
        <v>0</v>
      </c>
      <c r="AC209" s="115">
        <v>1</v>
      </c>
      <c r="AD209" s="115">
        <v>0</v>
      </c>
      <c r="AE209" s="115">
        <v>0</v>
      </c>
      <c r="AF209" s="115">
        <v>0</v>
      </c>
      <c r="AG209" s="4" t="s">
        <v>127</v>
      </c>
      <c r="AH209" s="4" t="s">
        <v>128</v>
      </c>
      <c r="AI209" s="4" t="s">
        <v>127</v>
      </c>
      <c r="AJ209" s="4" t="s">
        <v>127</v>
      </c>
      <c r="AK209" s="4" t="s">
        <v>127</v>
      </c>
      <c r="AL209" s="4" t="s">
        <v>127</v>
      </c>
      <c r="AM209" s="4" t="s">
        <v>127</v>
      </c>
      <c r="AN209" s="4" t="s">
        <v>127</v>
      </c>
      <c r="AO209" s="4" t="s">
        <v>127</v>
      </c>
      <c r="AP209" s="4" t="s">
        <v>127</v>
      </c>
      <c r="AQ209" s="4" t="s">
        <v>127</v>
      </c>
      <c r="AR209" s="4" t="s">
        <v>127</v>
      </c>
      <c r="AS209" s="4" t="s">
        <v>127</v>
      </c>
      <c r="AT209" s="4" t="s">
        <v>127</v>
      </c>
      <c r="AU209" s="4" t="s">
        <v>127</v>
      </c>
      <c r="AV209" s="4" t="s">
        <v>127</v>
      </c>
      <c r="AW209" s="4" t="s">
        <v>127</v>
      </c>
      <c r="AX209" s="4" t="s">
        <v>127</v>
      </c>
      <c r="AY209" s="96" t="s">
        <v>1255</v>
      </c>
      <c r="AZ209" s="4" t="s">
        <v>127</v>
      </c>
      <c r="BA209" s="4" t="s">
        <v>127</v>
      </c>
      <c r="BB209" s="4" t="s">
        <v>1264</v>
      </c>
      <c r="BC209" s="4" t="s">
        <v>127</v>
      </c>
      <c r="BD209" s="4" t="s">
        <v>127</v>
      </c>
      <c r="BE209" s="4" t="s">
        <v>127</v>
      </c>
      <c r="BF209" s="4"/>
      <c r="BG209" s="4"/>
      <c r="BH209" s="4"/>
      <c r="BI209" s="4"/>
      <c r="BJ209" s="4"/>
      <c r="BK209" s="4"/>
      <c r="BL209" s="4"/>
      <c r="BM209" s="4"/>
      <c r="BN209" s="4"/>
      <c r="BO209" s="4"/>
    </row>
    <row r="210" spans="1:67" ht="16" x14ac:dyDescent="0.4">
      <c r="A210" s="4" t="s">
        <v>1265</v>
      </c>
      <c r="B210" s="4" t="s">
        <v>1265</v>
      </c>
      <c r="C210" s="4" t="s">
        <v>528</v>
      </c>
      <c r="D210" s="4" t="s">
        <v>128</v>
      </c>
      <c r="E210" s="189">
        <v>45427</v>
      </c>
      <c r="F210" s="6">
        <f t="shared" si="13"/>
        <v>2024</v>
      </c>
      <c r="G210" s="4" t="s">
        <v>1266</v>
      </c>
      <c r="H210" s="22" t="str">
        <f>VLOOKUP($G210,'Item Classification'!B:C,2,0)</f>
        <v>Frigate modernisation</v>
      </c>
      <c r="I210" s="6" t="str">
        <f>VLOOKUP($G210,'Item Classification'!B:D,3,0)</f>
        <v>Naval</v>
      </c>
      <c r="J210" s="23">
        <f>VLOOKUP($G210,'Item Classification'!B:E,4,0)</f>
        <v>12</v>
      </c>
      <c r="K210" s="116" t="s">
        <v>143</v>
      </c>
      <c r="L210" s="116" t="s">
        <v>144</v>
      </c>
      <c r="M210" s="116" t="str">
        <f>VLOOKUP(L210,'NATO Classifications'!$D$6:$E$647,2,0)</f>
        <v>Combat Ships and Landing Vessels</v>
      </c>
      <c r="N210" s="4">
        <v>4</v>
      </c>
      <c r="O210" s="81">
        <f t="shared" si="14"/>
        <v>300000000</v>
      </c>
      <c r="P210" s="81">
        <f t="shared" si="15"/>
        <v>300000000</v>
      </c>
      <c r="Q210" s="4">
        <v>2026</v>
      </c>
      <c r="R210" s="4">
        <v>2029</v>
      </c>
      <c r="S210" s="112">
        <v>1200000000</v>
      </c>
      <c r="T210" s="91" t="s">
        <v>132</v>
      </c>
      <c r="U210" s="104">
        <f>_xlfn.IFNA(S210/INDEX('Exchange Rates'!$C$7:$F$14,MATCH('MAIN DATA, Orders'!F210,'Exchange Rates'!$B$7:$B$14,0),MATCH('MAIN DATA, Orders'!T210,'Exchange Rates'!$C$6:$F$6,0)), "-")</f>
        <v>1200000000</v>
      </c>
      <c r="V210" s="4" t="s">
        <v>133</v>
      </c>
      <c r="W210" s="4" t="s">
        <v>127</v>
      </c>
      <c r="X210" s="4" t="s">
        <v>128</v>
      </c>
      <c r="Y210" s="24">
        <f t="shared" si="12"/>
        <v>202405</v>
      </c>
      <c r="Z210" s="115">
        <v>0</v>
      </c>
      <c r="AA210" s="115">
        <v>0</v>
      </c>
      <c r="AB210" s="115">
        <v>0</v>
      </c>
      <c r="AC210" s="115" t="s">
        <v>127</v>
      </c>
      <c r="AD210" s="115" t="s">
        <v>127</v>
      </c>
      <c r="AE210" s="115" t="s">
        <v>127</v>
      </c>
      <c r="AF210" s="115" t="s">
        <v>127</v>
      </c>
      <c r="AG210" s="4" t="s">
        <v>127</v>
      </c>
      <c r="AH210" s="4" t="s">
        <v>127</v>
      </c>
      <c r="AI210" s="4" t="s">
        <v>127</v>
      </c>
      <c r="AJ210" s="4" t="s">
        <v>127</v>
      </c>
      <c r="AK210" s="4" t="s">
        <v>127</v>
      </c>
      <c r="AL210" s="4" t="s">
        <v>127</v>
      </c>
      <c r="AM210" s="4" t="s">
        <v>127</v>
      </c>
      <c r="AN210" s="4" t="s">
        <v>127</v>
      </c>
      <c r="AO210" s="4" t="s">
        <v>127</v>
      </c>
      <c r="AP210" s="4" t="s">
        <v>127</v>
      </c>
      <c r="AQ210" s="4" t="s">
        <v>127</v>
      </c>
      <c r="AR210" s="4" t="s">
        <v>127</v>
      </c>
      <c r="AS210" s="4" t="s">
        <v>127</v>
      </c>
      <c r="AT210" s="4" t="s">
        <v>127</v>
      </c>
      <c r="AU210" s="4" t="s">
        <v>127</v>
      </c>
      <c r="AV210" s="4" t="s">
        <v>127</v>
      </c>
      <c r="AW210" s="4" t="s">
        <v>127</v>
      </c>
      <c r="AX210" s="4" t="s">
        <v>127</v>
      </c>
      <c r="AY210" s="96" t="s">
        <v>1255</v>
      </c>
      <c r="AZ210" s="4" t="s">
        <v>127</v>
      </c>
      <c r="BA210" s="4" t="s">
        <v>127</v>
      </c>
      <c r="BB210" s="4" t="s">
        <v>1267</v>
      </c>
      <c r="BC210" s="4" t="s">
        <v>127</v>
      </c>
      <c r="BD210" s="4" t="s">
        <v>127</v>
      </c>
      <c r="BE210" s="4" t="s">
        <v>127</v>
      </c>
      <c r="BF210" s="4"/>
      <c r="BG210" s="4"/>
      <c r="BH210" s="4"/>
      <c r="BI210" s="4"/>
      <c r="BJ210" s="4"/>
      <c r="BK210" s="4"/>
      <c r="BL210" s="4"/>
      <c r="BM210" s="4"/>
      <c r="BN210" s="4"/>
      <c r="BO210" s="4"/>
    </row>
    <row r="211" spans="1:67" ht="16" x14ac:dyDescent="0.4">
      <c r="A211" s="4" t="s">
        <v>1268</v>
      </c>
      <c r="B211" s="4" t="s">
        <v>1268</v>
      </c>
      <c r="C211" s="4" t="s">
        <v>127</v>
      </c>
      <c r="D211" s="4" t="s">
        <v>128</v>
      </c>
      <c r="E211" s="189">
        <v>45448</v>
      </c>
      <c r="F211" s="6">
        <f t="shared" si="13"/>
        <v>2024</v>
      </c>
      <c r="G211" s="4" t="s">
        <v>127</v>
      </c>
      <c r="H211" s="22" t="s">
        <v>286</v>
      </c>
      <c r="I211" s="6" t="s">
        <v>287</v>
      </c>
      <c r="J211" s="23">
        <v>16</v>
      </c>
      <c r="K211" s="116" t="s">
        <v>274</v>
      </c>
      <c r="L211" s="116" t="s">
        <v>275</v>
      </c>
      <c r="M211" s="116" t="str">
        <f>VLOOKUP(L211,'NATO Classifications'!$D$6:$E$647,2,0)</f>
        <v>Trucks and Truck Tractors, Wheeled</v>
      </c>
      <c r="N211" s="4"/>
      <c r="O211" s="81"/>
      <c r="P211" s="81"/>
      <c r="Q211" s="4">
        <v>2024</v>
      </c>
      <c r="R211" s="4">
        <v>2024</v>
      </c>
      <c r="S211" s="112">
        <v>920000000</v>
      </c>
      <c r="T211" s="91" t="s">
        <v>132</v>
      </c>
      <c r="U211" s="104">
        <f>_xlfn.IFNA(S211/INDEX('Exchange Rates'!$C$7:$F$14,MATCH('MAIN DATA, Orders'!F211,'Exchange Rates'!$B$7:$B$14,0),MATCH('MAIN DATA, Orders'!T211,'Exchange Rates'!$C$6:$F$6,0)), "-")</f>
        <v>920000000</v>
      </c>
      <c r="V211" s="4" t="s">
        <v>682</v>
      </c>
      <c r="W211" s="4" t="s">
        <v>127</v>
      </c>
      <c r="X211" s="4" t="s">
        <v>128</v>
      </c>
      <c r="Y211" s="24">
        <f t="shared" si="12"/>
        <v>202406</v>
      </c>
      <c r="Z211" s="115">
        <v>1</v>
      </c>
      <c r="AA211" s="115">
        <v>0</v>
      </c>
      <c r="AB211" s="115">
        <v>0</v>
      </c>
      <c r="AC211" s="115">
        <v>1</v>
      </c>
      <c r="AD211" s="115">
        <v>0</v>
      </c>
      <c r="AE211" s="115">
        <v>0</v>
      </c>
      <c r="AF211" s="115">
        <v>0</v>
      </c>
      <c r="AG211" s="4" t="s">
        <v>256</v>
      </c>
      <c r="AH211" s="4" t="s">
        <v>128</v>
      </c>
      <c r="AI211" s="4" t="s">
        <v>127</v>
      </c>
      <c r="AJ211" s="4" t="s">
        <v>127</v>
      </c>
      <c r="AK211" s="4" t="s">
        <v>127</v>
      </c>
      <c r="AL211" s="4" t="s">
        <v>127</v>
      </c>
      <c r="AM211" s="4" t="s">
        <v>127</v>
      </c>
      <c r="AN211" s="4" t="s">
        <v>127</v>
      </c>
      <c r="AO211" s="4" t="s">
        <v>127</v>
      </c>
      <c r="AP211" s="4" t="s">
        <v>127</v>
      </c>
      <c r="AQ211" s="4" t="s">
        <v>127</v>
      </c>
      <c r="AR211" s="4" t="s">
        <v>127</v>
      </c>
      <c r="AS211" s="4" t="s">
        <v>127</v>
      </c>
      <c r="AT211" s="4" t="s">
        <v>127</v>
      </c>
      <c r="AU211" s="4" t="s">
        <v>127</v>
      </c>
      <c r="AV211" s="4" t="s">
        <v>127</v>
      </c>
      <c r="AW211" s="4" t="s">
        <v>127</v>
      </c>
      <c r="AX211" s="4" t="s">
        <v>127</v>
      </c>
      <c r="AY211" s="96" t="s">
        <v>1269</v>
      </c>
      <c r="AZ211" s="96" t="s">
        <v>1270</v>
      </c>
      <c r="BA211" s="96" t="s">
        <v>1271</v>
      </c>
      <c r="BB211" s="4" t="s">
        <v>1272</v>
      </c>
      <c r="BC211" s="33" t="s">
        <v>1273</v>
      </c>
      <c r="BD211" s="4" t="s">
        <v>127</v>
      </c>
      <c r="BE211" s="4" t="s">
        <v>127</v>
      </c>
      <c r="BF211" s="4" t="s">
        <v>200</v>
      </c>
      <c r="BG211" s="4" t="s">
        <v>200</v>
      </c>
      <c r="BH211" s="4" t="s">
        <v>200</v>
      </c>
      <c r="BI211" s="4" t="s">
        <v>200</v>
      </c>
      <c r="BJ211" s="4" t="s">
        <v>200</v>
      </c>
      <c r="BK211" s="4" t="s">
        <v>200</v>
      </c>
      <c r="BL211" s="4" t="s">
        <v>200</v>
      </c>
      <c r="BM211" s="4" t="s">
        <v>200</v>
      </c>
      <c r="BN211" s="4" t="s">
        <v>200</v>
      </c>
      <c r="BO211" s="4" t="s">
        <v>200</v>
      </c>
    </row>
    <row r="212" spans="1:67" ht="16" x14ac:dyDescent="0.4">
      <c r="A212" s="4" t="s">
        <v>1268</v>
      </c>
      <c r="B212" s="4" t="s">
        <v>1274</v>
      </c>
      <c r="C212" s="4" t="s">
        <v>127</v>
      </c>
      <c r="D212" s="4" t="s">
        <v>128</v>
      </c>
      <c r="E212" s="189">
        <v>45448</v>
      </c>
      <c r="F212" s="6">
        <f t="shared" si="13"/>
        <v>2024</v>
      </c>
      <c r="G212" s="4" t="s">
        <v>293</v>
      </c>
      <c r="H212" s="22" t="str">
        <f>VLOOKUP($G212,'Item Classification'!B:C,2,0)</f>
        <v>Non-combat military vehicle</v>
      </c>
      <c r="I212" s="6" t="str">
        <f>VLOOKUP($G212,'Item Classification'!B:D,3,0)</f>
        <v>Other</v>
      </c>
      <c r="J212" s="23">
        <f>VLOOKUP($G212,'Item Classification'!B:E,4,0)</f>
        <v>16</v>
      </c>
      <c r="K212" s="116" t="s">
        <v>274</v>
      </c>
      <c r="L212" s="116" t="s">
        <v>275</v>
      </c>
      <c r="M212" s="116" t="str">
        <f>VLOOKUP(L212,'NATO Classifications'!$D$6:$E$647,2,0)</f>
        <v>Trucks and Truck Tractors, Wheeled</v>
      </c>
      <c r="N212" s="4">
        <v>1250</v>
      </c>
      <c r="O212" s="81"/>
      <c r="P212" s="81"/>
      <c r="Q212" s="4">
        <v>2024</v>
      </c>
      <c r="R212" s="4">
        <v>2024</v>
      </c>
      <c r="S212" s="4"/>
      <c r="T212" s="91" t="s">
        <v>132</v>
      </c>
      <c r="U212" s="104">
        <f>_xlfn.IFNA(S212/INDEX('Exchange Rates'!$C$7:$F$14,MATCH('MAIN DATA, Orders'!F212,'Exchange Rates'!$B$7:$B$14,0),MATCH('MAIN DATA, Orders'!T212,'Exchange Rates'!$C$6:$F$6,0)), "-")</f>
        <v>0</v>
      </c>
      <c r="V212" s="4" t="s">
        <v>682</v>
      </c>
      <c r="W212" s="4" t="s">
        <v>127</v>
      </c>
      <c r="X212" s="4" t="s">
        <v>128</v>
      </c>
      <c r="Y212" s="24">
        <f t="shared" si="12"/>
        <v>202406</v>
      </c>
      <c r="Z212" s="115">
        <v>1</v>
      </c>
      <c r="AA212" s="115">
        <v>0</v>
      </c>
      <c r="AB212" s="115">
        <v>0</v>
      </c>
      <c r="AC212" s="115">
        <v>1</v>
      </c>
      <c r="AD212" s="115">
        <v>0</v>
      </c>
      <c r="AE212" s="115">
        <v>0</v>
      </c>
      <c r="AF212" s="115">
        <v>0</v>
      </c>
      <c r="AG212" s="4" t="s">
        <v>256</v>
      </c>
      <c r="AH212" s="4" t="s">
        <v>128</v>
      </c>
      <c r="AI212" s="4" t="s">
        <v>127</v>
      </c>
      <c r="AJ212" s="4" t="s">
        <v>127</v>
      </c>
      <c r="AK212" s="4" t="s">
        <v>127</v>
      </c>
      <c r="AL212" s="4" t="s">
        <v>127</v>
      </c>
      <c r="AM212" s="4" t="s">
        <v>127</v>
      </c>
      <c r="AN212" s="4" t="s">
        <v>127</v>
      </c>
      <c r="AO212" s="4" t="s">
        <v>127</v>
      </c>
      <c r="AP212" s="4" t="s">
        <v>127</v>
      </c>
      <c r="AQ212" s="4" t="s">
        <v>127</v>
      </c>
      <c r="AR212" s="4" t="s">
        <v>127</v>
      </c>
      <c r="AS212" s="4" t="s">
        <v>127</v>
      </c>
      <c r="AT212" s="4" t="s">
        <v>127</v>
      </c>
      <c r="AU212" s="4" t="s">
        <v>127</v>
      </c>
      <c r="AV212" s="4" t="s">
        <v>127</v>
      </c>
      <c r="AW212" s="4" t="s">
        <v>127</v>
      </c>
      <c r="AX212" s="4" t="s">
        <v>127</v>
      </c>
      <c r="AY212" s="96" t="s">
        <v>1269</v>
      </c>
      <c r="AZ212" s="96" t="s">
        <v>1270</v>
      </c>
      <c r="BA212" s="96" t="s">
        <v>1271</v>
      </c>
      <c r="BB212" s="4" t="s">
        <v>1272</v>
      </c>
      <c r="BC212" s="33" t="s">
        <v>1273</v>
      </c>
      <c r="BD212" s="4" t="s">
        <v>127</v>
      </c>
      <c r="BE212" s="4" t="s">
        <v>127</v>
      </c>
      <c r="BF212" s="4" t="s">
        <v>200</v>
      </c>
      <c r="BG212" s="4" t="s">
        <v>200</v>
      </c>
      <c r="BH212" s="4" t="s">
        <v>200</v>
      </c>
      <c r="BI212" s="4" t="s">
        <v>200</v>
      </c>
      <c r="BJ212" s="4" t="s">
        <v>200</v>
      </c>
      <c r="BK212" s="4" t="s">
        <v>200</v>
      </c>
      <c r="BL212" s="4" t="s">
        <v>200</v>
      </c>
      <c r="BM212" s="4" t="s">
        <v>200</v>
      </c>
      <c r="BN212" s="4" t="s">
        <v>200</v>
      </c>
      <c r="BO212" s="4" t="s">
        <v>200</v>
      </c>
    </row>
    <row r="213" spans="1:67" ht="16" x14ac:dyDescent="0.4">
      <c r="A213" s="4" t="s">
        <v>1268</v>
      </c>
      <c r="B213" s="4" t="s">
        <v>1275</v>
      </c>
      <c r="C213" s="4" t="s">
        <v>127</v>
      </c>
      <c r="D213" s="4" t="s">
        <v>128</v>
      </c>
      <c r="E213" s="189">
        <v>45448</v>
      </c>
      <c r="F213" s="6">
        <f t="shared" si="13"/>
        <v>2024</v>
      </c>
      <c r="G213" s="4" t="s">
        <v>273</v>
      </c>
      <c r="H213" s="22" t="str">
        <f>VLOOKUP($G213,'Item Classification'!B:C,2,0)</f>
        <v>Armoured Utility Vehicle (AUV)</v>
      </c>
      <c r="I213" s="6" t="str">
        <f>VLOOKUP($G213,'Item Classification'!B:D,3,0)</f>
        <v>Armoured vehicle</v>
      </c>
      <c r="J213" s="23">
        <f>VLOOKUP($G213,'Item Classification'!B:E,4,0)</f>
        <v>2</v>
      </c>
      <c r="K213" s="116" t="s">
        <v>274</v>
      </c>
      <c r="L213" s="116" t="s">
        <v>275</v>
      </c>
      <c r="M213" s="116" t="str">
        <f>VLOOKUP(L213,'NATO Classifications'!$D$6:$E$647,2,0)</f>
        <v>Trucks and Truck Tractors, Wheeled</v>
      </c>
      <c r="N213" s="4">
        <v>265</v>
      </c>
      <c r="O213" s="81"/>
      <c r="P213" s="81"/>
      <c r="Q213" s="4">
        <v>2024</v>
      </c>
      <c r="R213" s="4">
        <v>2024</v>
      </c>
      <c r="S213" s="4"/>
      <c r="T213" s="91" t="s">
        <v>132</v>
      </c>
      <c r="U213" s="104">
        <f>_xlfn.IFNA(S213/INDEX('Exchange Rates'!$C$7:$F$14,MATCH('MAIN DATA, Orders'!F213,'Exchange Rates'!$B$7:$B$14,0),MATCH('MAIN DATA, Orders'!T213,'Exchange Rates'!$C$6:$F$6,0)), "-")</f>
        <v>0</v>
      </c>
      <c r="V213" s="4" t="s">
        <v>682</v>
      </c>
      <c r="W213" s="4" t="s">
        <v>127</v>
      </c>
      <c r="X213" s="4" t="s">
        <v>128</v>
      </c>
      <c r="Y213" s="24">
        <f t="shared" si="12"/>
        <v>202406</v>
      </c>
      <c r="Z213" s="115">
        <v>1</v>
      </c>
      <c r="AA213" s="115">
        <v>0</v>
      </c>
      <c r="AB213" s="115">
        <v>0</v>
      </c>
      <c r="AC213" s="115">
        <v>1</v>
      </c>
      <c r="AD213" s="115">
        <v>0</v>
      </c>
      <c r="AE213" s="115">
        <v>0</v>
      </c>
      <c r="AF213" s="115">
        <v>0</v>
      </c>
      <c r="AG213" s="4" t="s">
        <v>256</v>
      </c>
      <c r="AH213" s="4" t="s">
        <v>128</v>
      </c>
      <c r="AI213" s="4" t="s">
        <v>127</v>
      </c>
      <c r="AJ213" s="4" t="s">
        <v>127</v>
      </c>
      <c r="AK213" s="4" t="s">
        <v>127</v>
      </c>
      <c r="AL213" s="4" t="s">
        <v>127</v>
      </c>
      <c r="AM213" s="4" t="s">
        <v>127</v>
      </c>
      <c r="AN213" s="4" t="s">
        <v>127</v>
      </c>
      <c r="AO213" s="4" t="s">
        <v>127</v>
      </c>
      <c r="AP213" s="4" t="s">
        <v>127</v>
      </c>
      <c r="AQ213" s="4" t="s">
        <v>127</v>
      </c>
      <c r="AR213" s="4" t="s">
        <v>127</v>
      </c>
      <c r="AS213" s="4" t="s">
        <v>127</v>
      </c>
      <c r="AT213" s="4" t="s">
        <v>127</v>
      </c>
      <c r="AU213" s="4" t="s">
        <v>127</v>
      </c>
      <c r="AV213" s="4" t="s">
        <v>127</v>
      </c>
      <c r="AW213" s="4" t="s">
        <v>127</v>
      </c>
      <c r="AX213" s="4" t="s">
        <v>127</v>
      </c>
      <c r="AY213" s="96" t="s">
        <v>1269</v>
      </c>
      <c r="AZ213" s="96" t="s">
        <v>1270</v>
      </c>
      <c r="BA213" s="96" t="s">
        <v>1271</v>
      </c>
      <c r="BB213" s="4" t="s">
        <v>1272</v>
      </c>
      <c r="BC213" s="33" t="s">
        <v>1273</v>
      </c>
      <c r="BD213" s="4" t="s">
        <v>127</v>
      </c>
      <c r="BE213" s="4" t="s">
        <v>127</v>
      </c>
      <c r="BF213" s="4" t="s">
        <v>200</v>
      </c>
      <c r="BG213" s="4" t="s">
        <v>200</v>
      </c>
      <c r="BH213" s="4" t="s">
        <v>200</v>
      </c>
      <c r="BI213" s="4" t="s">
        <v>200</v>
      </c>
      <c r="BJ213" s="4" t="s">
        <v>200</v>
      </c>
      <c r="BK213" s="4" t="s">
        <v>200</v>
      </c>
      <c r="BL213" s="4" t="s">
        <v>200</v>
      </c>
      <c r="BM213" s="4" t="s">
        <v>200</v>
      </c>
      <c r="BN213" s="4" t="s">
        <v>200</v>
      </c>
      <c r="BO213" s="4" t="s">
        <v>200</v>
      </c>
    </row>
    <row r="214" spans="1:67" ht="16" x14ac:dyDescent="0.4">
      <c r="A214" s="4" t="s">
        <v>1268</v>
      </c>
      <c r="B214" s="4" t="s">
        <v>1276</v>
      </c>
      <c r="C214" s="4" t="s">
        <v>127</v>
      </c>
      <c r="D214" s="4" t="s">
        <v>128</v>
      </c>
      <c r="E214" s="189">
        <v>45448</v>
      </c>
      <c r="F214" s="6">
        <f t="shared" si="13"/>
        <v>2024</v>
      </c>
      <c r="G214" s="4" t="s">
        <v>1277</v>
      </c>
      <c r="H214" s="22" t="str">
        <f>VLOOKUP($G214,'Item Classification'!B:C,2,0)</f>
        <v>Non-combat military vehicle part</v>
      </c>
      <c r="I214" s="6" t="str">
        <f>VLOOKUP($G214,'Item Classification'!B:D,3,0)</f>
        <v>Other</v>
      </c>
      <c r="J214" s="23">
        <f>VLOOKUP($G214,'Item Classification'!B:E,4,0)</f>
        <v>16</v>
      </c>
      <c r="K214" s="116" t="s">
        <v>300</v>
      </c>
      <c r="L214" s="116" t="s">
        <v>301</v>
      </c>
      <c r="M214" s="116" t="str">
        <f>VLOOKUP(L214,'NATO Classifications'!$D$6:$E$647,2,0)</f>
        <v>Specialized Shipping and Storage Containers</v>
      </c>
      <c r="N214" s="4">
        <v>500</v>
      </c>
      <c r="O214" s="81"/>
      <c r="P214" s="81"/>
      <c r="Q214" s="4">
        <v>2024</v>
      </c>
      <c r="R214" s="4">
        <v>2024</v>
      </c>
      <c r="S214" s="4"/>
      <c r="T214" s="91" t="s">
        <v>132</v>
      </c>
      <c r="U214" s="104">
        <f>_xlfn.IFNA(S214/INDEX('Exchange Rates'!$C$7:$F$14,MATCH('MAIN DATA, Orders'!F214,'Exchange Rates'!$B$7:$B$14,0),MATCH('MAIN DATA, Orders'!T214,'Exchange Rates'!$C$6:$F$6,0)), "-")</f>
        <v>0</v>
      </c>
      <c r="V214" s="4" t="s">
        <v>682</v>
      </c>
      <c r="W214" s="4" t="s">
        <v>127</v>
      </c>
      <c r="X214" s="4" t="s">
        <v>128</v>
      </c>
      <c r="Y214" s="24">
        <f t="shared" si="12"/>
        <v>202406</v>
      </c>
      <c r="Z214" s="115">
        <v>1</v>
      </c>
      <c r="AA214" s="115">
        <v>0</v>
      </c>
      <c r="AB214" s="115">
        <v>0</v>
      </c>
      <c r="AC214" s="115">
        <v>1</v>
      </c>
      <c r="AD214" s="115">
        <v>0</v>
      </c>
      <c r="AE214" s="115">
        <v>0</v>
      </c>
      <c r="AF214" s="115">
        <v>0</v>
      </c>
      <c r="AG214" s="4" t="s">
        <v>256</v>
      </c>
      <c r="AH214" s="4" t="s">
        <v>128</v>
      </c>
      <c r="AI214" s="4" t="s">
        <v>127</v>
      </c>
      <c r="AJ214" s="4" t="s">
        <v>127</v>
      </c>
      <c r="AK214" s="4" t="s">
        <v>127</v>
      </c>
      <c r="AL214" s="4" t="s">
        <v>127</v>
      </c>
      <c r="AM214" s="4" t="s">
        <v>127</v>
      </c>
      <c r="AN214" s="4" t="s">
        <v>127</v>
      </c>
      <c r="AO214" s="4" t="s">
        <v>127</v>
      </c>
      <c r="AP214" s="4" t="s">
        <v>127</v>
      </c>
      <c r="AQ214" s="4" t="s">
        <v>127</v>
      </c>
      <c r="AR214" s="4" t="s">
        <v>127</v>
      </c>
      <c r="AS214" s="4" t="s">
        <v>127</v>
      </c>
      <c r="AT214" s="4" t="s">
        <v>127</v>
      </c>
      <c r="AU214" s="4" t="s">
        <v>127</v>
      </c>
      <c r="AV214" s="4" t="s">
        <v>127</v>
      </c>
      <c r="AW214" s="4" t="s">
        <v>127</v>
      </c>
      <c r="AX214" s="4" t="s">
        <v>127</v>
      </c>
      <c r="AY214" s="96" t="s">
        <v>1269</v>
      </c>
      <c r="AZ214" s="96" t="s">
        <v>1270</v>
      </c>
      <c r="BA214" s="96" t="s">
        <v>1271</v>
      </c>
      <c r="BB214" s="4" t="s">
        <v>1272</v>
      </c>
      <c r="BC214" s="33" t="s">
        <v>1273</v>
      </c>
      <c r="BD214" s="4" t="s">
        <v>127</v>
      </c>
      <c r="BE214" s="4" t="s">
        <v>127</v>
      </c>
      <c r="BF214" s="4" t="s">
        <v>200</v>
      </c>
      <c r="BG214" s="4" t="s">
        <v>200</v>
      </c>
      <c r="BH214" s="4" t="s">
        <v>200</v>
      </c>
      <c r="BI214" s="4" t="s">
        <v>200</v>
      </c>
      <c r="BJ214" s="4" t="s">
        <v>200</v>
      </c>
      <c r="BK214" s="4" t="s">
        <v>200</v>
      </c>
      <c r="BL214" s="4" t="s">
        <v>200</v>
      </c>
      <c r="BM214" s="4" t="s">
        <v>200</v>
      </c>
      <c r="BN214" s="4" t="s">
        <v>200</v>
      </c>
      <c r="BO214" s="4" t="s">
        <v>200</v>
      </c>
    </row>
    <row r="215" spans="1:67" ht="16" x14ac:dyDescent="0.4">
      <c r="A215" s="4" t="s">
        <v>1268</v>
      </c>
      <c r="B215" s="4" t="s">
        <v>1278</v>
      </c>
      <c r="C215" s="4" t="s">
        <v>127</v>
      </c>
      <c r="D215" s="4" t="s">
        <v>128</v>
      </c>
      <c r="E215" s="189">
        <v>45448</v>
      </c>
      <c r="F215" s="6">
        <f t="shared" si="13"/>
        <v>2024</v>
      </c>
      <c r="G215" s="4" t="s">
        <v>1279</v>
      </c>
      <c r="H215" s="22" t="str">
        <f>VLOOKUP($G215,'Item Classification'!B:C,2,0)</f>
        <v>Non-combat military vehicle part</v>
      </c>
      <c r="I215" s="6" t="str">
        <f>VLOOKUP($G215,'Item Classification'!B:D,3,0)</f>
        <v>Other</v>
      </c>
      <c r="J215" s="23">
        <f>VLOOKUP($G215,'Item Classification'!B:E,4,0)</f>
        <v>16</v>
      </c>
      <c r="K215" s="116" t="s">
        <v>1280</v>
      </c>
      <c r="L215" s="116" t="s">
        <v>1281</v>
      </c>
      <c r="M215" s="116" t="str">
        <f>VLOOKUP(L215,'NATO Classifications'!$D$6:$E$647,2,0)</f>
        <v>Vehicular Cab, Body, and Frame Structural Components</v>
      </c>
      <c r="N215" s="4">
        <v>500</v>
      </c>
      <c r="O215" s="81"/>
      <c r="P215" s="81"/>
      <c r="Q215" s="4">
        <v>2024</v>
      </c>
      <c r="R215" s="4">
        <v>2024</v>
      </c>
      <c r="S215" s="4"/>
      <c r="T215" s="91" t="s">
        <v>132</v>
      </c>
      <c r="U215" s="104">
        <f>_xlfn.IFNA(S215/INDEX('Exchange Rates'!$C$7:$F$14,MATCH('MAIN DATA, Orders'!F215,'Exchange Rates'!$B$7:$B$14,0),MATCH('MAIN DATA, Orders'!T215,'Exchange Rates'!$C$6:$F$6,0)), "-")</f>
        <v>0</v>
      </c>
      <c r="V215" s="4" t="s">
        <v>682</v>
      </c>
      <c r="W215" s="4" t="s">
        <v>127</v>
      </c>
      <c r="X215" s="4" t="s">
        <v>128</v>
      </c>
      <c r="Y215" s="24">
        <f t="shared" ref="Y215:Y278" si="16">_xlfn.NUMBERVALUE(_xlfn.CONCAT(YEAR(E215),TEXT(E215, "mm")))</f>
        <v>202406</v>
      </c>
      <c r="Z215" s="115">
        <v>1</v>
      </c>
      <c r="AA215" s="115">
        <v>0</v>
      </c>
      <c r="AB215" s="115">
        <v>0</v>
      </c>
      <c r="AC215" s="115">
        <v>1</v>
      </c>
      <c r="AD215" s="115">
        <v>0</v>
      </c>
      <c r="AE215" s="115">
        <v>0</v>
      </c>
      <c r="AF215" s="115">
        <v>0</v>
      </c>
      <c r="AG215" s="4" t="s">
        <v>256</v>
      </c>
      <c r="AH215" s="4" t="s">
        <v>128</v>
      </c>
      <c r="AI215" s="4" t="s">
        <v>127</v>
      </c>
      <c r="AJ215" s="4" t="s">
        <v>127</v>
      </c>
      <c r="AK215" s="4" t="s">
        <v>127</v>
      </c>
      <c r="AL215" s="4" t="s">
        <v>127</v>
      </c>
      <c r="AM215" s="4" t="s">
        <v>127</v>
      </c>
      <c r="AN215" s="4" t="s">
        <v>127</v>
      </c>
      <c r="AO215" s="4" t="s">
        <v>127</v>
      </c>
      <c r="AP215" s="4" t="s">
        <v>127</v>
      </c>
      <c r="AQ215" s="4" t="s">
        <v>127</v>
      </c>
      <c r="AR215" s="4" t="s">
        <v>127</v>
      </c>
      <c r="AS215" s="4" t="s">
        <v>127</v>
      </c>
      <c r="AT215" s="4" t="s">
        <v>127</v>
      </c>
      <c r="AU215" s="4" t="s">
        <v>127</v>
      </c>
      <c r="AV215" s="4" t="s">
        <v>127</v>
      </c>
      <c r="AW215" s="4" t="s">
        <v>127</v>
      </c>
      <c r="AX215" s="4" t="s">
        <v>127</v>
      </c>
      <c r="AY215" s="96" t="s">
        <v>1269</v>
      </c>
      <c r="AZ215" s="96" t="s">
        <v>1270</v>
      </c>
      <c r="BA215" s="96" t="s">
        <v>1271</v>
      </c>
      <c r="BB215" s="4" t="s">
        <v>1272</v>
      </c>
      <c r="BC215" s="33" t="s">
        <v>1273</v>
      </c>
      <c r="BD215" s="4" t="s">
        <v>127</v>
      </c>
      <c r="BE215" s="4" t="s">
        <v>127</v>
      </c>
      <c r="BF215" s="4" t="s">
        <v>200</v>
      </c>
      <c r="BG215" s="4" t="s">
        <v>200</v>
      </c>
      <c r="BH215" s="4" t="s">
        <v>200</v>
      </c>
      <c r="BI215" s="4" t="s">
        <v>200</v>
      </c>
      <c r="BJ215" s="4" t="s">
        <v>200</v>
      </c>
      <c r="BK215" s="4" t="s">
        <v>200</v>
      </c>
      <c r="BL215" s="4" t="s">
        <v>200</v>
      </c>
      <c r="BM215" s="4" t="s">
        <v>200</v>
      </c>
      <c r="BN215" s="4" t="s">
        <v>200</v>
      </c>
      <c r="BO215" s="4" t="s">
        <v>200</v>
      </c>
    </row>
    <row r="216" spans="1:67" ht="16" x14ac:dyDescent="0.4">
      <c r="A216" s="4" t="s">
        <v>1282</v>
      </c>
      <c r="B216" s="4" t="s">
        <v>1282</v>
      </c>
      <c r="C216" s="4" t="s">
        <v>127</v>
      </c>
      <c r="D216" s="4" t="s">
        <v>128</v>
      </c>
      <c r="E216" s="189">
        <v>45448</v>
      </c>
      <c r="F216" s="6">
        <f t="shared" si="13"/>
        <v>2024</v>
      </c>
      <c r="G216" s="4" t="s">
        <v>1283</v>
      </c>
      <c r="H216" s="22" t="str">
        <f>VLOOKUP($G216,'Item Classification'!B:C,2,0)</f>
        <v>Lightweight anti-submarine torpedo</v>
      </c>
      <c r="I216" s="6" t="str">
        <f>VLOOKUP($G216,'Item Classification'!B:D,3,0)</f>
        <v>Naval</v>
      </c>
      <c r="J216" s="23">
        <f>VLOOKUP($G216,'Item Classification'!B:E,4,0)</f>
        <v>12</v>
      </c>
      <c r="K216" s="116" t="s">
        <v>189</v>
      </c>
      <c r="L216" s="116" t="s">
        <v>246</v>
      </c>
      <c r="M216" s="116" t="str">
        <f>VLOOKUP(L216,'NATO Classifications'!$D$6:$E$647,2,0)</f>
        <v>Torpedoes</v>
      </c>
      <c r="N216" s="4">
        <v>48</v>
      </c>
      <c r="O216" s="81">
        <f t="shared" si="14"/>
        <v>2541666.6666666665</v>
      </c>
      <c r="P216" s="81">
        <f t="shared" si="15"/>
        <v>2541666.6666666665</v>
      </c>
      <c r="Q216" s="4"/>
      <c r="R216" s="4"/>
      <c r="S216" s="112">
        <v>122000000</v>
      </c>
      <c r="T216" s="91" t="s">
        <v>132</v>
      </c>
      <c r="U216" s="104">
        <f>_xlfn.IFNA(S216/INDEX('Exchange Rates'!$C$7:$F$14,MATCH('MAIN DATA, Orders'!F216,'Exchange Rates'!$B$7:$B$14,0),MATCH('MAIN DATA, Orders'!T216,'Exchange Rates'!$C$6:$F$6,0)), "-")</f>
        <v>122000000</v>
      </c>
      <c r="V216" s="4" t="s">
        <v>682</v>
      </c>
      <c r="W216" s="4" t="s">
        <v>133</v>
      </c>
      <c r="X216" s="4" t="s">
        <v>128</v>
      </c>
      <c r="Y216" s="24">
        <f t="shared" si="16"/>
        <v>202406</v>
      </c>
      <c r="Z216" s="115">
        <v>0</v>
      </c>
      <c r="AA216" s="115">
        <v>0</v>
      </c>
      <c r="AB216" s="115">
        <v>0</v>
      </c>
      <c r="AC216" s="115">
        <v>0</v>
      </c>
      <c r="AD216" s="115">
        <v>0</v>
      </c>
      <c r="AE216" s="115">
        <v>0</v>
      </c>
      <c r="AF216" s="115">
        <v>0</v>
      </c>
      <c r="AG216" s="4" t="s">
        <v>718</v>
      </c>
      <c r="AH216" s="4" t="s">
        <v>196</v>
      </c>
      <c r="AI216" s="4" t="s">
        <v>127</v>
      </c>
      <c r="AJ216" s="4" t="s">
        <v>127</v>
      </c>
      <c r="AK216" s="4" t="s">
        <v>127</v>
      </c>
      <c r="AL216" s="4" t="s">
        <v>127</v>
      </c>
      <c r="AM216" s="4" t="s">
        <v>127</v>
      </c>
      <c r="AN216" s="4" t="s">
        <v>127</v>
      </c>
      <c r="AO216" s="4" t="s">
        <v>127</v>
      </c>
      <c r="AP216" s="4" t="s">
        <v>127</v>
      </c>
      <c r="AQ216" s="4" t="s">
        <v>127</v>
      </c>
      <c r="AR216" s="4" t="s">
        <v>127</v>
      </c>
      <c r="AS216" s="4" t="s">
        <v>127</v>
      </c>
      <c r="AT216" s="4" t="s">
        <v>127</v>
      </c>
      <c r="AU216" s="4" t="s">
        <v>127</v>
      </c>
      <c r="AV216" s="4" t="s">
        <v>127</v>
      </c>
      <c r="AW216" s="4" t="s">
        <v>127</v>
      </c>
      <c r="AX216" s="4" t="s">
        <v>127</v>
      </c>
      <c r="AY216" s="96" t="s">
        <v>1269</v>
      </c>
      <c r="AZ216" s="96" t="s">
        <v>1284</v>
      </c>
      <c r="BA216" s="96" t="s">
        <v>1285</v>
      </c>
      <c r="BB216" s="4" t="s">
        <v>1286</v>
      </c>
      <c r="BC216" s="4" t="s">
        <v>1287</v>
      </c>
      <c r="BD216" s="4" t="s">
        <v>127</v>
      </c>
      <c r="BE216" s="4" t="s">
        <v>127</v>
      </c>
      <c r="BF216" s="4"/>
      <c r="BG216" s="4"/>
      <c r="BH216" s="4"/>
      <c r="BI216" s="4"/>
      <c r="BJ216" s="4"/>
      <c r="BK216" s="4"/>
      <c r="BL216" s="4"/>
      <c r="BM216" s="4"/>
      <c r="BN216" s="4"/>
      <c r="BO216" s="4"/>
    </row>
    <row r="217" spans="1:67" ht="16" x14ac:dyDescent="0.4">
      <c r="A217" s="4" t="s">
        <v>1288</v>
      </c>
      <c r="B217" s="4" t="s">
        <v>1288</v>
      </c>
      <c r="C217" s="4" t="s">
        <v>127</v>
      </c>
      <c r="D217" s="4" t="s">
        <v>128</v>
      </c>
      <c r="E217" s="189">
        <v>45448</v>
      </c>
      <c r="F217" s="6">
        <f t="shared" si="13"/>
        <v>2024</v>
      </c>
      <c r="G217" s="4" t="s">
        <v>1289</v>
      </c>
      <c r="H217" s="22" t="str">
        <f>VLOOKUP($G217,'Item Classification'!B:C,2,0)</f>
        <v>Operations and command infrastructure</v>
      </c>
      <c r="I217" s="6" t="str">
        <f>VLOOKUP($G217,'Item Classification'!B:D,3,0)</f>
        <v>Naval</v>
      </c>
      <c r="J217" s="23">
        <f>VLOOKUP($G217,'Item Classification'!B:E,4,0)</f>
        <v>12</v>
      </c>
      <c r="K217" s="116" t="s">
        <v>158</v>
      </c>
      <c r="L217" s="116" t="s">
        <v>354</v>
      </c>
      <c r="M217" s="116" t="str">
        <f>VLOOKUP(L217,'NATO Classifications'!$D$6:$E$647,2,0)</f>
        <v>Communication, Detection, and Coherent Radiation Equipment (other)</v>
      </c>
      <c r="N217" s="4"/>
      <c r="O217" s="81"/>
      <c r="P217" s="81"/>
      <c r="Q217" s="4">
        <v>2025</v>
      </c>
      <c r="R217" s="4">
        <v>2026</v>
      </c>
      <c r="S217" s="112">
        <v>100000000</v>
      </c>
      <c r="T217" s="91" t="s">
        <v>132</v>
      </c>
      <c r="U217" s="104">
        <f>_xlfn.IFNA(S217/INDEX('Exchange Rates'!$C$7:$F$14,MATCH('MAIN DATA, Orders'!F217,'Exchange Rates'!$B$7:$B$14,0),MATCH('MAIN DATA, Orders'!T217,'Exchange Rates'!$C$6:$F$6,0)), "-")</f>
        <v>100000000</v>
      </c>
      <c r="V217" s="4" t="s">
        <v>682</v>
      </c>
      <c r="W217" s="4" t="s">
        <v>127</v>
      </c>
      <c r="X217" s="4" t="s">
        <v>128</v>
      </c>
      <c r="Y217" s="24">
        <f t="shared" si="16"/>
        <v>202406</v>
      </c>
      <c r="Z217" s="115">
        <v>0</v>
      </c>
      <c r="AA217" s="115">
        <v>0</v>
      </c>
      <c r="AB217" s="115">
        <v>0</v>
      </c>
      <c r="AC217" s="115">
        <v>1</v>
      </c>
      <c r="AD217" s="115">
        <v>0</v>
      </c>
      <c r="AE217" s="115">
        <v>0</v>
      </c>
      <c r="AF217" s="115">
        <v>0</v>
      </c>
      <c r="AG217" s="4" t="s">
        <v>127</v>
      </c>
      <c r="AH217" s="4" t="s">
        <v>128</v>
      </c>
      <c r="AI217" s="4" t="s">
        <v>127</v>
      </c>
      <c r="AJ217" s="4" t="s">
        <v>127</v>
      </c>
      <c r="AK217" s="4" t="s">
        <v>127</v>
      </c>
      <c r="AL217" s="4" t="s">
        <v>127</v>
      </c>
      <c r="AM217" s="4" t="s">
        <v>127</v>
      </c>
      <c r="AN217" s="4" t="s">
        <v>127</v>
      </c>
      <c r="AO217" s="4" t="s">
        <v>127</v>
      </c>
      <c r="AP217" s="4" t="s">
        <v>127</v>
      </c>
      <c r="AQ217" s="4" t="s">
        <v>127</v>
      </c>
      <c r="AR217" s="4" t="s">
        <v>127</v>
      </c>
      <c r="AS217" s="4" t="s">
        <v>127</v>
      </c>
      <c r="AT217" s="4" t="s">
        <v>127</v>
      </c>
      <c r="AU217" s="4" t="s">
        <v>127</v>
      </c>
      <c r="AV217" s="4" t="s">
        <v>127</v>
      </c>
      <c r="AW217" s="4" t="s">
        <v>127</v>
      </c>
      <c r="AX217" s="4" t="s">
        <v>127</v>
      </c>
      <c r="AY217" s="96" t="s">
        <v>1269</v>
      </c>
      <c r="AZ217" s="96" t="s">
        <v>1284</v>
      </c>
      <c r="BA217" s="4" t="s">
        <v>127</v>
      </c>
      <c r="BB217" s="4" t="s">
        <v>1290</v>
      </c>
      <c r="BC217" s="4" t="s">
        <v>127</v>
      </c>
      <c r="BD217" s="4" t="s">
        <v>127</v>
      </c>
      <c r="BE217" s="4" t="s">
        <v>127</v>
      </c>
      <c r="BF217" s="4"/>
      <c r="BG217" s="4"/>
      <c r="BH217" s="4"/>
      <c r="BI217" s="4"/>
      <c r="BJ217" s="4"/>
      <c r="BK217" s="4"/>
      <c r="BL217" s="4"/>
      <c r="BM217" s="4"/>
      <c r="BN217" s="4"/>
      <c r="BO217" s="4"/>
    </row>
    <row r="218" spans="1:67" ht="16" x14ac:dyDescent="0.4">
      <c r="A218" s="4" t="s">
        <v>1291</v>
      </c>
      <c r="B218" s="4" t="s">
        <v>1291</v>
      </c>
      <c r="C218" s="4" t="s">
        <v>1292</v>
      </c>
      <c r="D218" s="4" t="s">
        <v>128</v>
      </c>
      <c r="E218" s="189">
        <v>45448</v>
      </c>
      <c r="F218" s="6">
        <f t="shared" si="13"/>
        <v>2024</v>
      </c>
      <c r="G218" s="4" t="s">
        <v>1293</v>
      </c>
      <c r="H218" s="22" t="str">
        <f>VLOOKUP($G218,'Item Classification'!B:C,2,0)</f>
        <v>155mm howitzer ammunition</v>
      </c>
      <c r="I218" s="6" t="str">
        <f>VLOOKUP($G218,'Item Classification'!B:D,3,0)</f>
        <v>Ammunition</v>
      </c>
      <c r="J218" s="23">
        <f>VLOOKUP($G218,'Item Classification'!B:E,4,0)</f>
        <v>4</v>
      </c>
      <c r="K218" s="116" t="s">
        <v>189</v>
      </c>
      <c r="L218" s="116" t="s">
        <v>733</v>
      </c>
      <c r="M218" s="116" t="str">
        <f>VLOOKUP(L218,'NATO Classifications'!$D$6:$E$647,2,0)</f>
        <v>Ammunition over 75mm</v>
      </c>
      <c r="N218" s="4">
        <v>300000</v>
      </c>
      <c r="O218" s="81">
        <f t="shared" si="14"/>
        <v>2933.3333333333335</v>
      </c>
      <c r="P218" s="81">
        <f t="shared" si="15"/>
        <v>2933.3333333333335</v>
      </c>
      <c r="Q218" s="4">
        <v>2025</v>
      </c>
      <c r="R218" s="4"/>
      <c r="S218" s="112">
        <v>880000000</v>
      </c>
      <c r="T218" s="91" t="s">
        <v>132</v>
      </c>
      <c r="U218" s="104">
        <f>_xlfn.IFNA(S218/INDEX('Exchange Rates'!$C$7:$F$14,MATCH('MAIN DATA, Orders'!F218,'Exchange Rates'!$B$7:$B$14,0),MATCH('MAIN DATA, Orders'!T218,'Exchange Rates'!$C$6:$F$6,0)), "-")</f>
        <v>880000000</v>
      </c>
      <c r="V218" s="4" t="s">
        <v>682</v>
      </c>
      <c r="W218" s="4" t="s">
        <v>133</v>
      </c>
      <c r="X218" s="4" t="s">
        <v>128</v>
      </c>
      <c r="Y218" s="24">
        <f t="shared" si="16"/>
        <v>202406</v>
      </c>
      <c r="Z218" s="115">
        <v>1</v>
      </c>
      <c r="AA218" s="115">
        <v>0</v>
      </c>
      <c r="AB218" s="115">
        <v>0</v>
      </c>
      <c r="AC218" s="115">
        <v>1</v>
      </c>
      <c r="AD218" s="115">
        <v>0</v>
      </c>
      <c r="AE218" s="115">
        <v>0</v>
      </c>
      <c r="AF218" s="115">
        <v>0</v>
      </c>
      <c r="AG218" s="4" t="s">
        <v>256</v>
      </c>
      <c r="AH218" s="4" t="s">
        <v>128</v>
      </c>
      <c r="AI218" s="4" t="s">
        <v>127</v>
      </c>
      <c r="AJ218" s="4" t="s">
        <v>127</v>
      </c>
      <c r="AK218" s="4" t="s">
        <v>127</v>
      </c>
      <c r="AL218" s="4" t="s">
        <v>127</v>
      </c>
      <c r="AM218" s="4" t="s">
        <v>127</v>
      </c>
      <c r="AN218" s="4" t="s">
        <v>127</v>
      </c>
      <c r="AO218" s="4" t="s">
        <v>127</v>
      </c>
      <c r="AP218" s="4" t="s">
        <v>127</v>
      </c>
      <c r="AQ218" s="4" t="s">
        <v>127</v>
      </c>
      <c r="AR218" s="4" t="s">
        <v>127</v>
      </c>
      <c r="AS218" s="4" t="s">
        <v>127</v>
      </c>
      <c r="AT218" s="4" t="s">
        <v>127</v>
      </c>
      <c r="AU218" s="4" t="s">
        <v>127</v>
      </c>
      <c r="AV218" s="4" t="s">
        <v>127</v>
      </c>
      <c r="AW218" s="4" t="s">
        <v>127</v>
      </c>
      <c r="AX218" s="4" t="s">
        <v>127</v>
      </c>
      <c r="AY218" s="96" t="s">
        <v>1294</v>
      </c>
      <c r="AZ218" s="96" t="s">
        <v>1295</v>
      </c>
      <c r="BA218" s="96" t="s">
        <v>1296</v>
      </c>
      <c r="BB218" s="4" t="s">
        <v>1297</v>
      </c>
      <c r="BC218" s="4" t="s">
        <v>1298</v>
      </c>
      <c r="BD218" s="4" t="s">
        <v>1299</v>
      </c>
      <c r="BE218" s="4" t="s">
        <v>127</v>
      </c>
      <c r="BF218" s="4"/>
      <c r="BG218" s="4"/>
      <c r="BH218" s="4"/>
      <c r="BI218" s="4"/>
      <c r="BJ218" s="4"/>
      <c r="BK218" s="4"/>
      <c r="BL218" s="4"/>
      <c r="BM218" s="4"/>
      <c r="BN218" s="4"/>
      <c r="BO218" s="4"/>
    </row>
    <row r="219" spans="1:67" ht="16" x14ac:dyDescent="0.4">
      <c r="A219" s="4" t="s">
        <v>1300</v>
      </c>
      <c r="B219" s="4" t="s">
        <v>1300</v>
      </c>
      <c r="C219" s="4" t="s">
        <v>141</v>
      </c>
      <c r="D219" s="4" t="s">
        <v>128</v>
      </c>
      <c r="E219" s="189">
        <v>45455</v>
      </c>
      <c r="F219" s="6">
        <f t="shared" si="13"/>
        <v>2024</v>
      </c>
      <c r="G219" s="4" t="s">
        <v>1301</v>
      </c>
      <c r="H219" s="22" t="str">
        <f>VLOOKUP($G219,'Item Classification'!B:C,2,0)</f>
        <v>Frigate - contract adjustment</v>
      </c>
      <c r="I219" s="6" t="str">
        <f>VLOOKUP($G219,'Item Classification'!B:D,3,0)</f>
        <v>Naval</v>
      </c>
      <c r="J219" s="23">
        <f>VLOOKUP($G219,'Item Classification'!B:E,4,0)</f>
        <v>12</v>
      </c>
      <c r="K219" s="116" t="s">
        <v>143</v>
      </c>
      <c r="L219" s="116" t="s">
        <v>144</v>
      </c>
      <c r="M219" s="116" t="str">
        <f>VLOOKUP(L219,'NATO Classifications'!$D$6:$E$647,2,0)</f>
        <v>Combat Ships and Landing Vessels</v>
      </c>
      <c r="N219" s="4">
        <v>4</v>
      </c>
      <c r="O219" s="81">
        <f t="shared" si="14"/>
        <v>80750000</v>
      </c>
      <c r="P219" s="81">
        <f t="shared" si="15"/>
        <v>80750000</v>
      </c>
      <c r="Q219" s="4"/>
      <c r="R219" s="4"/>
      <c r="S219" s="112">
        <v>323000000</v>
      </c>
      <c r="T219" s="91" t="s">
        <v>132</v>
      </c>
      <c r="U219" s="104">
        <f>_xlfn.IFNA(S219/INDEX('Exchange Rates'!$C$7:$F$14,MATCH('MAIN DATA, Orders'!F219,'Exchange Rates'!$B$7:$B$14,0),MATCH('MAIN DATA, Orders'!T219,'Exchange Rates'!$C$6:$F$6,0)), "-")</f>
        <v>323000000</v>
      </c>
      <c r="V219" s="4" t="s">
        <v>682</v>
      </c>
      <c r="W219" s="4" t="s">
        <v>133</v>
      </c>
      <c r="X219" s="4" t="s">
        <v>128</v>
      </c>
      <c r="Y219" s="24">
        <f t="shared" si="16"/>
        <v>202406</v>
      </c>
      <c r="Z219" s="115">
        <v>1</v>
      </c>
      <c r="AA219" s="115">
        <v>0</v>
      </c>
      <c r="AB219" s="115">
        <v>0</v>
      </c>
      <c r="AC219" s="115">
        <v>1</v>
      </c>
      <c r="AD219" s="115">
        <v>1</v>
      </c>
      <c r="AE219" s="115">
        <v>0</v>
      </c>
      <c r="AF219" s="115">
        <v>1</v>
      </c>
      <c r="AG219" s="4" t="s">
        <v>145</v>
      </c>
      <c r="AH219" s="4" t="s">
        <v>146</v>
      </c>
      <c r="AI219" s="4" t="s">
        <v>128</v>
      </c>
      <c r="AJ219" s="4" t="s">
        <v>147</v>
      </c>
      <c r="AK219" s="4" t="s">
        <v>148</v>
      </c>
      <c r="AL219" s="4" t="s">
        <v>149</v>
      </c>
      <c r="AM219" s="4" t="s">
        <v>150</v>
      </c>
      <c r="AN219" s="4" t="s">
        <v>128</v>
      </c>
      <c r="AO219" s="4" t="s">
        <v>151</v>
      </c>
      <c r="AP219" s="4" t="s">
        <v>127</v>
      </c>
      <c r="AQ219" s="4" t="s">
        <v>127</v>
      </c>
      <c r="AR219" s="4" t="s">
        <v>127</v>
      </c>
      <c r="AS219" s="4" t="s">
        <v>127</v>
      </c>
      <c r="AT219" s="4" t="s">
        <v>127</v>
      </c>
      <c r="AU219" s="4" t="s">
        <v>127</v>
      </c>
      <c r="AV219" s="4" t="s">
        <v>127</v>
      </c>
      <c r="AW219" s="4" t="s">
        <v>127</v>
      </c>
      <c r="AX219" s="4" t="s">
        <v>127</v>
      </c>
      <c r="AY219" s="96" t="s">
        <v>1302</v>
      </c>
      <c r="AZ219" s="96" t="s">
        <v>153</v>
      </c>
      <c r="BA219" s="96" t="s">
        <v>1303</v>
      </c>
      <c r="BB219" s="4" t="s">
        <v>1304</v>
      </c>
      <c r="BC219" s="4" t="s">
        <v>1305</v>
      </c>
      <c r="BD219" s="4" t="s">
        <v>127</v>
      </c>
      <c r="BE219" s="4" t="s">
        <v>127</v>
      </c>
      <c r="BF219" s="4"/>
      <c r="BG219" s="4"/>
      <c r="BH219" s="4"/>
      <c r="BI219" s="4"/>
      <c r="BJ219" s="4"/>
      <c r="BK219" s="4"/>
      <c r="BL219" s="4"/>
      <c r="BM219" s="4"/>
      <c r="BN219" s="4"/>
      <c r="BO219" s="4"/>
    </row>
    <row r="220" spans="1:67" ht="16" x14ac:dyDescent="0.4">
      <c r="A220" s="4" t="s">
        <v>1306</v>
      </c>
      <c r="B220" s="4" t="s">
        <v>1306</v>
      </c>
      <c r="C220" s="4" t="s">
        <v>141</v>
      </c>
      <c r="D220" s="4" t="s">
        <v>128</v>
      </c>
      <c r="E220" s="189">
        <v>45455</v>
      </c>
      <c r="F220" s="6">
        <f t="shared" si="13"/>
        <v>2024</v>
      </c>
      <c r="G220" s="4" t="s">
        <v>142</v>
      </c>
      <c r="H220" s="22" t="str">
        <f>VLOOKUP($G220,'Item Classification'!B:C,2,0)</f>
        <v>Frigate</v>
      </c>
      <c r="I220" s="6" t="str">
        <f>VLOOKUP($G220,'Item Classification'!B:D,3,0)</f>
        <v>Naval</v>
      </c>
      <c r="J220" s="23">
        <f>VLOOKUP($G220,'Item Classification'!B:E,4,0)</f>
        <v>12</v>
      </c>
      <c r="K220" s="116" t="s">
        <v>143</v>
      </c>
      <c r="L220" s="116" t="s">
        <v>144</v>
      </c>
      <c r="M220" s="116" t="str">
        <f>VLOOKUP(L220,'NATO Classifications'!$D$6:$E$647,2,0)</f>
        <v>Combat Ships and Landing Vessels</v>
      </c>
      <c r="N220" s="4">
        <v>2</v>
      </c>
      <c r="O220" s="81">
        <f t="shared" si="14"/>
        <v>1590000000</v>
      </c>
      <c r="P220" s="81">
        <f t="shared" si="15"/>
        <v>1590000000</v>
      </c>
      <c r="Q220" s="4">
        <v>2033</v>
      </c>
      <c r="R220" s="4">
        <v>2034</v>
      </c>
      <c r="S220" s="112">
        <v>3180000000</v>
      </c>
      <c r="T220" s="91" t="s">
        <v>132</v>
      </c>
      <c r="U220" s="104">
        <f>_xlfn.IFNA(S220/INDEX('Exchange Rates'!$C$7:$F$14,MATCH('MAIN DATA, Orders'!F220,'Exchange Rates'!$B$7:$B$14,0),MATCH('MAIN DATA, Orders'!T220,'Exchange Rates'!$C$6:$F$6,0)), "-")</f>
        <v>3180000000</v>
      </c>
      <c r="V220" s="4" t="s">
        <v>133</v>
      </c>
      <c r="W220" s="4" t="s">
        <v>127</v>
      </c>
      <c r="X220" s="4" t="s">
        <v>128</v>
      </c>
      <c r="Y220" s="24">
        <f t="shared" si="16"/>
        <v>202406</v>
      </c>
      <c r="Z220" s="115">
        <v>1</v>
      </c>
      <c r="AA220" s="115">
        <v>0</v>
      </c>
      <c r="AB220" s="115">
        <v>0</v>
      </c>
      <c r="AC220" s="115">
        <v>1</v>
      </c>
      <c r="AD220" s="115">
        <v>1</v>
      </c>
      <c r="AE220" s="115">
        <v>0</v>
      </c>
      <c r="AF220" s="115">
        <v>1</v>
      </c>
      <c r="AG220" s="4" t="s">
        <v>145</v>
      </c>
      <c r="AH220" s="4" t="s">
        <v>146</v>
      </c>
      <c r="AI220" s="4" t="s">
        <v>128</v>
      </c>
      <c r="AJ220" s="4" t="s">
        <v>147</v>
      </c>
      <c r="AK220" s="4" t="s">
        <v>148</v>
      </c>
      <c r="AL220" s="4" t="s">
        <v>149</v>
      </c>
      <c r="AM220" s="4" t="s">
        <v>150</v>
      </c>
      <c r="AN220" s="4" t="s">
        <v>128</v>
      </c>
      <c r="AO220" s="4" t="s">
        <v>151</v>
      </c>
      <c r="AP220" s="4" t="s">
        <v>127</v>
      </c>
      <c r="AQ220" s="4" t="s">
        <v>127</v>
      </c>
      <c r="AR220" s="4" t="s">
        <v>127</v>
      </c>
      <c r="AS220" s="4" t="s">
        <v>127</v>
      </c>
      <c r="AT220" s="4" t="s">
        <v>127</v>
      </c>
      <c r="AU220" s="4" t="s">
        <v>127</v>
      </c>
      <c r="AV220" s="4" t="s">
        <v>127</v>
      </c>
      <c r="AW220" s="4" t="s">
        <v>127</v>
      </c>
      <c r="AX220" s="4" t="s">
        <v>127</v>
      </c>
      <c r="AY220" s="96" t="s">
        <v>1302</v>
      </c>
      <c r="AZ220" s="96" t="s">
        <v>153</v>
      </c>
      <c r="BA220" s="96" t="s">
        <v>1303</v>
      </c>
      <c r="BB220" s="4" t="s">
        <v>1307</v>
      </c>
      <c r="BC220" s="4" t="s">
        <v>1308</v>
      </c>
      <c r="BD220" s="4" t="s">
        <v>127</v>
      </c>
      <c r="BE220" s="4" t="s">
        <v>127</v>
      </c>
      <c r="BF220" s="4"/>
      <c r="BG220" s="4"/>
      <c r="BH220" s="4"/>
      <c r="BI220" s="4"/>
      <c r="BJ220" s="4"/>
      <c r="BK220" s="4"/>
      <c r="BL220" s="4"/>
      <c r="BM220" s="4"/>
      <c r="BN220" s="4"/>
      <c r="BO220" s="4"/>
    </row>
    <row r="221" spans="1:67" ht="16" x14ac:dyDescent="0.4">
      <c r="A221" s="4" t="s">
        <v>1309</v>
      </c>
      <c r="B221" s="4" t="s">
        <v>1309</v>
      </c>
      <c r="C221" s="4" t="s">
        <v>127</v>
      </c>
      <c r="D221" s="4" t="s">
        <v>128</v>
      </c>
      <c r="E221" s="189">
        <v>45455</v>
      </c>
      <c r="F221" s="6">
        <f t="shared" si="13"/>
        <v>2024</v>
      </c>
      <c r="G221" s="4" t="s">
        <v>127</v>
      </c>
      <c r="H221" s="22" t="s">
        <v>1310</v>
      </c>
      <c r="I221" s="6" t="s">
        <v>1311</v>
      </c>
      <c r="J221" s="23">
        <v>8</v>
      </c>
      <c r="K221" s="116" t="s">
        <v>189</v>
      </c>
      <c r="L221" s="116" t="s">
        <v>740</v>
      </c>
      <c r="M221" s="116" t="str">
        <f>VLOOKUP(L221,'NATO Classifications'!$D$6:$E$647,2,0)</f>
        <v>Ammunition below 75mm</v>
      </c>
      <c r="N221" s="4"/>
      <c r="O221" s="81"/>
      <c r="P221" s="81"/>
      <c r="Q221" s="4"/>
      <c r="R221" s="4"/>
      <c r="S221" s="112">
        <v>105000000</v>
      </c>
      <c r="T221" s="91" t="s">
        <v>132</v>
      </c>
      <c r="U221" s="104">
        <f>_xlfn.IFNA(S221/INDEX('Exchange Rates'!$C$7:$F$14,MATCH('MAIN DATA, Orders'!F221,'Exchange Rates'!$B$7:$B$14,0),MATCH('MAIN DATA, Orders'!T221,'Exchange Rates'!$C$6:$F$6,0)), "-")</f>
        <v>105000000</v>
      </c>
      <c r="V221" s="4" t="s">
        <v>133</v>
      </c>
      <c r="W221" s="4" t="s">
        <v>127</v>
      </c>
      <c r="X221" s="4" t="s">
        <v>128</v>
      </c>
      <c r="Y221" s="24">
        <f t="shared" si="16"/>
        <v>202406</v>
      </c>
      <c r="Z221" s="115">
        <v>1</v>
      </c>
      <c r="AA221" s="115">
        <v>0</v>
      </c>
      <c r="AB221" s="115">
        <v>0</v>
      </c>
      <c r="AC221" s="115" t="s">
        <v>127</v>
      </c>
      <c r="AD221" s="115" t="s">
        <v>127</v>
      </c>
      <c r="AE221" s="115" t="s">
        <v>127</v>
      </c>
      <c r="AF221" s="115" t="s">
        <v>127</v>
      </c>
      <c r="AG221" s="4" t="s">
        <v>127</v>
      </c>
      <c r="AH221" s="4" t="s">
        <v>127</v>
      </c>
      <c r="AI221" s="4" t="s">
        <v>127</v>
      </c>
      <c r="AJ221" s="4" t="s">
        <v>127</v>
      </c>
      <c r="AK221" s="4" t="s">
        <v>127</v>
      </c>
      <c r="AL221" s="4" t="s">
        <v>127</v>
      </c>
      <c r="AM221" s="4" t="s">
        <v>127</v>
      </c>
      <c r="AN221" s="4" t="s">
        <v>127</v>
      </c>
      <c r="AO221" s="4" t="s">
        <v>127</v>
      </c>
      <c r="AP221" s="4" t="s">
        <v>127</v>
      </c>
      <c r="AQ221" s="4" t="s">
        <v>127</v>
      </c>
      <c r="AR221" s="4" t="s">
        <v>127</v>
      </c>
      <c r="AS221" s="4" t="s">
        <v>127</v>
      </c>
      <c r="AT221" s="4" t="s">
        <v>127</v>
      </c>
      <c r="AU221" s="4" t="s">
        <v>127</v>
      </c>
      <c r="AV221" s="4" t="s">
        <v>127</v>
      </c>
      <c r="AW221" s="4" t="s">
        <v>127</v>
      </c>
      <c r="AX221" s="4" t="s">
        <v>127</v>
      </c>
      <c r="AY221" s="96" t="s">
        <v>1312</v>
      </c>
      <c r="AZ221" s="4" t="s">
        <v>127</v>
      </c>
      <c r="BA221" s="4" t="s">
        <v>127</v>
      </c>
      <c r="BB221" s="4" t="s">
        <v>1313</v>
      </c>
      <c r="BC221" s="4" t="s">
        <v>127</v>
      </c>
      <c r="BD221" s="4" t="s">
        <v>127</v>
      </c>
      <c r="BE221" s="4" t="s">
        <v>127</v>
      </c>
      <c r="BF221" s="4" t="s">
        <v>200</v>
      </c>
      <c r="BG221" s="4" t="s">
        <v>200</v>
      </c>
      <c r="BH221" s="4" t="s">
        <v>200</v>
      </c>
      <c r="BI221" s="4" t="s">
        <v>200</v>
      </c>
      <c r="BJ221" s="4" t="s">
        <v>200</v>
      </c>
      <c r="BK221" s="4" t="s">
        <v>200</v>
      </c>
      <c r="BL221" s="4" t="s">
        <v>200</v>
      </c>
      <c r="BM221" s="4" t="s">
        <v>200</v>
      </c>
      <c r="BN221" s="4" t="s">
        <v>200</v>
      </c>
      <c r="BO221" s="4" t="s">
        <v>200</v>
      </c>
    </row>
    <row r="222" spans="1:67" ht="16" x14ac:dyDescent="0.4">
      <c r="A222" s="4" t="s">
        <v>1309</v>
      </c>
      <c r="B222" s="4" t="s">
        <v>1314</v>
      </c>
      <c r="C222" s="4" t="s">
        <v>127</v>
      </c>
      <c r="D222" s="4" t="s">
        <v>128</v>
      </c>
      <c r="E222" s="189">
        <v>45455</v>
      </c>
      <c r="F222" s="6">
        <f t="shared" si="13"/>
        <v>2024</v>
      </c>
      <c r="G222" s="4" t="s">
        <v>1315</v>
      </c>
      <c r="H222" s="22" t="str">
        <f>VLOOKUP($G222,'Item Classification'!B:C,2,0)</f>
        <v>Small Arms and Light Weapons (SALW) ammunition</v>
      </c>
      <c r="I222" s="6" t="str">
        <f>VLOOKUP($G222,'Item Classification'!B:D,3,0)</f>
        <v>Infantry</v>
      </c>
      <c r="J222" s="23">
        <f>VLOOKUP($G222,'Item Classification'!B:E,4,0)</f>
        <v>8</v>
      </c>
      <c r="K222" s="116" t="s">
        <v>189</v>
      </c>
      <c r="L222" s="116" t="s">
        <v>740</v>
      </c>
      <c r="M222" s="116" t="str">
        <f>VLOOKUP(L222,'NATO Classifications'!$D$6:$E$647,2,0)</f>
        <v>Ammunition below 75mm</v>
      </c>
      <c r="N222" s="4"/>
      <c r="O222" s="81"/>
      <c r="P222" s="81"/>
      <c r="Q222" s="4"/>
      <c r="R222" s="4"/>
      <c r="S222" s="4"/>
      <c r="T222" s="91" t="s">
        <v>132</v>
      </c>
      <c r="U222" s="104">
        <f>_xlfn.IFNA(S222/INDEX('Exchange Rates'!$C$7:$F$14,MATCH('MAIN DATA, Orders'!F222,'Exchange Rates'!$B$7:$B$14,0),MATCH('MAIN DATA, Orders'!T222,'Exchange Rates'!$C$6:$F$6,0)), "-")</f>
        <v>0</v>
      </c>
      <c r="V222" s="4" t="s">
        <v>133</v>
      </c>
      <c r="W222" s="4" t="s">
        <v>127</v>
      </c>
      <c r="X222" s="4" t="s">
        <v>128</v>
      </c>
      <c r="Y222" s="24">
        <f t="shared" si="16"/>
        <v>202406</v>
      </c>
      <c r="Z222" s="115">
        <v>1</v>
      </c>
      <c r="AA222" s="115">
        <v>0</v>
      </c>
      <c r="AB222" s="115">
        <v>0</v>
      </c>
      <c r="AC222" s="115" t="s">
        <v>127</v>
      </c>
      <c r="AD222" s="115" t="s">
        <v>127</v>
      </c>
      <c r="AE222" s="115" t="s">
        <v>127</v>
      </c>
      <c r="AF222" s="115" t="s">
        <v>127</v>
      </c>
      <c r="AG222" s="4" t="s">
        <v>127</v>
      </c>
      <c r="AH222" s="4" t="s">
        <v>127</v>
      </c>
      <c r="AI222" s="4" t="s">
        <v>127</v>
      </c>
      <c r="AJ222" s="4" t="s">
        <v>127</v>
      </c>
      <c r="AK222" s="4" t="s">
        <v>127</v>
      </c>
      <c r="AL222" s="4" t="s">
        <v>127</v>
      </c>
      <c r="AM222" s="4" t="s">
        <v>127</v>
      </c>
      <c r="AN222" s="4" t="s">
        <v>127</v>
      </c>
      <c r="AO222" s="4" t="s">
        <v>127</v>
      </c>
      <c r="AP222" s="4" t="s">
        <v>127</v>
      </c>
      <c r="AQ222" s="4" t="s">
        <v>127</v>
      </c>
      <c r="AR222" s="4" t="s">
        <v>127</v>
      </c>
      <c r="AS222" s="4" t="s">
        <v>127</v>
      </c>
      <c r="AT222" s="4" t="s">
        <v>127</v>
      </c>
      <c r="AU222" s="4" t="s">
        <v>127</v>
      </c>
      <c r="AV222" s="4" t="s">
        <v>127</v>
      </c>
      <c r="AW222" s="4" t="s">
        <v>127</v>
      </c>
      <c r="AX222" s="4" t="s">
        <v>127</v>
      </c>
      <c r="AY222" s="96" t="s">
        <v>1312</v>
      </c>
      <c r="AZ222" s="4" t="s">
        <v>127</v>
      </c>
      <c r="BA222" s="4" t="s">
        <v>127</v>
      </c>
      <c r="BB222" s="4" t="s">
        <v>1313</v>
      </c>
      <c r="BC222" s="4" t="s">
        <v>127</v>
      </c>
      <c r="BD222" s="4" t="s">
        <v>127</v>
      </c>
      <c r="BE222" s="4" t="s">
        <v>127</v>
      </c>
      <c r="BF222" s="4" t="s">
        <v>200</v>
      </c>
      <c r="BG222" s="4" t="s">
        <v>200</v>
      </c>
      <c r="BH222" s="4" t="s">
        <v>200</v>
      </c>
      <c r="BI222" s="4" t="s">
        <v>200</v>
      </c>
      <c r="BJ222" s="4" t="s">
        <v>200</v>
      </c>
      <c r="BK222" s="4" t="s">
        <v>200</v>
      </c>
      <c r="BL222" s="4" t="s">
        <v>200</v>
      </c>
      <c r="BM222" s="4" t="s">
        <v>200</v>
      </c>
      <c r="BN222" s="4" t="s">
        <v>200</v>
      </c>
      <c r="BO222" s="4" t="s">
        <v>200</v>
      </c>
    </row>
    <row r="223" spans="1:67" ht="16" x14ac:dyDescent="0.4">
      <c r="A223" s="4" t="s">
        <v>1309</v>
      </c>
      <c r="B223" s="4" t="s">
        <v>1316</v>
      </c>
      <c r="C223" s="4" t="s">
        <v>127</v>
      </c>
      <c r="D223" s="4" t="s">
        <v>128</v>
      </c>
      <c r="E223" s="189">
        <v>45455</v>
      </c>
      <c r="F223" s="6">
        <f t="shared" si="13"/>
        <v>2024</v>
      </c>
      <c r="G223" s="4" t="s">
        <v>1317</v>
      </c>
      <c r="H223" s="22" t="str">
        <f>VLOOKUP($G223,'Item Classification'!B:C,2,0)</f>
        <v>Small Arms and Light Weapons (SALW) ammunition</v>
      </c>
      <c r="I223" s="6" t="str">
        <f>VLOOKUP($G223,'Item Classification'!B:D,3,0)</f>
        <v>Infantry</v>
      </c>
      <c r="J223" s="23">
        <f>VLOOKUP($G223,'Item Classification'!B:E,4,0)</f>
        <v>8</v>
      </c>
      <c r="K223" s="116" t="s">
        <v>189</v>
      </c>
      <c r="L223" s="116" t="s">
        <v>740</v>
      </c>
      <c r="M223" s="116" t="str">
        <f>VLOOKUP(L223,'NATO Classifications'!$D$6:$E$647,2,0)</f>
        <v>Ammunition below 75mm</v>
      </c>
      <c r="N223" s="4"/>
      <c r="O223" s="81"/>
      <c r="P223" s="81"/>
      <c r="Q223" s="4"/>
      <c r="R223" s="4"/>
      <c r="S223" s="4"/>
      <c r="T223" s="91" t="s">
        <v>132</v>
      </c>
      <c r="U223" s="104">
        <f>_xlfn.IFNA(S223/INDEX('Exchange Rates'!$C$7:$F$14,MATCH('MAIN DATA, Orders'!F223,'Exchange Rates'!$B$7:$B$14,0),MATCH('MAIN DATA, Orders'!T223,'Exchange Rates'!$C$6:$F$6,0)), "-")</f>
        <v>0</v>
      </c>
      <c r="V223" s="4" t="s">
        <v>133</v>
      </c>
      <c r="W223" s="4" t="s">
        <v>127</v>
      </c>
      <c r="X223" s="4" t="s">
        <v>128</v>
      </c>
      <c r="Y223" s="24">
        <f t="shared" si="16"/>
        <v>202406</v>
      </c>
      <c r="Z223" s="115">
        <v>1</v>
      </c>
      <c r="AA223" s="115">
        <v>0</v>
      </c>
      <c r="AB223" s="115">
        <v>0</v>
      </c>
      <c r="AC223" s="115" t="s">
        <v>127</v>
      </c>
      <c r="AD223" s="115" t="s">
        <v>127</v>
      </c>
      <c r="AE223" s="115" t="s">
        <v>127</v>
      </c>
      <c r="AF223" s="115" t="s">
        <v>127</v>
      </c>
      <c r="AG223" s="4" t="s">
        <v>127</v>
      </c>
      <c r="AH223" s="4" t="s">
        <v>127</v>
      </c>
      <c r="AI223" s="4" t="s">
        <v>127</v>
      </c>
      <c r="AJ223" s="4" t="s">
        <v>127</v>
      </c>
      <c r="AK223" s="4" t="s">
        <v>127</v>
      </c>
      <c r="AL223" s="4" t="s">
        <v>127</v>
      </c>
      <c r="AM223" s="4" t="s">
        <v>127</v>
      </c>
      <c r="AN223" s="4" t="s">
        <v>127</v>
      </c>
      <c r="AO223" s="4" t="s">
        <v>127</v>
      </c>
      <c r="AP223" s="4" t="s">
        <v>127</v>
      </c>
      <c r="AQ223" s="4" t="s">
        <v>127</v>
      </c>
      <c r="AR223" s="4" t="s">
        <v>127</v>
      </c>
      <c r="AS223" s="4" t="s">
        <v>127</v>
      </c>
      <c r="AT223" s="4" t="s">
        <v>127</v>
      </c>
      <c r="AU223" s="4" t="s">
        <v>127</v>
      </c>
      <c r="AV223" s="4" t="s">
        <v>127</v>
      </c>
      <c r="AW223" s="4" t="s">
        <v>127</v>
      </c>
      <c r="AX223" s="4" t="s">
        <v>127</v>
      </c>
      <c r="AY223" s="96" t="s">
        <v>1312</v>
      </c>
      <c r="AZ223" s="4" t="s">
        <v>127</v>
      </c>
      <c r="BA223" s="4" t="s">
        <v>127</v>
      </c>
      <c r="BB223" s="4" t="s">
        <v>1313</v>
      </c>
      <c r="BC223" s="4" t="s">
        <v>127</v>
      </c>
      <c r="BD223" s="4" t="s">
        <v>127</v>
      </c>
      <c r="BE223" s="4" t="s">
        <v>127</v>
      </c>
      <c r="BF223" s="4" t="s">
        <v>200</v>
      </c>
      <c r="BG223" s="4" t="s">
        <v>200</v>
      </c>
      <c r="BH223" s="4" t="s">
        <v>200</v>
      </c>
      <c r="BI223" s="4" t="s">
        <v>200</v>
      </c>
      <c r="BJ223" s="4" t="s">
        <v>200</v>
      </c>
      <c r="BK223" s="4" t="s">
        <v>200</v>
      </c>
      <c r="BL223" s="4" t="s">
        <v>200</v>
      </c>
      <c r="BM223" s="4" t="s">
        <v>200</v>
      </c>
      <c r="BN223" s="4" t="s">
        <v>200</v>
      </c>
      <c r="BO223" s="4" t="s">
        <v>200</v>
      </c>
    </row>
    <row r="224" spans="1:67" ht="16" x14ac:dyDescent="0.4">
      <c r="A224" s="4" t="s">
        <v>1318</v>
      </c>
      <c r="B224" s="4" t="s">
        <v>1318</v>
      </c>
      <c r="C224" s="4" t="s">
        <v>127</v>
      </c>
      <c r="D224" s="4" t="s">
        <v>128</v>
      </c>
      <c r="E224" s="189">
        <v>45455</v>
      </c>
      <c r="F224" s="6">
        <f t="shared" si="13"/>
        <v>2024</v>
      </c>
      <c r="G224" s="4" t="s">
        <v>1319</v>
      </c>
      <c r="H224" s="22" t="str">
        <f>VLOOKUP($G224,'Item Classification'!B:C,2,0)</f>
        <v>Fighter aircraft display</v>
      </c>
      <c r="I224" s="6" t="str">
        <f>VLOOKUP($G224,'Item Classification'!B:D,3,0)</f>
        <v>Aircraft</v>
      </c>
      <c r="J224" s="23">
        <f>VLOOKUP($G224,'Item Classification'!B:E,4,0)</f>
        <v>11</v>
      </c>
      <c r="K224" s="116" t="s">
        <v>580</v>
      </c>
      <c r="L224" s="116" t="s">
        <v>609</v>
      </c>
      <c r="M224" s="116" t="str">
        <f>VLOOKUP(L224,'NATO Classifications'!$D$6:$E$647,2,0)</f>
        <v>Aircraft Gunnery Fire Control Components</v>
      </c>
      <c r="N224" s="4">
        <v>45</v>
      </c>
      <c r="O224" s="81">
        <f t="shared" si="14"/>
        <v>1466666.6666666667</v>
      </c>
      <c r="P224" s="81">
        <f t="shared" si="15"/>
        <v>1466666.6666666667</v>
      </c>
      <c r="Q224" s="4">
        <v>2026</v>
      </c>
      <c r="R224" s="4"/>
      <c r="S224" s="112">
        <v>66000000</v>
      </c>
      <c r="T224" s="91" t="s">
        <v>132</v>
      </c>
      <c r="U224" s="104">
        <f>_xlfn.IFNA(S224/INDEX('Exchange Rates'!$C$7:$F$14,MATCH('MAIN DATA, Orders'!F224,'Exchange Rates'!$B$7:$B$14,0),MATCH('MAIN DATA, Orders'!T224,'Exchange Rates'!$C$6:$F$6,0)), "-")</f>
        <v>66000000</v>
      </c>
      <c r="V224" s="4" t="s">
        <v>682</v>
      </c>
      <c r="W224" s="4" t="s">
        <v>133</v>
      </c>
      <c r="X224" s="4" t="s">
        <v>128</v>
      </c>
      <c r="Y224" s="24">
        <f t="shared" si="16"/>
        <v>202406</v>
      </c>
      <c r="Z224" s="115">
        <v>0</v>
      </c>
      <c r="AA224" s="115">
        <v>0</v>
      </c>
      <c r="AB224" s="115">
        <v>0</v>
      </c>
      <c r="AC224" s="115">
        <v>1</v>
      </c>
      <c r="AD224" s="115">
        <v>1</v>
      </c>
      <c r="AE224" s="115">
        <v>0</v>
      </c>
      <c r="AF224" s="115">
        <v>1</v>
      </c>
      <c r="AG224" s="4" t="s">
        <v>349</v>
      </c>
      <c r="AH224" s="4" t="s">
        <v>128</v>
      </c>
      <c r="AI224" s="4" t="s">
        <v>127</v>
      </c>
      <c r="AJ224" s="4" t="s">
        <v>127</v>
      </c>
      <c r="AK224" s="4" t="s">
        <v>127</v>
      </c>
      <c r="AL224" s="4" t="s">
        <v>127</v>
      </c>
      <c r="AM224" s="4" t="s">
        <v>127</v>
      </c>
      <c r="AN224" s="4" t="s">
        <v>238</v>
      </c>
      <c r="AO224" s="4" t="s">
        <v>197</v>
      </c>
      <c r="AP224" s="4" t="s">
        <v>127</v>
      </c>
      <c r="AQ224" s="4" t="s">
        <v>127</v>
      </c>
      <c r="AR224" s="4" t="s">
        <v>127</v>
      </c>
      <c r="AS224" s="4" t="s">
        <v>127</v>
      </c>
      <c r="AT224" s="4" t="s">
        <v>127</v>
      </c>
      <c r="AU224" s="4" t="s">
        <v>127</v>
      </c>
      <c r="AV224" s="4" t="s">
        <v>127</v>
      </c>
      <c r="AW224" s="4" t="s">
        <v>127</v>
      </c>
      <c r="AX224" s="4" t="s">
        <v>127</v>
      </c>
      <c r="AY224" s="96" t="s">
        <v>1312</v>
      </c>
      <c r="AZ224" s="96" t="s">
        <v>1320</v>
      </c>
      <c r="BA224" s="4" t="s">
        <v>127</v>
      </c>
      <c r="BB224" s="4" t="s">
        <v>1321</v>
      </c>
      <c r="BC224" s="4" t="s">
        <v>1322</v>
      </c>
      <c r="BD224" s="4" t="s">
        <v>127</v>
      </c>
      <c r="BE224" s="4" t="s">
        <v>127</v>
      </c>
      <c r="BF224" s="4"/>
      <c r="BG224" s="4"/>
      <c r="BH224" s="4"/>
      <c r="BI224" s="4"/>
      <c r="BJ224" s="4"/>
      <c r="BK224" s="4"/>
      <c r="BL224" s="4"/>
      <c r="BM224" s="4"/>
      <c r="BN224" s="4"/>
      <c r="BO224" s="4"/>
    </row>
    <row r="225" spans="1:67" ht="16" x14ac:dyDescent="0.4">
      <c r="A225" s="4" t="s">
        <v>1323</v>
      </c>
      <c r="B225" s="4" t="s">
        <v>1323</v>
      </c>
      <c r="C225" s="4" t="s">
        <v>127</v>
      </c>
      <c r="D225" s="4" t="s">
        <v>128</v>
      </c>
      <c r="E225" s="189">
        <v>45469</v>
      </c>
      <c r="F225" s="6">
        <f t="shared" si="13"/>
        <v>2024</v>
      </c>
      <c r="G225" s="4" t="s">
        <v>1324</v>
      </c>
      <c r="H225" s="22" t="str">
        <f>VLOOKUP($G225,'Item Classification'!B:C,2,0)</f>
        <v>Communication and digitalisation</v>
      </c>
      <c r="I225" s="6" t="str">
        <f>VLOOKUP($G225,'Item Classification'!B:D,3,0)</f>
        <v>Modernisation</v>
      </c>
      <c r="J225" s="23">
        <f>VLOOKUP($G225,'Item Classification'!B:E,4,0)</f>
        <v>13</v>
      </c>
      <c r="K225" s="116" t="s">
        <v>158</v>
      </c>
      <c r="L225" s="116" t="s">
        <v>567</v>
      </c>
      <c r="M225" s="116" t="str">
        <f>VLOOKUP(L225,'NATO Classifications'!$D$6:$E$647,2,0)</f>
        <v>Communication, Detection, and Coherent Radiation Equipment (other)</v>
      </c>
      <c r="N225" s="4"/>
      <c r="O225" s="81"/>
      <c r="P225" s="81"/>
      <c r="Q225" s="4">
        <v>2027</v>
      </c>
      <c r="R225" s="4"/>
      <c r="S225" s="112">
        <v>2200000000</v>
      </c>
      <c r="T225" s="91" t="s">
        <v>132</v>
      </c>
      <c r="U225" s="104">
        <f>_xlfn.IFNA(S225/INDEX('Exchange Rates'!$C$7:$F$14,MATCH('MAIN DATA, Orders'!F225,'Exchange Rates'!$B$7:$B$14,0),MATCH('MAIN DATA, Orders'!T225,'Exchange Rates'!$C$6:$F$6,0)), "-")</f>
        <v>2200000000</v>
      </c>
      <c r="V225" s="4" t="s">
        <v>682</v>
      </c>
      <c r="W225" s="4" t="s">
        <v>133</v>
      </c>
      <c r="X225" s="4" t="s">
        <v>128</v>
      </c>
      <c r="Y225" s="24">
        <f t="shared" si="16"/>
        <v>202406</v>
      </c>
      <c r="Z225" s="115">
        <v>0</v>
      </c>
      <c r="AA225" s="115">
        <v>0</v>
      </c>
      <c r="AB225" s="115">
        <v>0</v>
      </c>
      <c r="AC225" s="115">
        <v>1</v>
      </c>
      <c r="AD225" s="115">
        <v>0</v>
      </c>
      <c r="AE225" s="115">
        <v>0</v>
      </c>
      <c r="AF225" s="115">
        <v>0</v>
      </c>
      <c r="AG225" s="4" t="s">
        <v>136</v>
      </c>
      <c r="AH225" s="4" t="s">
        <v>128</v>
      </c>
      <c r="AI225" s="4" t="s">
        <v>127</v>
      </c>
      <c r="AJ225" s="4" t="s">
        <v>127</v>
      </c>
      <c r="AK225" s="4" t="s">
        <v>127</v>
      </c>
      <c r="AL225" s="4" t="s">
        <v>127</v>
      </c>
      <c r="AM225" s="4" t="s">
        <v>127</v>
      </c>
      <c r="AN225" s="4" t="s">
        <v>127</v>
      </c>
      <c r="AO225" s="4" t="s">
        <v>127</v>
      </c>
      <c r="AP225" s="4" t="s">
        <v>127</v>
      </c>
      <c r="AQ225" s="4" t="s">
        <v>127</v>
      </c>
      <c r="AR225" s="4" t="s">
        <v>127</v>
      </c>
      <c r="AS225" s="4" t="s">
        <v>127</v>
      </c>
      <c r="AT225" s="4" t="s">
        <v>127</v>
      </c>
      <c r="AU225" s="4" t="s">
        <v>127</v>
      </c>
      <c r="AV225" s="4" t="s">
        <v>127</v>
      </c>
      <c r="AW225" s="4" t="s">
        <v>127</v>
      </c>
      <c r="AX225" s="4" t="s">
        <v>127</v>
      </c>
      <c r="AY225" s="96" t="s">
        <v>1325</v>
      </c>
      <c r="AZ225" s="96" t="s">
        <v>1326</v>
      </c>
      <c r="BA225" s="96" t="s">
        <v>1327</v>
      </c>
      <c r="BB225" s="4" t="s">
        <v>1328</v>
      </c>
      <c r="BC225" s="4" t="s">
        <v>1329</v>
      </c>
      <c r="BD225" s="4" t="s">
        <v>127</v>
      </c>
      <c r="BE225" s="4" t="s">
        <v>127</v>
      </c>
      <c r="BF225" s="4"/>
      <c r="BG225" s="4"/>
      <c r="BH225" s="4"/>
      <c r="BI225" s="4"/>
      <c r="BJ225" s="4"/>
      <c r="BK225" s="4"/>
      <c r="BL225" s="4"/>
      <c r="BM225" s="4"/>
      <c r="BN225" s="4"/>
      <c r="BO225" s="4"/>
    </row>
    <row r="226" spans="1:67" ht="16" x14ac:dyDescent="0.4">
      <c r="A226" s="4" t="s">
        <v>1330</v>
      </c>
      <c r="B226" s="4" t="s">
        <v>1330</v>
      </c>
      <c r="C226" s="4" t="s">
        <v>127</v>
      </c>
      <c r="D226" s="4" t="s">
        <v>128</v>
      </c>
      <c r="E226" s="189">
        <v>45469</v>
      </c>
      <c r="F226" s="6">
        <f t="shared" si="13"/>
        <v>2024</v>
      </c>
      <c r="G226" s="4" t="s">
        <v>1331</v>
      </c>
      <c r="H226" s="22" t="str">
        <f>VLOOKUP($G226,'Item Classification'!B:C,2,0)</f>
        <v>Non-combat military vehicle</v>
      </c>
      <c r="I226" s="6" t="str">
        <f>VLOOKUP($G226,'Item Classification'!B:D,3,0)</f>
        <v>Other</v>
      </c>
      <c r="J226" s="23">
        <f>VLOOKUP($G226,'Item Classification'!B:E,4,0)</f>
        <v>16</v>
      </c>
      <c r="K226" s="116" t="s">
        <v>274</v>
      </c>
      <c r="L226" s="116" t="s">
        <v>275</v>
      </c>
      <c r="M226" s="116" t="str">
        <f>VLOOKUP(L226,'NATO Classifications'!$D$6:$E$647,2,0)</f>
        <v>Trucks and Truck Tractors, Wheeled</v>
      </c>
      <c r="N226" s="4">
        <v>610</v>
      </c>
      <c r="O226" s="81">
        <f t="shared" si="14"/>
        <v>513114.75409836066</v>
      </c>
      <c r="P226" s="81">
        <f t="shared" si="15"/>
        <v>513114.75409836066</v>
      </c>
      <c r="Q226" s="4">
        <v>2024</v>
      </c>
      <c r="R226" s="4"/>
      <c r="S226" s="112">
        <v>313000000</v>
      </c>
      <c r="T226" s="91" t="s">
        <v>132</v>
      </c>
      <c r="U226" s="104">
        <f>_xlfn.IFNA(S226/INDEX('Exchange Rates'!$C$7:$F$14,MATCH('MAIN DATA, Orders'!F226,'Exchange Rates'!$B$7:$B$14,0),MATCH('MAIN DATA, Orders'!T226,'Exchange Rates'!$C$6:$F$6,0)), "-")</f>
        <v>313000000</v>
      </c>
      <c r="V226" s="4" t="s">
        <v>682</v>
      </c>
      <c r="W226" s="4" t="s">
        <v>133</v>
      </c>
      <c r="X226" s="4" t="s">
        <v>128</v>
      </c>
      <c r="Y226" s="24">
        <f t="shared" si="16"/>
        <v>202406</v>
      </c>
      <c r="Z226" s="115">
        <v>1</v>
      </c>
      <c r="AA226" s="115">
        <v>0</v>
      </c>
      <c r="AB226" s="115">
        <v>0</v>
      </c>
      <c r="AC226" s="115">
        <v>1</v>
      </c>
      <c r="AD226" s="115">
        <v>0</v>
      </c>
      <c r="AE226" s="115">
        <v>0</v>
      </c>
      <c r="AF226" s="115">
        <v>0</v>
      </c>
      <c r="AG226" s="4" t="s">
        <v>256</v>
      </c>
      <c r="AH226" s="4" t="s">
        <v>128</v>
      </c>
      <c r="AI226" s="4" t="s">
        <v>127</v>
      </c>
      <c r="AJ226" s="4" t="s">
        <v>127</v>
      </c>
      <c r="AK226" s="4" t="s">
        <v>127</v>
      </c>
      <c r="AL226" s="4" t="s">
        <v>127</v>
      </c>
      <c r="AM226" s="4" t="s">
        <v>127</v>
      </c>
      <c r="AN226" s="4" t="s">
        <v>127</v>
      </c>
      <c r="AO226" s="4" t="s">
        <v>127</v>
      </c>
      <c r="AP226" s="4" t="s">
        <v>127</v>
      </c>
      <c r="AQ226" s="4" t="s">
        <v>127</v>
      </c>
      <c r="AR226" s="4" t="s">
        <v>127</v>
      </c>
      <c r="AS226" s="4" t="s">
        <v>127</v>
      </c>
      <c r="AT226" s="4" t="s">
        <v>127</v>
      </c>
      <c r="AU226" s="4" t="s">
        <v>127</v>
      </c>
      <c r="AV226" s="4" t="s">
        <v>127</v>
      </c>
      <c r="AW226" s="4" t="s">
        <v>127</v>
      </c>
      <c r="AX226" s="4" t="s">
        <v>127</v>
      </c>
      <c r="AY226" s="96" t="s">
        <v>1332</v>
      </c>
      <c r="AZ226" s="96" t="s">
        <v>1333</v>
      </c>
      <c r="BA226" s="96" t="s">
        <v>1334</v>
      </c>
      <c r="BB226" s="4" t="s">
        <v>1335</v>
      </c>
      <c r="BC226" s="4" t="s">
        <v>1336</v>
      </c>
      <c r="BD226" s="4" t="s">
        <v>127</v>
      </c>
      <c r="BE226" s="4" t="s">
        <v>127</v>
      </c>
      <c r="BF226" s="4"/>
      <c r="BG226" s="4"/>
      <c r="BH226" s="4"/>
      <c r="BI226" s="4"/>
      <c r="BJ226" s="4"/>
      <c r="BK226" s="4"/>
      <c r="BL226" s="4"/>
      <c r="BM226" s="4"/>
      <c r="BN226" s="4"/>
      <c r="BO226" s="4"/>
    </row>
    <row r="227" spans="1:67" ht="16" x14ac:dyDescent="0.4">
      <c r="A227" s="4" t="s">
        <v>1337</v>
      </c>
      <c r="B227" s="4" t="s">
        <v>1337</v>
      </c>
      <c r="C227" s="4" t="s">
        <v>127</v>
      </c>
      <c r="D227" s="4" t="s">
        <v>128</v>
      </c>
      <c r="E227" s="189">
        <v>45469</v>
      </c>
      <c r="F227" s="6">
        <f t="shared" si="13"/>
        <v>2024</v>
      </c>
      <c r="G227" s="4" t="s">
        <v>1338</v>
      </c>
      <c r="H227" s="22" t="str">
        <f>VLOOKUP($G227,'Item Classification'!B:C,2,0)</f>
        <v>Non-combat military vehicle</v>
      </c>
      <c r="I227" s="6" t="str">
        <f>VLOOKUP($G227,'Item Classification'!B:D,3,0)</f>
        <v>Other</v>
      </c>
      <c r="J227" s="23">
        <f>VLOOKUP($G227,'Item Classification'!B:E,4,0)</f>
        <v>16</v>
      </c>
      <c r="K227" s="116" t="s">
        <v>925</v>
      </c>
      <c r="L227" s="116" t="s">
        <v>926</v>
      </c>
      <c r="M227" s="116" t="str">
        <f>VLOOKUP(L227,'NATO Classifications'!$D$6:$E$647,2,0)</f>
        <v>Fire Fighting Equipment</v>
      </c>
      <c r="N227" s="4">
        <v>60</v>
      </c>
      <c r="O227" s="81">
        <f t="shared" si="14"/>
        <v>1400000</v>
      </c>
      <c r="P227" s="81">
        <f t="shared" si="15"/>
        <v>1400000</v>
      </c>
      <c r="Q227" s="4">
        <v>2026</v>
      </c>
      <c r="R227" s="4">
        <v>2029</v>
      </c>
      <c r="S227" s="112">
        <v>84000000</v>
      </c>
      <c r="T227" s="91" t="s">
        <v>132</v>
      </c>
      <c r="U227" s="104">
        <f>_xlfn.IFNA(S227/INDEX('Exchange Rates'!$C$7:$F$14,MATCH('MAIN DATA, Orders'!F227,'Exchange Rates'!$B$7:$B$14,0),MATCH('MAIN DATA, Orders'!T227,'Exchange Rates'!$C$6:$F$6,0)), "-")</f>
        <v>84000000</v>
      </c>
      <c r="V227" s="4" t="s">
        <v>682</v>
      </c>
      <c r="W227" s="4" t="s">
        <v>133</v>
      </c>
      <c r="X227" s="4" t="s">
        <v>128</v>
      </c>
      <c r="Y227" s="24">
        <f t="shared" si="16"/>
        <v>202406</v>
      </c>
      <c r="Z227" s="115">
        <v>1</v>
      </c>
      <c r="AA227" s="115">
        <v>0</v>
      </c>
      <c r="AB227" s="115">
        <v>0</v>
      </c>
      <c r="AC227" s="115" t="s">
        <v>127</v>
      </c>
      <c r="AD227" s="115" t="s">
        <v>127</v>
      </c>
      <c r="AE227" s="115" t="s">
        <v>127</v>
      </c>
      <c r="AF227" s="115" t="s">
        <v>127</v>
      </c>
      <c r="AG227" s="4" t="s">
        <v>127</v>
      </c>
      <c r="AH227" s="4" t="s">
        <v>127</v>
      </c>
      <c r="AI227" s="4" t="s">
        <v>127</v>
      </c>
      <c r="AJ227" s="4" t="s">
        <v>127</v>
      </c>
      <c r="AK227" s="4" t="s">
        <v>127</v>
      </c>
      <c r="AL227" s="4" t="s">
        <v>127</v>
      </c>
      <c r="AM227" s="4" t="s">
        <v>127</v>
      </c>
      <c r="AN227" s="4" t="s">
        <v>127</v>
      </c>
      <c r="AO227" s="4" t="s">
        <v>127</v>
      </c>
      <c r="AP227" s="4" t="s">
        <v>127</v>
      </c>
      <c r="AQ227" s="4" t="s">
        <v>127</v>
      </c>
      <c r="AR227" s="4" t="s">
        <v>127</v>
      </c>
      <c r="AS227" s="4" t="s">
        <v>127</v>
      </c>
      <c r="AT227" s="4" t="s">
        <v>127</v>
      </c>
      <c r="AU227" s="4" t="s">
        <v>127</v>
      </c>
      <c r="AV227" s="4" t="s">
        <v>127</v>
      </c>
      <c r="AW227" s="4" t="s">
        <v>127</v>
      </c>
      <c r="AX227" s="4" t="s">
        <v>127</v>
      </c>
      <c r="AY227" s="96" t="s">
        <v>1332</v>
      </c>
      <c r="AZ227" s="96" t="s">
        <v>1333</v>
      </c>
      <c r="BA227" s="4" t="s">
        <v>127</v>
      </c>
      <c r="BB227" s="4" t="s">
        <v>1339</v>
      </c>
      <c r="BC227" s="123" t="s">
        <v>1340</v>
      </c>
      <c r="BD227" s="4" t="s">
        <v>127</v>
      </c>
      <c r="BE227" s="4" t="s">
        <v>127</v>
      </c>
      <c r="BF227" s="4"/>
      <c r="BG227" s="4"/>
      <c r="BH227" s="4"/>
      <c r="BI227" s="4"/>
      <c r="BJ227" s="4"/>
      <c r="BK227" s="4"/>
      <c r="BL227" s="4"/>
      <c r="BM227" s="4"/>
      <c r="BN227" s="4"/>
      <c r="BO227" s="4"/>
    </row>
    <row r="228" spans="1:67" ht="16" x14ac:dyDescent="0.4">
      <c r="A228" s="4" t="s">
        <v>1341</v>
      </c>
      <c r="B228" s="4" t="s">
        <v>1341</v>
      </c>
      <c r="C228" s="4" t="s">
        <v>127</v>
      </c>
      <c r="D228" s="4" t="s">
        <v>128</v>
      </c>
      <c r="E228" s="189">
        <v>45469</v>
      </c>
      <c r="F228" s="6">
        <f t="shared" si="13"/>
        <v>2024</v>
      </c>
      <c r="G228" s="4" t="s">
        <v>1342</v>
      </c>
      <c r="H228" s="22" t="str">
        <f>VLOOKUP($G228,'Item Classification'!B:C,2,0)</f>
        <v>Light armoured reconnaissance vehicle equipment</v>
      </c>
      <c r="I228" s="6" t="str">
        <f>VLOOKUP($G228,'Item Classification'!B:D,3,0)</f>
        <v>Armoured vehicle</v>
      </c>
      <c r="J228" s="23">
        <f>VLOOKUP($G228,'Item Classification'!B:E,4,0)</f>
        <v>2</v>
      </c>
      <c r="K228" s="116" t="s">
        <v>158</v>
      </c>
      <c r="L228" s="116" t="s">
        <v>369</v>
      </c>
      <c r="M228" s="116" t="str">
        <f>VLOOKUP(L228,'NATO Classifications'!$D$6:$E$647,2,0)</f>
        <v>Communication, Detection, and Coherent Radiation Equipment (other)</v>
      </c>
      <c r="N228" s="4"/>
      <c r="O228" s="81"/>
      <c r="P228" s="81"/>
      <c r="Q228" s="4">
        <v>2027</v>
      </c>
      <c r="R228" s="4">
        <v>2029</v>
      </c>
      <c r="S228" s="112">
        <v>86000000</v>
      </c>
      <c r="T228" s="91" t="s">
        <v>132</v>
      </c>
      <c r="U228" s="104">
        <f>_xlfn.IFNA(S228/INDEX('Exchange Rates'!$C$7:$F$14,MATCH('MAIN DATA, Orders'!F228,'Exchange Rates'!$B$7:$B$14,0),MATCH('MAIN DATA, Orders'!T228,'Exchange Rates'!$C$6:$F$6,0)), "-")</f>
        <v>86000000</v>
      </c>
      <c r="V228" s="4" t="s">
        <v>682</v>
      </c>
      <c r="W228" s="4" t="s">
        <v>133</v>
      </c>
      <c r="X228" s="4" t="s">
        <v>128</v>
      </c>
      <c r="Y228" s="24">
        <f t="shared" si="16"/>
        <v>202406</v>
      </c>
      <c r="Z228" s="115">
        <v>0</v>
      </c>
      <c r="AA228" s="115">
        <v>0</v>
      </c>
      <c r="AB228" s="115">
        <v>0</v>
      </c>
      <c r="AC228" s="115" t="s">
        <v>127</v>
      </c>
      <c r="AD228" s="115" t="s">
        <v>127</v>
      </c>
      <c r="AE228" s="115" t="s">
        <v>127</v>
      </c>
      <c r="AF228" s="115" t="s">
        <v>127</v>
      </c>
      <c r="AG228" s="4" t="s">
        <v>127</v>
      </c>
      <c r="AH228" s="4" t="s">
        <v>127</v>
      </c>
      <c r="AI228" s="4" t="s">
        <v>127</v>
      </c>
      <c r="AJ228" s="4" t="s">
        <v>127</v>
      </c>
      <c r="AK228" s="4" t="s">
        <v>127</v>
      </c>
      <c r="AL228" s="4" t="s">
        <v>127</v>
      </c>
      <c r="AM228" s="4" t="s">
        <v>127</v>
      </c>
      <c r="AN228" s="4" t="s">
        <v>127</v>
      </c>
      <c r="AO228" s="4" t="s">
        <v>127</v>
      </c>
      <c r="AP228" s="4" t="s">
        <v>127</v>
      </c>
      <c r="AQ228" s="4" t="s">
        <v>127</v>
      </c>
      <c r="AR228" s="4" t="s">
        <v>127</v>
      </c>
      <c r="AS228" s="4" t="s">
        <v>127</v>
      </c>
      <c r="AT228" s="4" t="s">
        <v>127</v>
      </c>
      <c r="AU228" s="4" t="s">
        <v>127</v>
      </c>
      <c r="AV228" s="4" t="s">
        <v>127</v>
      </c>
      <c r="AW228" s="4" t="s">
        <v>127</v>
      </c>
      <c r="AX228" s="4" t="s">
        <v>127</v>
      </c>
      <c r="AY228" s="96" t="s">
        <v>1332</v>
      </c>
      <c r="AZ228" s="96" t="s">
        <v>1333</v>
      </c>
      <c r="BA228" s="4" t="s">
        <v>127</v>
      </c>
      <c r="BB228" s="4" t="s">
        <v>1343</v>
      </c>
      <c r="BC228" s="4" t="s">
        <v>1344</v>
      </c>
      <c r="BD228" s="4" t="s">
        <v>127</v>
      </c>
      <c r="BE228" s="4" t="s">
        <v>127</v>
      </c>
      <c r="BF228" s="4"/>
      <c r="BG228" s="4"/>
      <c r="BH228" s="4"/>
      <c r="BI228" s="4"/>
      <c r="BJ228" s="4"/>
      <c r="BK228" s="4"/>
      <c r="BL228" s="4"/>
      <c r="BM228" s="4"/>
      <c r="BN228" s="4"/>
      <c r="BO228" s="4"/>
    </row>
    <row r="229" spans="1:67" ht="16" x14ac:dyDescent="0.4">
      <c r="A229" s="4" t="s">
        <v>1345</v>
      </c>
      <c r="B229" s="4" t="s">
        <v>1345</v>
      </c>
      <c r="C229" s="4" t="s">
        <v>528</v>
      </c>
      <c r="D229" s="4" t="s">
        <v>128</v>
      </c>
      <c r="E229" s="189">
        <v>45469</v>
      </c>
      <c r="F229" s="6">
        <f t="shared" si="13"/>
        <v>2024</v>
      </c>
      <c r="G229" s="4" t="s">
        <v>1346</v>
      </c>
      <c r="H229" s="22" t="str">
        <f>VLOOKUP($G229,'Item Classification'!B:C,2,0)</f>
        <v>Frigate modernisation</v>
      </c>
      <c r="I229" s="6" t="str">
        <f>VLOOKUP($G229,'Item Classification'!B:D,3,0)</f>
        <v>Naval</v>
      </c>
      <c r="J229" s="23">
        <f>VLOOKUP($G229,'Item Classification'!B:E,4,0)</f>
        <v>12</v>
      </c>
      <c r="K229" s="116" t="s">
        <v>158</v>
      </c>
      <c r="L229" s="116" t="s">
        <v>379</v>
      </c>
      <c r="M229" s="116" t="str">
        <f>VLOOKUP(L229,'NATO Classifications'!$D$6:$E$647,2,0)</f>
        <v>Communication, Detection, and Coherent Radiation Equipment (other)</v>
      </c>
      <c r="N229" s="4">
        <v>4</v>
      </c>
      <c r="O229" s="81">
        <f t="shared" si="14"/>
        <v>25750000</v>
      </c>
      <c r="P229" s="81">
        <f t="shared" si="15"/>
        <v>25750000</v>
      </c>
      <c r="Q229" s="4"/>
      <c r="R229" s="4"/>
      <c r="S229" s="112">
        <v>103000000</v>
      </c>
      <c r="T229" s="91" t="s">
        <v>132</v>
      </c>
      <c r="U229" s="104">
        <f>_xlfn.IFNA(S229/INDEX('Exchange Rates'!$C$7:$F$14,MATCH('MAIN DATA, Orders'!F229,'Exchange Rates'!$B$7:$B$14,0),MATCH('MAIN DATA, Orders'!T229,'Exchange Rates'!$C$6:$F$6,0)), "-")</f>
        <v>103000000</v>
      </c>
      <c r="V229" s="4" t="s">
        <v>682</v>
      </c>
      <c r="W229" s="4" t="s">
        <v>133</v>
      </c>
      <c r="X229" s="4" t="s">
        <v>128</v>
      </c>
      <c r="Y229" s="24">
        <f t="shared" si="16"/>
        <v>202406</v>
      </c>
      <c r="Z229" s="115">
        <v>0</v>
      </c>
      <c r="AA229" s="115">
        <v>0</v>
      </c>
      <c r="AB229" s="115">
        <v>0</v>
      </c>
      <c r="AC229" s="115">
        <v>0</v>
      </c>
      <c r="AD229" s="115">
        <v>0</v>
      </c>
      <c r="AE229" s="115">
        <v>0</v>
      </c>
      <c r="AF229" s="115">
        <v>0</v>
      </c>
      <c r="AG229" s="4" t="s">
        <v>748</v>
      </c>
      <c r="AH229" s="4" t="s">
        <v>135</v>
      </c>
      <c r="AI229" s="4" t="s">
        <v>127</v>
      </c>
      <c r="AJ229" s="4" t="s">
        <v>127</v>
      </c>
      <c r="AK229" s="4" t="s">
        <v>127</v>
      </c>
      <c r="AL229" s="4" t="s">
        <v>127</v>
      </c>
      <c r="AM229" s="4" t="s">
        <v>127</v>
      </c>
      <c r="AN229" s="4" t="s">
        <v>127</v>
      </c>
      <c r="AO229" s="4" t="s">
        <v>127</v>
      </c>
      <c r="AP229" s="4" t="s">
        <v>127</v>
      </c>
      <c r="AQ229" s="4" t="s">
        <v>127</v>
      </c>
      <c r="AR229" s="4" t="s">
        <v>127</v>
      </c>
      <c r="AS229" s="4" t="s">
        <v>127</v>
      </c>
      <c r="AT229" s="4" t="s">
        <v>127</v>
      </c>
      <c r="AU229" s="4" t="s">
        <v>127</v>
      </c>
      <c r="AV229" s="4" t="s">
        <v>127</v>
      </c>
      <c r="AW229" s="4" t="s">
        <v>127</v>
      </c>
      <c r="AX229" s="4" t="s">
        <v>127</v>
      </c>
      <c r="AY229" s="96" t="s">
        <v>1332</v>
      </c>
      <c r="AZ229" s="96" t="s">
        <v>1333</v>
      </c>
      <c r="BA229" s="96" t="s">
        <v>1326</v>
      </c>
      <c r="BB229" s="4" t="s">
        <v>1347</v>
      </c>
      <c r="BC229" s="4" t="s">
        <v>1348</v>
      </c>
      <c r="BD229" s="4" t="s">
        <v>1349</v>
      </c>
      <c r="BE229" s="4" t="s">
        <v>127</v>
      </c>
      <c r="BF229" s="4"/>
      <c r="BG229" s="4"/>
      <c r="BH229" s="4"/>
      <c r="BI229" s="4"/>
      <c r="BJ229" s="4"/>
      <c r="BK229" s="4"/>
      <c r="BL229" s="4"/>
      <c r="BM229" s="4"/>
      <c r="BN229" s="4"/>
      <c r="BO229" s="4"/>
    </row>
    <row r="230" spans="1:67" ht="16" x14ac:dyDescent="0.4">
      <c r="A230" s="4" t="s">
        <v>1350</v>
      </c>
      <c r="B230" s="4" t="s">
        <v>1350</v>
      </c>
      <c r="C230" s="4" t="s">
        <v>127</v>
      </c>
      <c r="D230" s="4" t="s">
        <v>128</v>
      </c>
      <c r="E230" s="189">
        <v>45469</v>
      </c>
      <c r="F230" s="6">
        <f t="shared" si="13"/>
        <v>2024</v>
      </c>
      <c r="G230" s="4" t="s">
        <v>1351</v>
      </c>
      <c r="H230" s="22" t="str">
        <f>VLOOKUP($G230,'Item Classification'!B:C,2,0)</f>
        <v>Supersonic anti-ship missile development</v>
      </c>
      <c r="I230" s="6" t="str">
        <f>VLOOKUP($G230,'Item Classification'!B:D,3,0)</f>
        <v>Development - Missile (Naval)</v>
      </c>
      <c r="J230" s="23">
        <f>VLOOKUP($G230,'Item Classification'!B:E,4,0)</f>
        <v>15</v>
      </c>
      <c r="K230" s="116" t="s">
        <v>211</v>
      </c>
      <c r="L230" s="116" t="s">
        <v>211</v>
      </c>
      <c r="M230" s="116" t="str">
        <f>VLOOKUP(L230,'NATO Classifications'!$D$6:$E$647,2,0)</f>
        <v>Guided Missiles</v>
      </c>
      <c r="N230" s="4"/>
      <c r="O230" s="81"/>
      <c r="P230" s="81"/>
      <c r="Q230" s="4"/>
      <c r="R230" s="4"/>
      <c r="S230" s="112">
        <v>224000000</v>
      </c>
      <c r="T230" s="91" t="s">
        <v>132</v>
      </c>
      <c r="U230" s="104">
        <f>_xlfn.IFNA(S230/INDEX('Exchange Rates'!$C$7:$F$14,MATCH('MAIN DATA, Orders'!F230,'Exchange Rates'!$B$7:$B$14,0),MATCH('MAIN DATA, Orders'!T230,'Exchange Rates'!$C$6:$F$6,0)), "-")</f>
        <v>224000000</v>
      </c>
      <c r="V230" s="4" t="s">
        <v>682</v>
      </c>
      <c r="W230" s="4" t="s">
        <v>133</v>
      </c>
      <c r="X230" s="4" t="s">
        <v>128</v>
      </c>
      <c r="Y230" s="24">
        <f t="shared" si="16"/>
        <v>202406</v>
      </c>
      <c r="Z230" s="115">
        <v>0</v>
      </c>
      <c r="AA230" s="115">
        <v>0</v>
      </c>
      <c r="AB230" s="115">
        <v>0</v>
      </c>
      <c r="AC230" s="115">
        <v>1</v>
      </c>
      <c r="AD230" s="115">
        <v>1</v>
      </c>
      <c r="AE230" s="115">
        <v>0</v>
      </c>
      <c r="AF230" s="115">
        <v>1</v>
      </c>
      <c r="AG230" s="4" t="s">
        <v>1352</v>
      </c>
      <c r="AH230" s="4" t="s">
        <v>468</v>
      </c>
      <c r="AI230" s="4" t="s">
        <v>127</v>
      </c>
      <c r="AJ230" s="4" t="s">
        <v>191</v>
      </c>
      <c r="AK230" s="4" t="s">
        <v>1353</v>
      </c>
      <c r="AL230" s="4" t="s">
        <v>127</v>
      </c>
      <c r="AM230" s="4" t="s">
        <v>127</v>
      </c>
      <c r="AN230" s="4" t="s">
        <v>128</v>
      </c>
      <c r="AO230" s="4" t="s">
        <v>127</v>
      </c>
      <c r="AP230" s="4" t="s">
        <v>127</v>
      </c>
      <c r="AQ230" s="4" t="s">
        <v>127</v>
      </c>
      <c r="AR230" s="4" t="s">
        <v>127</v>
      </c>
      <c r="AS230" s="4" t="s">
        <v>127</v>
      </c>
      <c r="AT230" s="4" t="s">
        <v>127</v>
      </c>
      <c r="AU230" s="4" t="s">
        <v>127</v>
      </c>
      <c r="AV230" s="4" t="s">
        <v>127</v>
      </c>
      <c r="AW230" s="4" t="s">
        <v>127</v>
      </c>
      <c r="AX230" s="4" t="s">
        <v>127</v>
      </c>
      <c r="AY230" s="96" t="s">
        <v>1354</v>
      </c>
      <c r="AZ230" s="96" t="s">
        <v>1333</v>
      </c>
      <c r="BA230" s="96" t="s">
        <v>1355</v>
      </c>
      <c r="BB230" s="4" t="s">
        <v>1356</v>
      </c>
      <c r="BC230" s="4" t="s">
        <v>1357</v>
      </c>
      <c r="BD230" s="4" t="s">
        <v>1358</v>
      </c>
      <c r="BE230" s="4" t="s">
        <v>127</v>
      </c>
      <c r="BF230" s="4"/>
      <c r="BG230" s="4"/>
      <c r="BH230" s="4"/>
      <c r="BI230" s="4"/>
      <c r="BJ230" s="4"/>
      <c r="BK230" s="4"/>
      <c r="BL230" s="4"/>
      <c r="BM230" s="4"/>
      <c r="BN230" s="4"/>
      <c r="BO230" s="4"/>
    </row>
    <row r="231" spans="1:67" ht="16" x14ac:dyDescent="0.4">
      <c r="A231" s="4" t="s">
        <v>1359</v>
      </c>
      <c r="B231" s="4" t="s">
        <v>1359</v>
      </c>
      <c r="C231" s="4" t="s">
        <v>127</v>
      </c>
      <c r="D231" s="4" t="s">
        <v>128</v>
      </c>
      <c r="E231" s="189">
        <v>45469</v>
      </c>
      <c r="F231" s="6">
        <f t="shared" si="13"/>
        <v>2024</v>
      </c>
      <c r="G231" s="4" t="s">
        <v>1360</v>
      </c>
      <c r="H231" s="22" t="str">
        <f>VLOOKUP($G231,'Item Classification'!B:C,2,0)</f>
        <v>Air-to-surface missile (ASM)</v>
      </c>
      <c r="I231" s="6" t="str">
        <f>VLOOKUP($G231,'Item Classification'!B:D,3,0)</f>
        <v>Missile (Air)</v>
      </c>
      <c r="J231" s="23">
        <f>VLOOKUP($G231,'Item Classification'!B:E,4,0)</f>
        <v>6</v>
      </c>
      <c r="K231" s="116" t="s">
        <v>211</v>
      </c>
      <c r="L231" s="116" t="s">
        <v>211</v>
      </c>
      <c r="M231" s="116" t="str">
        <f>VLOOKUP(L231,'NATO Classifications'!$D$6:$E$647,2,0)</f>
        <v>Guided Missiles</v>
      </c>
      <c r="N231" s="4">
        <v>274</v>
      </c>
      <c r="O231" s="81">
        <f t="shared" si="14"/>
        <v>1372262.7737226277</v>
      </c>
      <c r="P231" s="81">
        <f t="shared" si="15"/>
        <v>1372262.7737226277</v>
      </c>
      <c r="Q231" s="4">
        <v>2028</v>
      </c>
      <c r="R231" s="4"/>
      <c r="S231" s="112">
        <v>376000000</v>
      </c>
      <c r="T231" s="91" t="s">
        <v>132</v>
      </c>
      <c r="U231" s="104">
        <f>_xlfn.IFNA(S231/INDEX('Exchange Rates'!$C$7:$F$14,MATCH('MAIN DATA, Orders'!F231,'Exchange Rates'!$B$7:$B$14,0),MATCH('MAIN DATA, Orders'!T231,'Exchange Rates'!$C$6:$F$6,0)), "-")</f>
        <v>376000000</v>
      </c>
      <c r="V231" s="4" t="s">
        <v>682</v>
      </c>
      <c r="W231" s="4" t="s">
        <v>133</v>
      </c>
      <c r="X231" s="4" t="s">
        <v>128</v>
      </c>
      <c r="Y231" s="24">
        <f t="shared" si="16"/>
        <v>202406</v>
      </c>
      <c r="Z231" s="115">
        <v>1</v>
      </c>
      <c r="AA231" s="115">
        <v>0</v>
      </c>
      <c r="AB231" s="115">
        <v>0</v>
      </c>
      <c r="AC231" s="115">
        <v>1</v>
      </c>
      <c r="AD231" s="115">
        <v>1</v>
      </c>
      <c r="AE231" s="115">
        <v>0</v>
      </c>
      <c r="AF231" s="115">
        <v>1</v>
      </c>
      <c r="AG231" s="4" t="s">
        <v>1353</v>
      </c>
      <c r="AH231" s="4" t="s">
        <v>238</v>
      </c>
      <c r="AI231" s="4" t="s">
        <v>127</v>
      </c>
      <c r="AJ231" s="4" t="s">
        <v>1361</v>
      </c>
      <c r="AK231" s="4" t="s">
        <v>127</v>
      </c>
      <c r="AL231" s="4" t="s">
        <v>127</v>
      </c>
      <c r="AM231" s="4" t="s">
        <v>127</v>
      </c>
      <c r="AN231" s="4" t="s">
        <v>128</v>
      </c>
      <c r="AO231" s="4" t="s">
        <v>127</v>
      </c>
      <c r="AP231" s="4" t="s">
        <v>127</v>
      </c>
      <c r="AQ231" s="4" t="s">
        <v>127</v>
      </c>
      <c r="AR231" s="4" t="s">
        <v>127</v>
      </c>
      <c r="AS231" s="4" t="s">
        <v>127</v>
      </c>
      <c r="AT231" s="4" t="s">
        <v>127</v>
      </c>
      <c r="AU231" s="4" t="s">
        <v>127</v>
      </c>
      <c r="AV231" s="4" t="s">
        <v>127</v>
      </c>
      <c r="AW231" s="4" t="s">
        <v>127</v>
      </c>
      <c r="AX231" s="4" t="s">
        <v>127</v>
      </c>
      <c r="AY231" s="96" t="s">
        <v>1362</v>
      </c>
      <c r="AZ231" s="96" t="s">
        <v>1363</v>
      </c>
      <c r="BA231" s="96" t="s">
        <v>1364</v>
      </c>
      <c r="BB231" s="4" t="s">
        <v>1365</v>
      </c>
      <c r="BC231" s="4" t="s">
        <v>1366</v>
      </c>
      <c r="BD231" s="4" t="s">
        <v>1367</v>
      </c>
      <c r="BE231" s="4" t="s">
        <v>127</v>
      </c>
      <c r="BF231" s="4"/>
      <c r="BG231" s="4"/>
      <c r="BH231" s="4"/>
      <c r="BI231" s="4"/>
      <c r="BJ231" s="4"/>
      <c r="BK231" s="4"/>
      <c r="BL231" s="4"/>
      <c r="BM231" s="4"/>
      <c r="BN231" s="4"/>
      <c r="BO231" s="4"/>
    </row>
    <row r="232" spans="1:67" ht="16" x14ac:dyDescent="0.4">
      <c r="A232" s="4" t="s">
        <v>1368</v>
      </c>
      <c r="B232" s="4" t="s">
        <v>1368</v>
      </c>
      <c r="C232" s="4" t="s">
        <v>127</v>
      </c>
      <c r="D232" s="4" t="s">
        <v>128</v>
      </c>
      <c r="E232" s="189">
        <v>45469</v>
      </c>
      <c r="F232" s="6">
        <f t="shared" si="13"/>
        <v>2024</v>
      </c>
      <c r="G232" s="4" t="s">
        <v>1369</v>
      </c>
      <c r="H232" s="22" t="str">
        <f>VLOOKUP($G232,'Item Classification'!B:C,2,0)</f>
        <v>Man-portable surface-to-air missile</v>
      </c>
      <c r="I232" s="6" t="str">
        <f>VLOOKUP($G232,'Item Classification'!B:D,3,0)</f>
        <v>Missile (Land)</v>
      </c>
      <c r="J232" s="23">
        <f>VLOOKUP($G232,'Item Classification'!B:E,4,0)</f>
        <v>6</v>
      </c>
      <c r="K232" s="116" t="s">
        <v>211</v>
      </c>
      <c r="L232" s="116" t="s">
        <v>211</v>
      </c>
      <c r="M232" s="116" t="str">
        <f>VLOOKUP(L232,'NATO Classifications'!$D$6:$E$647,2,0)</f>
        <v>Guided Missiles</v>
      </c>
      <c r="N232" s="4">
        <v>500</v>
      </c>
      <c r="O232" s="81">
        <f t="shared" si="14"/>
        <v>790000</v>
      </c>
      <c r="P232" s="81">
        <f t="shared" si="15"/>
        <v>790000</v>
      </c>
      <c r="Q232" s="4">
        <v>2028</v>
      </c>
      <c r="R232" s="4">
        <v>2029</v>
      </c>
      <c r="S232" s="112">
        <v>395000000</v>
      </c>
      <c r="T232" s="91" t="s">
        <v>132</v>
      </c>
      <c r="U232" s="104">
        <f>_xlfn.IFNA(S232/INDEX('Exchange Rates'!$C$7:$F$14,MATCH('MAIN DATA, Orders'!F232,'Exchange Rates'!$B$7:$B$14,0),MATCH('MAIN DATA, Orders'!T232,'Exchange Rates'!$C$6:$F$6,0)), "-")</f>
        <v>395000000</v>
      </c>
      <c r="V232" s="4" t="s">
        <v>808</v>
      </c>
      <c r="W232" s="4" t="s">
        <v>127</v>
      </c>
      <c r="X232" s="4" t="s">
        <v>128</v>
      </c>
      <c r="Y232" s="24">
        <f t="shared" si="16"/>
        <v>202406</v>
      </c>
      <c r="Z232" s="115">
        <v>0</v>
      </c>
      <c r="AA232" s="115">
        <v>0</v>
      </c>
      <c r="AB232" s="115">
        <v>0</v>
      </c>
      <c r="AC232" s="115">
        <v>0</v>
      </c>
      <c r="AD232" s="115">
        <v>0</v>
      </c>
      <c r="AE232" s="115">
        <v>0</v>
      </c>
      <c r="AF232" s="115">
        <v>0</v>
      </c>
      <c r="AG232" s="4" t="s">
        <v>718</v>
      </c>
      <c r="AH232" s="4" t="s">
        <v>196</v>
      </c>
      <c r="AI232" s="4" t="s">
        <v>127</v>
      </c>
      <c r="AJ232" s="4" t="s">
        <v>127</v>
      </c>
      <c r="AK232" s="4" t="s">
        <v>127</v>
      </c>
      <c r="AL232" s="4" t="s">
        <v>127</v>
      </c>
      <c r="AM232" s="4" t="s">
        <v>127</v>
      </c>
      <c r="AN232" s="4" t="s">
        <v>127</v>
      </c>
      <c r="AO232" s="4" t="s">
        <v>127</v>
      </c>
      <c r="AP232" s="4" t="s">
        <v>127</v>
      </c>
      <c r="AQ232" s="4" t="s">
        <v>127</v>
      </c>
      <c r="AR232" s="4" t="s">
        <v>127</v>
      </c>
      <c r="AS232" s="4" t="s">
        <v>127</v>
      </c>
      <c r="AT232" s="4" t="s">
        <v>127</v>
      </c>
      <c r="AU232" s="4" t="s">
        <v>127</v>
      </c>
      <c r="AV232" s="4" t="s">
        <v>127</v>
      </c>
      <c r="AW232" s="4" t="s">
        <v>127</v>
      </c>
      <c r="AX232" s="4" t="s">
        <v>127</v>
      </c>
      <c r="AY232" s="96" t="s">
        <v>1362</v>
      </c>
      <c r="AZ232" s="96" t="s">
        <v>1370</v>
      </c>
      <c r="BA232" s="4" t="s">
        <v>127</v>
      </c>
      <c r="BB232" s="4" t="s">
        <v>1371</v>
      </c>
      <c r="BC232" s="4" t="s">
        <v>1372</v>
      </c>
      <c r="BD232" s="4" t="s">
        <v>127</v>
      </c>
      <c r="BE232" s="4" t="s">
        <v>127</v>
      </c>
      <c r="BF232" s="4"/>
      <c r="BG232" s="4"/>
      <c r="BH232" s="4"/>
      <c r="BI232" s="4"/>
      <c r="BJ232" s="4"/>
      <c r="BK232" s="4"/>
      <c r="BL232" s="4"/>
      <c r="BM232" s="4"/>
      <c r="BN232" s="4"/>
      <c r="BO232" s="4"/>
    </row>
    <row r="233" spans="1:67" ht="16" x14ac:dyDescent="0.4">
      <c r="A233" s="4" t="s">
        <v>1373</v>
      </c>
      <c r="B233" s="4" t="s">
        <v>1373</v>
      </c>
      <c r="C233" s="4" t="s">
        <v>127</v>
      </c>
      <c r="D233" s="4" t="s">
        <v>128</v>
      </c>
      <c r="E233" s="189">
        <v>45476</v>
      </c>
      <c r="F233" s="6">
        <f t="shared" si="13"/>
        <v>2024</v>
      </c>
      <c r="G233" s="4" t="s">
        <v>929</v>
      </c>
      <c r="H233" s="22" t="str">
        <f>VLOOKUP($G233,'Item Classification'!B:C,2,0)</f>
        <v>Main Battle Tank (MBT)</v>
      </c>
      <c r="I233" s="6" t="str">
        <f>VLOOKUP($G233,'Item Classification'!B:D,3,0)</f>
        <v>Tank</v>
      </c>
      <c r="J233" s="23">
        <f>VLOOKUP($G233,'Item Classification'!B:E,4,0)</f>
        <v>1</v>
      </c>
      <c r="K233" s="116" t="s">
        <v>274</v>
      </c>
      <c r="L233" s="116" t="s">
        <v>329</v>
      </c>
      <c r="M233" s="116" t="str">
        <f>VLOOKUP(L233,'NATO Classifications'!$D$6:$E$647,2,0)</f>
        <v>Combat, Assault, and Tactical Vehicles, Tracked</v>
      </c>
      <c r="N233" s="4">
        <v>105</v>
      </c>
      <c r="O233" s="81">
        <f t="shared" si="14"/>
        <v>27619047.619047619</v>
      </c>
      <c r="P233" s="81">
        <f t="shared" si="15"/>
        <v>27619047.619047619</v>
      </c>
      <c r="Q233" s="4">
        <v>2027</v>
      </c>
      <c r="R233" s="4">
        <v>2030</v>
      </c>
      <c r="S233" s="112">
        <v>2900000000</v>
      </c>
      <c r="T233" s="91" t="s">
        <v>132</v>
      </c>
      <c r="U233" s="104">
        <f>_xlfn.IFNA(S233/INDEX('Exchange Rates'!$C$7:$F$14,MATCH('MAIN DATA, Orders'!F233,'Exchange Rates'!$B$7:$B$14,0),MATCH('MAIN DATA, Orders'!T233,'Exchange Rates'!$C$6:$F$6,0)), "-")</f>
        <v>2900000000</v>
      </c>
      <c r="V233" s="4" t="s">
        <v>682</v>
      </c>
      <c r="W233" s="4" t="s">
        <v>133</v>
      </c>
      <c r="X233" s="4" t="s">
        <v>128</v>
      </c>
      <c r="Y233" s="24">
        <f t="shared" si="16"/>
        <v>202407</v>
      </c>
      <c r="Z233" s="115">
        <v>1</v>
      </c>
      <c r="AA233" s="115">
        <v>0</v>
      </c>
      <c r="AB233" s="115">
        <v>0</v>
      </c>
      <c r="AC233" s="115">
        <v>1</v>
      </c>
      <c r="AD233" s="115">
        <v>0</v>
      </c>
      <c r="AE233" s="115">
        <v>0</v>
      </c>
      <c r="AF233" s="115">
        <v>0</v>
      </c>
      <c r="AG233" s="4" t="s">
        <v>488</v>
      </c>
      <c r="AH233" s="4" t="s">
        <v>128</v>
      </c>
      <c r="AI233" s="4" t="s">
        <v>127</v>
      </c>
      <c r="AJ233" s="4" t="s">
        <v>127</v>
      </c>
      <c r="AK233" s="4" t="s">
        <v>127</v>
      </c>
      <c r="AL233" s="4" t="s">
        <v>127</v>
      </c>
      <c r="AM233" s="4" t="s">
        <v>127</v>
      </c>
      <c r="AN233" s="4" t="s">
        <v>127</v>
      </c>
      <c r="AO233" s="4" t="s">
        <v>127</v>
      </c>
      <c r="AP233" s="4" t="s">
        <v>127</v>
      </c>
      <c r="AQ233" s="4" t="s">
        <v>127</v>
      </c>
      <c r="AR233" s="4" t="s">
        <v>127</v>
      </c>
      <c r="AS233" s="4" t="s">
        <v>127</v>
      </c>
      <c r="AT233" s="4" t="s">
        <v>127</v>
      </c>
      <c r="AU233" s="4" t="s">
        <v>127</v>
      </c>
      <c r="AV233" s="4" t="s">
        <v>127</v>
      </c>
      <c r="AW233" s="4" t="s">
        <v>127</v>
      </c>
      <c r="AX233" s="4" t="s">
        <v>127</v>
      </c>
      <c r="AY233" s="96" t="s">
        <v>1374</v>
      </c>
      <c r="AZ233" s="96" t="s">
        <v>1375</v>
      </c>
      <c r="BA233" s="4" t="s">
        <v>127</v>
      </c>
      <c r="BB233" s="4" t="s">
        <v>1376</v>
      </c>
      <c r="BC233" s="4" t="s">
        <v>1377</v>
      </c>
      <c r="BD233" s="4" t="s">
        <v>127</v>
      </c>
      <c r="BE233" s="4" t="s">
        <v>127</v>
      </c>
      <c r="BF233" s="4"/>
      <c r="BG233" s="4"/>
      <c r="BH233" s="4"/>
      <c r="BI233" s="4"/>
      <c r="BJ233" s="4"/>
      <c r="BK233" s="4"/>
      <c r="BL233" s="4"/>
      <c r="BM233" s="4"/>
      <c r="BN233" s="4"/>
      <c r="BO233" s="4"/>
    </row>
    <row r="234" spans="1:67" ht="16" x14ac:dyDescent="0.4">
      <c r="A234" s="4" t="s">
        <v>1378</v>
      </c>
      <c r="B234" s="4" t="s">
        <v>1378</v>
      </c>
      <c r="C234" s="4" t="s">
        <v>127</v>
      </c>
      <c r="D234" s="4" t="s">
        <v>128</v>
      </c>
      <c r="E234" s="189">
        <v>45476</v>
      </c>
      <c r="F234" s="6">
        <f t="shared" si="13"/>
        <v>2024</v>
      </c>
      <c r="G234" s="4" t="s">
        <v>1379</v>
      </c>
      <c r="H234" s="22" t="str">
        <f>VLOOKUP($G234,'Item Classification'!B:C,2,0)</f>
        <v>Non-combat military vehicle</v>
      </c>
      <c r="I234" s="6" t="str">
        <f>VLOOKUP($G234,'Item Classification'!B:D,3,0)</f>
        <v>Other</v>
      </c>
      <c r="J234" s="23">
        <f>VLOOKUP($G234,'Item Classification'!B:E,4,0)</f>
        <v>16</v>
      </c>
      <c r="K234" s="116" t="s">
        <v>274</v>
      </c>
      <c r="L234" s="116" t="s">
        <v>275</v>
      </c>
      <c r="M234" s="116" t="str">
        <f>VLOOKUP(L234,'NATO Classifications'!$D$6:$E$647,2,0)</f>
        <v>Trucks and Truck Tractors, Wheeled</v>
      </c>
      <c r="N234" s="4">
        <v>1000</v>
      </c>
      <c r="O234" s="81"/>
      <c r="P234" s="81"/>
      <c r="Q234" s="4">
        <v>2024</v>
      </c>
      <c r="R234" s="4">
        <v>2027</v>
      </c>
      <c r="S234" s="4"/>
      <c r="T234" s="91" t="s">
        <v>132</v>
      </c>
      <c r="U234" s="104">
        <f>_xlfn.IFNA(S234/INDEX('Exchange Rates'!$C$7:$F$14,MATCH('MAIN DATA, Orders'!F234,'Exchange Rates'!$B$7:$B$14,0),MATCH('MAIN DATA, Orders'!T234,'Exchange Rates'!$C$6:$F$6,0)), "-")</f>
        <v>0</v>
      </c>
      <c r="V234" s="4" t="s">
        <v>682</v>
      </c>
      <c r="W234" s="4" t="s">
        <v>127</v>
      </c>
      <c r="X234" s="4" t="s">
        <v>128</v>
      </c>
      <c r="Y234" s="24">
        <f t="shared" si="16"/>
        <v>202407</v>
      </c>
      <c r="Z234" s="115">
        <v>1</v>
      </c>
      <c r="AA234" s="115">
        <v>0</v>
      </c>
      <c r="AB234" s="115">
        <v>0</v>
      </c>
      <c r="AC234" s="115">
        <v>1</v>
      </c>
      <c r="AD234" s="115">
        <v>0</v>
      </c>
      <c r="AE234" s="115">
        <v>0</v>
      </c>
      <c r="AF234" s="115">
        <v>0</v>
      </c>
      <c r="AG234" s="4" t="s">
        <v>1380</v>
      </c>
      <c r="AH234" s="4" t="s">
        <v>128</v>
      </c>
      <c r="AI234" s="4" t="s">
        <v>127</v>
      </c>
      <c r="AJ234" s="4" t="s">
        <v>127</v>
      </c>
      <c r="AK234" s="4" t="s">
        <v>127</v>
      </c>
      <c r="AL234" s="4" t="s">
        <v>127</v>
      </c>
      <c r="AM234" s="4" t="s">
        <v>127</v>
      </c>
      <c r="AN234" s="4" t="s">
        <v>127</v>
      </c>
      <c r="AO234" s="4" t="s">
        <v>127</v>
      </c>
      <c r="AP234" s="4" t="s">
        <v>127</v>
      </c>
      <c r="AQ234" s="4" t="s">
        <v>127</v>
      </c>
      <c r="AR234" s="4" t="s">
        <v>127</v>
      </c>
      <c r="AS234" s="4" t="s">
        <v>127</v>
      </c>
      <c r="AT234" s="4" t="s">
        <v>127</v>
      </c>
      <c r="AU234" s="4" t="s">
        <v>127</v>
      </c>
      <c r="AV234" s="4" t="s">
        <v>127</v>
      </c>
      <c r="AW234" s="4" t="s">
        <v>127</v>
      </c>
      <c r="AX234" s="4" t="s">
        <v>127</v>
      </c>
      <c r="AY234" s="96" t="s">
        <v>1381</v>
      </c>
      <c r="AZ234" s="96" t="s">
        <v>1382</v>
      </c>
      <c r="BA234" s="96" t="s">
        <v>1383</v>
      </c>
      <c r="BB234" s="4" t="s">
        <v>1384</v>
      </c>
      <c r="BC234" s="4" t="s">
        <v>127</v>
      </c>
      <c r="BD234" s="4" t="s">
        <v>127</v>
      </c>
      <c r="BE234" s="4" t="s">
        <v>127</v>
      </c>
      <c r="BF234" s="4"/>
      <c r="BG234" s="4"/>
      <c r="BH234" s="4"/>
      <c r="BI234" s="4"/>
      <c r="BJ234" s="4"/>
      <c r="BK234" s="4"/>
      <c r="BL234" s="4"/>
      <c r="BM234" s="4"/>
      <c r="BN234" s="4"/>
      <c r="BO234" s="4"/>
    </row>
    <row r="235" spans="1:67" ht="16" x14ac:dyDescent="0.4">
      <c r="A235" s="4" t="s">
        <v>1385</v>
      </c>
      <c r="B235" s="4" t="s">
        <v>1385</v>
      </c>
      <c r="C235" s="4" t="s">
        <v>1292</v>
      </c>
      <c r="D235" s="4" t="s">
        <v>128</v>
      </c>
      <c r="E235" s="189">
        <v>45476</v>
      </c>
      <c r="F235" s="6">
        <f t="shared" si="13"/>
        <v>2024</v>
      </c>
      <c r="G235" s="4" t="s">
        <v>1293</v>
      </c>
      <c r="H235" s="22" t="str">
        <f>VLOOKUP($G235,'Item Classification'!B:C,2,0)</f>
        <v>155mm howitzer ammunition</v>
      </c>
      <c r="I235" s="6" t="str">
        <f>VLOOKUP($G235,'Item Classification'!B:D,3,0)</f>
        <v>Ammunition</v>
      </c>
      <c r="J235" s="23">
        <f>VLOOKUP($G235,'Item Classification'!B:E,4,0)</f>
        <v>4</v>
      </c>
      <c r="K235" s="116" t="s">
        <v>189</v>
      </c>
      <c r="L235" s="116" t="s">
        <v>733</v>
      </c>
      <c r="M235" s="116" t="str">
        <f>VLOOKUP(L235,'NATO Classifications'!$D$6:$E$647,2,0)</f>
        <v>Ammunition over 75mm</v>
      </c>
      <c r="N235" s="4"/>
      <c r="O235" s="81"/>
      <c r="P235" s="81"/>
      <c r="Q235" s="4">
        <v>2027</v>
      </c>
      <c r="R235" s="4">
        <v>2031</v>
      </c>
      <c r="S235" s="112">
        <v>1300000000</v>
      </c>
      <c r="T235" s="91" t="s">
        <v>132</v>
      </c>
      <c r="U235" s="104">
        <f>_xlfn.IFNA(S235/INDEX('Exchange Rates'!$C$7:$F$14,MATCH('MAIN DATA, Orders'!F235,'Exchange Rates'!$B$7:$B$14,0),MATCH('MAIN DATA, Orders'!T235,'Exchange Rates'!$C$6:$F$6,0)), "-")</f>
        <v>1300000000</v>
      </c>
      <c r="V235" s="4" t="s">
        <v>682</v>
      </c>
      <c r="W235" s="4" t="s">
        <v>133</v>
      </c>
      <c r="X235" s="4" t="s">
        <v>128</v>
      </c>
      <c r="Y235" s="24">
        <f t="shared" si="16"/>
        <v>202407</v>
      </c>
      <c r="Z235" s="115">
        <v>1</v>
      </c>
      <c r="AA235" s="115">
        <v>0</v>
      </c>
      <c r="AB235" s="115">
        <v>0</v>
      </c>
      <c r="AC235" s="115">
        <v>1</v>
      </c>
      <c r="AD235" s="115">
        <v>0</v>
      </c>
      <c r="AE235" s="115">
        <v>0</v>
      </c>
      <c r="AF235" s="115">
        <v>0</v>
      </c>
      <c r="AG235" s="4" t="s">
        <v>256</v>
      </c>
      <c r="AH235" s="4" t="s">
        <v>128</v>
      </c>
      <c r="AI235" s="4" t="s">
        <v>127</v>
      </c>
      <c r="AJ235" s="4" t="s">
        <v>127</v>
      </c>
      <c r="AK235" s="4" t="s">
        <v>127</v>
      </c>
      <c r="AL235" s="4" t="s">
        <v>127</v>
      </c>
      <c r="AM235" s="4" t="s">
        <v>127</v>
      </c>
      <c r="AN235" s="4" t="s">
        <v>127</v>
      </c>
      <c r="AO235" s="4" t="s">
        <v>127</v>
      </c>
      <c r="AP235" s="4" t="s">
        <v>127</v>
      </c>
      <c r="AQ235" s="4" t="s">
        <v>127</v>
      </c>
      <c r="AR235" s="4" t="s">
        <v>127</v>
      </c>
      <c r="AS235" s="4" t="s">
        <v>127</v>
      </c>
      <c r="AT235" s="4" t="s">
        <v>127</v>
      </c>
      <c r="AU235" s="4" t="s">
        <v>127</v>
      </c>
      <c r="AV235" s="4" t="s">
        <v>127</v>
      </c>
      <c r="AW235" s="4" t="s">
        <v>127</v>
      </c>
      <c r="AX235" s="4" t="s">
        <v>127</v>
      </c>
      <c r="AY235" s="96" t="s">
        <v>1381</v>
      </c>
      <c r="AZ235" s="4" t="s">
        <v>127</v>
      </c>
      <c r="BA235" s="4" t="s">
        <v>127</v>
      </c>
      <c r="BB235" s="4" t="s">
        <v>1386</v>
      </c>
      <c r="BC235" s="4" t="s">
        <v>127</v>
      </c>
      <c r="BD235" s="4" t="s">
        <v>127</v>
      </c>
      <c r="BE235" s="4" t="s">
        <v>127</v>
      </c>
      <c r="BF235" s="4"/>
      <c r="BG235" s="4"/>
      <c r="BH235" s="4"/>
      <c r="BI235" s="4"/>
      <c r="BJ235" s="4"/>
      <c r="BK235" s="4"/>
      <c r="BL235" s="4"/>
      <c r="BM235" s="4"/>
      <c r="BN235" s="4"/>
      <c r="BO235" s="4"/>
    </row>
    <row r="236" spans="1:67" ht="16" x14ac:dyDescent="0.4">
      <c r="A236" s="4" t="s">
        <v>1387</v>
      </c>
      <c r="B236" s="4" t="s">
        <v>1387</v>
      </c>
      <c r="C236" s="4" t="s">
        <v>127</v>
      </c>
      <c r="D236" s="4" t="s">
        <v>128</v>
      </c>
      <c r="E236" s="189">
        <v>45476</v>
      </c>
      <c r="F236" s="6">
        <f t="shared" si="13"/>
        <v>2024</v>
      </c>
      <c r="G236" s="4" t="s">
        <v>1315</v>
      </c>
      <c r="H236" s="22" t="str">
        <f>VLOOKUP($G236,'Item Classification'!B:C,2,0)</f>
        <v>Small Arms and Light Weapons (SALW) ammunition</v>
      </c>
      <c r="I236" s="6" t="str">
        <f>VLOOKUP($G236,'Item Classification'!B:D,3,0)</f>
        <v>Infantry</v>
      </c>
      <c r="J236" s="23">
        <f>VLOOKUP($G236,'Item Classification'!B:E,4,0)</f>
        <v>8</v>
      </c>
      <c r="K236" s="116" t="s">
        <v>189</v>
      </c>
      <c r="L236" s="116" t="s">
        <v>740</v>
      </c>
      <c r="M236" s="116" t="str">
        <f>VLOOKUP(L236,'NATO Classifications'!$D$6:$E$647,2,0)</f>
        <v>Ammunition below 75mm</v>
      </c>
      <c r="N236" s="4"/>
      <c r="O236" s="81"/>
      <c r="P236" s="81"/>
      <c r="Q236" s="4"/>
      <c r="R236" s="4"/>
      <c r="S236" s="112">
        <v>452000000</v>
      </c>
      <c r="T236" s="91" t="s">
        <v>132</v>
      </c>
      <c r="U236" s="104">
        <f>_xlfn.IFNA(S236/INDEX('Exchange Rates'!$C$7:$F$14,MATCH('MAIN DATA, Orders'!F236,'Exchange Rates'!$B$7:$B$14,0),MATCH('MAIN DATA, Orders'!T236,'Exchange Rates'!$C$6:$F$6,0)), "-")</f>
        <v>452000000</v>
      </c>
      <c r="V236" s="4" t="s">
        <v>808</v>
      </c>
      <c r="W236" s="4" t="s">
        <v>682</v>
      </c>
      <c r="X236" s="4" t="s">
        <v>128</v>
      </c>
      <c r="Y236" s="24">
        <f t="shared" si="16"/>
        <v>202407</v>
      </c>
      <c r="Z236" s="115">
        <v>1</v>
      </c>
      <c r="AA236" s="115">
        <v>0</v>
      </c>
      <c r="AB236" s="115">
        <v>0</v>
      </c>
      <c r="AC236" s="115" t="s">
        <v>127</v>
      </c>
      <c r="AD236" s="115" t="s">
        <v>127</v>
      </c>
      <c r="AE236" s="115" t="s">
        <v>127</v>
      </c>
      <c r="AF236" s="115" t="s">
        <v>127</v>
      </c>
      <c r="AG236" s="4" t="s">
        <v>127</v>
      </c>
      <c r="AH236" s="4" t="s">
        <v>127</v>
      </c>
      <c r="AI236" s="4" t="s">
        <v>127</v>
      </c>
      <c r="AJ236" s="4" t="s">
        <v>127</v>
      </c>
      <c r="AK236" s="4" t="s">
        <v>127</v>
      </c>
      <c r="AL236" s="4" t="s">
        <v>127</v>
      </c>
      <c r="AM236" s="4" t="s">
        <v>127</v>
      </c>
      <c r="AN236" s="4" t="s">
        <v>127</v>
      </c>
      <c r="AO236" s="4" t="s">
        <v>127</v>
      </c>
      <c r="AP236" s="4" t="s">
        <v>127</v>
      </c>
      <c r="AQ236" s="4" t="s">
        <v>127</v>
      </c>
      <c r="AR236" s="4" t="s">
        <v>127</v>
      </c>
      <c r="AS236" s="4" t="s">
        <v>127</v>
      </c>
      <c r="AT236" s="4" t="s">
        <v>127</v>
      </c>
      <c r="AU236" s="4" t="s">
        <v>127</v>
      </c>
      <c r="AV236" s="4" t="s">
        <v>127</v>
      </c>
      <c r="AW236" s="4" t="s">
        <v>127</v>
      </c>
      <c r="AX236" s="4" t="s">
        <v>127</v>
      </c>
      <c r="AY236" s="96" t="s">
        <v>1381</v>
      </c>
      <c r="AZ236" s="4" t="s">
        <v>127</v>
      </c>
      <c r="BA236" s="4" t="s">
        <v>127</v>
      </c>
      <c r="BB236" s="4" t="s">
        <v>1388</v>
      </c>
      <c r="BC236" s="4" t="s">
        <v>127</v>
      </c>
      <c r="BD236" s="4" t="s">
        <v>127</v>
      </c>
      <c r="BE236" s="4" t="s">
        <v>127</v>
      </c>
      <c r="BF236" s="4"/>
      <c r="BG236" s="4"/>
      <c r="BH236" s="4"/>
      <c r="BI236" s="4"/>
      <c r="BJ236" s="4"/>
      <c r="BK236" s="4"/>
      <c r="BL236" s="4"/>
      <c r="BM236" s="4"/>
      <c r="BN236" s="4"/>
      <c r="BO236" s="4"/>
    </row>
    <row r="237" spans="1:67" ht="16" x14ac:dyDescent="0.4">
      <c r="A237" s="4" t="s">
        <v>1389</v>
      </c>
      <c r="B237" s="4" t="s">
        <v>1389</v>
      </c>
      <c r="C237" s="4" t="s">
        <v>127</v>
      </c>
      <c r="D237" s="4" t="s">
        <v>128</v>
      </c>
      <c r="E237" s="189">
        <v>45476</v>
      </c>
      <c r="F237" s="6">
        <f t="shared" si="13"/>
        <v>2024</v>
      </c>
      <c r="G237" s="4" t="s">
        <v>726</v>
      </c>
      <c r="H237" s="22" t="str">
        <f>VLOOKUP($G237,'Item Classification'!B:C,2,0)</f>
        <v>Communication equipment</v>
      </c>
      <c r="I237" s="6" t="str">
        <f>VLOOKUP($G237,'Item Classification'!B:D,3,0)</f>
        <v>Modernisation</v>
      </c>
      <c r="J237" s="23">
        <f>VLOOKUP($G237,'Item Classification'!B:E,4,0)</f>
        <v>13</v>
      </c>
      <c r="K237" s="116" t="s">
        <v>727</v>
      </c>
      <c r="L237" s="116" t="s">
        <v>728</v>
      </c>
      <c r="M237" s="116" t="str">
        <f>VLOOKUP(L237,'NATO Classifications'!$D$6:$E$647,2,0)</f>
        <v>Headsets, Handsets, Microphones and Speakers</v>
      </c>
      <c r="N237" s="4">
        <v>30000</v>
      </c>
      <c r="O237" s="81">
        <f t="shared" si="14"/>
        <v>2233.3333333333335</v>
      </c>
      <c r="P237" s="81">
        <f t="shared" si="15"/>
        <v>2233.3333333333335</v>
      </c>
      <c r="Q237" s="4">
        <v>2025</v>
      </c>
      <c r="R237" s="4">
        <v>2025</v>
      </c>
      <c r="S237" s="112">
        <v>67000000</v>
      </c>
      <c r="T237" s="91" t="s">
        <v>132</v>
      </c>
      <c r="U237" s="104">
        <f>_xlfn.IFNA(S237/INDEX('Exchange Rates'!$C$7:$F$14,MATCH('MAIN DATA, Orders'!F237,'Exchange Rates'!$B$7:$B$14,0),MATCH('MAIN DATA, Orders'!T237,'Exchange Rates'!$C$6:$F$6,0)), "-")</f>
        <v>67000000</v>
      </c>
      <c r="V237" s="4" t="s">
        <v>682</v>
      </c>
      <c r="W237" s="4" t="s">
        <v>127</v>
      </c>
      <c r="X237" s="4" t="s">
        <v>128</v>
      </c>
      <c r="Y237" s="24">
        <f t="shared" si="16"/>
        <v>202407</v>
      </c>
      <c r="Z237" s="115">
        <v>1</v>
      </c>
      <c r="AA237" s="115">
        <v>0</v>
      </c>
      <c r="AB237" s="115">
        <v>0</v>
      </c>
      <c r="AC237" s="115">
        <v>1</v>
      </c>
      <c r="AD237" s="115">
        <v>0</v>
      </c>
      <c r="AE237" s="115">
        <v>0</v>
      </c>
      <c r="AF237" s="115">
        <v>0</v>
      </c>
      <c r="AG237" s="4" t="s">
        <v>256</v>
      </c>
      <c r="AH237" s="4" t="s">
        <v>128</v>
      </c>
      <c r="AI237" s="4" t="s">
        <v>127</v>
      </c>
      <c r="AJ237" s="4" t="s">
        <v>127</v>
      </c>
      <c r="AK237" s="4" t="s">
        <v>127</v>
      </c>
      <c r="AL237" s="4" t="s">
        <v>127</v>
      </c>
      <c r="AM237" s="4" t="s">
        <v>127</v>
      </c>
      <c r="AN237" s="4" t="s">
        <v>127</v>
      </c>
      <c r="AO237" s="4" t="s">
        <v>127</v>
      </c>
      <c r="AP237" s="4" t="s">
        <v>127</v>
      </c>
      <c r="AQ237" s="4" t="s">
        <v>127</v>
      </c>
      <c r="AR237" s="4" t="s">
        <v>127</v>
      </c>
      <c r="AS237" s="4" t="s">
        <v>127</v>
      </c>
      <c r="AT237" s="4" t="s">
        <v>127</v>
      </c>
      <c r="AU237" s="4" t="s">
        <v>127</v>
      </c>
      <c r="AV237" s="4" t="s">
        <v>127</v>
      </c>
      <c r="AW237" s="4" t="s">
        <v>127</v>
      </c>
      <c r="AX237" s="4" t="s">
        <v>127</v>
      </c>
      <c r="AY237" s="96" t="s">
        <v>1381</v>
      </c>
      <c r="AZ237" s="96" t="s">
        <v>1198</v>
      </c>
      <c r="BA237" s="96" t="s">
        <v>1199</v>
      </c>
      <c r="BB237" s="4" t="s">
        <v>1390</v>
      </c>
      <c r="BC237" s="4" t="s">
        <v>1201</v>
      </c>
      <c r="BD237" s="4" t="s">
        <v>127</v>
      </c>
      <c r="BE237" s="4" t="s">
        <v>127</v>
      </c>
      <c r="BF237" s="4"/>
      <c r="BG237" s="4"/>
      <c r="BH237" s="4"/>
      <c r="BI237" s="4"/>
      <c r="BJ237" s="4"/>
      <c r="BK237" s="4"/>
      <c r="BL237" s="4"/>
      <c r="BM237" s="4"/>
      <c r="BN237" s="4"/>
      <c r="BO237" s="4"/>
    </row>
    <row r="238" spans="1:67" ht="16" x14ac:dyDescent="0.4">
      <c r="A238" s="4" t="s">
        <v>1391</v>
      </c>
      <c r="B238" s="4" t="s">
        <v>1391</v>
      </c>
      <c r="C238" s="4" t="s">
        <v>127</v>
      </c>
      <c r="D238" s="4" t="s">
        <v>128</v>
      </c>
      <c r="E238" s="189">
        <v>45476</v>
      </c>
      <c r="F238" s="6">
        <f t="shared" si="13"/>
        <v>2024</v>
      </c>
      <c r="G238" s="4" t="s">
        <v>1191</v>
      </c>
      <c r="H238" s="22" t="str">
        <f>VLOOKUP($G238,'Item Classification'!B:C,2,0)</f>
        <v>Anti-aircraft surface-to-air missile (SAM) system (long-range)</v>
      </c>
      <c r="I238" s="6" t="str">
        <f>VLOOKUP($G238,'Item Classification'!B:D,3,0)</f>
        <v>Air defence system</v>
      </c>
      <c r="J238" s="23">
        <f>VLOOKUP($G238,'Item Classification'!B:E,4,0)</f>
        <v>5</v>
      </c>
      <c r="K238" s="116" t="s">
        <v>211</v>
      </c>
      <c r="L238" s="116" t="s">
        <v>326</v>
      </c>
      <c r="M238" s="116" t="str">
        <f>VLOOKUP(L238,'NATO Classifications'!$D$6:$E$647,2,0)</f>
        <v>Guided Missile Systems, Complete</v>
      </c>
      <c r="N238" s="4">
        <v>3</v>
      </c>
      <c r="O238" s="81">
        <f t="shared" si="14"/>
        <v>350000000</v>
      </c>
      <c r="P238" s="81">
        <f t="shared" si="15"/>
        <v>350000000</v>
      </c>
      <c r="Q238" s="4"/>
      <c r="R238" s="4">
        <v>2030</v>
      </c>
      <c r="S238" s="112">
        <v>1050000000</v>
      </c>
      <c r="T238" s="91" t="s">
        <v>132</v>
      </c>
      <c r="U238" s="104">
        <f>_xlfn.IFNA(S238/INDEX('Exchange Rates'!$C$7:$F$14,MATCH('MAIN DATA, Orders'!F238,'Exchange Rates'!$B$7:$B$14,0),MATCH('MAIN DATA, Orders'!T238,'Exchange Rates'!$C$6:$F$6,0)), "-")</f>
        <v>1050000000</v>
      </c>
      <c r="V238" s="4" t="s">
        <v>133</v>
      </c>
      <c r="W238" s="4" t="s">
        <v>127</v>
      </c>
      <c r="X238" s="4" t="s">
        <v>128</v>
      </c>
      <c r="Y238" s="24">
        <f t="shared" si="16"/>
        <v>202407</v>
      </c>
      <c r="Z238" s="115">
        <v>0</v>
      </c>
      <c r="AA238" s="115">
        <v>0</v>
      </c>
      <c r="AB238" s="115">
        <v>0</v>
      </c>
      <c r="AC238" s="115">
        <v>0</v>
      </c>
      <c r="AD238" s="115">
        <v>0</v>
      </c>
      <c r="AE238" s="115">
        <v>0</v>
      </c>
      <c r="AF238" s="115">
        <v>0</v>
      </c>
      <c r="AG238" s="4" t="s">
        <v>718</v>
      </c>
      <c r="AH238" s="4" t="s">
        <v>196</v>
      </c>
      <c r="AI238" s="4" t="s">
        <v>127</v>
      </c>
      <c r="AJ238" s="4" t="s">
        <v>127</v>
      </c>
      <c r="AK238" s="4" t="s">
        <v>127</v>
      </c>
      <c r="AL238" s="4" t="s">
        <v>127</v>
      </c>
      <c r="AM238" s="4" t="s">
        <v>127</v>
      </c>
      <c r="AN238" s="4" t="s">
        <v>127</v>
      </c>
      <c r="AO238" s="4" t="s">
        <v>127</v>
      </c>
      <c r="AP238" s="4" t="s">
        <v>127</v>
      </c>
      <c r="AQ238" s="4" t="s">
        <v>127</v>
      </c>
      <c r="AR238" s="4" t="s">
        <v>127</v>
      </c>
      <c r="AS238" s="4" t="s">
        <v>127</v>
      </c>
      <c r="AT238" s="4" t="s">
        <v>127</v>
      </c>
      <c r="AU238" s="4" t="s">
        <v>127</v>
      </c>
      <c r="AV238" s="4" t="s">
        <v>127</v>
      </c>
      <c r="AW238" s="4" t="s">
        <v>127</v>
      </c>
      <c r="AX238" s="4" t="s">
        <v>127</v>
      </c>
      <c r="AY238" s="96" t="s">
        <v>1392</v>
      </c>
      <c r="AZ238" s="96" t="s">
        <v>1393</v>
      </c>
      <c r="BA238" s="4" t="s">
        <v>127</v>
      </c>
      <c r="BB238" s="4" t="s">
        <v>1394</v>
      </c>
      <c r="BC238" s="4" t="s">
        <v>1395</v>
      </c>
      <c r="BD238" s="4" t="s">
        <v>1396</v>
      </c>
      <c r="BE238" s="4" t="s">
        <v>127</v>
      </c>
      <c r="BF238" s="4"/>
      <c r="BG238" s="4"/>
      <c r="BH238" s="4"/>
      <c r="BI238" s="4"/>
      <c r="BJ238" s="4"/>
      <c r="BK238" s="4"/>
      <c r="BL238" s="4"/>
      <c r="BM238" s="4"/>
      <c r="BN238" s="4"/>
      <c r="BO238" s="4"/>
    </row>
    <row r="239" spans="1:67" ht="16" x14ac:dyDescent="0.4">
      <c r="A239" s="4" t="s">
        <v>1397</v>
      </c>
      <c r="B239" s="4" t="s">
        <v>1397</v>
      </c>
      <c r="C239" s="4" t="s">
        <v>127</v>
      </c>
      <c r="D239" s="4" t="s">
        <v>128</v>
      </c>
      <c r="E239" s="189">
        <v>45476</v>
      </c>
      <c r="F239" s="6">
        <f t="shared" si="13"/>
        <v>2024</v>
      </c>
      <c r="G239" s="4" t="s">
        <v>1191</v>
      </c>
      <c r="H239" s="22" t="str">
        <f>VLOOKUP($G239,'Item Classification'!B:C,2,0)</f>
        <v>Anti-aircraft surface-to-air missile (SAM) system (long-range)</v>
      </c>
      <c r="I239" s="6" t="str">
        <f>VLOOKUP($G239,'Item Classification'!B:D,3,0)</f>
        <v>Air defence system</v>
      </c>
      <c r="J239" s="23">
        <f>VLOOKUP($G239,'Item Classification'!B:E,4,0)</f>
        <v>5</v>
      </c>
      <c r="K239" s="116" t="s">
        <v>211</v>
      </c>
      <c r="L239" s="116" t="s">
        <v>326</v>
      </c>
      <c r="M239" s="116" t="str">
        <f>VLOOKUP(L239,'NATO Classifications'!$D$6:$E$647,2,0)</f>
        <v>Guided Missile Systems, Complete</v>
      </c>
      <c r="N239" s="4">
        <v>1</v>
      </c>
      <c r="O239" s="81">
        <f t="shared" si="14"/>
        <v>350000000</v>
      </c>
      <c r="P239" s="81">
        <f t="shared" si="15"/>
        <v>350000000</v>
      </c>
      <c r="Q239" s="4"/>
      <c r="R239" s="4">
        <v>2030</v>
      </c>
      <c r="S239" s="112">
        <v>350000000</v>
      </c>
      <c r="T239" s="91" t="s">
        <v>132</v>
      </c>
      <c r="U239" s="104">
        <f>_xlfn.IFNA(S239/INDEX('Exchange Rates'!$C$7:$F$14,MATCH('MAIN DATA, Orders'!F239,'Exchange Rates'!$B$7:$B$14,0),MATCH('MAIN DATA, Orders'!T239,'Exchange Rates'!$C$6:$F$6,0)), "-")</f>
        <v>350000000</v>
      </c>
      <c r="V239" s="4" t="s">
        <v>808</v>
      </c>
      <c r="W239" s="4" t="s">
        <v>682</v>
      </c>
      <c r="X239" s="4" t="s">
        <v>128</v>
      </c>
      <c r="Y239" s="24">
        <f t="shared" si="16"/>
        <v>202407</v>
      </c>
      <c r="Z239" s="115">
        <v>0</v>
      </c>
      <c r="AA239" s="115">
        <v>0</v>
      </c>
      <c r="AB239" s="115">
        <v>0</v>
      </c>
      <c r="AC239" s="115">
        <v>0</v>
      </c>
      <c r="AD239" s="115">
        <v>0</v>
      </c>
      <c r="AE239" s="115">
        <v>0</v>
      </c>
      <c r="AF239" s="115">
        <v>0</v>
      </c>
      <c r="AG239" s="4" t="s">
        <v>718</v>
      </c>
      <c r="AH239" s="4" t="s">
        <v>196</v>
      </c>
      <c r="AI239" s="4" t="s">
        <v>127</v>
      </c>
      <c r="AJ239" s="4" t="s">
        <v>127</v>
      </c>
      <c r="AK239" s="4" t="s">
        <v>127</v>
      </c>
      <c r="AL239" s="4" t="s">
        <v>127</v>
      </c>
      <c r="AM239" s="4" t="s">
        <v>127</v>
      </c>
      <c r="AN239" s="4" t="s">
        <v>127</v>
      </c>
      <c r="AO239" s="4" t="s">
        <v>127</v>
      </c>
      <c r="AP239" s="4" t="s">
        <v>127</v>
      </c>
      <c r="AQ239" s="4" t="s">
        <v>127</v>
      </c>
      <c r="AR239" s="4" t="s">
        <v>127</v>
      </c>
      <c r="AS239" s="4" t="s">
        <v>127</v>
      </c>
      <c r="AT239" s="4" t="s">
        <v>127</v>
      </c>
      <c r="AU239" s="4" t="s">
        <v>127</v>
      </c>
      <c r="AV239" s="4" t="s">
        <v>127</v>
      </c>
      <c r="AW239" s="4" t="s">
        <v>127</v>
      </c>
      <c r="AX239" s="4" t="s">
        <v>127</v>
      </c>
      <c r="AY239" s="96" t="s">
        <v>1392</v>
      </c>
      <c r="AZ239" s="96" t="s">
        <v>1393</v>
      </c>
      <c r="BA239" s="4" t="s">
        <v>127</v>
      </c>
      <c r="BB239" s="4" t="s">
        <v>1394</v>
      </c>
      <c r="BC239" s="4" t="s">
        <v>1395</v>
      </c>
      <c r="BD239" s="4" t="s">
        <v>1396</v>
      </c>
      <c r="BE239" s="4" t="s">
        <v>127</v>
      </c>
      <c r="BF239" s="4"/>
      <c r="BG239" s="4"/>
      <c r="BH239" s="4"/>
      <c r="BI239" s="4"/>
      <c r="BJ239" s="4"/>
      <c r="BK239" s="4"/>
      <c r="BL239" s="4"/>
      <c r="BM239" s="4"/>
      <c r="BN239" s="4"/>
      <c r="BO239" s="4"/>
    </row>
    <row r="240" spans="1:67" ht="16" x14ac:dyDescent="0.4">
      <c r="A240" s="4" t="s">
        <v>1398</v>
      </c>
      <c r="B240" s="4" t="s">
        <v>1398</v>
      </c>
      <c r="C240" s="4" t="s">
        <v>127</v>
      </c>
      <c r="D240" s="4" t="s">
        <v>128</v>
      </c>
      <c r="E240" s="189">
        <v>45476</v>
      </c>
      <c r="F240" s="6">
        <f t="shared" si="13"/>
        <v>2024</v>
      </c>
      <c r="G240" s="4" t="s">
        <v>1151</v>
      </c>
      <c r="H240" s="22" t="str">
        <f>VLOOKUP($G240,'Item Classification'!B:C,2,0)</f>
        <v>Surface-to-air missile (SAM)</v>
      </c>
      <c r="I240" s="6" t="str">
        <f>VLOOKUP($G240,'Item Classification'!B:D,3,0)</f>
        <v>Missile (Land)</v>
      </c>
      <c r="J240" s="23">
        <f>VLOOKUP($G240,'Item Classification'!B:E,4,0)</f>
        <v>6</v>
      </c>
      <c r="K240" s="116" t="s">
        <v>211</v>
      </c>
      <c r="L240" s="116" t="s">
        <v>211</v>
      </c>
      <c r="M240" s="116" t="str">
        <f>VLOOKUP(L240,'NATO Classifications'!$D$6:$E$647,2,0)</f>
        <v>Guided Missiles</v>
      </c>
      <c r="N240" s="4">
        <v>100</v>
      </c>
      <c r="O240" s="81">
        <f t="shared" si="14"/>
        <v>2000000</v>
      </c>
      <c r="P240" s="81">
        <f t="shared" si="15"/>
        <v>2000000</v>
      </c>
      <c r="Q240" s="4">
        <v>2024</v>
      </c>
      <c r="R240" s="4">
        <v>2026</v>
      </c>
      <c r="S240" s="112">
        <v>200000000</v>
      </c>
      <c r="T240" s="91" t="s">
        <v>132</v>
      </c>
      <c r="U240" s="104">
        <f>_xlfn.IFNA(S240/INDEX('Exchange Rates'!$C$7:$F$14,MATCH('MAIN DATA, Orders'!F240,'Exchange Rates'!$B$7:$B$14,0),MATCH('MAIN DATA, Orders'!T240,'Exchange Rates'!$C$6:$F$6,0)), "-")</f>
        <v>200000000</v>
      </c>
      <c r="V240" s="4" t="s">
        <v>808</v>
      </c>
      <c r="W240" s="4" t="s">
        <v>682</v>
      </c>
      <c r="X240" s="4" t="s">
        <v>128</v>
      </c>
      <c r="Y240" s="24">
        <f t="shared" si="16"/>
        <v>202407</v>
      </c>
      <c r="Z240" s="115">
        <v>0</v>
      </c>
      <c r="AA240" s="115">
        <v>0</v>
      </c>
      <c r="AB240" s="115">
        <v>0</v>
      </c>
      <c r="AC240" s="115">
        <v>0</v>
      </c>
      <c r="AD240" s="115">
        <v>0</v>
      </c>
      <c r="AE240" s="115">
        <v>0</v>
      </c>
      <c r="AF240" s="115">
        <v>0</v>
      </c>
      <c r="AG240" s="4" t="s">
        <v>718</v>
      </c>
      <c r="AH240" s="4" t="s">
        <v>196</v>
      </c>
      <c r="AI240" s="4" t="s">
        <v>196</v>
      </c>
      <c r="AJ240" s="4" t="s">
        <v>127</v>
      </c>
      <c r="AK240" s="4" t="s">
        <v>127</v>
      </c>
      <c r="AL240" s="4" t="s">
        <v>127</v>
      </c>
      <c r="AM240" s="4" t="s">
        <v>127</v>
      </c>
      <c r="AN240" s="4" t="s">
        <v>127</v>
      </c>
      <c r="AO240" s="4" t="s">
        <v>127</v>
      </c>
      <c r="AP240" s="4" t="s">
        <v>127</v>
      </c>
      <c r="AQ240" s="4" t="s">
        <v>127</v>
      </c>
      <c r="AR240" s="4" t="s">
        <v>127</v>
      </c>
      <c r="AS240" s="4" t="s">
        <v>127</v>
      </c>
      <c r="AT240" s="4" t="s">
        <v>127</v>
      </c>
      <c r="AU240" s="4" t="s">
        <v>127</v>
      </c>
      <c r="AV240" s="4" t="s">
        <v>127</v>
      </c>
      <c r="AW240" s="4" t="s">
        <v>127</v>
      </c>
      <c r="AX240" s="4" t="s">
        <v>127</v>
      </c>
      <c r="AY240" s="111" t="s">
        <v>1392</v>
      </c>
      <c r="AZ240" s="96" t="s">
        <v>1399</v>
      </c>
      <c r="BA240" s="96" t="s">
        <v>1400</v>
      </c>
      <c r="BB240" s="4" t="s">
        <v>1401</v>
      </c>
      <c r="BC240" s="4" t="s">
        <v>1402</v>
      </c>
      <c r="BD240" s="4" t="s">
        <v>127</v>
      </c>
      <c r="BE240" s="4" t="s">
        <v>127</v>
      </c>
      <c r="BF240" s="4"/>
      <c r="BG240" s="4"/>
      <c r="BH240" s="4"/>
      <c r="BI240" s="4"/>
      <c r="BJ240" s="4"/>
      <c r="BK240" s="4"/>
      <c r="BL240" s="4"/>
      <c r="BM240" s="4"/>
      <c r="BN240" s="4"/>
      <c r="BO240" s="4"/>
    </row>
    <row r="241" spans="1:67" ht="16" x14ac:dyDescent="0.4">
      <c r="A241" s="4" t="s">
        <v>1403</v>
      </c>
      <c r="B241" s="4" t="s">
        <v>1403</v>
      </c>
      <c r="C241" s="4" t="s">
        <v>127</v>
      </c>
      <c r="D241" s="4" t="s">
        <v>128</v>
      </c>
      <c r="E241" s="189">
        <v>45560</v>
      </c>
      <c r="F241" s="6">
        <f t="shared" si="13"/>
        <v>2024</v>
      </c>
      <c r="G241" s="4" t="s">
        <v>714</v>
      </c>
      <c r="H241" s="22" t="str">
        <f>VLOOKUP($G241,'Item Classification'!B:C,2,0)</f>
        <v>Naval guided surface-to-air missile (SAM)</v>
      </c>
      <c r="I241" s="6" t="str">
        <f>VLOOKUP($G241,'Item Classification'!B:D,3,0)</f>
        <v>Missile (Naval)</v>
      </c>
      <c r="J241" s="23">
        <f>VLOOKUP($G241,'Item Classification'!B:E,4,0)</f>
        <v>6</v>
      </c>
      <c r="K241" s="116" t="s">
        <v>211</v>
      </c>
      <c r="L241" s="116" t="s">
        <v>211</v>
      </c>
      <c r="M241" s="116" t="str">
        <f>VLOOKUP(L241,'NATO Classifications'!$D$6:$E$647,2,0)</f>
        <v>Guided Missiles</v>
      </c>
      <c r="N241" s="4">
        <v>400</v>
      </c>
      <c r="O241" s="81">
        <f t="shared" si="14"/>
        <v>931500</v>
      </c>
      <c r="P241" s="81">
        <f t="shared" si="15"/>
        <v>931500</v>
      </c>
      <c r="Q241" s="4">
        <v>2029</v>
      </c>
      <c r="R241" s="4">
        <v>2031</v>
      </c>
      <c r="S241" s="112">
        <v>372600000</v>
      </c>
      <c r="T241" s="91" t="s">
        <v>132</v>
      </c>
      <c r="U241" s="104">
        <f>_xlfn.IFNA(S241/INDEX('Exchange Rates'!$C$7:$F$14,MATCH('MAIN DATA, Orders'!F241,'Exchange Rates'!$B$7:$B$14,0),MATCH('MAIN DATA, Orders'!T241,'Exchange Rates'!$C$6:$F$6,0)), "-")</f>
        <v>372600000</v>
      </c>
      <c r="V241" s="4" t="s">
        <v>682</v>
      </c>
      <c r="W241" s="4" t="s">
        <v>133</v>
      </c>
      <c r="X241" s="4" t="s">
        <v>128</v>
      </c>
      <c r="Y241" s="24">
        <f t="shared" si="16"/>
        <v>202409</v>
      </c>
      <c r="Z241" s="115">
        <v>0</v>
      </c>
      <c r="AA241" s="115">
        <v>0</v>
      </c>
      <c r="AB241" s="115">
        <v>0</v>
      </c>
      <c r="AC241" s="115">
        <v>1</v>
      </c>
      <c r="AD241" s="115">
        <v>0</v>
      </c>
      <c r="AE241" s="115">
        <v>1</v>
      </c>
      <c r="AF241" s="115">
        <v>1</v>
      </c>
      <c r="AG241" s="4" t="s">
        <v>715</v>
      </c>
      <c r="AH241" s="4" t="s">
        <v>128</v>
      </c>
      <c r="AI241" s="4" t="s">
        <v>127</v>
      </c>
      <c r="AJ241" s="4" t="s">
        <v>191</v>
      </c>
      <c r="AK241" s="4" t="s">
        <v>717</v>
      </c>
      <c r="AL241" s="4" t="s">
        <v>718</v>
      </c>
      <c r="AM241" s="4" t="s">
        <v>127</v>
      </c>
      <c r="AN241" s="4" t="s">
        <v>196</v>
      </c>
      <c r="AO241" s="4" t="s">
        <v>127</v>
      </c>
      <c r="AP241" s="4" t="s">
        <v>127</v>
      </c>
      <c r="AQ241" s="4" t="s">
        <v>127</v>
      </c>
      <c r="AR241" s="4" t="s">
        <v>127</v>
      </c>
      <c r="AS241" s="4" t="s">
        <v>127</v>
      </c>
      <c r="AT241" s="4" t="s">
        <v>127</v>
      </c>
      <c r="AU241" s="4" t="s">
        <v>127</v>
      </c>
      <c r="AV241" s="4" t="s">
        <v>127</v>
      </c>
      <c r="AW241" s="4" t="s">
        <v>127</v>
      </c>
      <c r="AX241" s="4" t="s">
        <v>127</v>
      </c>
      <c r="AY241" s="111" t="s">
        <v>1404</v>
      </c>
      <c r="AZ241" s="111" t="s">
        <v>1405</v>
      </c>
      <c r="BA241" s="111" t="s">
        <v>1406</v>
      </c>
      <c r="BB241" s="4" t="s">
        <v>1407</v>
      </c>
      <c r="BC241" s="4" t="s">
        <v>1408</v>
      </c>
      <c r="BD241" s="4" t="s">
        <v>1409</v>
      </c>
      <c r="BE241" s="4" t="s">
        <v>127</v>
      </c>
      <c r="BF241" s="4"/>
      <c r="BG241" s="4"/>
      <c r="BH241" s="4"/>
      <c r="BI241" s="4"/>
      <c r="BJ241" s="4"/>
      <c r="BK241" s="4"/>
      <c r="BL241" s="4"/>
      <c r="BM241" s="4"/>
      <c r="BN241" s="4"/>
      <c r="BO241" s="4"/>
    </row>
    <row r="242" spans="1:67" ht="16" x14ac:dyDescent="0.4">
      <c r="A242" s="4" t="s">
        <v>1410</v>
      </c>
      <c r="B242" s="4" t="s">
        <v>1410</v>
      </c>
      <c r="C242" s="4" t="s">
        <v>127</v>
      </c>
      <c r="D242" s="4" t="s">
        <v>128</v>
      </c>
      <c r="E242" s="189">
        <v>45560</v>
      </c>
      <c r="F242" s="6">
        <f t="shared" si="13"/>
        <v>2024</v>
      </c>
      <c r="G242" s="4" t="s">
        <v>724</v>
      </c>
      <c r="H242" s="22" t="str">
        <f>VLOOKUP($G242,'Item Classification'!B:C,2,0)</f>
        <v>Naval guided surface-to-air missile (SAM) - additional services</v>
      </c>
      <c r="I242" s="6" t="str">
        <f>VLOOKUP($G242,'Item Classification'!B:D,3,0)</f>
        <v>Missile (Naval)</v>
      </c>
      <c r="J242" s="23">
        <f>VLOOKUP($G242,'Item Classification'!B:E,4,0)</f>
        <v>6</v>
      </c>
      <c r="K242" s="116" t="s">
        <v>211</v>
      </c>
      <c r="L242" s="116" t="s">
        <v>211</v>
      </c>
      <c r="M242" s="116" t="str">
        <f>VLOOKUP(L242,'NATO Classifications'!$D$6:$E$647,2,0)</f>
        <v>Guided Missiles</v>
      </c>
      <c r="N242" s="4"/>
      <c r="O242" s="81"/>
      <c r="P242" s="81"/>
      <c r="Q242" s="4">
        <v>2029</v>
      </c>
      <c r="R242" s="4">
        <v>2031</v>
      </c>
      <c r="S242" s="112">
        <v>26000000</v>
      </c>
      <c r="T242" s="91" t="s">
        <v>132</v>
      </c>
      <c r="U242" s="104">
        <f>_xlfn.IFNA(S242/INDEX('Exchange Rates'!$C$7:$F$14,MATCH('MAIN DATA, Orders'!F242,'Exchange Rates'!$B$7:$B$14,0),MATCH('MAIN DATA, Orders'!T242,'Exchange Rates'!$C$6:$F$6,0)), "-")</f>
        <v>26000000</v>
      </c>
      <c r="V242" s="4" t="s">
        <v>682</v>
      </c>
      <c r="W242" s="4" t="s">
        <v>133</v>
      </c>
      <c r="X242" s="4" t="s">
        <v>128</v>
      </c>
      <c r="Y242" s="24">
        <f t="shared" si="16"/>
        <v>202409</v>
      </c>
      <c r="Z242" s="115">
        <v>0</v>
      </c>
      <c r="AA242" s="115">
        <v>0</v>
      </c>
      <c r="AB242" s="115">
        <v>0</v>
      </c>
      <c r="AC242" s="115">
        <v>1</v>
      </c>
      <c r="AD242" s="115">
        <v>0</v>
      </c>
      <c r="AE242" s="115">
        <v>1</v>
      </c>
      <c r="AF242" s="115">
        <v>1</v>
      </c>
      <c r="AG242" s="4" t="s">
        <v>715</v>
      </c>
      <c r="AH242" s="4" t="s">
        <v>128</v>
      </c>
      <c r="AI242" s="4" t="s">
        <v>127</v>
      </c>
      <c r="AJ242" s="4" t="s">
        <v>191</v>
      </c>
      <c r="AK242" s="4" t="s">
        <v>717</v>
      </c>
      <c r="AL242" s="4" t="s">
        <v>718</v>
      </c>
      <c r="AM242" s="4" t="s">
        <v>127</v>
      </c>
      <c r="AN242" s="4" t="s">
        <v>196</v>
      </c>
      <c r="AO242" s="4" t="s">
        <v>127</v>
      </c>
      <c r="AP242" s="4" t="s">
        <v>127</v>
      </c>
      <c r="AQ242" s="4" t="s">
        <v>127</v>
      </c>
      <c r="AR242" s="4" t="s">
        <v>127</v>
      </c>
      <c r="AS242" s="4" t="s">
        <v>127</v>
      </c>
      <c r="AT242" s="4" t="s">
        <v>127</v>
      </c>
      <c r="AU242" s="4" t="s">
        <v>127</v>
      </c>
      <c r="AV242" s="4" t="s">
        <v>127</v>
      </c>
      <c r="AW242" s="4" t="s">
        <v>127</v>
      </c>
      <c r="AX242" s="4" t="s">
        <v>127</v>
      </c>
      <c r="AY242" s="96" t="s">
        <v>1404</v>
      </c>
      <c r="AZ242" s="4" t="s">
        <v>127</v>
      </c>
      <c r="BA242" s="4" t="s">
        <v>127</v>
      </c>
      <c r="BB242" s="4" t="s">
        <v>1411</v>
      </c>
      <c r="BC242" s="4" t="s">
        <v>127</v>
      </c>
      <c r="BD242" s="4" t="s">
        <v>127</v>
      </c>
      <c r="BE242" s="4" t="s">
        <v>127</v>
      </c>
      <c r="BF242" s="4"/>
      <c r="BG242" s="4"/>
      <c r="BH242" s="4"/>
      <c r="BI242" s="4"/>
      <c r="BJ242" s="4"/>
      <c r="BK242" s="4"/>
      <c r="BL242" s="4"/>
      <c r="BM242" s="4"/>
      <c r="BN242" s="4"/>
      <c r="BO242" s="4"/>
    </row>
    <row r="243" spans="1:67" ht="16" x14ac:dyDescent="0.4">
      <c r="A243" s="4" t="s">
        <v>1412</v>
      </c>
      <c r="B243" s="4" t="s">
        <v>1412</v>
      </c>
      <c r="C243" s="4" t="s">
        <v>127</v>
      </c>
      <c r="D243" s="4" t="s">
        <v>128</v>
      </c>
      <c r="E243" s="189">
        <v>45560</v>
      </c>
      <c r="F243" s="6">
        <f t="shared" si="13"/>
        <v>2024</v>
      </c>
      <c r="G243" s="4" t="s">
        <v>1254</v>
      </c>
      <c r="H243" s="22" t="str">
        <f>VLOOKUP($G243,'Item Classification'!B:C,2,0)</f>
        <v>Air-to-air missile (AAM)</v>
      </c>
      <c r="I243" s="6" t="str">
        <f>VLOOKUP($G243,'Item Classification'!B:D,3,0)</f>
        <v>Missile (Air)</v>
      </c>
      <c r="J243" s="23">
        <f>VLOOKUP($G243,'Item Classification'!B:E,4,0)</f>
        <v>6</v>
      </c>
      <c r="K243" s="116" t="s">
        <v>211</v>
      </c>
      <c r="L243" s="116" t="s">
        <v>211</v>
      </c>
      <c r="M243" s="116" t="str">
        <f>VLOOKUP(L243,'NATO Classifications'!$D$6:$E$647,2,0)</f>
        <v>Guided Missiles</v>
      </c>
      <c r="N243" s="4"/>
      <c r="O243" s="81"/>
      <c r="P243" s="81"/>
      <c r="Q243" s="4">
        <v>2029</v>
      </c>
      <c r="R243" s="4">
        <v>2032</v>
      </c>
      <c r="S243" s="112">
        <v>122000000</v>
      </c>
      <c r="T243" s="91" t="s">
        <v>132</v>
      </c>
      <c r="U243" s="104">
        <f>_xlfn.IFNA(S243/INDEX('Exchange Rates'!$C$7:$F$14,MATCH('MAIN DATA, Orders'!F243,'Exchange Rates'!$B$7:$B$14,0),MATCH('MAIN DATA, Orders'!T243,'Exchange Rates'!$C$6:$F$6,0)), "-")</f>
        <v>122000000</v>
      </c>
      <c r="V243" s="4" t="s">
        <v>682</v>
      </c>
      <c r="W243" s="4" t="s">
        <v>133</v>
      </c>
      <c r="X243" s="4" t="s">
        <v>128</v>
      </c>
      <c r="Y243" s="24">
        <f t="shared" si="16"/>
        <v>202409</v>
      </c>
      <c r="Z243" s="115">
        <v>1</v>
      </c>
      <c r="AA243" s="115">
        <v>0</v>
      </c>
      <c r="AB243" s="115">
        <v>0</v>
      </c>
      <c r="AC243" s="115">
        <v>0</v>
      </c>
      <c r="AD243" s="115">
        <v>0</v>
      </c>
      <c r="AE243" s="115">
        <v>0</v>
      </c>
      <c r="AF243" s="115">
        <v>0</v>
      </c>
      <c r="AG243" s="4" t="s">
        <v>718</v>
      </c>
      <c r="AH243" s="4" t="s">
        <v>196</v>
      </c>
      <c r="AI243" s="4" t="s">
        <v>196</v>
      </c>
      <c r="AJ243" s="4" t="s">
        <v>127</v>
      </c>
      <c r="AK243" s="4" t="s">
        <v>127</v>
      </c>
      <c r="AL243" s="4" t="s">
        <v>127</v>
      </c>
      <c r="AM243" s="4" t="s">
        <v>127</v>
      </c>
      <c r="AN243" s="4" t="s">
        <v>127</v>
      </c>
      <c r="AO243" s="4" t="s">
        <v>127</v>
      </c>
      <c r="AP243" s="4" t="s">
        <v>127</v>
      </c>
      <c r="AQ243" s="4" t="s">
        <v>127</v>
      </c>
      <c r="AR243" s="4" t="s">
        <v>127</v>
      </c>
      <c r="AS243" s="4" t="s">
        <v>127</v>
      </c>
      <c r="AT243" s="4" t="s">
        <v>127</v>
      </c>
      <c r="AU243" s="4" t="s">
        <v>127</v>
      </c>
      <c r="AV243" s="4" t="s">
        <v>127</v>
      </c>
      <c r="AW243" s="4" t="s">
        <v>127</v>
      </c>
      <c r="AX243" s="4" t="s">
        <v>127</v>
      </c>
      <c r="AY243" s="96" t="s">
        <v>1404</v>
      </c>
      <c r="AZ243" s="96" t="s">
        <v>1406</v>
      </c>
      <c r="BA243" s="4" t="s">
        <v>127</v>
      </c>
      <c r="BB243" s="4" t="s">
        <v>1413</v>
      </c>
      <c r="BC243" s="4" t="s">
        <v>1414</v>
      </c>
      <c r="BD243" s="4" t="s">
        <v>127</v>
      </c>
      <c r="BE243" s="4" t="s">
        <v>127</v>
      </c>
      <c r="BF243" s="4"/>
      <c r="BG243" s="4"/>
      <c r="BH243" s="4"/>
      <c r="BI243" s="4"/>
      <c r="BJ243" s="4"/>
      <c r="BK243" s="4"/>
      <c r="BL243" s="4"/>
      <c r="BM243" s="4"/>
      <c r="BN243" s="4"/>
      <c r="BO243" s="4"/>
    </row>
    <row r="244" spans="1:67" ht="16" x14ac:dyDescent="0.4">
      <c r="A244" s="4" t="s">
        <v>1415</v>
      </c>
      <c r="B244" s="4" t="s">
        <v>1415</v>
      </c>
      <c r="C244" s="4" t="s">
        <v>166</v>
      </c>
      <c r="D244" s="4" t="s">
        <v>128</v>
      </c>
      <c r="E244" s="189">
        <v>45560</v>
      </c>
      <c r="F244" s="6">
        <f t="shared" si="13"/>
        <v>2024</v>
      </c>
      <c r="G244" s="4" t="s">
        <v>1416</v>
      </c>
      <c r="H244" s="22" t="str">
        <f>VLOOKUP($G244,'Item Classification'!B:C,2,0)</f>
        <v>Communication and digitalisation</v>
      </c>
      <c r="I244" s="6" t="str">
        <f>VLOOKUP($G244,'Item Classification'!B:D,3,0)</f>
        <v>Modernisation</v>
      </c>
      <c r="J244" s="23">
        <f>VLOOKUP($G244,'Item Classification'!B:E,4,0)</f>
        <v>13</v>
      </c>
      <c r="K244" s="116" t="s">
        <v>168</v>
      </c>
      <c r="L244" s="116" t="s">
        <v>182</v>
      </c>
      <c r="M244" s="116" t="str">
        <f>VLOOKUP(L244,'NATO Classifications'!$D$6:$E$647,2,0)</f>
        <v>ADP Software</v>
      </c>
      <c r="N244" s="4"/>
      <c r="O244" s="81"/>
      <c r="P244" s="81"/>
      <c r="Q244" s="4"/>
      <c r="R244" s="4"/>
      <c r="S244" s="112">
        <v>80000000</v>
      </c>
      <c r="T244" s="91" t="s">
        <v>132</v>
      </c>
      <c r="U244" s="104">
        <f>_xlfn.IFNA(S244/INDEX('Exchange Rates'!$C$7:$F$14,MATCH('MAIN DATA, Orders'!F244,'Exchange Rates'!$B$7:$B$14,0),MATCH('MAIN DATA, Orders'!T244,'Exchange Rates'!$C$6:$F$6,0)), "-")</f>
        <v>80000000</v>
      </c>
      <c r="V244" s="4" t="s">
        <v>682</v>
      </c>
      <c r="W244" s="4" t="s">
        <v>133</v>
      </c>
      <c r="X244" s="4" t="s">
        <v>128</v>
      </c>
      <c r="Y244" s="24">
        <f t="shared" si="16"/>
        <v>202409</v>
      </c>
      <c r="Z244" s="115">
        <v>0</v>
      </c>
      <c r="AA244" s="115">
        <v>1</v>
      </c>
      <c r="AB244" s="115">
        <v>0</v>
      </c>
      <c r="AC244" s="115">
        <v>1</v>
      </c>
      <c r="AD244" s="115">
        <v>0</v>
      </c>
      <c r="AE244" s="115">
        <v>0</v>
      </c>
      <c r="AF244" s="115">
        <v>0</v>
      </c>
      <c r="AG244" s="4" t="s">
        <v>166</v>
      </c>
      <c r="AH244" s="4" t="s">
        <v>128</v>
      </c>
      <c r="AI244" s="4" t="s">
        <v>127</v>
      </c>
      <c r="AJ244" s="4" t="s">
        <v>127</v>
      </c>
      <c r="AK244" s="4" t="s">
        <v>127</v>
      </c>
      <c r="AL244" s="4" t="s">
        <v>127</v>
      </c>
      <c r="AM244" s="4" t="s">
        <v>127</v>
      </c>
      <c r="AN244" s="4" t="s">
        <v>127</v>
      </c>
      <c r="AO244" s="4" t="s">
        <v>127</v>
      </c>
      <c r="AP244" s="4" t="s">
        <v>127</v>
      </c>
      <c r="AQ244" s="4" t="s">
        <v>127</v>
      </c>
      <c r="AR244" s="4" t="s">
        <v>127</v>
      </c>
      <c r="AS244" s="4" t="s">
        <v>127</v>
      </c>
      <c r="AT244" s="4" t="s">
        <v>127</v>
      </c>
      <c r="AU244" s="4" t="s">
        <v>127</v>
      </c>
      <c r="AV244" s="4" t="s">
        <v>127</v>
      </c>
      <c r="AW244" s="4" t="s">
        <v>127</v>
      </c>
      <c r="AX244" s="4" t="s">
        <v>127</v>
      </c>
      <c r="AY244" s="111" t="s">
        <v>1417</v>
      </c>
      <c r="AZ244" s="111" t="s">
        <v>1406</v>
      </c>
      <c r="BA244" s="4" t="s">
        <v>127</v>
      </c>
      <c r="BB244" s="4" t="s">
        <v>1418</v>
      </c>
      <c r="BC244" s="4" t="s">
        <v>1419</v>
      </c>
      <c r="BD244" s="4" t="s">
        <v>127</v>
      </c>
      <c r="BE244" s="4" t="s">
        <v>127</v>
      </c>
      <c r="BF244" s="4"/>
      <c r="BG244" s="4"/>
      <c r="BH244" s="4"/>
      <c r="BI244" s="4"/>
      <c r="BJ244" s="4"/>
      <c r="BK244" s="4"/>
      <c r="BL244" s="4"/>
      <c r="BM244" s="4"/>
      <c r="BN244" s="4"/>
      <c r="BO244" s="4"/>
    </row>
    <row r="245" spans="1:67" ht="16" x14ac:dyDescent="0.4">
      <c r="A245" s="4" t="s">
        <v>1420</v>
      </c>
      <c r="B245" s="4" t="s">
        <v>1420</v>
      </c>
      <c r="C245" s="4" t="s">
        <v>127</v>
      </c>
      <c r="D245" s="4" t="s">
        <v>128</v>
      </c>
      <c r="E245" s="189">
        <v>45560</v>
      </c>
      <c r="F245" s="6">
        <f t="shared" si="13"/>
        <v>2024</v>
      </c>
      <c r="G245" s="4" t="s">
        <v>127</v>
      </c>
      <c r="H245" s="22" t="s">
        <v>817</v>
      </c>
      <c r="I245" s="6" t="s">
        <v>659</v>
      </c>
      <c r="J245" s="23">
        <v>13</v>
      </c>
      <c r="K245" s="116" t="s">
        <v>158</v>
      </c>
      <c r="L245" s="116" t="s">
        <v>567</v>
      </c>
      <c r="M245" s="116" t="str">
        <f>VLOOKUP(L245,'NATO Classifications'!$D$6:$E$647,2,0)</f>
        <v>Communication, Detection, and Coherent Radiation Equipment (other)</v>
      </c>
      <c r="N245" s="4"/>
      <c r="O245" s="81"/>
      <c r="P245" s="81"/>
      <c r="Q245" s="4"/>
      <c r="R245" s="4"/>
      <c r="S245" s="112">
        <v>351400000</v>
      </c>
      <c r="T245" s="91" t="s">
        <v>132</v>
      </c>
      <c r="U245" s="104">
        <f>_xlfn.IFNA(S245/INDEX('Exchange Rates'!$C$7:$F$14,MATCH('MAIN DATA, Orders'!F245,'Exchange Rates'!$B$7:$B$14,0),MATCH('MAIN DATA, Orders'!T245,'Exchange Rates'!$C$6:$F$6,0)), "-")</f>
        <v>351400000</v>
      </c>
      <c r="V245" s="4" t="s">
        <v>682</v>
      </c>
      <c r="W245" s="4" t="s">
        <v>133</v>
      </c>
      <c r="X245" s="4" t="s">
        <v>128</v>
      </c>
      <c r="Y245" s="24">
        <f t="shared" si="16"/>
        <v>202409</v>
      </c>
      <c r="Z245" s="115">
        <v>0</v>
      </c>
      <c r="AA245" s="115">
        <v>0</v>
      </c>
      <c r="AB245" s="115">
        <v>0</v>
      </c>
      <c r="AC245" s="115">
        <v>0</v>
      </c>
      <c r="AD245" s="115">
        <v>0</v>
      </c>
      <c r="AE245" s="115">
        <v>0</v>
      </c>
      <c r="AF245" s="115">
        <v>0</v>
      </c>
      <c r="AG245" s="4" t="s">
        <v>1421</v>
      </c>
      <c r="AH245" s="4" t="s">
        <v>196</v>
      </c>
      <c r="AI245" s="4" t="s">
        <v>196</v>
      </c>
      <c r="AJ245" s="4" t="s">
        <v>127</v>
      </c>
      <c r="AK245" s="4" t="s">
        <v>127</v>
      </c>
      <c r="AL245" s="4" t="s">
        <v>127</v>
      </c>
      <c r="AM245" s="4" t="s">
        <v>127</v>
      </c>
      <c r="AN245" s="4" t="s">
        <v>127</v>
      </c>
      <c r="AO245" s="4" t="s">
        <v>127</v>
      </c>
      <c r="AP245" s="4" t="s">
        <v>127</v>
      </c>
      <c r="AQ245" s="4" t="s">
        <v>127</v>
      </c>
      <c r="AR245" s="4" t="s">
        <v>127</v>
      </c>
      <c r="AS245" s="4" t="s">
        <v>127</v>
      </c>
      <c r="AT245" s="4" t="s">
        <v>127</v>
      </c>
      <c r="AU245" s="4" t="s">
        <v>127</v>
      </c>
      <c r="AV245" s="4" t="s">
        <v>127</v>
      </c>
      <c r="AW245" s="4" t="s">
        <v>127</v>
      </c>
      <c r="AX245" s="4" t="s">
        <v>127</v>
      </c>
      <c r="AY245" s="96" t="s">
        <v>1417</v>
      </c>
      <c r="AZ245" s="96" t="s">
        <v>1406</v>
      </c>
      <c r="BA245" s="4" t="s">
        <v>127</v>
      </c>
      <c r="BB245" s="4" t="s">
        <v>1422</v>
      </c>
      <c r="BC245" s="4" t="s">
        <v>1423</v>
      </c>
      <c r="BD245" s="4" t="s">
        <v>127</v>
      </c>
      <c r="BE245" s="4" t="s">
        <v>127</v>
      </c>
      <c r="BF245" s="4" t="s">
        <v>200</v>
      </c>
      <c r="BG245" s="4" t="s">
        <v>200</v>
      </c>
      <c r="BH245" s="4" t="s">
        <v>200</v>
      </c>
      <c r="BI245" s="4" t="s">
        <v>200</v>
      </c>
      <c r="BJ245" s="4" t="s">
        <v>200</v>
      </c>
      <c r="BK245" s="4" t="s">
        <v>200</v>
      </c>
      <c r="BL245" s="4" t="s">
        <v>200</v>
      </c>
      <c r="BM245" s="4" t="s">
        <v>200</v>
      </c>
      <c r="BN245" s="4" t="s">
        <v>200</v>
      </c>
      <c r="BO245" s="4" t="s">
        <v>200</v>
      </c>
    </row>
    <row r="246" spans="1:67" ht="16" x14ac:dyDescent="0.4">
      <c r="A246" s="4" t="s">
        <v>1420</v>
      </c>
      <c r="B246" s="4" t="s">
        <v>1424</v>
      </c>
      <c r="C246" s="4" t="s">
        <v>127</v>
      </c>
      <c r="D246" s="4" t="s">
        <v>128</v>
      </c>
      <c r="E246" s="189">
        <v>45560</v>
      </c>
      <c r="F246" s="6">
        <f t="shared" si="13"/>
        <v>2024</v>
      </c>
      <c r="G246" s="4" t="s">
        <v>1425</v>
      </c>
      <c r="H246" s="22" t="str">
        <f>VLOOKUP($G246,'Item Classification'!B:C,2,0)</f>
        <v>Communication equipment</v>
      </c>
      <c r="I246" s="6" t="str">
        <f>VLOOKUP($G246,'Item Classification'!B:D,3,0)</f>
        <v>Modernisation</v>
      </c>
      <c r="J246" s="23">
        <f>VLOOKUP($G246,'Item Classification'!B:E,4,0)</f>
        <v>13</v>
      </c>
      <c r="K246" s="116" t="s">
        <v>158</v>
      </c>
      <c r="L246" s="116" t="s">
        <v>567</v>
      </c>
      <c r="M246" s="116" t="str">
        <f>VLOOKUP(L246,'NATO Classifications'!$D$6:$E$647,2,0)</f>
        <v>Communication, Detection, and Coherent Radiation Equipment (other)</v>
      </c>
      <c r="N246" s="4">
        <v>3000</v>
      </c>
      <c r="O246" s="81"/>
      <c r="P246" s="81"/>
      <c r="Q246" s="4"/>
      <c r="R246" s="4"/>
      <c r="S246" s="4"/>
      <c r="T246" s="91" t="s">
        <v>132</v>
      </c>
      <c r="U246" s="104">
        <f>_xlfn.IFNA(S246/INDEX('Exchange Rates'!$C$7:$F$14,MATCH('MAIN DATA, Orders'!F246,'Exchange Rates'!$B$7:$B$14,0),MATCH('MAIN DATA, Orders'!T246,'Exchange Rates'!$C$6:$F$6,0)), "-")</f>
        <v>0</v>
      </c>
      <c r="V246" s="4" t="s">
        <v>682</v>
      </c>
      <c r="W246" s="4" t="s">
        <v>133</v>
      </c>
      <c r="X246" s="4" t="s">
        <v>128</v>
      </c>
      <c r="Y246" s="24">
        <f t="shared" si="16"/>
        <v>202409</v>
      </c>
      <c r="Z246" s="115">
        <v>0</v>
      </c>
      <c r="AA246" s="115">
        <v>0</v>
      </c>
      <c r="AB246" s="115">
        <v>0</v>
      </c>
      <c r="AC246" s="115">
        <v>0</v>
      </c>
      <c r="AD246" s="115">
        <v>0</v>
      </c>
      <c r="AE246" s="115">
        <v>0</v>
      </c>
      <c r="AF246" s="115">
        <v>0</v>
      </c>
      <c r="AG246" s="4" t="s">
        <v>1421</v>
      </c>
      <c r="AH246" s="4" t="s">
        <v>196</v>
      </c>
      <c r="AI246" s="4" t="s">
        <v>196</v>
      </c>
      <c r="AJ246" s="4" t="s">
        <v>127</v>
      </c>
      <c r="AK246" s="4" t="s">
        <v>127</v>
      </c>
      <c r="AL246" s="4" t="s">
        <v>127</v>
      </c>
      <c r="AM246" s="4" t="s">
        <v>127</v>
      </c>
      <c r="AN246" s="4" t="s">
        <v>127</v>
      </c>
      <c r="AO246" s="4" t="s">
        <v>127</v>
      </c>
      <c r="AP246" s="4" t="s">
        <v>127</v>
      </c>
      <c r="AQ246" s="4" t="s">
        <v>127</v>
      </c>
      <c r="AR246" s="4" t="s">
        <v>127</v>
      </c>
      <c r="AS246" s="4" t="s">
        <v>127</v>
      </c>
      <c r="AT246" s="4" t="s">
        <v>127</v>
      </c>
      <c r="AU246" s="4" t="s">
        <v>127</v>
      </c>
      <c r="AV246" s="4" t="s">
        <v>127</v>
      </c>
      <c r="AW246" s="4" t="s">
        <v>127</v>
      </c>
      <c r="AX246" s="4" t="s">
        <v>127</v>
      </c>
      <c r="AY246" s="96" t="s">
        <v>1417</v>
      </c>
      <c r="AZ246" s="96" t="s">
        <v>1406</v>
      </c>
      <c r="BA246" s="4" t="s">
        <v>127</v>
      </c>
      <c r="BB246" s="4" t="s">
        <v>1422</v>
      </c>
      <c r="BC246" s="4" t="s">
        <v>1423</v>
      </c>
      <c r="BD246" s="4" t="s">
        <v>127</v>
      </c>
      <c r="BE246" s="4" t="s">
        <v>127</v>
      </c>
      <c r="BF246" s="4" t="s">
        <v>200</v>
      </c>
      <c r="BG246" s="4" t="s">
        <v>200</v>
      </c>
      <c r="BH246" s="4" t="s">
        <v>200</v>
      </c>
      <c r="BI246" s="4" t="s">
        <v>200</v>
      </c>
      <c r="BJ246" s="4" t="s">
        <v>200</v>
      </c>
      <c r="BK246" s="4" t="s">
        <v>200</v>
      </c>
      <c r="BL246" s="4" t="s">
        <v>200</v>
      </c>
      <c r="BM246" s="4" t="s">
        <v>200</v>
      </c>
      <c r="BN246" s="4" t="s">
        <v>200</v>
      </c>
      <c r="BO246" s="4" t="s">
        <v>200</v>
      </c>
    </row>
    <row r="247" spans="1:67" ht="16" x14ac:dyDescent="0.4">
      <c r="A247" s="4" t="s">
        <v>1420</v>
      </c>
      <c r="B247" s="4" t="s">
        <v>1426</v>
      </c>
      <c r="C247" s="4" t="s">
        <v>127</v>
      </c>
      <c r="D247" s="4" t="s">
        <v>128</v>
      </c>
      <c r="E247" s="189">
        <v>45560</v>
      </c>
      <c r="F247" s="6">
        <f t="shared" si="13"/>
        <v>2024</v>
      </c>
      <c r="G247" s="4" t="s">
        <v>1427</v>
      </c>
      <c r="H247" s="22" t="str">
        <f>VLOOKUP($G247,'Item Classification'!B:C,2,0)</f>
        <v>Communication equipment</v>
      </c>
      <c r="I247" s="6" t="str">
        <f>VLOOKUP($G247,'Item Classification'!B:D,3,0)</f>
        <v>Modernisation</v>
      </c>
      <c r="J247" s="23">
        <f>VLOOKUP($G247,'Item Classification'!B:E,4,0)</f>
        <v>13</v>
      </c>
      <c r="K247" s="116" t="s">
        <v>158</v>
      </c>
      <c r="L247" s="116" t="s">
        <v>567</v>
      </c>
      <c r="M247" s="116" t="str">
        <f>VLOOKUP(L247,'NATO Classifications'!$D$6:$E$647,2,0)</f>
        <v>Communication, Detection, and Coherent Radiation Equipment (other)</v>
      </c>
      <c r="N247" s="4">
        <v>3000</v>
      </c>
      <c r="O247" s="81"/>
      <c r="P247" s="81"/>
      <c r="Q247" s="4"/>
      <c r="R247" s="4"/>
      <c r="S247" s="4"/>
      <c r="T247" s="91" t="s">
        <v>132</v>
      </c>
      <c r="U247" s="104">
        <f>_xlfn.IFNA(S247/INDEX('Exchange Rates'!$C$7:$F$14,MATCH('MAIN DATA, Orders'!F247,'Exchange Rates'!$B$7:$B$14,0),MATCH('MAIN DATA, Orders'!T247,'Exchange Rates'!$C$6:$F$6,0)), "-")</f>
        <v>0</v>
      </c>
      <c r="V247" s="4" t="s">
        <v>682</v>
      </c>
      <c r="W247" s="4" t="s">
        <v>133</v>
      </c>
      <c r="X247" s="4" t="s">
        <v>128</v>
      </c>
      <c r="Y247" s="24">
        <f t="shared" si="16"/>
        <v>202409</v>
      </c>
      <c r="Z247" s="115">
        <v>0</v>
      </c>
      <c r="AA247" s="115">
        <v>0</v>
      </c>
      <c r="AB247" s="115">
        <v>0</v>
      </c>
      <c r="AC247" s="115">
        <v>0</v>
      </c>
      <c r="AD247" s="115">
        <v>0</v>
      </c>
      <c r="AE247" s="115">
        <v>0</v>
      </c>
      <c r="AF247" s="115">
        <v>0</v>
      </c>
      <c r="AG247" s="4" t="s">
        <v>1421</v>
      </c>
      <c r="AH247" s="4" t="s">
        <v>196</v>
      </c>
      <c r="AI247" s="4" t="s">
        <v>196</v>
      </c>
      <c r="AJ247" s="4" t="s">
        <v>127</v>
      </c>
      <c r="AK247" s="4" t="s">
        <v>127</v>
      </c>
      <c r="AL247" s="4" t="s">
        <v>127</v>
      </c>
      <c r="AM247" s="4" t="s">
        <v>127</v>
      </c>
      <c r="AN247" s="4" t="s">
        <v>127</v>
      </c>
      <c r="AO247" s="4" t="s">
        <v>127</v>
      </c>
      <c r="AP247" s="4" t="s">
        <v>127</v>
      </c>
      <c r="AQ247" s="4" t="s">
        <v>127</v>
      </c>
      <c r="AR247" s="4" t="s">
        <v>127</v>
      </c>
      <c r="AS247" s="4" t="s">
        <v>127</v>
      </c>
      <c r="AT247" s="4" t="s">
        <v>127</v>
      </c>
      <c r="AU247" s="4" t="s">
        <v>127</v>
      </c>
      <c r="AV247" s="4" t="s">
        <v>127</v>
      </c>
      <c r="AW247" s="4" t="s">
        <v>127</v>
      </c>
      <c r="AX247" s="4" t="s">
        <v>127</v>
      </c>
      <c r="AY247" s="96" t="s">
        <v>1417</v>
      </c>
      <c r="AZ247" s="96" t="s">
        <v>1406</v>
      </c>
      <c r="BA247" s="4" t="s">
        <v>127</v>
      </c>
      <c r="BB247" s="4" t="s">
        <v>1422</v>
      </c>
      <c r="BC247" s="4" t="s">
        <v>1423</v>
      </c>
      <c r="BD247" s="4" t="s">
        <v>127</v>
      </c>
      <c r="BE247" s="4" t="s">
        <v>127</v>
      </c>
      <c r="BF247" s="4" t="s">
        <v>200</v>
      </c>
      <c r="BG247" s="4" t="s">
        <v>200</v>
      </c>
      <c r="BH247" s="4" t="s">
        <v>200</v>
      </c>
      <c r="BI247" s="4" t="s">
        <v>200</v>
      </c>
      <c r="BJ247" s="4" t="s">
        <v>200</v>
      </c>
      <c r="BK247" s="4" t="s">
        <v>200</v>
      </c>
      <c r="BL247" s="4" t="s">
        <v>200</v>
      </c>
      <c r="BM247" s="4" t="s">
        <v>200</v>
      </c>
      <c r="BN247" s="4" t="s">
        <v>200</v>
      </c>
      <c r="BO247" s="4" t="s">
        <v>200</v>
      </c>
    </row>
    <row r="248" spans="1:67" ht="16" x14ac:dyDescent="0.4">
      <c r="A248" s="4" t="s">
        <v>1428</v>
      </c>
      <c r="B248" s="4" t="s">
        <v>1428</v>
      </c>
      <c r="C248" s="4" t="s">
        <v>127</v>
      </c>
      <c r="D248" s="4" t="s">
        <v>128</v>
      </c>
      <c r="E248" s="189">
        <v>45581</v>
      </c>
      <c r="F248" s="6">
        <f t="shared" si="13"/>
        <v>2024</v>
      </c>
      <c r="G248" s="4" t="s">
        <v>1277</v>
      </c>
      <c r="H248" s="22" t="str">
        <f>VLOOKUP($G248,'Item Classification'!B:C,2,0)</f>
        <v>Non-combat military vehicle part</v>
      </c>
      <c r="I248" s="6" t="str">
        <f>VLOOKUP($G248,'Item Classification'!B:D,3,0)</f>
        <v>Other</v>
      </c>
      <c r="J248" s="23">
        <f>VLOOKUP($G248,'Item Classification'!B:E,4,0)</f>
        <v>16</v>
      </c>
      <c r="K248" s="116" t="s">
        <v>300</v>
      </c>
      <c r="L248" s="116" t="s">
        <v>301</v>
      </c>
      <c r="M248" s="116" t="str">
        <f>VLOOKUP(L248,'NATO Classifications'!$D$6:$E$647,2,0)</f>
        <v>Specialized Shipping and Storage Containers</v>
      </c>
      <c r="N248" s="4">
        <v>1750</v>
      </c>
      <c r="O248" s="81">
        <f t="shared" si="14"/>
        <v>24000</v>
      </c>
      <c r="P248" s="81">
        <f t="shared" si="15"/>
        <v>24000</v>
      </c>
      <c r="Q248" s="4">
        <v>2025</v>
      </c>
      <c r="R248" s="4">
        <v>2027</v>
      </c>
      <c r="S248" s="112">
        <v>42000000</v>
      </c>
      <c r="T248" s="91" t="s">
        <v>132</v>
      </c>
      <c r="U248" s="104">
        <f>_xlfn.IFNA(S248/INDEX('Exchange Rates'!$C$7:$F$14,MATCH('MAIN DATA, Orders'!F248,'Exchange Rates'!$B$7:$B$14,0),MATCH('MAIN DATA, Orders'!T248,'Exchange Rates'!$C$6:$F$6,0)), "-")</f>
        <v>42000000</v>
      </c>
      <c r="V248" s="4" t="s">
        <v>682</v>
      </c>
      <c r="W248" s="4" t="s">
        <v>127</v>
      </c>
      <c r="X248" s="4" t="s">
        <v>128</v>
      </c>
      <c r="Y248" s="24">
        <f t="shared" si="16"/>
        <v>202410</v>
      </c>
      <c r="Z248" s="115">
        <v>1</v>
      </c>
      <c r="AA248" s="115">
        <v>0</v>
      </c>
      <c r="AB248" s="115">
        <v>0</v>
      </c>
      <c r="AC248" s="115" t="s">
        <v>127</v>
      </c>
      <c r="AD248" s="115" t="s">
        <v>127</v>
      </c>
      <c r="AE248" s="115" t="s">
        <v>127</v>
      </c>
      <c r="AF248" s="115" t="s">
        <v>127</v>
      </c>
      <c r="AG248" s="4" t="s">
        <v>127</v>
      </c>
      <c r="AH248" s="4" t="s">
        <v>127</v>
      </c>
      <c r="AI248" s="4" t="s">
        <v>127</v>
      </c>
      <c r="AJ248" s="4" t="s">
        <v>127</v>
      </c>
      <c r="AK248" s="4" t="s">
        <v>127</v>
      </c>
      <c r="AL248" s="4" t="s">
        <v>127</v>
      </c>
      <c r="AM248" s="4" t="s">
        <v>127</v>
      </c>
      <c r="AN248" s="4" t="s">
        <v>127</v>
      </c>
      <c r="AO248" s="4" t="s">
        <v>127</v>
      </c>
      <c r="AP248" s="4" t="s">
        <v>127</v>
      </c>
      <c r="AQ248" s="4" t="s">
        <v>127</v>
      </c>
      <c r="AR248" s="4" t="s">
        <v>127</v>
      </c>
      <c r="AS248" s="4" t="s">
        <v>127</v>
      </c>
      <c r="AT248" s="4" t="s">
        <v>127</v>
      </c>
      <c r="AU248" s="4" t="s">
        <v>127</v>
      </c>
      <c r="AV248" s="4" t="s">
        <v>127</v>
      </c>
      <c r="AW248" s="4" t="s">
        <v>127</v>
      </c>
      <c r="AX248" s="4" t="s">
        <v>127</v>
      </c>
      <c r="AY248" s="111" t="s">
        <v>1429</v>
      </c>
      <c r="AZ248" s="111" t="s">
        <v>1430</v>
      </c>
      <c r="BA248" s="4" t="s">
        <v>127</v>
      </c>
      <c r="BB248" s="4" t="s">
        <v>1431</v>
      </c>
      <c r="BC248" s="4" t="s">
        <v>1432</v>
      </c>
      <c r="BD248" s="4" t="s">
        <v>127</v>
      </c>
      <c r="BE248" s="4" t="s">
        <v>127</v>
      </c>
      <c r="BF248" s="4"/>
      <c r="BG248" s="4"/>
      <c r="BH248" s="4"/>
      <c r="BI248" s="4"/>
      <c r="BJ248" s="4"/>
      <c r="BK248" s="4"/>
      <c r="BL248" s="4"/>
      <c r="BM248" s="4"/>
      <c r="BN248" s="4"/>
      <c r="BO248" s="4"/>
    </row>
    <row r="249" spans="1:67" ht="16" x14ac:dyDescent="0.4">
      <c r="A249" s="4" t="s">
        <v>1433</v>
      </c>
      <c r="B249" s="4" t="s">
        <v>1433</v>
      </c>
      <c r="C249" s="4" t="s">
        <v>127</v>
      </c>
      <c r="D249" s="4" t="s">
        <v>128</v>
      </c>
      <c r="E249" s="189">
        <v>45581</v>
      </c>
      <c r="F249" s="6">
        <f t="shared" si="13"/>
        <v>2024</v>
      </c>
      <c r="G249" s="4" t="s">
        <v>127</v>
      </c>
      <c r="H249" s="22" t="s">
        <v>299</v>
      </c>
      <c r="I249" s="6" t="s">
        <v>287</v>
      </c>
      <c r="J249" s="23">
        <v>16</v>
      </c>
      <c r="K249" s="116" t="s">
        <v>274</v>
      </c>
      <c r="L249" s="116" t="s">
        <v>645</v>
      </c>
      <c r="M249" s="116" t="str">
        <f>VLOOKUP(L249,'NATO Classifications'!$D$6:$E$647,2,0)</f>
        <v>Trailers</v>
      </c>
      <c r="N249" s="4"/>
      <c r="O249" s="81"/>
      <c r="P249" s="81"/>
      <c r="Q249" s="4">
        <v>2024</v>
      </c>
      <c r="R249" s="4">
        <v>2031</v>
      </c>
      <c r="S249" s="112">
        <v>82000000</v>
      </c>
      <c r="T249" s="91" t="s">
        <v>132</v>
      </c>
      <c r="U249" s="104">
        <f>_xlfn.IFNA(S249/INDEX('Exchange Rates'!$C$7:$F$14,MATCH('MAIN DATA, Orders'!F249,'Exchange Rates'!$B$7:$B$14,0),MATCH('MAIN DATA, Orders'!T249,'Exchange Rates'!$C$6:$F$6,0)), "-")</f>
        <v>82000000</v>
      </c>
      <c r="V249" s="4" t="s">
        <v>682</v>
      </c>
      <c r="W249" s="4" t="s">
        <v>133</v>
      </c>
      <c r="X249" s="4" t="s">
        <v>128</v>
      </c>
      <c r="Y249" s="24">
        <f t="shared" si="16"/>
        <v>202410</v>
      </c>
      <c r="Z249" s="115">
        <v>1</v>
      </c>
      <c r="AA249" s="115">
        <v>0</v>
      </c>
      <c r="AB249" s="115">
        <v>0</v>
      </c>
      <c r="AC249" s="115" t="s">
        <v>127</v>
      </c>
      <c r="AD249" s="115" t="s">
        <v>127</v>
      </c>
      <c r="AE249" s="115" t="s">
        <v>127</v>
      </c>
      <c r="AF249" s="115" t="s">
        <v>127</v>
      </c>
      <c r="AG249" s="4" t="s">
        <v>127</v>
      </c>
      <c r="AH249" s="4" t="s">
        <v>127</v>
      </c>
      <c r="AI249" s="4" t="s">
        <v>127</v>
      </c>
      <c r="AJ249" s="4" t="s">
        <v>127</v>
      </c>
      <c r="AK249" s="4" t="s">
        <v>127</v>
      </c>
      <c r="AL249" s="4" t="s">
        <v>127</v>
      </c>
      <c r="AM249" s="4" t="s">
        <v>127</v>
      </c>
      <c r="AN249" s="4" t="s">
        <v>127</v>
      </c>
      <c r="AO249" s="4" t="s">
        <v>127</v>
      </c>
      <c r="AP249" s="4" t="s">
        <v>127</v>
      </c>
      <c r="AQ249" s="4" t="s">
        <v>127</v>
      </c>
      <c r="AR249" s="4" t="s">
        <v>127</v>
      </c>
      <c r="AS249" s="4" t="s">
        <v>127</v>
      </c>
      <c r="AT249" s="4" t="s">
        <v>127</v>
      </c>
      <c r="AU249" s="4" t="s">
        <v>127</v>
      </c>
      <c r="AV249" s="4" t="s">
        <v>127</v>
      </c>
      <c r="AW249" s="4" t="s">
        <v>127</v>
      </c>
      <c r="AX249" s="4" t="s">
        <v>127</v>
      </c>
      <c r="AY249" s="96" t="s">
        <v>1429</v>
      </c>
      <c r="AZ249" s="96" t="s">
        <v>1430</v>
      </c>
      <c r="BA249" s="4" t="s">
        <v>127</v>
      </c>
      <c r="BB249" s="4" t="s">
        <v>1434</v>
      </c>
      <c r="BC249" s="4" t="s">
        <v>1435</v>
      </c>
      <c r="BD249" s="4" t="s">
        <v>127</v>
      </c>
      <c r="BE249" s="4" t="s">
        <v>127</v>
      </c>
      <c r="BF249" s="4" t="s">
        <v>200</v>
      </c>
      <c r="BG249" s="4" t="s">
        <v>200</v>
      </c>
      <c r="BH249" s="4" t="s">
        <v>200</v>
      </c>
      <c r="BI249" s="4" t="s">
        <v>200</v>
      </c>
      <c r="BJ249" s="4" t="s">
        <v>200</v>
      </c>
      <c r="BK249" s="4" t="s">
        <v>200</v>
      </c>
      <c r="BL249" s="4" t="s">
        <v>200</v>
      </c>
      <c r="BM249" s="4" t="s">
        <v>200</v>
      </c>
      <c r="BN249" s="4" t="s">
        <v>200</v>
      </c>
      <c r="BO249" s="4" t="s">
        <v>200</v>
      </c>
    </row>
    <row r="250" spans="1:67" ht="16" x14ac:dyDescent="0.4">
      <c r="A250" s="4" t="s">
        <v>1433</v>
      </c>
      <c r="B250" s="4" t="s">
        <v>1436</v>
      </c>
      <c r="C250" s="4" t="s">
        <v>127</v>
      </c>
      <c r="D250" s="4" t="s">
        <v>128</v>
      </c>
      <c r="E250" s="189">
        <v>45581</v>
      </c>
      <c r="F250" s="6">
        <f t="shared" si="13"/>
        <v>2024</v>
      </c>
      <c r="G250" s="4" t="s">
        <v>1437</v>
      </c>
      <c r="H250" s="22" t="str">
        <f>VLOOKUP($G250,'Item Classification'!B:C,2,0)</f>
        <v>Non-combat military vehicle part</v>
      </c>
      <c r="I250" s="6" t="str">
        <f>VLOOKUP($G250,'Item Classification'!B:D,3,0)</f>
        <v>Other</v>
      </c>
      <c r="J250" s="23">
        <f>VLOOKUP($G250,'Item Classification'!B:E,4,0)</f>
        <v>16</v>
      </c>
      <c r="K250" s="116" t="s">
        <v>274</v>
      </c>
      <c r="L250" s="116" t="s">
        <v>645</v>
      </c>
      <c r="M250" s="116" t="str">
        <f>VLOOKUP(L250,'NATO Classifications'!$D$6:$E$647,2,0)</f>
        <v>Trailers</v>
      </c>
      <c r="N250" s="4">
        <v>600</v>
      </c>
      <c r="O250" s="81"/>
      <c r="P250" s="81"/>
      <c r="Q250" s="4">
        <v>2024</v>
      </c>
      <c r="R250" s="4">
        <v>2031</v>
      </c>
      <c r="S250" s="4"/>
      <c r="T250" s="91" t="s">
        <v>132</v>
      </c>
      <c r="U250" s="104">
        <f>_xlfn.IFNA(S250/INDEX('Exchange Rates'!$C$7:$F$14,MATCH('MAIN DATA, Orders'!F250,'Exchange Rates'!$B$7:$B$14,0),MATCH('MAIN DATA, Orders'!T250,'Exchange Rates'!$C$6:$F$6,0)), "-")</f>
        <v>0</v>
      </c>
      <c r="V250" s="4" t="s">
        <v>682</v>
      </c>
      <c r="W250" s="4" t="s">
        <v>133</v>
      </c>
      <c r="X250" s="4" t="s">
        <v>128</v>
      </c>
      <c r="Y250" s="24">
        <f t="shared" si="16"/>
        <v>202410</v>
      </c>
      <c r="Z250" s="115">
        <v>1</v>
      </c>
      <c r="AA250" s="115">
        <v>0</v>
      </c>
      <c r="AB250" s="115">
        <v>0</v>
      </c>
      <c r="AC250" s="115" t="s">
        <v>127</v>
      </c>
      <c r="AD250" s="115" t="s">
        <v>127</v>
      </c>
      <c r="AE250" s="115" t="s">
        <v>127</v>
      </c>
      <c r="AF250" s="115" t="s">
        <v>127</v>
      </c>
      <c r="AG250" s="4" t="s">
        <v>127</v>
      </c>
      <c r="AH250" s="4" t="s">
        <v>127</v>
      </c>
      <c r="AI250" s="4" t="s">
        <v>127</v>
      </c>
      <c r="AJ250" s="4" t="s">
        <v>127</v>
      </c>
      <c r="AK250" s="4" t="s">
        <v>127</v>
      </c>
      <c r="AL250" s="4" t="s">
        <v>127</v>
      </c>
      <c r="AM250" s="4" t="s">
        <v>127</v>
      </c>
      <c r="AN250" s="4" t="s">
        <v>127</v>
      </c>
      <c r="AO250" s="4" t="s">
        <v>127</v>
      </c>
      <c r="AP250" s="4" t="s">
        <v>127</v>
      </c>
      <c r="AQ250" s="4" t="s">
        <v>127</v>
      </c>
      <c r="AR250" s="4" t="s">
        <v>127</v>
      </c>
      <c r="AS250" s="4" t="s">
        <v>127</v>
      </c>
      <c r="AT250" s="4" t="s">
        <v>127</v>
      </c>
      <c r="AU250" s="4" t="s">
        <v>127</v>
      </c>
      <c r="AV250" s="4" t="s">
        <v>127</v>
      </c>
      <c r="AW250" s="4" t="s">
        <v>127</v>
      </c>
      <c r="AX250" s="4" t="s">
        <v>127</v>
      </c>
      <c r="AY250" s="96" t="s">
        <v>1429</v>
      </c>
      <c r="AZ250" s="96" t="s">
        <v>1430</v>
      </c>
      <c r="BA250" s="4" t="s">
        <v>127</v>
      </c>
      <c r="BB250" s="4" t="s">
        <v>1434</v>
      </c>
      <c r="BC250" s="4" t="s">
        <v>1435</v>
      </c>
      <c r="BD250" s="4" t="s">
        <v>127</v>
      </c>
      <c r="BE250" s="4" t="s">
        <v>127</v>
      </c>
      <c r="BF250" s="4" t="s">
        <v>200</v>
      </c>
      <c r="BG250" s="4" t="s">
        <v>200</v>
      </c>
      <c r="BH250" s="4" t="s">
        <v>200</v>
      </c>
      <c r="BI250" s="4" t="s">
        <v>200</v>
      </c>
      <c r="BJ250" s="4" t="s">
        <v>200</v>
      </c>
      <c r="BK250" s="4" t="s">
        <v>200</v>
      </c>
      <c r="BL250" s="4" t="s">
        <v>200</v>
      </c>
      <c r="BM250" s="4" t="s">
        <v>200</v>
      </c>
      <c r="BN250" s="4" t="s">
        <v>200</v>
      </c>
      <c r="BO250" s="4" t="s">
        <v>200</v>
      </c>
    </row>
    <row r="251" spans="1:67" ht="16" x14ac:dyDescent="0.4">
      <c r="A251" s="4" t="s">
        <v>1433</v>
      </c>
      <c r="B251" s="4" t="s">
        <v>1438</v>
      </c>
      <c r="C251" s="4" t="s">
        <v>127</v>
      </c>
      <c r="D251" s="4" t="s">
        <v>128</v>
      </c>
      <c r="E251" s="189">
        <v>45581</v>
      </c>
      <c r="F251" s="6">
        <f t="shared" si="13"/>
        <v>2024</v>
      </c>
      <c r="G251" s="4" t="s">
        <v>1439</v>
      </c>
      <c r="H251" s="22" t="str">
        <f>VLOOKUP($G251,'Item Classification'!B:C,2,0)</f>
        <v>Non-combat military vehicle part</v>
      </c>
      <c r="I251" s="6" t="str">
        <f>VLOOKUP($G251,'Item Classification'!B:D,3,0)</f>
        <v>Other</v>
      </c>
      <c r="J251" s="23">
        <f>VLOOKUP($G251,'Item Classification'!B:E,4,0)</f>
        <v>16</v>
      </c>
      <c r="K251" s="116" t="s">
        <v>274</v>
      </c>
      <c r="L251" s="116" t="s">
        <v>645</v>
      </c>
      <c r="M251" s="116" t="str">
        <f>VLOOKUP(L251,'NATO Classifications'!$D$6:$E$647,2,0)</f>
        <v>Trailers</v>
      </c>
      <c r="N251" s="4">
        <v>1680</v>
      </c>
      <c r="O251" s="81"/>
      <c r="P251" s="81"/>
      <c r="Q251" s="4">
        <v>2024</v>
      </c>
      <c r="R251" s="4">
        <v>2031</v>
      </c>
      <c r="S251" s="4"/>
      <c r="T251" s="91" t="s">
        <v>132</v>
      </c>
      <c r="U251" s="104">
        <f>_xlfn.IFNA(S251/INDEX('Exchange Rates'!$C$7:$F$14,MATCH('MAIN DATA, Orders'!F251,'Exchange Rates'!$B$7:$B$14,0),MATCH('MAIN DATA, Orders'!T251,'Exchange Rates'!$C$6:$F$6,0)), "-")</f>
        <v>0</v>
      </c>
      <c r="V251" s="4" t="s">
        <v>682</v>
      </c>
      <c r="W251" s="4" t="s">
        <v>133</v>
      </c>
      <c r="X251" s="4" t="s">
        <v>128</v>
      </c>
      <c r="Y251" s="24">
        <f t="shared" si="16"/>
        <v>202410</v>
      </c>
      <c r="Z251" s="115">
        <v>1</v>
      </c>
      <c r="AA251" s="115">
        <v>0</v>
      </c>
      <c r="AB251" s="115">
        <v>0</v>
      </c>
      <c r="AC251" s="115" t="s">
        <v>127</v>
      </c>
      <c r="AD251" s="115" t="s">
        <v>127</v>
      </c>
      <c r="AE251" s="115" t="s">
        <v>127</v>
      </c>
      <c r="AF251" s="115" t="s">
        <v>127</v>
      </c>
      <c r="AG251" s="4" t="s">
        <v>127</v>
      </c>
      <c r="AH251" s="4" t="s">
        <v>127</v>
      </c>
      <c r="AI251" s="4" t="s">
        <v>127</v>
      </c>
      <c r="AJ251" s="4" t="s">
        <v>127</v>
      </c>
      <c r="AK251" s="4" t="s">
        <v>127</v>
      </c>
      <c r="AL251" s="4" t="s">
        <v>127</v>
      </c>
      <c r="AM251" s="4" t="s">
        <v>127</v>
      </c>
      <c r="AN251" s="4" t="s">
        <v>127</v>
      </c>
      <c r="AO251" s="4" t="s">
        <v>127</v>
      </c>
      <c r="AP251" s="4" t="s">
        <v>127</v>
      </c>
      <c r="AQ251" s="4" t="s">
        <v>127</v>
      </c>
      <c r="AR251" s="4" t="s">
        <v>127</v>
      </c>
      <c r="AS251" s="4" t="s">
        <v>127</v>
      </c>
      <c r="AT251" s="4" t="s">
        <v>127</v>
      </c>
      <c r="AU251" s="4" t="s">
        <v>127</v>
      </c>
      <c r="AV251" s="4" t="s">
        <v>127</v>
      </c>
      <c r="AW251" s="4" t="s">
        <v>127</v>
      </c>
      <c r="AX251" s="4" t="s">
        <v>127</v>
      </c>
      <c r="AY251" s="96" t="s">
        <v>1429</v>
      </c>
      <c r="AZ251" s="96" t="s">
        <v>1430</v>
      </c>
      <c r="BA251" s="4" t="s">
        <v>127</v>
      </c>
      <c r="BB251" s="4" t="s">
        <v>1434</v>
      </c>
      <c r="BC251" s="4" t="s">
        <v>1435</v>
      </c>
      <c r="BD251" s="4" t="s">
        <v>127</v>
      </c>
      <c r="BE251" s="4" t="s">
        <v>127</v>
      </c>
      <c r="BF251" s="4" t="s">
        <v>200</v>
      </c>
      <c r="BG251" s="4" t="s">
        <v>200</v>
      </c>
      <c r="BH251" s="4" t="s">
        <v>200</v>
      </c>
      <c r="BI251" s="4" t="s">
        <v>200</v>
      </c>
      <c r="BJ251" s="4" t="s">
        <v>200</v>
      </c>
      <c r="BK251" s="4" t="s">
        <v>200</v>
      </c>
      <c r="BL251" s="4" t="s">
        <v>200</v>
      </c>
      <c r="BM251" s="4" t="s">
        <v>200</v>
      </c>
      <c r="BN251" s="4" t="s">
        <v>200</v>
      </c>
      <c r="BO251" s="4" t="s">
        <v>200</v>
      </c>
    </row>
    <row r="252" spans="1:67" ht="16" x14ac:dyDescent="0.4">
      <c r="A252" s="4" t="s">
        <v>1440</v>
      </c>
      <c r="B252" s="4" t="s">
        <v>1440</v>
      </c>
      <c r="C252" s="4" t="s">
        <v>127</v>
      </c>
      <c r="D252" s="4" t="s">
        <v>128</v>
      </c>
      <c r="E252" s="189">
        <v>45581</v>
      </c>
      <c r="F252" s="6">
        <f t="shared" si="13"/>
        <v>2024</v>
      </c>
      <c r="G252" s="4" t="s">
        <v>1441</v>
      </c>
      <c r="H252" s="22" t="str">
        <f>VLOOKUP($G252,'Item Classification'!B:C,2,0)</f>
        <v>Maritime frigate attack helicopter</v>
      </c>
      <c r="I252" s="6" t="str">
        <f>VLOOKUP($G252,'Item Classification'!B:D,3,0)</f>
        <v>Aircraft</v>
      </c>
      <c r="J252" s="23">
        <f>VLOOKUP($G252,'Item Classification'!B:E,4,0)</f>
        <v>11</v>
      </c>
      <c r="K252" s="116" t="s">
        <v>130</v>
      </c>
      <c r="L252" s="116" t="s">
        <v>266</v>
      </c>
      <c r="M252" s="116" t="str">
        <f>VLOOKUP(L252,'NATO Classifications'!$D$6:$E$647,2,0)</f>
        <v>Aircraft, Rotary Wing</v>
      </c>
      <c r="N252" s="4">
        <v>7</v>
      </c>
      <c r="O252" s="81">
        <f t="shared" si="14"/>
        <v>24285714.285714287</v>
      </c>
      <c r="P252" s="81">
        <f t="shared" si="15"/>
        <v>24285714.285714287</v>
      </c>
      <c r="Q252" s="4">
        <v>2025</v>
      </c>
      <c r="R252" s="4">
        <v>2031</v>
      </c>
      <c r="S252" s="112">
        <v>170000000</v>
      </c>
      <c r="T252" s="91" t="s">
        <v>132</v>
      </c>
      <c r="U252" s="104">
        <f>_xlfn.IFNA(S252/INDEX('Exchange Rates'!$C$7:$F$14,MATCH('MAIN DATA, Orders'!F252,'Exchange Rates'!$B$7:$B$14,0),MATCH('MAIN DATA, Orders'!T252,'Exchange Rates'!$C$6:$F$6,0)), "-")</f>
        <v>170000000</v>
      </c>
      <c r="V252" s="4" t="s">
        <v>682</v>
      </c>
      <c r="W252" s="4" t="s">
        <v>133</v>
      </c>
      <c r="X252" s="4" t="s">
        <v>128</v>
      </c>
      <c r="Y252" s="24">
        <f t="shared" si="16"/>
        <v>202410</v>
      </c>
      <c r="Z252" s="115">
        <v>1</v>
      </c>
      <c r="AA252" s="115">
        <v>1</v>
      </c>
      <c r="AB252" s="115">
        <v>0</v>
      </c>
      <c r="AC252" s="115" t="s">
        <v>127</v>
      </c>
      <c r="AD252" s="115" t="s">
        <v>127</v>
      </c>
      <c r="AE252" s="115" t="s">
        <v>127</v>
      </c>
      <c r="AF252" s="115" t="s">
        <v>127</v>
      </c>
      <c r="AG252" s="4" t="s">
        <v>127</v>
      </c>
      <c r="AH252" s="4" t="s">
        <v>127</v>
      </c>
      <c r="AI252" s="4" t="s">
        <v>127</v>
      </c>
      <c r="AJ252" s="4" t="s">
        <v>127</v>
      </c>
      <c r="AK252" s="4" t="s">
        <v>127</v>
      </c>
      <c r="AL252" s="4" t="s">
        <v>127</v>
      </c>
      <c r="AM252" s="4" t="s">
        <v>127</v>
      </c>
      <c r="AN252" s="4" t="s">
        <v>127</v>
      </c>
      <c r="AO252" s="4" t="s">
        <v>127</v>
      </c>
      <c r="AP252" s="4" t="s">
        <v>127</v>
      </c>
      <c r="AQ252" s="4" t="s">
        <v>127</v>
      </c>
      <c r="AR252" s="4" t="s">
        <v>127</v>
      </c>
      <c r="AS252" s="4" t="s">
        <v>127</v>
      </c>
      <c r="AT252" s="4" t="s">
        <v>127</v>
      </c>
      <c r="AU252" s="4" t="s">
        <v>127</v>
      </c>
      <c r="AV252" s="4" t="s">
        <v>127</v>
      </c>
      <c r="AW252" s="4" t="s">
        <v>127</v>
      </c>
      <c r="AX252" s="4" t="s">
        <v>127</v>
      </c>
      <c r="AY252" s="96" t="s">
        <v>1429</v>
      </c>
      <c r="AZ252" s="96" t="s">
        <v>1430</v>
      </c>
      <c r="BA252" s="4" t="s">
        <v>127</v>
      </c>
      <c r="BB252" s="4" t="s">
        <v>1442</v>
      </c>
      <c r="BC252" s="4" t="s">
        <v>1443</v>
      </c>
      <c r="BD252" s="4" t="s">
        <v>127</v>
      </c>
      <c r="BE252" s="4" t="s">
        <v>127</v>
      </c>
      <c r="BF252" s="4"/>
      <c r="BG252" s="4"/>
      <c r="BH252" s="4"/>
      <c r="BI252" s="4"/>
      <c r="BJ252" s="4"/>
      <c r="BK252" s="4"/>
      <c r="BL252" s="4"/>
      <c r="BM252" s="4"/>
      <c r="BN252" s="4"/>
      <c r="BO252" s="4"/>
    </row>
    <row r="253" spans="1:67" ht="16" x14ac:dyDescent="0.4">
      <c r="A253" s="4" t="s">
        <v>1444</v>
      </c>
      <c r="B253" s="4" t="s">
        <v>1444</v>
      </c>
      <c r="C253" s="4" t="s">
        <v>127</v>
      </c>
      <c r="D253" s="4" t="s">
        <v>128</v>
      </c>
      <c r="E253" s="189">
        <v>45581</v>
      </c>
      <c r="F253" s="6">
        <f t="shared" si="13"/>
        <v>2024</v>
      </c>
      <c r="G253" s="4" t="s">
        <v>1445</v>
      </c>
      <c r="H253" s="22" t="str">
        <f>VLOOKUP($G253,'Item Classification'!B:C,2,0)</f>
        <v>Transport aircraft</v>
      </c>
      <c r="I253" s="6" t="str">
        <f>VLOOKUP($G253,'Item Classification'!B:D,3,0)</f>
        <v>Aircraft</v>
      </c>
      <c r="J253" s="23">
        <f>VLOOKUP($G253,'Item Classification'!B:E,4,0)</f>
        <v>11</v>
      </c>
      <c r="K253" s="116" t="s">
        <v>130</v>
      </c>
      <c r="L253" s="116" t="s">
        <v>237</v>
      </c>
      <c r="M253" s="116" t="str">
        <f>VLOOKUP(L253,'NATO Classifications'!$D$6:$E$647,2,0)</f>
        <v>Aircraft, Fixed Wing</v>
      </c>
      <c r="N253" s="4">
        <v>53</v>
      </c>
      <c r="O253" s="81">
        <f t="shared" si="14"/>
        <v>2867924.5283018867</v>
      </c>
      <c r="P253" s="81">
        <f t="shared" si="15"/>
        <v>2867924.5283018867</v>
      </c>
      <c r="Q253" s="4"/>
      <c r="R253" s="4"/>
      <c r="S253" s="112">
        <v>152000000</v>
      </c>
      <c r="T253" s="91" t="s">
        <v>132</v>
      </c>
      <c r="U253" s="104">
        <f>_xlfn.IFNA(S253/INDEX('Exchange Rates'!$C$7:$F$14,MATCH('MAIN DATA, Orders'!F253,'Exchange Rates'!$B$7:$B$14,0),MATCH('MAIN DATA, Orders'!T253,'Exchange Rates'!$C$6:$F$6,0)), "-")</f>
        <v>152000000</v>
      </c>
      <c r="V253" s="4" t="s">
        <v>682</v>
      </c>
      <c r="W253" s="4" t="s">
        <v>133</v>
      </c>
      <c r="X253" s="4" t="s">
        <v>128</v>
      </c>
      <c r="Y253" s="24">
        <f t="shared" si="16"/>
        <v>202410</v>
      </c>
      <c r="Z253" s="115">
        <v>1</v>
      </c>
      <c r="AA253" s="115">
        <v>0</v>
      </c>
      <c r="AB253" s="115">
        <v>0</v>
      </c>
      <c r="AC253" s="115">
        <v>1</v>
      </c>
      <c r="AD253" s="115">
        <v>1</v>
      </c>
      <c r="AE253" s="115">
        <v>0</v>
      </c>
      <c r="AF253" s="115">
        <v>1</v>
      </c>
      <c r="AG253" s="4" t="s">
        <v>160</v>
      </c>
      <c r="AH253" s="4" t="s">
        <v>128</v>
      </c>
      <c r="AI253" s="4" t="s">
        <v>127</v>
      </c>
      <c r="AJ253" s="4" t="s">
        <v>127</v>
      </c>
      <c r="AK253" s="4" t="s">
        <v>127</v>
      </c>
      <c r="AL253" s="4" t="s">
        <v>127</v>
      </c>
      <c r="AM253" s="4" t="s">
        <v>127</v>
      </c>
      <c r="AN253" s="4" t="s">
        <v>1222</v>
      </c>
      <c r="AO253" s="4" t="s">
        <v>151</v>
      </c>
      <c r="AP253" s="4" t="s">
        <v>162</v>
      </c>
      <c r="AQ253" s="4" t="s">
        <v>238</v>
      </c>
      <c r="AR253" s="4" t="s">
        <v>127</v>
      </c>
      <c r="AS253" s="4" t="s">
        <v>127</v>
      </c>
      <c r="AT253" s="4" t="s">
        <v>127</v>
      </c>
      <c r="AU253" s="4" t="s">
        <v>127</v>
      </c>
      <c r="AV253" s="4" t="s">
        <v>127</v>
      </c>
      <c r="AW253" s="4" t="s">
        <v>127</v>
      </c>
      <c r="AX253" s="4" t="s">
        <v>127</v>
      </c>
      <c r="AY253" s="96" t="s">
        <v>1429</v>
      </c>
      <c r="AZ253" s="96" t="s">
        <v>1430</v>
      </c>
      <c r="BA253" s="4" t="s">
        <v>127</v>
      </c>
      <c r="BB253" s="4" t="s">
        <v>1446</v>
      </c>
      <c r="BC253" s="4" t="s">
        <v>1447</v>
      </c>
      <c r="BD253" s="4" t="s">
        <v>127</v>
      </c>
      <c r="BE253" s="4" t="s">
        <v>127</v>
      </c>
      <c r="BF253" s="4"/>
      <c r="BG253" s="4"/>
      <c r="BH253" s="4"/>
      <c r="BI253" s="4"/>
      <c r="BJ253" s="4"/>
      <c r="BK253" s="4"/>
      <c r="BL253" s="4"/>
      <c r="BM253" s="4"/>
      <c r="BN253" s="4"/>
      <c r="BO253" s="4"/>
    </row>
    <row r="254" spans="1:67" ht="16" x14ac:dyDescent="0.4">
      <c r="A254" s="4" t="s">
        <v>1448</v>
      </c>
      <c r="B254" s="4" t="s">
        <v>1448</v>
      </c>
      <c r="C254" s="4" t="s">
        <v>1449</v>
      </c>
      <c r="D254" s="4" t="s">
        <v>128</v>
      </c>
      <c r="E254" s="189">
        <v>45581</v>
      </c>
      <c r="F254" s="6">
        <f t="shared" si="13"/>
        <v>2024</v>
      </c>
      <c r="G254" s="4" t="s">
        <v>1450</v>
      </c>
      <c r="H254" s="22" t="str">
        <f>VLOOKUP($G254,'Item Classification'!B:C,2,0)</f>
        <v>Frigate modernization</v>
      </c>
      <c r="I254" s="6" t="str">
        <f>VLOOKUP($G254,'Item Classification'!B:D,3,0)</f>
        <v>Naval</v>
      </c>
      <c r="J254" s="23">
        <f>VLOOKUP($G254,'Item Classification'!B:E,4,0)</f>
        <v>12</v>
      </c>
      <c r="K254" s="116" t="s">
        <v>158</v>
      </c>
      <c r="L254" s="116" t="s">
        <v>379</v>
      </c>
      <c r="M254" s="116" t="str">
        <f>VLOOKUP(L254,'NATO Classifications'!$D$6:$E$647,2,0)</f>
        <v>Communication, Detection, and Coherent Radiation Equipment (other)</v>
      </c>
      <c r="N254" s="4">
        <v>3</v>
      </c>
      <c r="O254" s="81">
        <f t="shared" si="14"/>
        <v>76666666.666666672</v>
      </c>
      <c r="P254" s="81">
        <f t="shared" si="15"/>
        <v>76666666.666666672</v>
      </c>
      <c r="Q254" s="4"/>
      <c r="R254" s="4"/>
      <c r="S254" s="112">
        <v>230000000</v>
      </c>
      <c r="T254" s="91" t="s">
        <v>132</v>
      </c>
      <c r="U254" s="104">
        <f>_xlfn.IFNA(S254/INDEX('Exchange Rates'!$C$7:$F$14,MATCH('MAIN DATA, Orders'!F254,'Exchange Rates'!$B$7:$B$14,0),MATCH('MAIN DATA, Orders'!T254,'Exchange Rates'!$C$6:$F$6,0)), "-")</f>
        <v>230000000</v>
      </c>
      <c r="V254" s="4" t="s">
        <v>682</v>
      </c>
      <c r="W254" s="4" t="s">
        <v>133</v>
      </c>
      <c r="X254" s="4" t="s">
        <v>128</v>
      </c>
      <c r="Y254" s="24">
        <f t="shared" si="16"/>
        <v>202410</v>
      </c>
      <c r="Z254" s="115">
        <v>0</v>
      </c>
      <c r="AA254" s="115">
        <v>0</v>
      </c>
      <c r="AB254" s="115">
        <v>0</v>
      </c>
      <c r="AC254" s="115" t="s">
        <v>127</v>
      </c>
      <c r="AD254" s="115" t="s">
        <v>127</v>
      </c>
      <c r="AE254" s="115" t="s">
        <v>127</v>
      </c>
      <c r="AF254" s="115" t="s">
        <v>127</v>
      </c>
      <c r="AG254" s="4" t="s">
        <v>127</v>
      </c>
      <c r="AH254" s="4" t="s">
        <v>127</v>
      </c>
      <c r="AI254" s="4" t="s">
        <v>127</v>
      </c>
      <c r="AJ254" s="4" t="s">
        <v>127</v>
      </c>
      <c r="AK254" s="4" t="s">
        <v>127</v>
      </c>
      <c r="AL254" s="4" t="s">
        <v>127</v>
      </c>
      <c r="AM254" s="4" t="s">
        <v>127</v>
      </c>
      <c r="AN254" s="4" t="s">
        <v>127</v>
      </c>
      <c r="AO254" s="4" t="s">
        <v>127</v>
      </c>
      <c r="AP254" s="4" t="s">
        <v>127</v>
      </c>
      <c r="AQ254" s="4" t="s">
        <v>127</v>
      </c>
      <c r="AR254" s="4" t="s">
        <v>127</v>
      </c>
      <c r="AS254" s="4" t="s">
        <v>127</v>
      </c>
      <c r="AT254" s="4" t="s">
        <v>127</v>
      </c>
      <c r="AU254" s="4" t="s">
        <v>127</v>
      </c>
      <c r="AV254" s="4" t="s">
        <v>127</v>
      </c>
      <c r="AW254" s="4" t="s">
        <v>127</v>
      </c>
      <c r="AX254" s="4" t="s">
        <v>127</v>
      </c>
      <c r="AY254" s="96" t="s">
        <v>1429</v>
      </c>
      <c r="AZ254" s="96" t="s">
        <v>1430</v>
      </c>
      <c r="BA254" s="4" t="s">
        <v>127</v>
      </c>
      <c r="BB254" s="4" t="s">
        <v>1451</v>
      </c>
      <c r="BC254" s="4" t="s">
        <v>1452</v>
      </c>
      <c r="BD254" s="4" t="s">
        <v>127</v>
      </c>
      <c r="BE254" s="4" t="s">
        <v>127</v>
      </c>
      <c r="BF254" s="4"/>
      <c r="BG254" s="4"/>
      <c r="BH254" s="4"/>
      <c r="BI254" s="4"/>
      <c r="BJ254" s="4"/>
      <c r="BK254" s="4"/>
      <c r="BL254" s="4"/>
      <c r="BM254" s="4"/>
      <c r="BN254" s="4"/>
      <c r="BO254" s="4"/>
    </row>
    <row r="255" spans="1:67" ht="16" x14ac:dyDescent="0.4">
      <c r="A255" s="4" t="s">
        <v>1453</v>
      </c>
      <c r="B255" s="4" t="s">
        <v>1453</v>
      </c>
      <c r="C255" s="4" t="s">
        <v>127</v>
      </c>
      <c r="D255" s="4" t="s">
        <v>128</v>
      </c>
      <c r="E255" s="189">
        <v>45581</v>
      </c>
      <c r="F255" s="6">
        <f t="shared" si="13"/>
        <v>2024</v>
      </c>
      <c r="G255" s="4" t="s">
        <v>1454</v>
      </c>
      <c r="H255" s="22" t="str">
        <f>VLOOKUP($G255,'Item Classification'!B:C,2,0)</f>
        <v>Communication equipment</v>
      </c>
      <c r="I255" s="6" t="str">
        <f>VLOOKUP($G255,'Item Classification'!B:D,3,0)</f>
        <v>Modernisation</v>
      </c>
      <c r="J255" s="23">
        <f>VLOOKUP($G255,'Item Classification'!B:E,4,0)</f>
        <v>13</v>
      </c>
      <c r="K255" s="116" t="s">
        <v>158</v>
      </c>
      <c r="L255" s="116" t="s">
        <v>443</v>
      </c>
      <c r="M255" s="116" t="str">
        <f>VLOOKUP(L255,'NATO Classifications'!$D$6:$E$647,2,0)</f>
        <v>Communication, Detection, and Coherent Radiation Equipment (other)</v>
      </c>
      <c r="N255" s="4">
        <v>6000</v>
      </c>
      <c r="O255" s="81">
        <f t="shared" si="14"/>
        <v>7166.666666666667</v>
      </c>
      <c r="P255" s="81">
        <f t="shared" si="15"/>
        <v>7166.666666666667</v>
      </c>
      <c r="Q255" s="4">
        <v>2025</v>
      </c>
      <c r="R255" s="4">
        <v>2026</v>
      </c>
      <c r="S255" s="112">
        <v>43000000</v>
      </c>
      <c r="T255" s="91" t="s">
        <v>132</v>
      </c>
      <c r="U255" s="104">
        <f>_xlfn.IFNA(S255/INDEX('Exchange Rates'!$C$7:$F$14,MATCH('MAIN DATA, Orders'!F255,'Exchange Rates'!$B$7:$B$14,0),MATCH('MAIN DATA, Orders'!T255,'Exchange Rates'!$C$6:$F$6,0)), "-")</f>
        <v>43000000</v>
      </c>
      <c r="V255" s="4" t="s">
        <v>682</v>
      </c>
      <c r="W255" s="4" t="s">
        <v>127</v>
      </c>
      <c r="X255" s="4" t="s">
        <v>128</v>
      </c>
      <c r="Y255" s="24">
        <f t="shared" si="16"/>
        <v>202410</v>
      </c>
      <c r="Z255" s="115">
        <v>1</v>
      </c>
      <c r="AA255" s="115">
        <v>0</v>
      </c>
      <c r="AB255" s="115">
        <v>0</v>
      </c>
      <c r="AC255" s="115">
        <v>1</v>
      </c>
      <c r="AD255" s="115">
        <v>0</v>
      </c>
      <c r="AE255" s="115">
        <v>1</v>
      </c>
      <c r="AF255" s="115">
        <v>1</v>
      </c>
      <c r="AG255" s="4" t="s">
        <v>1455</v>
      </c>
      <c r="AH255" s="4" t="s">
        <v>128</v>
      </c>
      <c r="AI255" s="4" t="s">
        <v>127</v>
      </c>
      <c r="AJ255" s="4" t="s">
        <v>1456</v>
      </c>
      <c r="AK255" s="4" t="s">
        <v>127</v>
      </c>
      <c r="AL255" s="4" t="s">
        <v>127</v>
      </c>
      <c r="AM255" s="4" t="s">
        <v>127</v>
      </c>
      <c r="AN255" s="4" t="s">
        <v>196</v>
      </c>
      <c r="AO255" s="4" t="s">
        <v>127</v>
      </c>
      <c r="AP255" s="4" t="s">
        <v>127</v>
      </c>
      <c r="AQ255" s="4" t="s">
        <v>127</v>
      </c>
      <c r="AR255" s="4" t="s">
        <v>127</v>
      </c>
      <c r="AS255" s="4" t="s">
        <v>127</v>
      </c>
      <c r="AT255" s="4" t="s">
        <v>127</v>
      </c>
      <c r="AU255" s="4" t="s">
        <v>127</v>
      </c>
      <c r="AV255" s="4" t="s">
        <v>127</v>
      </c>
      <c r="AW255" s="4" t="s">
        <v>127</v>
      </c>
      <c r="AX255" s="4" t="s">
        <v>127</v>
      </c>
      <c r="AY255" s="96" t="s">
        <v>1429</v>
      </c>
      <c r="AZ255" s="96" t="s">
        <v>1430</v>
      </c>
      <c r="BA255" s="4" t="s">
        <v>127</v>
      </c>
      <c r="BB255" s="4" t="s">
        <v>1457</v>
      </c>
      <c r="BC255" s="4" t="s">
        <v>1458</v>
      </c>
      <c r="BD255" s="4" t="s">
        <v>127</v>
      </c>
      <c r="BE255" s="4" t="s">
        <v>127</v>
      </c>
      <c r="BF255" s="4"/>
      <c r="BG255" s="4"/>
      <c r="BH255" s="4"/>
      <c r="BI255" s="4"/>
      <c r="BJ255" s="4"/>
      <c r="BK255" s="4"/>
      <c r="BL255" s="4"/>
      <c r="BM255" s="4"/>
      <c r="BN255" s="4"/>
      <c r="BO255" s="4"/>
    </row>
    <row r="256" spans="1:67" ht="16" x14ac:dyDescent="0.4">
      <c r="A256" s="4" t="s">
        <v>1459</v>
      </c>
      <c r="B256" s="4" t="s">
        <v>1459</v>
      </c>
      <c r="C256" s="4" t="s">
        <v>166</v>
      </c>
      <c r="D256" s="4" t="s">
        <v>128</v>
      </c>
      <c r="E256" s="189">
        <v>45581</v>
      </c>
      <c r="F256" s="6">
        <f t="shared" si="13"/>
        <v>2024</v>
      </c>
      <c r="G256" s="4" t="s">
        <v>167</v>
      </c>
      <c r="H256" s="22" t="str">
        <f>VLOOKUP($G256,'Item Classification'!B:C,2,0)</f>
        <v>Communication and digitalisation</v>
      </c>
      <c r="I256" s="6" t="str">
        <f>VLOOKUP($G256,'Item Classification'!B:D,3,0)</f>
        <v>Modernisation</v>
      </c>
      <c r="J256" s="23">
        <f>VLOOKUP($G256,'Item Classification'!B:E,4,0)</f>
        <v>13</v>
      </c>
      <c r="K256" s="116" t="s">
        <v>168</v>
      </c>
      <c r="L256" s="116" t="s">
        <v>182</v>
      </c>
      <c r="M256" s="116" t="str">
        <f>VLOOKUP(L256,'NATO Classifications'!$D$6:$E$647,2,0)</f>
        <v>ADP Software</v>
      </c>
      <c r="N256" s="4">
        <v>4</v>
      </c>
      <c r="O256" s="81">
        <f t="shared" si="14"/>
        <v>1625000000</v>
      </c>
      <c r="P256" s="81">
        <f t="shared" si="15"/>
        <v>1625000000</v>
      </c>
      <c r="Q256" s="4">
        <v>2027</v>
      </c>
      <c r="R256" s="4">
        <v>2030</v>
      </c>
      <c r="S256" s="112">
        <v>6500000000</v>
      </c>
      <c r="T256" s="91" t="s">
        <v>132</v>
      </c>
      <c r="U256" s="104">
        <f>_xlfn.IFNA(S256/INDEX('Exchange Rates'!$C$7:$F$14,MATCH('MAIN DATA, Orders'!F256,'Exchange Rates'!$B$7:$B$14,0),MATCH('MAIN DATA, Orders'!T256,'Exchange Rates'!$C$6:$F$6,0)), "-")</f>
        <v>6500000000</v>
      </c>
      <c r="V256" s="4" t="s">
        <v>133</v>
      </c>
      <c r="W256" s="4" t="s">
        <v>127</v>
      </c>
      <c r="X256" s="4" t="s">
        <v>128</v>
      </c>
      <c r="Y256" s="24">
        <f t="shared" si="16"/>
        <v>202410</v>
      </c>
      <c r="Z256" s="115">
        <v>1</v>
      </c>
      <c r="AA256" s="115">
        <v>1</v>
      </c>
      <c r="AB256" s="115">
        <v>0</v>
      </c>
      <c r="AC256" s="115">
        <v>1</v>
      </c>
      <c r="AD256" s="115">
        <v>0</v>
      </c>
      <c r="AE256" s="115">
        <v>0</v>
      </c>
      <c r="AF256" s="115">
        <v>0</v>
      </c>
      <c r="AG256" s="4" t="s">
        <v>166</v>
      </c>
      <c r="AH256" s="4" t="s">
        <v>128</v>
      </c>
      <c r="AI256" s="4" t="s">
        <v>127</v>
      </c>
      <c r="AJ256" s="4" t="s">
        <v>127</v>
      </c>
      <c r="AK256" s="4" t="s">
        <v>127</v>
      </c>
      <c r="AL256" s="4" t="s">
        <v>127</v>
      </c>
      <c r="AM256" s="4" t="s">
        <v>127</v>
      </c>
      <c r="AN256" s="4" t="s">
        <v>127</v>
      </c>
      <c r="AO256" s="4" t="s">
        <v>127</v>
      </c>
      <c r="AP256" s="4" t="s">
        <v>127</v>
      </c>
      <c r="AQ256" s="4" t="s">
        <v>127</v>
      </c>
      <c r="AR256" s="4" t="s">
        <v>127</v>
      </c>
      <c r="AS256" s="4" t="s">
        <v>127</v>
      </c>
      <c r="AT256" s="4" t="s">
        <v>127</v>
      </c>
      <c r="AU256" s="4" t="s">
        <v>127</v>
      </c>
      <c r="AV256" s="4" t="s">
        <v>127</v>
      </c>
      <c r="AW256" s="4" t="s">
        <v>127</v>
      </c>
      <c r="AX256" s="4" t="s">
        <v>127</v>
      </c>
      <c r="AY256" s="96" t="s">
        <v>1429</v>
      </c>
      <c r="AZ256" s="96" t="s">
        <v>1430</v>
      </c>
      <c r="BA256" s="4" t="s">
        <v>127</v>
      </c>
      <c r="BB256" s="4" t="s">
        <v>1460</v>
      </c>
      <c r="BC256" s="4" t="s">
        <v>1461</v>
      </c>
      <c r="BD256" s="4" t="s">
        <v>127</v>
      </c>
      <c r="BE256" s="4" t="s">
        <v>127</v>
      </c>
      <c r="BF256" s="4"/>
      <c r="BG256" s="4"/>
      <c r="BH256" s="4"/>
      <c r="BI256" s="4"/>
      <c r="BJ256" s="4"/>
      <c r="BK256" s="4"/>
      <c r="BL256" s="4"/>
      <c r="BM256" s="4"/>
      <c r="BN256" s="4"/>
      <c r="BO256" s="4"/>
    </row>
    <row r="257" spans="1:67" ht="16" x14ac:dyDescent="0.4">
      <c r="A257" s="4" t="s">
        <v>1462</v>
      </c>
      <c r="B257" s="4" t="s">
        <v>1462</v>
      </c>
      <c r="C257" s="4" t="s">
        <v>127</v>
      </c>
      <c r="D257" s="4" t="s">
        <v>128</v>
      </c>
      <c r="E257" s="189">
        <v>45602</v>
      </c>
      <c r="F257" s="6">
        <f t="shared" si="13"/>
        <v>2024</v>
      </c>
      <c r="G257" s="4" t="s">
        <v>127</v>
      </c>
      <c r="H257" s="22" t="s">
        <v>286</v>
      </c>
      <c r="I257" s="6" t="s">
        <v>287</v>
      </c>
      <c r="J257" s="23">
        <v>16</v>
      </c>
      <c r="K257" s="116" t="s">
        <v>274</v>
      </c>
      <c r="L257" s="116" t="s">
        <v>275</v>
      </c>
      <c r="M257" s="116" t="str">
        <f>VLOOKUP(L257,'NATO Classifications'!$D$6:$E$647,2,0)</f>
        <v>Trucks and Truck Tractors, Wheeled</v>
      </c>
      <c r="N257" s="4"/>
      <c r="O257" s="81"/>
      <c r="P257" s="81"/>
      <c r="Q257" s="4">
        <v>2024</v>
      </c>
      <c r="R257" s="4">
        <v>2024</v>
      </c>
      <c r="S257" s="112">
        <v>114500000</v>
      </c>
      <c r="T257" s="91" t="s">
        <v>132</v>
      </c>
      <c r="U257" s="104">
        <f>_xlfn.IFNA(S257/INDEX('Exchange Rates'!$C$7:$F$14,MATCH('MAIN DATA, Orders'!F257,'Exchange Rates'!$B$7:$B$14,0),MATCH('MAIN DATA, Orders'!T257,'Exchange Rates'!$C$6:$F$6,0)), "-")</f>
        <v>114500000</v>
      </c>
      <c r="V257" s="4" t="s">
        <v>133</v>
      </c>
      <c r="W257" s="4" t="s">
        <v>127</v>
      </c>
      <c r="X257" s="4" t="s">
        <v>128</v>
      </c>
      <c r="Y257" s="24">
        <f t="shared" si="16"/>
        <v>202411</v>
      </c>
      <c r="Z257" s="115">
        <v>1</v>
      </c>
      <c r="AA257" s="115">
        <v>0</v>
      </c>
      <c r="AB257" s="115">
        <v>0</v>
      </c>
      <c r="AC257" s="115">
        <v>1</v>
      </c>
      <c r="AD257" s="115">
        <v>1</v>
      </c>
      <c r="AE257" s="115">
        <v>0</v>
      </c>
      <c r="AF257" s="115">
        <v>0</v>
      </c>
      <c r="AG257" s="4" t="s">
        <v>955</v>
      </c>
      <c r="AH257" s="4" t="s">
        <v>128</v>
      </c>
      <c r="AI257" s="4" t="s">
        <v>830</v>
      </c>
      <c r="AJ257" s="4" t="s">
        <v>127</v>
      </c>
      <c r="AK257" s="4" t="s">
        <v>127</v>
      </c>
      <c r="AL257" s="4" t="s">
        <v>127</v>
      </c>
      <c r="AM257" s="4" t="s">
        <v>127</v>
      </c>
      <c r="AN257" s="4" t="s">
        <v>200</v>
      </c>
      <c r="AO257" s="4" t="s">
        <v>127</v>
      </c>
      <c r="AP257" s="4" t="s">
        <v>127</v>
      </c>
      <c r="AQ257" s="4" t="s">
        <v>127</v>
      </c>
      <c r="AR257" s="4" t="s">
        <v>127</v>
      </c>
      <c r="AS257" s="4" t="s">
        <v>127</v>
      </c>
      <c r="AT257" s="4" t="s">
        <v>127</v>
      </c>
      <c r="AU257" s="4" t="s">
        <v>127</v>
      </c>
      <c r="AV257" s="4" t="s">
        <v>127</v>
      </c>
      <c r="AW257" s="4" t="s">
        <v>128</v>
      </c>
      <c r="AX257" s="4" t="s">
        <v>127</v>
      </c>
      <c r="AY257" s="111" t="s">
        <v>1463</v>
      </c>
      <c r="AZ257" s="96" t="s">
        <v>1464</v>
      </c>
      <c r="BA257" s="4" t="s">
        <v>127</v>
      </c>
      <c r="BB257" s="4" t="s">
        <v>1465</v>
      </c>
      <c r="BC257" s="4" t="s">
        <v>1466</v>
      </c>
      <c r="BD257" s="4" t="s">
        <v>127</v>
      </c>
      <c r="BE257" s="4" t="s">
        <v>127</v>
      </c>
      <c r="BF257" s="4" t="s">
        <v>200</v>
      </c>
      <c r="BG257" s="4" t="s">
        <v>200</v>
      </c>
      <c r="BH257" s="4" t="s">
        <v>200</v>
      </c>
      <c r="BI257" s="4" t="s">
        <v>200</v>
      </c>
      <c r="BJ257" s="4" t="s">
        <v>200</v>
      </c>
      <c r="BK257" s="4" t="s">
        <v>200</v>
      </c>
      <c r="BL257" s="4" t="s">
        <v>200</v>
      </c>
      <c r="BM257" s="4" t="s">
        <v>200</v>
      </c>
      <c r="BN257" s="4" t="s">
        <v>200</v>
      </c>
      <c r="BO257" s="4" t="s">
        <v>200</v>
      </c>
    </row>
    <row r="258" spans="1:67" ht="16" x14ac:dyDescent="0.4">
      <c r="A258" s="4" t="s">
        <v>1462</v>
      </c>
      <c r="B258" s="4" t="s">
        <v>1467</v>
      </c>
      <c r="C258" s="4" t="s">
        <v>127</v>
      </c>
      <c r="D258" s="4" t="s">
        <v>128</v>
      </c>
      <c r="E258" s="189">
        <v>45602</v>
      </c>
      <c r="F258" s="6">
        <f t="shared" ref="F258:F316" si="17">YEAR(E258)</f>
        <v>2024</v>
      </c>
      <c r="G258" s="4" t="s">
        <v>293</v>
      </c>
      <c r="H258" s="22" t="str">
        <f>VLOOKUP($G258,'Item Classification'!B:C,2,0)</f>
        <v>Non-combat military vehicle</v>
      </c>
      <c r="I258" s="6" t="str">
        <f>VLOOKUP($G258,'Item Classification'!B:D,3,0)</f>
        <v>Other</v>
      </c>
      <c r="J258" s="23">
        <f>VLOOKUP($G258,'Item Classification'!B:E,4,0)</f>
        <v>16</v>
      </c>
      <c r="K258" s="116" t="s">
        <v>274</v>
      </c>
      <c r="L258" s="116" t="s">
        <v>275</v>
      </c>
      <c r="M258" s="116" t="str">
        <f>VLOOKUP(L258,'NATO Classifications'!$D$6:$E$647,2,0)</f>
        <v>Trucks and Truck Tractors, Wheeled</v>
      </c>
      <c r="N258" s="4">
        <v>180</v>
      </c>
      <c r="O258" s="81"/>
      <c r="P258" s="81"/>
      <c r="Q258" s="4">
        <v>2024</v>
      </c>
      <c r="R258" s="4">
        <v>2024</v>
      </c>
      <c r="S258" s="4"/>
      <c r="T258" s="91" t="s">
        <v>132</v>
      </c>
      <c r="U258" s="104">
        <f>_xlfn.IFNA(S258/INDEX('Exchange Rates'!$C$7:$F$14,MATCH('MAIN DATA, Orders'!F258,'Exchange Rates'!$B$7:$B$14,0),MATCH('MAIN DATA, Orders'!T258,'Exchange Rates'!$C$6:$F$6,0)), "-")</f>
        <v>0</v>
      </c>
      <c r="V258" s="4" t="s">
        <v>133</v>
      </c>
      <c r="W258" s="4" t="s">
        <v>127</v>
      </c>
      <c r="X258" s="4" t="s">
        <v>128</v>
      </c>
      <c r="Y258" s="24">
        <f t="shared" si="16"/>
        <v>202411</v>
      </c>
      <c r="Z258" s="115">
        <v>1</v>
      </c>
      <c r="AA258" s="115">
        <v>0</v>
      </c>
      <c r="AB258" s="115">
        <v>0</v>
      </c>
      <c r="AC258" s="115">
        <v>1</v>
      </c>
      <c r="AD258" s="115">
        <v>1</v>
      </c>
      <c r="AE258" s="115">
        <v>0</v>
      </c>
      <c r="AF258" s="115">
        <v>0</v>
      </c>
      <c r="AG258" s="4" t="s">
        <v>955</v>
      </c>
      <c r="AH258" s="4" t="s">
        <v>128</v>
      </c>
      <c r="AI258" s="4" t="s">
        <v>830</v>
      </c>
      <c r="AJ258" s="4" t="s">
        <v>127</v>
      </c>
      <c r="AK258" s="4" t="s">
        <v>127</v>
      </c>
      <c r="AL258" s="4" t="s">
        <v>127</v>
      </c>
      <c r="AM258" s="4" t="s">
        <v>127</v>
      </c>
      <c r="AN258" s="4" t="s">
        <v>200</v>
      </c>
      <c r="AO258" s="4" t="s">
        <v>127</v>
      </c>
      <c r="AP258" s="4" t="s">
        <v>127</v>
      </c>
      <c r="AQ258" s="4" t="s">
        <v>127</v>
      </c>
      <c r="AR258" s="4" t="s">
        <v>127</v>
      </c>
      <c r="AS258" s="4" t="s">
        <v>127</v>
      </c>
      <c r="AT258" s="4" t="s">
        <v>127</v>
      </c>
      <c r="AU258" s="4" t="s">
        <v>127</v>
      </c>
      <c r="AV258" s="4" t="s">
        <v>127</v>
      </c>
      <c r="AW258" s="4" t="s">
        <v>128</v>
      </c>
      <c r="AX258" s="4" t="s">
        <v>127</v>
      </c>
      <c r="AY258" s="96" t="s">
        <v>1463</v>
      </c>
      <c r="AZ258" s="96" t="s">
        <v>1464</v>
      </c>
      <c r="BA258" s="4" t="s">
        <v>127</v>
      </c>
      <c r="BB258" s="4" t="s">
        <v>1465</v>
      </c>
      <c r="BC258" s="4" t="s">
        <v>1466</v>
      </c>
      <c r="BD258" s="4" t="s">
        <v>127</v>
      </c>
      <c r="BE258" s="4" t="s">
        <v>127</v>
      </c>
      <c r="BF258" s="4" t="s">
        <v>200</v>
      </c>
      <c r="BG258" s="4" t="s">
        <v>200</v>
      </c>
      <c r="BH258" s="4" t="s">
        <v>200</v>
      </c>
      <c r="BI258" s="4" t="s">
        <v>200</v>
      </c>
      <c r="BJ258" s="4" t="s">
        <v>200</v>
      </c>
      <c r="BK258" s="4" t="s">
        <v>200</v>
      </c>
      <c r="BL258" s="4" t="s">
        <v>200</v>
      </c>
      <c r="BM258" s="4" t="s">
        <v>200</v>
      </c>
      <c r="BN258" s="4" t="s">
        <v>200</v>
      </c>
      <c r="BO258" s="4" t="s">
        <v>200</v>
      </c>
    </row>
    <row r="259" spans="1:67" ht="16" x14ac:dyDescent="0.4">
      <c r="A259" s="4" t="s">
        <v>1462</v>
      </c>
      <c r="B259" s="4" t="s">
        <v>1468</v>
      </c>
      <c r="C259" s="4" t="s">
        <v>127</v>
      </c>
      <c r="D259" s="4" t="s">
        <v>128</v>
      </c>
      <c r="E259" s="189">
        <v>45602</v>
      </c>
      <c r="F259" s="6">
        <f t="shared" si="17"/>
        <v>2024</v>
      </c>
      <c r="G259" s="4" t="s">
        <v>273</v>
      </c>
      <c r="H259" s="22" t="str">
        <f>VLOOKUP($G259,'Item Classification'!B:C,2,0)</f>
        <v>Armoured Utility Vehicle (AUV)</v>
      </c>
      <c r="I259" s="6" t="str">
        <f>VLOOKUP($G259,'Item Classification'!B:D,3,0)</f>
        <v>Armoured vehicle</v>
      </c>
      <c r="J259" s="23">
        <f>VLOOKUP($G259,'Item Classification'!B:E,4,0)</f>
        <v>2</v>
      </c>
      <c r="K259" s="116" t="s">
        <v>274</v>
      </c>
      <c r="L259" s="116" t="s">
        <v>275</v>
      </c>
      <c r="M259" s="116" t="str">
        <f>VLOOKUP(L259,'NATO Classifications'!$D$6:$E$647,2,0)</f>
        <v>Trucks and Truck Tractors, Wheeled</v>
      </c>
      <c r="N259" s="4">
        <v>20</v>
      </c>
      <c r="O259" s="81"/>
      <c r="P259" s="81"/>
      <c r="Q259" s="4">
        <v>2024</v>
      </c>
      <c r="R259" s="4">
        <v>2024</v>
      </c>
      <c r="S259" s="4"/>
      <c r="T259" s="91" t="s">
        <v>132</v>
      </c>
      <c r="U259" s="104">
        <f>_xlfn.IFNA(S259/INDEX('Exchange Rates'!$C$7:$F$14,MATCH('MAIN DATA, Orders'!F259,'Exchange Rates'!$B$7:$B$14,0),MATCH('MAIN DATA, Orders'!T259,'Exchange Rates'!$C$6:$F$6,0)), "-")</f>
        <v>0</v>
      </c>
      <c r="V259" s="4" t="s">
        <v>133</v>
      </c>
      <c r="W259" s="4" t="s">
        <v>127</v>
      </c>
      <c r="X259" s="4" t="s">
        <v>128</v>
      </c>
      <c r="Y259" s="24">
        <f t="shared" si="16"/>
        <v>202411</v>
      </c>
      <c r="Z259" s="115">
        <v>1</v>
      </c>
      <c r="AA259" s="115">
        <v>0</v>
      </c>
      <c r="AB259" s="115">
        <v>0</v>
      </c>
      <c r="AC259" s="115">
        <v>1</v>
      </c>
      <c r="AD259" s="115">
        <v>1</v>
      </c>
      <c r="AE259" s="115">
        <v>0</v>
      </c>
      <c r="AF259" s="115">
        <v>0</v>
      </c>
      <c r="AG259" s="4" t="s">
        <v>955</v>
      </c>
      <c r="AH259" s="4" t="s">
        <v>128</v>
      </c>
      <c r="AI259" s="4" t="s">
        <v>830</v>
      </c>
      <c r="AJ259" s="4" t="s">
        <v>127</v>
      </c>
      <c r="AK259" s="4" t="s">
        <v>127</v>
      </c>
      <c r="AL259" s="4" t="s">
        <v>127</v>
      </c>
      <c r="AM259" s="4" t="s">
        <v>127</v>
      </c>
      <c r="AN259" s="4" t="s">
        <v>200</v>
      </c>
      <c r="AO259" s="4" t="s">
        <v>127</v>
      </c>
      <c r="AP259" s="4" t="s">
        <v>127</v>
      </c>
      <c r="AQ259" s="4" t="s">
        <v>127</v>
      </c>
      <c r="AR259" s="4" t="s">
        <v>127</v>
      </c>
      <c r="AS259" s="4" t="s">
        <v>127</v>
      </c>
      <c r="AT259" s="4" t="s">
        <v>127</v>
      </c>
      <c r="AU259" s="4" t="s">
        <v>127</v>
      </c>
      <c r="AV259" s="4" t="s">
        <v>127</v>
      </c>
      <c r="AW259" s="4" t="s">
        <v>128</v>
      </c>
      <c r="AX259" s="4" t="s">
        <v>127</v>
      </c>
      <c r="AY259" s="96" t="s">
        <v>1463</v>
      </c>
      <c r="AZ259" s="96" t="s">
        <v>1464</v>
      </c>
      <c r="BA259" s="4" t="s">
        <v>127</v>
      </c>
      <c r="BB259" s="4" t="s">
        <v>1465</v>
      </c>
      <c r="BC259" s="4" t="s">
        <v>1466</v>
      </c>
      <c r="BD259" s="4" t="s">
        <v>127</v>
      </c>
      <c r="BE259" s="4" t="s">
        <v>127</v>
      </c>
      <c r="BF259" s="4" t="s">
        <v>200</v>
      </c>
      <c r="BG259" s="4" t="s">
        <v>200</v>
      </c>
      <c r="BH259" s="4" t="s">
        <v>200</v>
      </c>
      <c r="BI259" s="4" t="s">
        <v>200</v>
      </c>
      <c r="BJ259" s="4" t="s">
        <v>200</v>
      </c>
      <c r="BK259" s="4" t="s">
        <v>200</v>
      </c>
      <c r="BL259" s="4" t="s">
        <v>200</v>
      </c>
      <c r="BM259" s="4" t="s">
        <v>200</v>
      </c>
      <c r="BN259" s="4" t="s">
        <v>200</v>
      </c>
      <c r="BO259" s="4" t="s">
        <v>200</v>
      </c>
    </row>
    <row r="260" spans="1:67" ht="16" x14ac:dyDescent="0.4">
      <c r="A260" s="4" t="s">
        <v>1469</v>
      </c>
      <c r="B260" s="4" t="s">
        <v>1469</v>
      </c>
      <c r="C260" s="4" t="s">
        <v>127</v>
      </c>
      <c r="D260" s="4" t="s">
        <v>128</v>
      </c>
      <c r="E260" s="189">
        <v>45602</v>
      </c>
      <c r="F260" s="6">
        <f t="shared" si="17"/>
        <v>2024</v>
      </c>
      <c r="G260" s="4" t="s">
        <v>1324</v>
      </c>
      <c r="H260" s="22" t="str">
        <f>VLOOKUP($G260,'Item Classification'!B:C,2,0)</f>
        <v>Communication and digitalisation</v>
      </c>
      <c r="I260" s="6" t="str">
        <f>VLOOKUP($G260,'Item Classification'!B:D,3,0)</f>
        <v>Modernisation</v>
      </c>
      <c r="J260" s="23">
        <f>VLOOKUP($G260,'Item Classification'!B:E,4,0)</f>
        <v>13</v>
      </c>
      <c r="K260" s="116" t="s">
        <v>158</v>
      </c>
      <c r="L260" s="116" t="s">
        <v>354</v>
      </c>
      <c r="M260" s="116" t="str">
        <f>VLOOKUP(L260,'NATO Classifications'!$D$6:$E$647,2,0)</f>
        <v>Communication, Detection, and Coherent Radiation Equipment (other)</v>
      </c>
      <c r="N260" s="4"/>
      <c r="O260" s="81"/>
      <c r="P260" s="81"/>
      <c r="Q260" s="4"/>
      <c r="R260" s="4">
        <v>2029</v>
      </c>
      <c r="S260" s="112">
        <v>1400000000</v>
      </c>
      <c r="T260" s="91" t="s">
        <v>132</v>
      </c>
      <c r="U260" s="104">
        <f>_xlfn.IFNA(S260/INDEX('Exchange Rates'!$C$7:$F$14,MATCH('MAIN DATA, Orders'!F260,'Exchange Rates'!$B$7:$B$14,0),MATCH('MAIN DATA, Orders'!T260,'Exchange Rates'!$C$6:$F$6,0)), "-")</f>
        <v>1400000000</v>
      </c>
      <c r="V260" s="4" t="s">
        <v>682</v>
      </c>
      <c r="W260" s="4" t="s">
        <v>133</v>
      </c>
      <c r="X260" s="4" t="s">
        <v>128</v>
      </c>
      <c r="Y260" s="24">
        <f t="shared" si="16"/>
        <v>202411</v>
      </c>
      <c r="Z260" s="115">
        <v>0</v>
      </c>
      <c r="AA260" s="115">
        <v>0</v>
      </c>
      <c r="AB260" s="115">
        <v>0</v>
      </c>
      <c r="AC260" s="115">
        <v>1</v>
      </c>
      <c r="AD260" s="115">
        <v>0</v>
      </c>
      <c r="AE260" s="115">
        <v>0</v>
      </c>
      <c r="AF260" s="115">
        <v>0</v>
      </c>
      <c r="AG260" s="4" t="s">
        <v>136</v>
      </c>
      <c r="AH260" s="4" t="s">
        <v>128</v>
      </c>
      <c r="AI260" s="4" t="s">
        <v>127</v>
      </c>
      <c r="AJ260" s="4" t="s">
        <v>127</v>
      </c>
      <c r="AK260" s="4" t="s">
        <v>127</v>
      </c>
      <c r="AL260" s="4" t="s">
        <v>127</v>
      </c>
      <c r="AM260" s="4" t="s">
        <v>127</v>
      </c>
      <c r="AN260" s="4" t="s">
        <v>127</v>
      </c>
      <c r="AO260" s="4" t="s">
        <v>127</v>
      </c>
      <c r="AP260" s="4" t="s">
        <v>127</v>
      </c>
      <c r="AQ260" s="4" t="s">
        <v>127</v>
      </c>
      <c r="AR260" s="4" t="s">
        <v>127</v>
      </c>
      <c r="AS260" s="4" t="s">
        <v>127</v>
      </c>
      <c r="AT260" s="4" t="s">
        <v>127</v>
      </c>
      <c r="AU260" s="4" t="s">
        <v>127</v>
      </c>
      <c r="AV260" s="4" t="s">
        <v>127</v>
      </c>
      <c r="AW260" s="4" t="s">
        <v>127</v>
      </c>
      <c r="AX260" s="4" t="s">
        <v>127</v>
      </c>
      <c r="AY260" s="96" t="s">
        <v>1463</v>
      </c>
      <c r="AZ260" s="96" t="s">
        <v>1464</v>
      </c>
      <c r="BA260" s="4" t="s">
        <v>127</v>
      </c>
      <c r="BB260" s="4" t="s">
        <v>1470</v>
      </c>
      <c r="BC260" s="4" t="s">
        <v>1471</v>
      </c>
      <c r="BD260" s="4" t="s">
        <v>127</v>
      </c>
      <c r="BE260" s="4" t="s">
        <v>127</v>
      </c>
      <c r="BF260" s="4"/>
      <c r="BG260" s="4"/>
      <c r="BH260" s="4"/>
      <c r="BI260" s="4"/>
      <c r="BJ260" s="4"/>
      <c r="BK260" s="4"/>
      <c r="BL260" s="4"/>
      <c r="BM260" s="4"/>
      <c r="BN260" s="4"/>
      <c r="BO260" s="4"/>
    </row>
    <row r="261" spans="1:67" ht="16" x14ac:dyDescent="0.4">
      <c r="A261" s="4" t="s">
        <v>1472</v>
      </c>
      <c r="B261" s="4" t="s">
        <v>1472</v>
      </c>
      <c r="C261" s="4" t="s">
        <v>127</v>
      </c>
      <c r="D261" s="4" t="s">
        <v>128</v>
      </c>
      <c r="E261" s="189">
        <v>45609</v>
      </c>
      <c r="F261" s="6">
        <f t="shared" si="17"/>
        <v>2024</v>
      </c>
      <c r="G261" s="4" t="s">
        <v>1473</v>
      </c>
      <c r="H261" s="22" t="str">
        <f>VLOOKUP($G261,'Item Classification'!B:C,2,0)</f>
        <v>Air-to-air missile (AAM)</v>
      </c>
      <c r="I261" s="6" t="str">
        <f>VLOOKUP($G261,'Item Classification'!B:D,3,0)</f>
        <v>Missile (Air)</v>
      </c>
      <c r="J261" s="23">
        <f>VLOOKUP($G261,'Item Classification'!B:E,4,0)</f>
        <v>6</v>
      </c>
      <c r="K261" s="116" t="s">
        <v>211</v>
      </c>
      <c r="L261" s="116" t="s">
        <v>211</v>
      </c>
      <c r="M261" s="116" t="str">
        <f>VLOOKUP(L261,'NATO Classifications'!$D$6:$E$647,2,0)</f>
        <v>Guided Missiles</v>
      </c>
      <c r="N261" s="4">
        <v>270</v>
      </c>
      <c r="O261" s="81">
        <f t="shared" ref="O261:O305" si="18">S261/N261</f>
        <v>1929629.6296296297</v>
      </c>
      <c r="P261" s="81">
        <f t="shared" ref="P261:P305" si="19">U261/N261</f>
        <v>1929629.6296296297</v>
      </c>
      <c r="Q261" s="4"/>
      <c r="R261" s="4"/>
      <c r="S261" s="112">
        <v>521000000</v>
      </c>
      <c r="T261" s="91" t="s">
        <v>132</v>
      </c>
      <c r="U261" s="104">
        <f>_xlfn.IFNA(S261/INDEX('Exchange Rates'!$C$7:$F$14,MATCH('MAIN DATA, Orders'!F261,'Exchange Rates'!$B$7:$B$14,0),MATCH('MAIN DATA, Orders'!T261,'Exchange Rates'!$C$6:$F$6,0)), "-")</f>
        <v>521000000</v>
      </c>
      <c r="V261" s="4" t="s">
        <v>682</v>
      </c>
      <c r="W261" s="4" t="s">
        <v>133</v>
      </c>
      <c r="X261" s="4" t="s">
        <v>128</v>
      </c>
      <c r="Y261" s="24">
        <f t="shared" si="16"/>
        <v>202411</v>
      </c>
      <c r="Z261" s="115">
        <v>1</v>
      </c>
      <c r="AA261" s="115">
        <v>0</v>
      </c>
      <c r="AB261" s="115">
        <v>0</v>
      </c>
      <c r="AC261" s="115">
        <v>1</v>
      </c>
      <c r="AD261" s="115">
        <v>1</v>
      </c>
      <c r="AE261" s="115">
        <v>0</v>
      </c>
      <c r="AF261" s="115">
        <v>1</v>
      </c>
      <c r="AG261" s="4" t="s">
        <v>475</v>
      </c>
      <c r="AH261" s="4" t="s">
        <v>128</v>
      </c>
      <c r="AI261" s="4" t="s">
        <v>128</v>
      </c>
      <c r="AJ261" s="4" t="s">
        <v>127</v>
      </c>
      <c r="AK261" s="4" t="s">
        <v>127</v>
      </c>
      <c r="AL261" s="4" t="s">
        <v>127</v>
      </c>
      <c r="AM261" s="4" t="s">
        <v>127</v>
      </c>
      <c r="AN261" s="4" t="s">
        <v>151</v>
      </c>
      <c r="AO261" s="4" t="s">
        <v>238</v>
      </c>
      <c r="AP261" s="4" t="s">
        <v>197</v>
      </c>
      <c r="AQ261" s="4" t="s">
        <v>162</v>
      </c>
      <c r="AR261" s="4" t="s">
        <v>213</v>
      </c>
      <c r="AS261" s="4" t="s">
        <v>127</v>
      </c>
      <c r="AT261" s="4" t="s">
        <v>127</v>
      </c>
      <c r="AU261" s="4" t="s">
        <v>127</v>
      </c>
      <c r="AV261" s="4" t="s">
        <v>127</v>
      </c>
      <c r="AW261" s="4" t="s">
        <v>151</v>
      </c>
      <c r="AX261" s="4" t="s">
        <v>238</v>
      </c>
      <c r="AY261" s="111" t="s">
        <v>1474</v>
      </c>
      <c r="AZ261" s="96" t="s">
        <v>1475</v>
      </c>
      <c r="BA261" s="4" t="s">
        <v>127</v>
      </c>
      <c r="BB261" s="4" t="s">
        <v>1476</v>
      </c>
      <c r="BC261" s="4" t="s">
        <v>1477</v>
      </c>
      <c r="BD261" s="4" t="s">
        <v>127</v>
      </c>
      <c r="BE261" s="4" t="s">
        <v>127</v>
      </c>
      <c r="BF261" s="4"/>
      <c r="BG261" s="4"/>
      <c r="BH261" s="4"/>
      <c r="BI261" s="4"/>
      <c r="BJ261" s="4"/>
      <c r="BK261" s="4"/>
      <c r="BL261" s="4"/>
      <c r="BM261" s="4"/>
      <c r="BN261" s="4"/>
      <c r="BO261" s="4"/>
    </row>
    <row r="262" spans="1:67" ht="16" x14ac:dyDescent="0.4">
      <c r="A262" s="4" t="s">
        <v>1478</v>
      </c>
      <c r="B262" s="4" t="s">
        <v>1478</v>
      </c>
      <c r="C262" s="4" t="s">
        <v>127</v>
      </c>
      <c r="D262" s="4" t="s">
        <v>128</v>
      </c>
      <c r="E262" s="189">
        <v>45609</v>
      </c>
      <c r="F262" s="6">
        <f t="shared" si="17"/>
        <v>2024</v>
      </c>
      <c r="G262" s="4" t="s">
        <v>1479</v>
      </c>
      <c r="H262" s="22" t="str">
        <f>VLOOKUP($G262,'Item Classification'!B:C,2,0)</f>
        <v>Fighter aircraft display development</v>
      </c>
      <c r="I262" s="6" t="str">
        <f>VLOOKUP($G262,'Item Classification'!B:D,3,0)</f>
        <v>Development - Aircraft</v>
      </c>
      <c r="J262" s="23">
        <f>VLOOKUP($G262,'Item Classification'!B:E,4,0)</f>
        <v>15</v>
      </c>
      <c r="K262" s="116" t="s">
        <v>580</v>
      </c>
      <c r="L262" s="116" t="s">
        <v>609</v>
      </c>
      <c r="M262" s="116" t="str">
        <f>VLOOKUP(L262,'NATO Classifications'!$D$6:$E$647,2,0)</f>
        <v>Aircraft Gunnery Fire Control Components</v>
      </c>
      <c r="N262" s="4"/>
      <c r="O262" s="81"/>
      <c r="P262" s="81"/>
      <c r="Q262" s="4"/>
      <c r="R262" s="4">
        <v>2027</v>
      </c>
      <c r="S262" s="112">
        <v>63000000</v>
      </c>
      <c r="T262" s="91" t="s">
        <v>132</v>
      </c>
      <c r="U262" s="104">
        <f>_xlfn.IFNA(S262/INDEX('Exchange Rates'!$C$7:$F$14,MATCH('MAIN DATA, Orders'!F262,'Exchange Rates'!$B$7:$B$14,0),MATCH('MAIN DATA, Orders'!T262,'Exchange Rates'!$C$6:$F$6,0)), "-")</f>
        <v>63000000</v>
      </c>
      <c r="V262" s="4" t="s">
        <v>682</v>
      </c>
      <c r="W262" s="4" t="s">
        <v>133</v>
      </c>
      <c r="X262" s="4" t="s">
        <v>128</v>
      </c>
      <c r="Y262" s="24">
        <f t="shared" si="16"/>
        <v>202411</v>
      </c>
      <c r="Z262" s="115">
        <v>0</v>
      </c>
      <c r="AA262" s="115">
        <v>0</v>
      </c>
      <c r="AB262" s="115">
        <v>0</v>
      </c>
      <c r="AC262" s="115">
        <v>1</v>
      </c>
      <c r="AD262" s="115">
        <v>1</v>
      </c>
      <c r="AE262" s="115">
        <v>0</v>
      </c>
      <c r="AF262" s="115">
        <v>1</v>
      </c>
      <c r="AG262" s="4" t="s">
        <v>1480</v>
      </c>
      <c r="AH262" s="4" t="s">
        <v>238</v>
      </c>
      <c r="AI262" s="4" t="s">
        <v>238</v>
      </c>
      <c r="AJ262" s="4" t="s">
        <v>149</v>
      </c>
      <c r="AK262" s="4" t="s">
        <v>127</v>
      </c>
      <c r="AL262" s="4" t="s">
        <v>127</v>
      </c>
      <c r="AM262" s="4" t="s">
        <v>127</v>
      </c>
      <c r="AN262" s="4" t="s">
        <v>128</v>
      </c>
      <c r="AO262" s="4" t="s">
        <v>197</v>
      </c>
      <c r="AP262" s="4" t="s">
        <v>127</v>
      </c>
      <c r="AQ262" s="4" t="s">
        <v>127</v>
      </c>
      <c r="AR262" s="4" t="s">
        <v>127</v>
      </c>
      <c r="AS262" s="4" t="s">
        <v>127</v>
      </c>
      <c r="AT262" s="4" t="s">
        <v>127</v>
      </c>
      <c r="AU262" s="4" t="s">
        <v>127</v>
      </c>
      <c r="AV262" s="4" t="s">
        <v>127</v>
      </c>
      <c r="AW262" s="4" t="s">
        <v>127</v>
      </c>
      <c r="AX262" s="4" t="s">
        <v>127</v>
      </c>
      <c r="AY262" s="96" t="s">
        <v>1474</v>
      </c>
      <c r="AZ262" s="96" t="s">
        <v>1475</v>
      </c>
      <c r="BA262" s="4" t="s">
        <v>127</v>
      </c>
      <c r="BB262" s="4" t="s">
        <v>1481</v>
      </c>
      <c r="BC262" s="4" t="s">
        <v>1482</v>
      </c>
      <c r="BD262" s="4" t="s">
        <v>127</v>
      </c>
      <c r="BE262" s="4" t="s">
        <v>127</v>
      </c>
      <c r="BF262" s="4"/>
      <c r="BG262" s="4"/>
      <c r="BH262" s="4"/>
      <c r="BI262" s="4"/>
      <c r="BJ262" s="4"/>
      <c r="BK262" s="4"/>
      <c r="BL262" s="4"/>
      <c r="BM262" s="4"/>
      <c r="BN262" s="4"/>
      <c r="BO262" s="4"/>
    </row>
    <row r="263" spans="1:67" ht="16" x14ac:dyDescent="0.4">
      <c r="A263" s="4" t="s">
        <v>1483</v>
      </c>
      <c r="B263" s="4" t="s">
        <v>1483</v>
      </c>
      <c r="C263" s="4" t="s">
        <v>166</v>
      </c>
      <c r="D263" s="4" t="s">
        <v>128</v>
      </c>
      <c r="E263" s="189">
        <v>45609</v>
      </c>
      <c r="F263" s="6">
        <f t="shared" si="17"/>
        <v>2024</v>
      </c>
      <c r="G263" s="4" t="s">
        <v>409</v>
      </c>
      <c r="H263" s="22" t="str">
        <f>VLOOKUP($G263,'Item Classification'!B:C,2,0)</f>
        <v>Communication and digitalisation</v>
      </c>
      <c r="I263" s="6" t="str">
        <f>VLOOKUP($G263,'Item Classification'!B:D,3,0)</f>
        <v>Modernisation</v>
      </c>
      <c r="J263" s="23">
        <f>VLOOKUP($G263,'Item Classification'!B:E,4,0)</f>
        <v>13</v>
      </c>
      <c r="K263" s="116" t="s">
        <v>168</v>
      </c>
      <c r="L263" s="116" t="s">
        <v>182</v>
      </c>
      <c r="M263" s="116" t="str">
        <f>VLOOKUP(L263,'NATO Classifications'!$D$6:$E$647,2,0)</f>
        <v>ADP Software</v>
      </c>
      <c r="N263" s="4"/>
      <c r="O263" s="81"/>
      <c r="P263" s="81"/>
      <c r="Q263" s="4"/>
      <c r="R263" s="4"/>
      <c r="S263" s="112">
        <v>64000000</v>
      </c>
      <c r="T263" s="91" t="s">
        <v>132</v>
      </c>
      <c r="U263" s="104">
        <f>_xlfn.IFNA(S263/INDEX('Exchange Rates'!$C$7:$F$14,MATCH('MAIN DATA, Orders'!F263,'Exchange Rates'!$B$7:$B$14,0),MATCH('MAIN DATA, Orders'!T263,'Exchange Rates'!$C$6:$F$6,0)), "-")</f>
        <v>64000000</v>
      </c>
      <c r="V263" s="4" t="s">
        <v>682</v>
      </c>
      <c r="W263" s="4" t="s">
        <v>133</v>
      </c>
      <c r="X263" s="4" t="s">
        <v>128</v>
      </c>
      <c r="Y263" s="24">
        <f t="shared" si="16"/>
        <v>202411</v>
      </c>
      <c r="Z263" s="115">
        <v>0</v>
      </c>
      <c r="AA263" s="115">
        <v>1</v>
      </c>
      <c r="AB263" s="115">
        <v>0</v>
      </c>
      <c r="AC263" s="115">
        <v>1</v>
      </c>
      <c r="AD263" s="115">
        <v>0</v>
      </c>
      <c r="AE263" s="115">
        <v>0</v>
      </c>
      <c r="AF263" s="115">
        <v>0</v>
      </c>
      <c r="AG263" s="4" t="s">
        <v>166</v>
      </c>
      <c r="AH263" s="4" t="s">
        <v>128</v>
      </c>
      <c r="AI263" s="4" t="s">
        <v>127</v>
      </c>
      <c r="AJ263" s="4" t="s">
        <v>127</v>
      </c>
      <c r="AK263" s="4" t="s">
        <v>127</v>
      </c>
      <c r="AL263" s="4" t="s">
        <v>127</v>
      </c>
      <c r="AM263" s="4" t="s">
        <v>127</v>
      </c>
      <c r="AN263" s="4" t="s">
        <v>127</v>
      </c>
      <c r="AO263" s="4" t="s">
        <v>127</v>
      </c>
      <c r="AP263" s="4" t="s">
        <v>127</v>
      </c>
      <c r="AQ263" s="4" t="s">
        <v>127</v>
      </c>
      <c r="AR263" s="4" t="s">
        <v>127</v>
      </c>
      <c r="AS263" s="4" t="s">
        <v>127</v>
      </c>
      <c r="AT263" s="4" t="s">
        <v>127</v>
      </c>
      <c r="AU263" s="4" t="s">
        <v>127</v>
      </c>
      <c r="AV263" s="4" t="s">
        <v>127</v>
      </c>
      <c r="AW263" s="4" t="s">
        <v>127</v>
      </c>
      <c r="AX263" s="4" t="s">
        <v>127</v>
      </c>
      <c r="AY263" s="96" t="s">
        <v>1474</v>
      </c>
      <c r="AZ263" s="96" t="s">
        <v>1475</v>
      </c>
      <c r="BA263" s="4" t="s">
        <v>127</v>
      </c>
      <c r="BB263" s="4" t="s">
        <v>1484</v>
      </c>
      <c r="BC263" s="4" t="s">
        <v>1485</v>
      </c>
      <c r="BD263" s="4" t="s">
        <v>127</v>
      </c>
      <c r="BE263" s="4" t="s">
        <v>127</v>
      </c>
      <c r="BF263" s="4"/>
      <c r="BG263" s="4"/>
      <c r="BH263" s="4"/>
      <c r="BI263" s="4"/>
      <c r="BJ263" s="4"/>
      <c r="BK263" s="4"/>
      <c r="BL263" s="4"/>
      <c r="BM263" s="4"/>
      <c r="BN263" s="4"/>
      <c r="BO263" s="4"/>
    </row>
    <row r="264" spans="1:67" ht="16" x14ac:dyDescent="0.4">
      <c r="A264" s="4" t="s">
        <v>1486</v>
      </c>
      <c r="B264" s="4" t="s">
        <v>1486</v>
      </c>
      <c r="C264" s="4" t="s">
        <v>127</v>
      </c>
      <c r="D264" s="4" t="s">
        <v>128</v>
      </c>
      <c r="E264" s="189">
        <v>45644</v>
      </c>
      <c r="F264" s="6">
        <f t="shared" si="17"/>
        <v>2024</v>
      </c>
      <c r="G264" s="4" t="s">
        <v>127</v>
      </c>
      <c r="H264" s="22" t="s">
        <v>1487</v>
      </c>
      <c r="I264" s="6" t="s">
        <v>287</v>
      </c>
      <c r="J264" s="23">
        <v>16</v>
      </c>
      <c r="K264" s="116" t="s">
        <v>229</v>
      </c>
      <c r="L264" s="116" t="s">
        <v>230</v>
      </c>
      <c r="M264" s="116" t="str">
        <f>VLOOKUP(L264,'NATO Classifications'!$D$6:$E$647,2,0)</f>
        <v>Miscellaneous Items</v>
      </c>
      <c r="N264" s="4"/>
      <c r="O264" s="81"/>
      <c r="P264" s="81"/>
      <c r="Q264" s="4"/>
      <c r="R264" s="4"/>
      <c r="S264" s="112">
        <v>14165241000</v>
      </c>
      <c r="T264" s="91" t="s">
        <v>132</v>
      </c>
      <c r="U264" s="104">
        <f>_xlfn.IFNA(S264/INDEX('Exchange Rates'!$C$7:$F$14,MATCH('MAIN DATA, Orders'!F264,'Exchange Rates'!$B$7:$B$14,0),MATCH('MAIN DATA, Orders'!T264,'Exchange Rates'!$C$6:$F$6,0)), "-")</f>
        <v>14165241000</v>
      </c>
      <c r="V264" s="4" t="s">
        <v>682</v>
      </c>
      <c r="W264" s="4" t="s">
        <v>133</v>
      </c>
      <c r="X264" s="4" t="s">
        <v>128</v>
      </c>
      <c r="Y264" s="24">
        <f t="shared" si="16"/>
        <v>202412</v>
      </c>
      <c r="Z264" s="115" t="s">
        <v>127</v>
      </c>
      <c r="AA264" s="115" t="s">
        <v>127</v>
      </c>
      <c r="AB264" s="115">
        <v>0</v>
      </c>
      <c r="AC264" s="115" t="s">
        <v>127</v>
      </c>
      <c r="AD264" s="115" t="s">
        <v>127</v>
      </c>
      <c r="AE264" s="115" t="s">
        <v>127</v>
      </c>
      <c r="AF264" s="115" t="s">
        <v>127</v>
      </c>
      <c r="AG264" s="4" t="s">
        <v>127</v>
      </c>
      <c r="AH264" s="4" t="s">
        <v>127</v>
      </c>
      <c r="AI264" s="4" t="s">
        <v>127</v>
      </c>
      <c r="AJ264" s="4" t="s">
        <v>127</v>
      </c>
      <c r="AK264" s="4" t="s">
        <v>127</v>
      </c>
      <c r="AL264" s="4" t="s">
        <v>127</v>
      </c>
      <c r="AM264" s="4" t="s">
        <v>127</v>
      </c>
      <c r="AN264" s="4" t="s">
        <v>127</v>
      </c>
      <c r="AO264" s="4" t="s">
        <v>127</v>
      </c>
      <c r="AP264" s="4" t="s">
        <v>127</v>
      </c>
      <c r="AQ264" s="4" t="s">
        <v>127</v>
      </c>
      <c r="AR264" s="4" t="s">
        <v>127</v>
      </c>
      <c r="AS264" s="4" t="s">
        <v>127</v>
      </c>
      <c r="AT264" s="4" t="s">
        <v>127</v>
      </c>
      <c r="AU264" s="4" t="s">
        <v>127</v>
      </c>
      <c r="AV264" s="4" t="s">
        <v>127</v>
      </c>
      <c r="AW264" s="4" t="s">
        <v>127</v>
      </c>
      <c r="AX264" s="4" t="s">
        <v>127</v>
      </c>
      <c r="AY264" s="111" t="s">
        <v>1488</v>
      </c>
      <c r="AZ264" s="96" t="s">
        <v>1489</v>
      </c>
      <c r="BA264" s="4" t="s">
        <v>127</v>
      </c>
      <c r="BB264" s="4" t="s">
        <v>1490</v>
      </c>
      <c r="BC264" s="4" t="s">
        <v>1491</v>
      </c>
      <c r="BD264" s="4" t="s">
        <v>127</v>
      </c>
      <c r="BE264" s="4" t="s">
        <v>1492</v>
      </c>
      <c r="BF264" s="4" t="s">
        <v>127</v>
      </c>
      <c r="BG264" s="4" t="s">
        <v>200</v>
      </c>
      <c r="BH264" s="4" t="s">
        <v>200</v>
      </c>
      <c r="BI264" s="4" t="s">
        <v>200</v>
      </c>
      <c r="BJ264" s="4" t="s">
        <v>200</v>
      </c>
      <c r="BK264" s="4" t="s">
        <v>200</v>
      </c>
      <c r="BL264" s="4" t="s">
        <v>200</v>
      </c>
      <c r="BM264" s="4" t="s">
        <v>200</v>
      </c>
      <c r="BN264" s="4" t="s">
        <v>200</v>
      </c>
      <c r="BO264" s="4" t="s">
        <v>200</v>
      </c>
    </row>
    <row r="265" spans="1:67" ht="16" x14ac:dyDescent="0.4">
      <c r="A265" s="4" t="s">
        <v>1486</v>
      </c>
      <c r="B265" s="4" t="s">
        <v>1493</v>
      </c>
      <c r="C265" s="4" t="s">
        <v>127</v>
      </c>
      <c r="D265" s="4" t="s">
        <v>128</v>
      </c>
      <c r="E265" s="189">
        <v>45644</v>
      </c>
      <c r="F265" s="6">
        <f t="shared" si="17"/>
        <v>2024</v>
      </c>
      <c r="G265" s="4" t="s">
        <v>1379</v>
      </c>
      <c r="H265" s="22" t="str">
        <f>VLOOKUP($G265,'Item Classification'!B:C,2,0)</f>
        <v>Non-combat military vehicle</v>
      </c>
      <c r="I265" s="6" t="str">
        <f>VLOOKUP($G265,'Item Classification'!B:D,3,0)</f>
        <v>Other</v>
      </c>
      <c r="J265" s="23">
        <f>VLOOKUP($G265,'Item Classification'!B:E,4,0)</f>
        <v>16</v>
      </c>
      <c r="K265" s="116" t="s">
        <v>274</v>
      </c>
      <c r="L265" s="116" t="s">
        <v>275</v>
      </c>
      <c r="M265" s="116" t="str">
        <f>VLOOKUP(L265,'NATO Classifications'!$D$6:$E$647,2,0)</f>
        <v>Trucks and Truck Tractors, Wheeled</v>
      </c>
      <c r="N265" s="4">
        <v>300</v>
      </c>
      <c r="O265" s="81"/>
      <c r="P265" s="81"/>
      <c r="Q265" s="4"/>
      <c r="R265" s="4"/>
      <c r="S265" s="4"/>
      <c r="T265" s="91" t="s">
        <v>132</v>
      </c>
      <c r="U265" s="104">
        <f>_xlfn.IFNA(S265/INDEX('Exchange Rates'!$C$7:$F$14,MATCH('MAIN DATA, Orders'!F265,'Exchange Rates'!$B$7:$B$14,0),MATCH('MAIN DATA, Orders'!T265,'Exchange Rates'!$C$6:$F$6,0)), "-")</f>
        <v>0</v>
      </c>
      <c r="V265" s="4" t="s">
        <v>682</v>
      </c>
      <c r="W265" s="4" t="s">
        <v>133</v>
      </c>
      <c r="X265" s="4" t="s">
        <v>128</v>
      </c>
      <c r="Y265" s="24">
        <f t="shared" si="16"/>
        <v>202412</v>
      </c>
      <c r="Z265" s="115">
        <v>1</v>
      </c>
      <c r="AA265" s="115">
        <v>0</v>
      </c>
      <c r="AB265" s="115">
        <v>0</v>
      </c>
      <c r="AC265" s="115" t="s">
        <v>127</v>
      </c>
      <c r="AD265" s="115" t="s">
        <v>127</v>
      </c>
      <c r="AE265" s="115" t="s">
        <v>127</v>
      </c>
      <c r="AF265" s="115" t="s">
        <v>127</v>
      </c>
      <c r="AG265" s="4" t="s">
        <v>127</v>
      </c>
      <c r="AH265" s="4" t="s">
        <v>127</v>
      </c>
      <c r="AI265" s="4" t="s">
        <v>127</v>
      </c>
      <c r="AJ265" s="4" t="s">
        <v>127</v>
      </c>
      <c r="AK265" s="4" t="s">
        <v>127</v>
      </c>
      <c r="AL265" s="4" t="s">
        <v>127</v>
      </c>
      <c r="AM265" s="4" t="s">
        <v>127</v>
      </c>
      <c r="AN265" s="4" t="s">
        <v>127</v>
      </c>
      <c r="AO265" s="4" t="s">
        <v>127</v>
      </c>
      <c r="AP265" s="4" t="s">
        <v>127</v>
      </c>
      <c r="AQ265" s="4" t="s">
        <v>127</v>
      </c>
      <c r="AR265" s="4" t="s">
        <v>127</v>
      </c>
      <c r="AS265" s="4" t="s">
        <v>127</v>
      </c>
      <c r="AT265" s="4" t="s">
        <v>127</v>
      </c>
      <c r="AU265" s="4" t="s">
        <v>127</v>
      </c>
      <c r="AV265" s="4" t="s">
        <v>127</v>
      </c>
      <c r="AW265" s="4" t="s">
        <v>127</v>
      </c>
      <c r="AX265" s="4" t="s">
        <v>127</v>
      </c>
      <c r="AY265" s="96" t="s">
        <v>1488</v>
      </c>
      <c r="AZ265" s="96" t="s">
        <v>1489</v>
      </c>
      <c r="BA265" s="4" t="s">
        <v>127</v>
      </c>
      <c r="BB265" s="4" t="s">
        <v>1490</v>
      </c>
      <c r="BC265" s="4" t="s">
        <v>1494</v>
      </c>
      <c r="BD265" s="4" t="s">
        <v>127</v>
      </c>
      <c r="BE265" s="4" t="s">
        <v>1492</v>
      </c>
      <c r="BF265" s="4" t="s">
        <v>127</v>
      </c>
      <c r="BG265" s="4" t="s">
        <v>200</v>
      </c>
      <c r="BH265" s="4" t="s">
        <v>200</v>
      </c>
      <c r="BI265" s="4" t="s">
        <v>200</v>
      </c>
      <c r="BJ265" s="4" t="s">
        <v>200</v>
      </c>
      <c r="BK265" s="4" t="s">
        <v>200</v>
      </c>
      <c r="BL265" s="4" t="s">
        <v>200</v>
      </c>
      <c r="BM265" s="4" t="s">
        <v>200</v>
      </c>
      <c r="BN265" s="4" t="s">
        <v>200</v>
      </c>
      <c r="BO265" s="4" t="s">
        <v>200</v>
      </c>
    </row>
    <row r="266" spans="1:67" ht="16" x14ac:dyDescent="0.4">
      <c r="A266" s="4" t="s">
        <v>1486</v>
      </c>
      <c r="B266" s="4" t="s">
        <v>1495</v>
      </c>
      <c r="C266" s="4" t="s">
        <v>127</v>
      </c>
      <c r="D266" s="4" t="s">
        <v>128</v>
      </c>
      <c r="E266" s="189">
        <v>45644</v>
      </c>
      <c r="F266" s="6">
        <f t="shared" si="17"/>
        <v>2024</v>
      </c>
      <c r="G266" s="4" t="s">
        <v>1496</v>
      </c>
      <c r="H266" s="22" t="str">
        <f>VLOOKUP($G266,'Item Classification'!B:C,2,0)</f>
        <v>Anti-missile countermeasure system</v>
      </c>
      <c r="I266" s="6" t="str">
        <f>VLOOKUP($G266,'Item Classification'!B:D,3,0)</f>
        <v>Aircraft</v>
      </c>
      <c r="J266" s="23">
        <f>VLOOKUP($G266,'Item Classification'!B:E,4,0)</f>
        <v>11</v>
      </c>
      <c r="K266" s="116" t="s">
        <v>158</v>
      </c>
      <c r="L266" s="116" t="s">
        <v>379</v>
      </c>
      <c r="M266" s="116" t="str">
        <f>VLOOKUP(L266,'NATO Classifications'!$D$6:$E$647,2,0)</f>
        <v>Communication, Detection, and Coherent Radiation Equipment (other)</v>
      </c>
      <c r="N266" s="4">
        <v>6</v>
      </c>
      <c r="O266" s="81"/>
      <c r="P266" s="81"/>
      <c r="Q266" s="4"/>
      <c r="R266" s="4"/>
      <c r="S266" s="4"/>
      <c r="T266" s="91" t="s">
        <v>132</v>
      </c>
      <c r="U266" s="104">
        <f>_xlfn.IFNA(S266/INDEX('Exchange Rates'!$C$7:$F$14,MATCH('MAIN DATA, Orders'!F266,'Exchange Rates'!$B$7:$B$14,0),MATCH('MAIN DATA, Orders'!T266,'Exchange Rates'!$C$6:$F$6,0)), "-")</f>
        <v>0</v>
      </c>
      <c r="V266" s="4" t="s">
        <v>682</v>
      </c>
      <c r="W266" s="4" t="s">
        <v>133</v>
      </c>
      <c r="X266" s="4" t="s">
        <v>128</v>
      </c>
      <c r="Y266" s="24">
        <f t="shared" si="16"/>
        <v>202412</v>
      </c>
      <c r="Z266" s="115">
        <v>0</v>
      </c>
      <c r="AA266" s="115">
        <v>0</v>
      </c>
      <c r="AB266" s="115">
        <v>0</v>
      </c>
      <c r="AC266" s="115" t="s">
        <v>127</v>
      </c>
      <c r="AD266" s="115" t="s">
        <v>127</v>
      </c>
      <c r="AE266" s="115" t="s">
        <v>127</v>
      </c>
      <c r="AF266" s="115" t="s">
        <v>127</v>
      </c>
      <c r="AG266" s="4" t="s">
        <v>127</v>
      </c>
      <c r="AH266" s="4" t="s">
        <v>127</v>
      </c>
      <c r="AI266" s="4" t="s">
        <v>127</v>
      </c>
      <c r="AJ266" s="4" t="s">
        <v>127</v>
      </c>
      <c r="AK266" s="4" t="s">
        <v>127</v>
      </c>
      <c r="AL266" s="4" t="s">
        <v>127</v>
      </c>
      <c r="AM266" s="4" t="s">
        <v>127</v>
      </c>
      <c r="AN266" s="4" t="s">
        <v>127</v>
      </c>
      <c r="AO266" s="4" t="s">
        <v>127</v>
      </c>
      <c r="AP266" s="4" t="s">
        <v>127</v>
      </c>
      <c r="AQ266" s="4" t="s">
        <v>127</v>
      </c>
      <c r="AR266" s="4" t="s">
        <v>127</v>
      </c>
      <c r="AS266" s="4" t="s">
        <v>127</v>
      </c>
      <c r="AT266" s="4" t="s">
        <v>127</v>
      </c>
      <c r="AU266" s="4" t="s">
        <v>127</v>
      </c>
      <c r="AV266" s="4" t="s">
        <v>127</v>
      </c>
      <c r="AW266" s="4" t="s">
        <v>127</v>
      </c>
      <c r="AX266" s="4" t="s">
        <v>127</v>
      </c>
      <c r="AY266" s="96" t="s">
        <v>1488</v>
      </c>
      <c r="AZ266" s="96" t="s">
        <v>1489</v>
      </c>
      <c r="BA266" s="4" t="s">
        <v>127</v>
      </c>
      <c r="BB266" s="4" t="s">
        <v>1490</v>
      </c>
      <c r="BC266" s="4" t="s">
        <v>1497</v>
      </c>
      <c r="BD266" s="4" t="s">
        <v>127</v>
      </c>
      <c r="BE266" s="4" t="s">
        <v>1492</v>
      </c>
      <c r="BF266" s="4" t="s">
        <v>127</v>
      </c>
      <c r="BG266" s="4" t="s">
        <v>200</v>
      </c>
      <c r="BH266" s="4" t="s">
        <v>200</v>
      </c>
      <c r="BI266" s="4" t="s">
        <v>200</v>
      </c>
      <c r="BJ266" s="4" t="s">
        <v>200</v>
      </c>
      <c r="BK266" s="4" t="s">
        <v>200</v>
      </c>
      <c r="BL266" s="4" t="s">
        <v>200</v>
      </c>
      <c r="BM266" s="4" t="s">
        <v>200</v>
      </c>
      <c r="BN266" s="4" t="s">
        <v>200</v>
      </c>
      <c r="BO266" s="4" t="s">
        <v>200</v>
      </c>
    </row>
    <row r="267" spans="1:67" ht="16" x14ac:dyDescent="0.4">
      <c r="A267" s="4" t="s">
        <v>1486</v>
      </c>
      <c r="B267" s="4" t="s">
        <v>1498</v>
      </c>
      <c r="C267" s="4" t="s">
        <v>127</v>
      </c>
      <c r="D267" s="4" t="s">
        <v>128</v>
      </c>
      <c r="E267" s="189">
        <v>45644</v>
      </c>
      <c r="F267" s="6">
        <f t="shared" si="17"/>
        <v>2024</v>
      </c>
      <c r="G267" s="4" t="s">
        <v>1499</v>
      </c>
      <c r="H267" s="22" t="str">
        <f>VLOOKUP($G267,'Item Classification'!B:C,2,0)</f>
        <v>Military equipment</v>
      </c>
      <c r="I267" s="6" t="str">
        <f>VLOOKUP($G267,'Item Classification'!B:D,3,0)</f>
        <v>Other</v>
      </c>
      <c r="J267" s="23">
        <f>VLOOKUP($G267,'Item Classification'!B:E,4,0)</f>
        <v>16</v>
      </c>
      <c r="K267" s="116" t="s">
        <v>158</v>
      </c>
      <c r="L267" s="116" t="s">
        <v>369</v>
      </c>
      <c r="M267" s="116" t="str">
        <f>VLOOKUP(L267,'NATO Classifications'!$D$6:$E$647,2,0)</f>
        <v>Communication, Detection, and Coherent Radiation Equipment (other)</v>
      </c>
      <c r="N267" s="4">
        <v>25000</v>
      </c>
      <c r="O267" s="81"/>
      <c r="P267" s="81"/>
      <c r="Q267" s="4"/>
      <c r="R267" s="4"/>
      <c r="S267" s="4"/>
      <c r="T267" s="91" t="s">
        <v>132</v>
      </c>
      <c r="U267" s="104">
        <f>_xlfn.IFNA(S267/INDEX('Exchange Rates'!$C$7:$F$14,MATCH('MAIN DATA, Orders'!F267,'Exchange Rates'!$B$7:$B$14,0),MATCH('MAIN DATA, Orders'!T267,'Exchange Rates'!$C$6:$F$6,0)), "-")</f>
        <v>0</v>
      </c>
      <c r="V267" s="4" t="s">
        <v>682</v>
      </c>
      <c r="W267" s="4" t="s">
        <v>133</v>
      </c>
      <c r="X267" s="4" t="s">
        <v>128</v>
      </c>
      <c r="Y267" s="24">
        <f t="shared" si="16"/>
        <v>202412</v>
      </c>
      <c r="Z267" s="115">
        <v>0</v>
      </c>
      <c r="AA267" s="115">
        <v>0</v>
      </c>
      <c r="AB267" s="115">
        <v>0</v>
      </c>
      <c r="AC267" s="115" t="s">
        <v>127</v>
      </c>
      <c r="AD267" s="115" t="s">
        <v>127</v>
      </c>
      <c r="AE267" s="115" t="s">
        <v>127</v>
      </c>
      <c r="AF267" s="115" t="s">
        <v>127</v>
      </c>
      <c r="AG267" s="4" t="s">
        <v>127</v>
      </c>
      <c r="AH267" s="4" t="s">
        <v>127</v>
      </c>
      <c r="AI267" s="4" t="s">
        <v>127</v>
      </c>
      <c r="AJ267" s="4" t="s">
        <v>127</v>
      </c>
      <c r="AK267" s="4" t="s">
        <v>127</v>
      </c>
      <c r="AL267" s="4" t="s">
        <v>127</v>
      </c>
      <c r="AM267" s="4" t="s">
        <v>127</v>
      </c>
      <c r="AN267" s="4" t="s">
        <v>127</v>
      </c>
      <c r="AO267" s="4" t="s">
        <v>127</v>
      </c>
      <c r="AP267" s="4" t="s">
        <v>127</v>
      </c>
      <c r="AQ267" s="4" t="s">
        <v>127</v>
      </c>
      <c r="AR267" s="4" t="s">
        <v>127</v>
      </c>
      <c r="AS267" s="4" t="s">
        <v>127</v>
      </c>
      <c r="AT267" s="4" t="s">
        <v>127</v>
      </c>
      <c r="AU267" s="4" t="s">
        <v>127</v>
      </c>
      <c r="AV267" s="4" t="s">
        <v>127</v>
      </c>
      <c r="AW267" s="4" t="s">
        <v>127</v>
      </c>
      <c r="AX267" s="4" t="s">
        <v>127</v>
      </c>
      <c r="AY267" s="96" t="s">
        <v>1488</v>
      </c>
      <c r="AZ267" s="96" t="s">
        <v>1489</v>
      </c>
      <c r="BA267" s="4" t="s">
        <v>127</v>
      </c>
      <c r="BB267" s="4" t="s">
        <v>1490</v>
      </c>
      <c r="BC267" s="4" t="s">
        <v>1500</v>
      </c>
      <c r="BD267" s="4" t="s">
        <v>127</v>
      </c>
      <c r="BE267" s="4" t="s">
        <v>1492</v>
      </c>
      <c r="BF267" s="4" t="s">
        <v>127</v>
      </c>
      <c r="BG267" s="4" t="s">
        <v>200</v>
      </c>
      <c r="BH267" s="4" t="s">
        <v>200</v>
      </c>
      <c r="BI267" s="4" t="s">
        <v>200</v>
      </c>
      <c r="BJ267" s="4" t="s">
        <v>200</v>
      </c>
      <c r="BK267" s="4" t="s">
        <v>200</v>
      </c>
      <c r="BL267" s="4" t="s">
        <v>200</v>
      </c>
      <c r="BM267" s="4" t="s">
        <v>200</v>
      </c>
      <c r="BN267" s="4" t="s">
        <v>200</v>
      </c>
      <c r="BO267" s="4" t="s">
        <v>200</v>
      </c>
    </row>
    <row r="268" spans="1:67" ht="16" x14ac:dyDescent="0.4">
      <c r="A268" s="4" t="s">
        <v>1486</v>
      </c>
      <c r="B268" s="4" t="s">
        <v>1501</v>
      </c>
      <c r="C268" s="4" t="s">
        <v>127</v>
      </c>
      <c r="D268" s="4" t="s">
        <v>128</v>
      </c>
      <c r="E268" s="189">
        <v>45644</v>
      </c>
      <c r="F268" s="6">
        <f t="shared" si="17"/>
        <v>2024</v>
      </c>
      <c r="G268" s="4" t="s">
        <v>1502</v>
      </c>
      <c r="H268" s="22" t="str">
        <f>VLOOKUP($G268,'Item Classification'!B:C,2,0)</f>
        <v>Infantry fighting vehicle (IFV) equipment</v>
      </c>
      <c r="I268" s="6" t="str">
        <f>VLOOKUP($G268,'Item Classification'!B:D,3,0)</f>
        <v>Armoured vehicle</v>
      </c>
      <c r="J268" s="23">
        <f>VLOOKUP($G268,'Item Classification'!B:E,4,0)</f>
        <v>2</v>
      </c>
      <c r="K268" s="116" t="s">
        <v>1280</v>
      </c>
      <c r="L268" s="116" t="s">
        <v>1503</v>
      </c>
      <c r="M268" s="116" t="str">
        <f>VLOOKUP(L268,'NATO Classifications'!$D$6:$E$647,2,0)</f>
        <v>Vehicular Furniture and Accessories</v>
      </c>
      <c r="N268" s="4"/>
      <c r="O268" s="81"/>
      <c r="P268" s="81"/>
      <c r="Q268" s="4"/>
      <c r="R268" s="4"/>
      <c r="S268" s="4"/>
      <c r="T268" s="91" t="s">
        <v>132</v>
      </c>
      <c r="U268" s="104">
        <f>_xlfn.IFNA(S268/INDEX('Exchange Rates'!$C$7:$F$14,MATCH('MAIN DATA, Orders'!F268,'Exchange Rates'!$B$7:$B$14,0),MATCH('MAIN DATA, Orders'!T268,'Exchange Rates'!$C$6:$F$6,0)), "-")</f>
        <v>0</v>
      </c>
      <c r="V268" s="4" t="s">
        <v>682</v>
      </c>
      <c r="W268" s="4" t="s">
        <v>133</v>
      </c>
      <c r="X268" s="4" t="s">
        <v>128</v>
      </c>
      <c r="Y268" s="24">
        <f t="shared" si="16"/>
        <v>202412</v>
      </c>
      <c r="Z268" s="115">
        <v>1</v>
      </c>
      <c r="AA268" s="115">
        <v>0</v>
      </c>
      <c r="AB268" s="115">
        <v>0</v>
      </c>
      <c r="AC268" s="115">
        <v>1</v>
      </c>
      <c r="AD268" s="115">
        <v>0</v>
      </c>
      <c r="AE268" s="115">
        <v>0</v>
      </c>
      <c r="AF268" s="115">
        <v>0</v>
      </c>
      <c r="AG268" s="4" t="s">
        <v>1504</v>
      </c>
      <c r="AH268" s="4" t="s">
        <v>128</v>
      </c>
      <c r="AI268" s="4" t="s">
        <v>128</v>
      </c>
      <c r="AJ268" s="4" t="s">
        <v>127</v>
      </c>
      <c r="AK268" s="4" t="s">
        <v>127</v>
      </c>
      <c r="AL268" s="4" t="s">
        <v>127</v>
      </c>
      <c r="AM268" s="4" t="s">
        <v>127</v>
      </c>
      <c r="AN268" s="4" t="s">
        <v>127</v>
      </c>
      <c r="AO268" s="4" t="s">
        <v>127</v>
      </c>
      <c r="AP268" s="4" t="s">
        <v>127</v>
      </c>
      <c r="AQ268" s="4" t="s">
        <v>127</v>
      </c>
      <c r="AR268" s="4" t="s">
        <v>127</v>
      </c>
      <c r="AS268" s="4" t="s">
        <v>127</v>
      </c>
      <c r="AT268" s="4" t="s">
        <v>127</v>
      </c>
      <c r="AU268" s="4" t="s">
        <v>127</v>
      </c>
      <c r="AV268" s="4" t="s">
        <v>127</v>
      </c>
      <c r="AW268" s="4" t="s">
        <v>127</v>
      </c>
      <c r="AX268" s="4" t="s">
        <v>127</v>
      </c>
      <c r="AY268" s="96" t="s">
        <v>1488</v>
      </c>
      <c r="AZ268" s="96" t="s">
        <v>1505</v>
      </c>
      <c r="BA268" s="96" t="s">
        <v>1489</v>
      </c>
      <c r="BB268" s="4" t="s">
        <v>1490</v>
      </c>
      <c r="BC268" s="4" t="s">
        <v>1506</v>
      </c>
      <c r="BD268" s="4" t="s">
        <v>127</v>
      </c>
      <c r="BE268" s="4" t="s">
        <v>1492</v>
      </c>
      <c r="BF268" s="4" t="s">
        <v>127</v>
      </c>
      <c r="BG268" s="4" t="s">
        <v>200</v>
      </c>
      <c r="BH268" s="4" t="s">
        <v>200</v>
      </c>
      <c r="BI268" s="4" t="s">
        <v>200</v>
      </c>
      <c r="BJ268" s="4" t="s">
        <v>200</v>
      </c>
      <c r="BK268" s="4" t="s">
        <v>200</v>
      </c>
      <c r="BL268" s="4" t="s">
        <v>200</v>
      </c>
      <c r="BM268" s="4" t="s">
        <v>200</v>
      </c>
      <c r="BN268" s="4" t="s">
        <v>200</v>
      </c>
      <c r="BO268" s="4" t="s">
        <v>200</v>
      </c>
    </row>
    <row r="269" spans="1:67" ht="16" x14ac:dyDescent="0.4">
      <c r="A269" s="4" t="s">
        <v>1486</v>
      </c>
      <c r="B269" s="4" t="s">
        <v>1507</v>
      </c>
      <c r="C269" s="4" t="s">
        <v>127</v>
      </c>
      <c r="D269" s="4" t="s">
        <v>128</v>
      </c>
      <c r="E269" s="189">
        <v>45644</v>
      </c>
      <c r="F269" s="6">
        <f t="shared" si="17"/>
        <v>2024</v>
      </c>
      <c r="G269" s="4" t="s">
        <v>1508</v>
      </c>
      <c r="H269" s="22" t="str">
        <f>VLOOKUP($G269,'Item Classification'!B:C,2,0)</f>
        <v>Modular field hospital</v>
      </c>
      <c r="I269" s="6" t="str">
        <f>VLOOKUP($G269,'Item Classification'!B:D,3,0)</f>
        <v>Other</v>
      </c>
      <c r="J269" s="23">
        <f>VLOOKUP($G269,'Item Classification'!B:E,4,0)</f>
        <v>16</v>
      </c>
      <c r="K269" s="116" t="s">
        <v>386</v>
      </c>
      <c r="L269" s="116" t="s">
        <v>387</v>
      </c>
      <c r="M269" s="116" t="str">
        <f>VLOOKUP(L269,'NATO Classifications'!$D$6:$E$647,2,0)</f>
        <v>Prefabricated and Portable Buildings</v>
      </c>
      <c r="N269" s="4"/>
      <c r="O269" s="81"/>
      <c r="P269" s="81"/>
      <c r="Q269" s="4"/>
      <c r="R269" s="4"/>
      <c r="S269" s="4"/>
      <c r="T269" s="91" t="s">
        <v>132</v>
      </c>
      <c r="U269" s="104">
        <f>_xlfn.IFNA(S269/INDEX('Exchange Rates'!$C$7:$F$14,MATCH('MAIN DATA, Orders'!F269,'Exchange Rates'!$B$7:$B$14,0),MATCH('MAIN DATA, Orders'!T269,'Exchange Rates'!$C$6:$F$6,0)), "-")</f>
        <v>0</v>
      </c>
      <c r="V269" s="4" t="s">
        <v>682</v>
      </c>
      <c r="W269" s="4" t="s">
        <v>133</v>
      </c>
      <c r="X269" s="4" t="s">
        <v>128</v>
      </c>
      <c r="Y269" s="24">
        <f t="shared" si="16"/>
        <v>202412</v>
      </c>
      <c r="Z269" s="115">
        <v>1</v>
      </c>
      <c r="AA269" s="115">
        <v>0</v>
      </c>
      <c r="AB269" s="115">
        <v>0</v>
      </c>
      <c r="AC269" s="115" t="s">
        <v>127</v>
      </c>
      <c r="AD269" s="115" t="s">
        <v>127</v>
      </c>
      <c r="AE269" s="115" t="s">
        <v>127</v>
      </c>
      <c r="AF269" s="115" t="s">
        <v>127</v>
      </c>
      <c r="AG269" s="4" t="s">
        <v>127</v>
      </c>
      <c r="AH269" s="4" t="s">
        <v>127</v>
      </c>
      <c r="AI269" s="4" t="s">
        <v>127</v>
      </c>
      <c r="AJ269" s="4" t="s">
        <v>127</v>
      </c>
      <c r="AK269" s="4" t="s">
        <v>127</v>
      </c>
      <c r="AL269" s="4" t="s">
        <v>127</v>
      </c>
      <c r="AM269" s="4" t="s">
        <v>127</v>
      </c>
      <c r="AN269" s="4" t="s">
        <v>127</v>
      </c>
      <c r="AO269" s="4" t="s">
        <v>127</v>
      </c>
      <c r="AP269" s="4" t="s">
        <v>127</v>
      </c>
      <c r="AQ269" s="4" t="s">
        <v>127</v>
      </c>
      <c r="AR269" s="4" t="s">
        <v>127</v>
      </c>
      <c r="AS269" s="4" t="s">
        <v>127</v>
      </c>
      <c r="AT269" s="4" t="s">
        <v>127</v>
      </c>
      <c r="AU269" s="4" t="s">
        <v>127</v>
      </c>
      <c r="AV269" s="4" t="s">
        <v>127</v>
      </c>
      <c r="AW269" s="4" t="s">
        <v>127</v>
      </c>
      <c r="AX269" s="4" t="s">
        <v>127</v>
      </c>
      <c r="AY269" s="96" t="s">
        <v>1488</v>
      </c>
      <c r="AZ269" s="96" t="s">
        <v>1489</v>
      </c>
      <c r="BA269" s="4" t="s">
        <v>127</v>
      </c>
      <c r="BB269" s="4" t="s">
        <v>1490</v>
      </c>
      <c r="BC269" s="4" t="s">
        <v>127</v>
      </c>
      <c r="BD269" s="4" t="s">
        <v>127</v>
      </c>
      <c r="BE269" s="4" t="s">
        <v>1492</v>
      </c>
      <c r="BF269" s="4" t="s">
        <v>127</v>
      </c>
      <c r="BG269" s="4" t="s">
        <v>200</v>
      </c>
      <c r="BH269" s="4" t="s">
        <v>200</v>
      </c>
      <c r="BI269" s="4" t="s">
        <v>200</v>
      </c>
      <c r="BJ269" s="4" t="s">
        <v>200</v>
      </c>
      <c r="BK269" s="4" t="s">
        <v>200</v>
      </c>
      <c r="BL269" s="4" t="s">
        <v>200</v>
      </c>
      <c r="BM269" s="4" t="s">
        <v>200</v>
      </c>
      <c r="BN269" s="4" t="s">
        <v>200</v>
      </c>
      <c r="BO269" s="4" t="s">
        <v>200</v>
      </c>
    </row>
    <row r="270" spans="1:67" ht="16" x14ac:dyDescent="0.4">
      <c r="A270" s="4" t="s">
        <v>1486</v>
      </c>
      <c r="B270" s="4" t="s">
        <v>1509</v>
      </c>
      <c r="C270" s="4" t="s">
        <v>127</v>
      </c>
      <c r="D270" s="4" t="s">
        <v>128</v>
      </c>
      <c r="E270" s="189">
        <v>45644</v>
      </c>
      <c r="F270" s="6">
        <f t="shared" si="17"/>
        <v>2024</v>
      </c>
      <c r="G270" s="4" t="s">
        <v>1510</v>
      </c>
      <c r="H270" s="22" t="str">
        <f>VLOOKUP($G270,'Item Classification'!B:C,2,0)</f>
        <v>Helicopter navigation system</v>
      </c>
      <c r="I270" s="6" t="str">
        <f>VLOOKUP($G270,'Item Classification'!B:D,3,0)</f>
        <v>Helicopter</v>
      </c>
      <c r="J270" s="23">
        <f>VLOOKUP($G270,'Item Classification'!B:E,4,0)</f>
        <v>10</v>
      </c>
      <c r="K270" s="116" t="s">
        <v>1511</v>
      </c>
      <c r="L270" s="116" t="s">
        <v>1512</v>
      </c>
      <c r="M270" s="116" t="str">
        <f>VLOOKUP(L270,'NATO Classifications'!$D$6:$E$647,2,0)</f>
        <v>Navigational Instruments</v>
      </c>
      <c r="N270" s="4"/>
      <c r="O270" s="81"/>
      <c r="P270" s="81"/>
      <c r="Q270" s="4"/>
      <c r="R270" s="4"/>
      <c r="S270" s="4"/>
      <c r="T270" s="91" t="s">
        <v>132</v>
      </c>
      <c r="U270" s="104">
        <f>_xlfn.IFNA(S270/INDEX('Exchange Rates'!$C$7:$F$14,MATCH('MAIN DATA, Orders'!F270,'Exchange Rates'!$B$7:$B$14,0),MATCH('MAIN DATA, Orders'!T270,'Exchange Rates'!$C$6:$F$6,0)), "-")</f>
        <v>0</v>
      </c>
      <c r="V270" s="4" t="s">
        <v>682</v>
      </c>
      <c r="W270" s="4" t="s">
        <v>133</v>
      </c>
      <c r="X270" s="4" t="s">
        <v>128</v>
      </c>
      <c r="Y270" s="24">
        <f t="shared" si="16"/>
        <v>202412</v>
      </c>
      <c r="Z270" s="115">
        <v>0</v>
      </c>
      <c r="AA270" s="115">
        <v>0</v>
      </c>
      <c r="AB270" s="115">
        <v>0</v>
      </c>
      <c r="AC270" s="115" t="s">
        <v>127</v>
      </c>
      <c r="AD270" s="115" t="s">
        <v>127</v>
      </c>
      <c r="AE270" s="115" t="s">
        <v>127</v>
      </c>
      <c r="AF270" s="115" t="s">
        <v>127</v>
      </c>
      <c r="AG270" s="4" t="s">
        <v>127</v>
      </c>
      <c r="AH270" s="4" t="s">
        <v>127</v>
      </c>
      <c r="AI270" s="4" t="s">
        <v>127</v>
      </c>
      <c r="AJ270" s="4" t="s">
        <v>127</v>
      </c>
      <c r="AK270" s="4" t="s">
        <v>127</v>
      </c>
      <c r="AL270" s="4" t="s">
        <v>127</v>
      </c>
      <c r="AM270" s="4" t="s">
        <v>127</v>
      </c>
      <c r="AN270" s="4" t="s">
        <v>127</v>
      </c>
      <c r="AO270" s="4" t="s">
        <v>127</v>
      </c>
      <c r="AP270" s="4" t="s">
        <v>127</v>
      </c>
      <c r="AQ270" s="4" t="s">
        <v>127</v>
      </c>
      <c r="AR270" s="4" t="s">
        <v>127</v>
      </c>
      <c r="AS270" s="4" t="s">
        <v>127</v>
      </c>
      <c r="AT270" s="4" t="s">
        <v>127</v>
      </c>
      <c r="AU270" s="4" t="s">
        <v>127</v>
      </c>
      <c r="AV270" s="4" t="s">
        <v>127</v>
      </c>
      <c r="AW270" s="4" t="s">
        <v>127</v>
      </c>
      <c r="AX270" s="4" t="s">
        <v>127</v>
      </c>
      <c r="AY270" s="96" t="s">
        <v>1488</v>
      </c>
      <c r="AZ270" s="96" t="s">
        <v>1489</v>
      </c>
      <c r="BA270" s="4" t="s">
        <v>127</v>
      </c>
      <c r="BB270" s="4" t="s">
        <v>1490</v>
      </c>
      <c r="BC270" s="4" t="s">
        <v>127</v>
      </c>
      <c r="BD270" s="4" t="s">
        <v>127</v>
      </c>
      <c r="BE270" s="4" t="s">
        <v>1492</v>
      </c>
      <c r="BF270" s="4" t="s">
        <v>127</v>
      </c>
      <c r="BG270" s="4" t="s">
        <v>200</v>
      </c>
      <c r="BH270" s="4" t="s">
        <v>200</v>
      </c>
      <c r="BI270" s="4" t="s">
        <v>200</v>
      </c>
      <c r="BJ270" s="4" t="s">
        <v>200</v>
      </c>
      <c r="BK270" s="4" t="s">
        <v>200</v>
      </c>
      <c r="BL270" s="4" t="s">
        <v>200</v>
      </c>
      <c r="BM270" s="4" t="s">
        <v>200</v>
      </c>
      <c r="BN270" s="4" t="s">
        <v>200</v>
      </c>
      <c r="BO270" s="4" t="s">
        <v>200</v>
      </c>
    </row>
    <row r="271" spans="1:67" ht="16" x14ac:dyDescent="0.4">
      <c r="A271" s="4" t="s">
        <v>1486</v>
      </c>
      <c r="B271" s="4" t="s">
        <v>1513</v>
      </c>
      <c r="C271" s="4" t="s">
        <v>127</v>
      </c>
      <c r="D271" s="4" t="s">
        <v>128</v>
      </c>
      <c r="E271" s="189">
        <v>45644</v>
      </c>
      <c r="F271" s="6">
        <f t="shared" si="17"/>
        <v>2024</v>
      </c>
      <c r="G271" s="4" t="s">
        <v>1514</v>
      </c>
      <c r="H271" s="22" t="str">
        <f>VLOOKUP($G271,'Item Classification'!B:C,2,0)</f>
        <v>Radar system for fighter jet</v>
      </c>
      <c r="I271" s="6" t="str">
        <f>VLOOKUP($G271,'Item Classification'!B:D,3,0)</f>
        <v>Development - Aircraft</v>
      </c>
      <c r="J271" s="23">
        <f>VLOOKUP($G271,'Item Classification'!B:E,4,0)</f>
        <v>15</v>
      </c>
      <c r="K271" s="116" t="s">
        <v>158</v>
      </c>
      <c r="L271" s="116" t="s">
        <v>159</v>
      </c>
      <c r="M271" s="116" t="str">
        <f>VLOOKUP(L271,'NATO Classifications'!$D$6:$E$647,2,0)</f>
        <v>Radar and Sensor</v>
      </c>
      <c r="N271" s="4"/>
      <c r="O271" s="81"/>
      <c r="P271" s="81"/>
      <c r="Q271" s="4"/>
      <c r="R271" s="4"/>
      <c r="S271" s="4"/>
      <c r="T271" s="91" t="s">
        <v>132</v>
      </c>
      <c r="U271" s="104">
        <f>_xlfn.IFNA(S271/INDEX('Exchange Rates'!$C$7:$F$14,MATCH('MAIN DATA, Orders'!F271,'Exchange Rates'!$B$7:$B$14,0),MATCH('MAIN DATA, Orders'!T271,'Exchange Rates'!$C$6:$F$6,0)), "-")</f>
        <v>0</v>
      </c>
      <c r="V271" s="4" t="s">
        <v>682</v>
      </c>
      <c r="W271" s="4" t="s">
        <v>133</v>
      </c>
      <c r="X271" s="4" t="s">
        <v>128</v>
      </c>
      <c r="Y271" s="24">
        <f t="shared" si="16"/>
        <v>202412</v>
      </c>
      <c r="Z271" s="115">
        <v>0</v>
      </c>
      <c r="AA271" s="115">
        <v>0</v>
      </c>
      <c r="AB271" s="115">
        <v>0</v>
      </c>
      <c r="AC271" s="115" t="s">
        <v>127</v>
      </c>
      <c r="AD271" s="115" t="s">
        <v>127</v>
      </c>
      <c r="AE271" s="115" t="s">
        <v>127</v>
      </c>
      <c r="AF271" s="115" t="s">
        <v>127</v>
      </c>
      <c r="AG271" s="4" t="s">
        <v>127</v>
      </c>
      <c r="AH271" s="4" t="s">
        <v>127</v>
      </c>
      <c r="AI271" s="4" t="s">
        <v>127</v>
      </c>
      <c r="AJ271" s="4" t="s">
        <v>127</v>
      </c>
      <c r="AK271" s="4" t="s">
        <v>127</v>
      </c>
      <c r="AL271" s="4" t="s">
        <v>127</v>
      </c>
      <c r="AM271" s="4" t="s">
        <v>127</v>
      </c>
      <c r="AN271" s="4" t="s">
        <v>127</v>
      </c>
      <c r="AO271" s="4" t="s">
        <v>127</v>
      </c>
      <c r="AP271" s="4" t="s">
        <v>127</v>
      </c>
      <c r="AQ271" s="4" t="s">
        <v>127</v>
      </c>
      <c r="AR271" s="4" t="s">
        <v>127</v>
      </c>
      <c r="AS271" s="4" t="s">
        <v>127</v>
      </c>
      <c r="AT271" s="4" t="s">
        <v>127</v>
      </c>
      <c r="AU271" s="4" t="s">
        <v>127</v>
      </c>
      <c r="AV271" s="4" t="s">
        <v>127</v>
      </c>
      <c r="AW271" s="4" t="s">
        <v>127</v>
      </c>
      <c r="AX271" s="4" t="s">
        <v>127</v>
      </c>
      <c r="AY271" s="96" t="s">
        <v>1488</v>
      </c>
      <c r="AZ271" s="96" t="s">
        <v>1489</v>
      </c>
      <c r="BA271" s="4" t="s">
        <v>127</v>
      </c>
      <c r="BB271" s="4" t="s">
        <v>1490</v>
      </c>
      <c r="BC271" s="4" t="s">
        <v>127</v>
      </c>
      <c r="BD271" s="4" t="s">
        <v>127</v>
      </c>
      <c r="BE271" s="4" t="s">
        <v>1492</v>
      </c>
      <c r="BF271" s="4" t="s">
        <v>127</v>
      </c>
      <c r="BG271" s="4" t="s">
        <v>200</v>
      </c>
      <c r="BH271" s="4" t="s">
        <v>200</v>
      </c>
      <c r="BI271" s="4" t="s">
        <v>200</v>
      </c>
      <c r="BJ271" s="4" t="s">
        <v>200</v>
      </c>
      <c r="BK271" s="4" t="s">
        <v>200</v>
      </c>
      <c r="BL271" s="4" t="s">
        <v>200</v>
      </c>
      <c r="BM271" s="4" t="s">
        <v>200</v>
      </c>
      <c r="BN271" s="4" t="s">
        <v>200</v>
      </c>
      <c r="BO271" s="4" t="s">
        <v>200</v>
      </c>
    </row>
    <row r="272" spans="1:67" ht="16" x14ac:dyDescent="0.4">
      <c r="A272" s="4" t="s">
        <v>1486</v>
      </c>
      <c r="B272" s="4" t="s">
        <v>1515</v>
      </c>
      <c r="C272" s="4" t="s">
        <v>127</v>
      </c>
      <c r="D272" s="4" t="s">
        <v>128</v>
      </c>
      <c r="E272" s="189">
        <v>45644</v>
      </c>
      <c r="F272" s="6">
        <f t="shared" si="17"/>
        <v>2024</v>
      </c>
      <c r="G272" s="4" t="s">
        <v>1516</v>
      </c>
      <c r="H272" s="22" t="str">
        <f>VLOOKUP($G272,'Item Classification'!B:C,2,0)</f>
        <v>Multi role transport helicopter</v>
      </c>
      <c r="I272" s="6" t="str">
        <f>VLOOKUP($G272,'Item Classification'!B:D,3,0)</f>
        <v>Helicopter</v>
      </c>
      <c r="J272" s="23">
        <f>VLOOKUP($G272,'Item Classification'!B:E,4,0)</f>
        <v>10</v>
      </c>
      <c r="K272" s="116" t="s">
        <v>130</v>
      </c>
      <c r="L272" s="116" t="s">
        <v>266</v>
      </c>
      <c r="M272" s="116" t="str">
        <f>VLOOKUP(L272,'NATO Classifications'!$D$6:$E$647,2,0)</f>
        <v>Aircraft, Rotary Wing</v>
      </c>
      <c r="N272" s="4"/>
      <c r="O272" s="81"/>
      <c r="P272" s="81"/>
      <c r="Q272" s="4"/>
      <c r="R272" s="4"/>
      <c r="S272" s="4"/>
      <c r="T272" s="91" t="s">
        <v>132</v>
      </c>
      <c r="U272" s="104">
        <f>_xlfn.IFNA(S272/INDEX('Exchange Rates'!$C$7:$F$14,MATCH('MAIN DATA, Orders'!F272,'Exchange Rates'!$B$7:$B$14,0),MATCH('MAIN DATA, Orders'!T272,'Exchange Rates'!$C$6:$F$6,0)), "-")</f>
        <v>0</v>
      </c>
      <c r="V272" s="4" t="s">
        <v>682</v>
      </c>
      <c r="W272" s="4" t="s">
        <v>133</v>
      </c>
      <c r="X272" s="4" t="s">
        <v>128</v>
      </c>
      <c r="Y272" s="24">
        <f t="shared" si="16"/>
        <v>202412</v>
      </c>
      <c r="Z272" s="115">
        <v>0</v>
      </c>
      <c r="AA272" s="115">
        <v>0</v>
      </c>
      <c r="AB272" s="115">
        <v>0</v>
      </c>
      <c r="AC272" s="115" t="s">
        <v>127</v>
      </c>
      <c r="AD272" s="115" t="s">
        <v>127</v>
      </c>
      <c r="AE272" s="115" t="s">
        <v>127</v>
      </c>
      <c r="AF272" s="115" t="s">
        <v>127</v>
      </c>
      <c r="AG272" s="4" t="s">
        <v>127</v>
      </c>
      <c r="AH272" s="4" t="s">
        <v>127</v>
      </c>
      <c r="AI272" s="4" t="s">
        <v>127</v>
      </c>
      <c r="AJ272" s="4" t="s">
        <v>127</v>
      </c>
      <c r="AK272" s="4" t="s">
        <v>127</v>
      </c>
      <c r="AL272" s="4" t="s">
        <v>127</v>
      </c>
      <c r="AM272" s="4" t="s">
        <v>127</v>
      </c>
      <c r="AN272" s="4" t="s">
        <v>127</v>
      </c>
      <c r="AO272" s="4" t="s">
        <v>127</v>
      </c>
      <c r="AP272" s="4" t="s">
        <v>127</v>
      </c>
      <c r="AQ272" s="4" t="s">
        <v>127</v>
      </c>
      <c r="AR272" s="4" t="s">
        <v>127</v>
      </c>
      <c r="AS272" s="4" t="s">
        <v>127</v>
      </c>
      <c r="AT272" s="4" t="s">
        <v>127</v>
      </c>
      <c r="AU272" s="4" t="s">
        <v>127</v>
      </c>
      <c r="AV272" s="4" t="s">
        <v>127</v>
      </c>
      <c r="AW272" s="4" t="s">
        <v>127</v>
      </c>
      <c r="AX272" s="4" t="s">
        <v>127</v>
      </c>
      <c r="AY272" s="96" t="s">
        <v>1488</v>
      </c>
      <c r="AZ272" s="96" t="s">
        <v>1489</v>
      </c>
      <c r="BA272" s="4" t="s">
        <v>127</v>
      </c>
      <c r="BB272" s="4" t="s">
        <v>1490</v>
      </c>
      <c r="BC272" s="4" t="s">
        <v>127</v>
      </c>
      <c r="BD272" s="4" t="s">
        <v>127</v>
      </c>
      <c r="BE272" s="4" t="s">
        <v>1492</v>
      </c>
      <c r="BF272" s="4" t="s">
        <v>127</v>
      </c>
      <c r="BG272" s="4" t="s">
        <v>200</v>
      </c>
      <c r="BH272" s="4" t="s">
        <v>200</v>
      </c>
      <c r="BI272" s="4" t="s">
        <v>200</v>
      </c>
      <c r="BJ272" s="4" t="s">
        <v>200</v>
      </c>
      <c r="BK272" s="4" t="s">
        <v>200</v>
      </c>
      <c r="BL272" s="4" t="s">
        <v>200</v>
      </c>
      <c r="BM272" s="4" t="s">
        <v>200</v>
      </c>
      <c r="BN272" s="4" t="s">
        <v>200</v>
      </c>
      <c r="BO272" s="4" t="s">
        <v>200</v>
      </c>
    </row>
    <row r="273" spans="1:67" ht="16" x14ac:dyDescent="0.4">
      <c r="A273" s="4" t="s">
        <v>1486</v>
      </c>
      <c r="B273" s="4" t="s">
        <v>1517</v>
      </c>
      <c r="C273" s="4" t="s">
        <v>127</v>
      </c>
      <c r="D273" s="4" t="s">
        <v>128</v>
      </c>
      <c r="E273" s="189">
        <v>45644</v>
      </c>
      <c r="F273" s="6">
        <f t="shared" si="17"/>
        <v>2024</v>
      </c>
      <c r="G273" s="4" t="s">
        <v>1151</v>
      </c>
      <c r="H273" s="22" t="str">
        <f>VLOOKUP($G273,'Item Classification'!B:C,2,0)</f>
        <v>Surface-to-air missile (SAM)</v>
      </c>
      <c r="I273" s="6" t="str">
        <f>VLOOKUP($G273,'Item Classification'!B:D,3,0)</f>
        <v>Missile (Land)</v>
      </c>
      <c r="J273" s="23">
        <f>VLOOKUP($G273,'Item Classification'!B:E,4,0)</f>
        <v>6</v>
      </c>
      <c r="K273" s="116" t="s">
        <v>211</v>
      </c>
      <c r="L273" s="116" t="s">
        <v>211</v>
      </c>
      <c r="M273" s="116" t="str">
        <f>VLOOKUP(L273,'NATO Classifications'!$D$6:$E$647,2,0)</f>
        <v>Guided Missiles</v>
      </c>
      <c r="N273" s="4">
        <v>128</v>
      </c>
      <c r="O273" s="81"/>
      <c r="P273" s="81"/>
      <c r="Q273" s="4"/>
      <c r="R273" s="4"/>
      <c r="S273" s="4"/>
      <c r="T273" s="91" t="s">
        <v>132</v>
      </c>
      <c r="U273" s="104">
        <f>_xlfn.IFNA(S273/INDEX('Exchange Rates'!$C$7:$F$14,MATCH('MAIN DATA, Orders'!F273,'Exchange Rates'!$B$7:$B$14,0),MATCH('MAIN DATA, Orders'!T273,'Exchange Rates'!$C$6:$F$6,0)), "-")</f>
        <v>0</v>
      </c>
      <c r="V273" s="4" t="s">
        <v>682</v>
      </c>
      <c r="W273" s="4" t="s">
        <v>133</v>
      </c>
      <c r="X273" s="4" t="s">
        <v>128</v>
      </c>
      <c r="Y273" s="24">
        <f t="shared" si="16"/>
        <v>202412</v>
      </c>
      <c r="Z273" s="115">
        <v>0</v>
      </c>
      <c r="AA273" s="115">
        <v>0</v>
      </c>
      <c r="AB273" s="115">
        <v>0</v>
      </c>
      <c r="AC273" s="115" t="s">
        <v>127</v>
      </c>
      <c r="AD273" s="115" t="s">
        <v>127</v>
      </c>
      <c r="AE273" s="115" t="s">
        <v>127</v>
      </c>
      <c r="AF273" s="115" t="s">
        <v>127</v>
      </c>
      <c r="AG273" s="4" t="s">
        <v>127</v>
      </c>
      <c r="AH273" s="4" t="s">
        <v>127</v>
      </c>
      <c r="AI273" s="4" t="s">
        <v>127</v>
      </c>
      <c r="AJ273" s="4" t="s">
        <v>127</v>
      </c>
      <c r="AK273" s="4" t="s">
        <v>127</v>
      </c>
      <c r="AL273" s="4" t="s">
        <v>127</v>
      </c>
      <c r="AM273" s="4" t="s">
        <v>127</v>
      </c>
      <c r="AN273" s="4" t="s">
        <v>127</v>
      </c>
      <c r="AO273" s="4" t="s">
        <v>127</v>
      </c>
      <c r="AP273" s="4" t="s">
        <v>127</v>
      </c>
      <c r="AQ273" s="4" t="s">
        <v>127</v>
      </c>
      <c r="AR273" s="4" t="s">
        <v>127</v>
      </c>
      <c r="AS273" s="4" t="s">
        <v>127</v>
      </c>
      <c r="AT273" s="4" t="s">
        <v>127</v>
      </c>
      <c r="AU273" s="4" t="s">
        <v>127</v>
      </c>
      <c r="AV273" s="4" t="s">
        <v>127</v>
      </c>
      <c r="AW273" s="4" t="s">
        <v>127</v>
      </c>
      <c r="AX273" s="4" t="s">
        <v>127</v>
      </c>
      <c r="AY273" s="96" t="s">
        <v>1488</v>
      </c>
      <c r="AZ273" s="111" t="s">
        <v>1489</v>
      </c>
      <c r="BA273" s="4" t="s">
        <v>127</v>
      </c>
      <c r="BB273" s="4" t="s">
        <v>1490</v>
      </c>
      <c r="BC273" s="4" t="s">
        <v>1518</v>
      </c>
      <c r="BD273" s="4" t="s">
        <v>127</v>
      </c>
      <c r="BE273" s="4" t="s">
        <v>1492</v>
      </c>
      <c r="BF273" s="4" t="s">
        <v>127</v>
      </c>
      <c r="BG273" s="4" t="s">
        <v>200</v>
      </c>
      <c r="BH273" s="4" t="s">
        <v>200</v>
      </c>
      <c r="BI273" s="4" t="s">
        <v>200</v>
      </c>
      <c r="BJ273" s="4" t="s">
        <v>200</v>
      </c>
      <c r="BK273" s="4" t="s">
        <v>200</v>
      </c>
      <c r="BL273" s="4" t="s">
        <v>200</v>
      </c>
      <c r="BM273" s="4" t="s">
        <v>200</v>
      </c>
      <c r="BN273" s="4" t="s">
        <v>200</v>
      </c>
      <c r="BO273" s="4" t="s">
        <v>200</v>
      </c>
    </row>
    <row r="274" spans="1:67" ht="16" x14ac:dyDescent="0.4">
      <c r="A274" s="4" t="s">
        <v>1486</v>
      </c>
      <c r="B274" s="4" t="s">
        <v>1519</v>
      </c>
      <c r="C274" s="4" t="s">
        <v>127</v>
      </c>
      <c r="D274" s="4" t="s">
        <v>128</v>
      </c>
      <c r="E274" s="189">
        <v>45644</v>
      </c>
      <c r="F274" s="6">
        <f t="shared" si="17"/>
        <v>2024</v>
      </c>
      <c r="G274" s="4" t="s">
        <v>409</v>
      </c>
      <c r="H274" s="22" t="str">
        <f>VLOOKUP($G274,'Item Classification'!B:C,2,0)</f>
        <v>Communication and digitalisation</v>
      </c>
      <c r="I274" s="6" t="str">
        <f>VLOOKUP($G274,'Item Classification'!B:D,3,0)</f>
        <v>Modernisation</v>
      </c>
      <c r="J274" s="23">
        <f>VLOOKUP($G274,'Item Classification'!B:E,4,0)</f>
        <v>13</v>
      </c>
      <c r="K274" s="116" t="s">
        <v>168</v>
      </c>
      <c r="L274" s="116" t="s">
        <v>182</v>
      </c>
      <c r="M274" s="116" t="str">
        <f>VLOOKUP(L274,'NATO Classifications'!$D$6:$E$647,2,0)</f>
        <v>ADP Software</v>
      </c>
      <c r="N274" s="4"/>
      <c r="O274" s="81"/>
      <c r="P274" s="81"/>
      <c r="Q274" s="4"/>
      <c r="R274" s="4"/>
      <c r="S274" s="4"/>
      <c r="T274" s="91" t="s">
        <v>132</v>
      </c>
      <c r="U274" s="104">
        <f>_xlfn.IFNA(S274/INDEX('Exchange Rates'!$C$7:$F$14,MATCH('MAIN DATA, Orders'!F274,'Exchange Rates'!$B$7:$B$14,0),MATCH('MAIN DATA, Orders'!T274,'Exchange Rates'!$C$6:$F$6,0)), "-")</f>
        <v>0</v>
      </c>
      <c r="V274" s="4" t="s">
        <v>682</v>
      </c>
      <c r="W274" s="4" t="s">
        <v>133</v>
      </c>
      <c r="X274" s="4" t="s">
        <v>128</v>
      </c>
      <c r="Y274" s="24">
        <f t="shared" si="16"/>
        <v>202412</v>
      </c>
      <c r="Z274" s="115">
        <v>0</v>
      </c>
      <c r="AA274" s="115">
        <v>1</v>
      </c>
      <c r="AB274" s="115">
        <v>0</v>
      </c>
      <c r="AC274" s="115" t="s">
        <v>127</v>
      </c>
      <c r="AD274" s="115" t="s">
        <v>127</v>
      </c>
      <c r="AE274" s="115" t="s">
        <v>127</v>
      </c>
      <c r="AF274" s="115" t="s">
        <v>127</v>
      </c>
      <c r="AG274" s="4" t="s">
        <v>127</v>
      </c>
      <c r="AH274" s="4" t="s">
        <v>127</v>
      </c>
      <c r="AI274" s="4" t="s">
        <v>127</v>
      </c>
      <c r="AJ274" s="4" t="s">
        <v>127</v>
      </c>
      <c r="AK274" s="4" t="s">
        <v>127</v>
      </c>
      <c r="AL274" s="4" t="s">
        <v>127</v>
      </c>
      <c r="AM274" s="4" t="s">
        <v>127</v>
      </c>
      <c r="AN274" s="4" t="s">
        <v>127</v>
      </c>
      <c r="AO274" s="4" t="s">
        <v>127</v>
      </c>
      <c r="AP274" s="4" t="s">
        <v>127</v>
      </c>
      <c r="AQ274" s="4" t="s">
        <v>127</v>
      </c>
      <c r="AR274" s="4" t="s">
        <v>127</v>
      </c>
      <c r="AS274" s="4" t="s">
        <v>127</v>
      </c>
      <c r="AT274" s="4" t="s">
        <v>127</v>
      </c>
      <c r="AU274" s="4" t="s">
        <v>127</v>
      </c>
      <c r="AV274" s="4" t="s">
        <v>127</v>
      </c>
      <c r="AW274" s="4" t="s">
        <v>127</v>
      </c>
      <c r="AX274" s="4" t="s">
        <v>127</v>
      </c>
      <c r="AY274" s="96" t="s">
        <v>1488</v>
      </c>
      <c r="AZ274" s="96" t="s">
        <v>1489</v>
      </c>
      <c r="BA274" s="4" t="s">
        <v>127</v>
      </c>
      <c r="BB274" s="4" t="s">
        <v>1490</v>
      </c>
      <c r="BC274" s="4" t="s">
        <v>127</v>
      </c>
      <c r="BD274" s="4" t="s">
        <v>127</v>
      </c>
      <c r="BE274" s="4" t="s">
        <v>1492</v>
      </c>
      <c r="BF274" s="4" t="s">
        <v>127</v>
      </c>
      <c r="BG274" s="4" t="s">
        <v>200</v>
      </c>
      <c r="BH274" s="4" t="s">
        <v>200</v>
      </c>
      <c r="BI274" s="4" t="s">
        <v>200</v>
      </c>
      <c r="BJ274" s="4" t="s">
        <v>200</v>
      </c>
      <c r="BK274" s="4" t="s">
        <v>200</v>
      </c>
      <c r="BL274" s="4" t="s">
        <v>200</v>
      </c>
      <c r="BM274" s="4" t="s">
        <v>200</v>
      </c>
      <c r="BN274" s="4" t="s">
        <v>200</v>
      </c>
      <c r="BO274" s="4" t="s">
        <v>200</v>
      </c>
    </row>
    <row r="275" spans="1:67" ht="16" x14ac:dyDescent="0.4">
      <c r="A275" s="4" t="s">
        <v>1486</v>
      </c>
      <c r="B275" s="4" t="s">
        <v>1520</v>
      </c>
      <c r="C275" s="4" t="s">
        <v>127</v>
      </c>
      <c r="D275" s="4" t="s">
        <v>128</v>
      </c>
      <c r="E275" s="189">
        <v>45644</v>
      </c>
      <c r="F275" s="6">
        <f t="shared" si="17"/>
        <v>2024</v>
      </c>
      <c r="G275" s="4" t="s">
        <v>785</v>
      </c>
      <c r="H275" s="22" t="str">
        <f>VLOOKUP($G275,'Item Classification'!B:C,2,0)</f>
        <v>Communication equipment</v>
      </c>
      <c r="I275" s="6" t="str">
        <f>VLOOKUP($G275,'Item Classification'!B:D,3,0)</f>
        <v>Modernisation</v>
      </c>
      <c r="J275" s="23">
        <f>VLOOKUP($G275,'Item Classification'!B:E,4,0)</f>
        <v>13</v>
      </c>
      <c r="K275" s="116" t="s">
        <v>158</v>
      </c>
      <c r="L275" s="116" t="s">
        <v>567</v>
      </c>
      <c r="M275" s="116" t="str">
        <f>VLOOKUP(L275,'NATO Classifications'!$D$6:$E$647,2,0)</f>
        <v>Communication, Detection, and Coherent Radiation Equipment (other)</v>
      </c>
      <c r="N275" s="4"/>
      <c r="O275" s="81"/>
      <c r="P275" s="81"/>
      <c r="Q275" s="4"/>
      <c r="R275" s="4"/>
      <c r="S275" s="4"/>
      <c r="T275" s="91" t="s">
        <v>132</v>
      </c>
      <c r="U275" s="104">
        <f>_xlfn.IFNA(S275/INDEX('Exchange Rates'!$C$7:$F$14,MATCH('MAIN DATA, Orders'!F275,'Exchange Rates'!$B$7:$B$14,0),MATCH('MAIN DATA, Orders'!T275,'Exchange Rates'!$C$6:$F$6,0)), "-")</f>
        <v>0</v>
      </c>
      <c r="V275" s="4" t="s">
        <v>682</v>
      </c>
      <c r="W275" s="4" t="s">
        <v>133</v>
      </c>
      <c r="X275" s="4" t="s">
        <v>128</v>
      </c>
      <c r="Y275" s="24">
        <f t="shared" si="16"/>
        <v>202412</v>
      </c>
      <c r="Z275" s="115">
        <v>0</v>
      </c>
      <c r="AA275" s="115">
        <v>0</v>
      </c>
      <c r="AB275" s="115">
        <v>0</v>
      </c>
      <c r="AC275" s="115" t="s">
        <v>127</v>
      </c>
      <c r="AD275" s="115" t="s">
        <v>127</v>
      </c>
      <c r="AE275" s="115" t="s">
        <v>127</v>
      </c>
      <c r="AF275" s="115" t="s">
        <v>127</v>
      </c>
      <c r="AG275" s="4" t="s">
        <v>127</v>
      </c>
      <c r="AH275" s="4" t="s">
        <v>127</v>
      </c>
      <c r="AI275" s="4" t="s">
        <v>127</v>
      </c>
      <c r="AJ275" s="4" t="s">
        <v>127</v>
      </c>
      <c r="AK275" s="4" t="s">
        <v>127</v>
      </c>
      <c r="AL275" s="4" t="s">
        <v>127</v>
      </c>
      <c r="AM275" s="4" t="s">
        <v>127</v>
      </c>
      <c r="AN275" s="4" t="s">
        <v>127</v>
      </c>
      <c r="AO275" s="4" t="s">
        <v>127</v>
      </c>
      <c r="AP275" s="4" t="s">
        <v>127</v>
      </c>
      <c r="AQ275" s="4" t="s">
        <v>127</v>
      </c>
      <c r="AR275" s="4" t="s">
        <v>127</v>
      </c>
      <c r="AS275" s="4" t="s">
        <v>127</v>
      </c>
      <c r="AT275" s="4" t="s">
        <v>127</v>
      </c>
      <c r="AU275" s="4" t="s">
        <v>127</v>
      </c>
      <c r="AV275" s="4" t="s">
        <v>127</v>
      </c>
      <c r="AW275" s="4" t="s">
        <v>127</v>
      </c>
      <c r="AX275" s="4" t="s">
        <v>127</v>
      </c>
      <c r="AY275" s="96" t="s">
        <v>1488</v>
      </c>
      <c r="AZ275" s="96" t="s">
        <v>1489</v>
      </c>
      <c r="BA275" s="4" t="s">
        <v>127</v>
      </c>
      <c r="BB275" s="4" t="s">
        <v>1490</v>
      </c>
      <c r="BC275" s="4" t="s">
        <v>127</v>
      </c>
      <c r="BD275" s="4" t="s">
        <v>127</v>
      </c>
      <c r="BE275" s="4" t="s">
        <v>1492</v>
      </c>
      <c r="BF275" s="4" t="s">
        <v>127</v>
      </c>
      <c r="BG275" s="4" t="s">
        <v>200</v>
      </c>
      <c r="BH275" s="4" t="s">
        <v>200</v>
      </c>
      <c r="BI275" s="4" t="s">
        <v>200</v>
      </c>
      <c r="BJ275" s="4" t="s">
        <v>200</v>
      </c>
      <c r="BK275" s="4" t="s">
        <v>200</v>
      </c>
      <c r="BL275" s="4" t="s">
        <v>200</v>
      </c>
      <c r="BM275" s="4" t="s">
        <v>200</v>
      </c>
      <c r="BN275" s="4" t="s">
        <v>200</v>
      </c>
      <c r="BO275" s="4" t="s">
        <v>200</v>
      </c>
    </row>
    <row r="276" spans="1:67" ht="16" x14ac:dyDescent="0.4">
      <c r="A276" s="4" t="s">
        <v>1486</v>
      </c>
      <c r="B276" s="4" t="s">
        <v>1521</v>
      </c>
      <c r="C276" s="4" t="s">
        <v>127</v>
      </c>
      <c r="D276" s="4" t="s">
        <v>128</v>
      </c>
      <c r="E276" s="189">
        <v>45644</v>
      </c>
      <c r="F276" s="6">
        <f t="shared" si="17"/>
        <v>2024</v>
      </c>
      <c r="G276" s="4" t="s">
        <v>1522</v>
      </c>
      <c r="H276" s="22" t="str">
        <f>VLOOKUP($G276,'Item Classification'!B:C,2,0)</f>
        <v>Military equipment</v>
      </c>
      <c r="I276" s="6" t="str">
        <f>VLOOKUP($G276,'Item Classification'!B:D,3,0)</f>
        <v>Other</v>
      </c>
      <c r="J276" s="23">
        <f>VLOOKUP($G276,'Item Classification'!B:E,4,0)</f>
        <v>16</v>
      </c>
      <c r="K276" s="116" t="s">
        <v>158</v>
      </c>
      <c r="L276" s="116" t="s">
        <v>369</v>
      </c>
      <c r="M276" s="116" t="str">
        <f>VLOOKUP(L276,'NATO Classifications'!$D$6:$E$647,2,0)</f>
        <v>Communication, Detection, and Coherent Radiation Equipment (other)</v>
      </c>
      <c r="N276" s="4"/>
      <c r="O276" s="81"/>
      <c r="P276" s="81"/>
      <c r="Q276" s="4"/>
      <c r="R276" s="4"/>
      <c r="S276" s="4"/>
      <c r="T276" s="91" t="s">
        <v>132</v>
      </c>
      <c r="U276" s="104">
        <f>_xlfn.IFNA(S276/INDEX('Exchange Rates'!$C$7:$F$14,MATCH('MAIN DATA, Orders'!F276,'Exchange Rates'!$B$7:$B$14,0),MATCH('MAIN DATA, Orders'!T276,'Exchange Rates'!$C$6:$F$6,0)), "-")</f>
        <v>0</v>
      </c>
      <c r="V276" s="4" t="s">
        <v>682</v>
      </c>
      <c r="W276" s="4" t="s">
        <v>133</v>
      </c>
      <c r="X276" s="4" t="s">
        <v>128</v>
      </c>
      <c r="Y276" s="24">
        <f t="shared" si="16"/>
        <v>202412</v>
      </c>
      <c r="Z276" s="115">
        <v>1</v>
      </c>
      <c r="AA276" s="115">
        <v>0</v>
      </c>
      <c r="AB276" s="115">
        <v>0</v>
      </c>
      <c r="AC276" s="115" t="s">
        <v>127</v>
      </c>
      <c r="AD276" s="115" t="s">
        <v>127</v>
      </c>
      <c r="AE276" s="115" t="s">
        <v>127</v>
      </c>
      <c r="AF276" s="115" t="s">
        <v>127</v>
      </c>
      <c r="AG276" s="4" t="s">
        <v>127</v>
      </c>
      <c r="AH276" s="4" t="s">
        <v>127</v>
      </c>
      <c r="AI276" s="4" t="s">
        <v>127</v>
      </c>
      <c r="AJ276" s="4" t="s">
        <v>127</v>
      </c>
      <c r="AK276" s="4" t="s">
        <v>127</v>
      </c>
      <c r="AL276" s="4" t="s">
        <v>127</v>
      </c>
      <c r="AM276" s="4" t="s">
        <v>127</v>
      </c>
      <c r="AN276" s="4" t="s">
        <v>127</v>
      </c>
      <c r="AO276" s="4" t="s">
        <v>127</v>
      </c>
      <c r="AP276" s="4" t="s">
        <v>127</v>
      </c>
      <c r="AQ276" s="4" t="s">
        <v>127</v>
      </c>
      <c r="AR276" s="4" t="s">
        <v>127</v>
      </c>
      <c r="AS276" s="4" t="s">
        <v>127</v>
      </c>
      <c r="AT276" s="4" t="s">
        <v>127</v>
      </c>
      <c r="AU276" s="4" t="s">
        <v>127</v>
      </c>
      <c r="AV276" s="4" t="s">
        <v>127</v>
      </c>
      <c r="AW276" s="4" t="s">
        <v>127</v>
      </c>
      <c r="AX276" s="4" t="s">
        <v>127</v>
      </c>
      <c r="AY276" s="96" t="s">
        <v>1488</v>
      </c>
      <c r="AZ276" s="96" t="s">
        <v>1489</v>
      </c>
      <c r="BA276" s="4" t="s">
        <v>127</v>
      </c>
      <c r="BB276" s="4" t="s">
        <v>1490</v>
      </c>
      <c r="BC276" s="4" t="s">
        <v>127</v>
      </c>
      <c r="BD276" s="4" t="s">
        <v>127</v>
      </c>
      <c r="BE276" s="4" t="s">
        <v>1492</v>
      </c>
      <c r="BF276" s="4" t="s">
        <v>127</v>
      </c>
      <c r="BG276" s="4" t="s">
        <v>200</v>
      </c>
      <c r="BH276" s="4" t="s">
        <v>200</v>
      </c>
      <c r="BI276" s="4" t="s">
        <v>200</v>
      </c>
      <c r="BJ276" s="4" t="s">
        <v>200</v>
      </c>
      <c r="BK276" s="4" t="s">
        <v>200</v>
      </c>
      <c r="BL276" s="4" t="s">
        <v>200</v>
      </c>
      <c r="BM276" s="4" t="s">
        <v>200</v>
      </c>
      <c r="BN276" s="4" t="s">
        <v>200</v>
      </c>
      <c r="BO276" s="4" t="s">
        <v>200</v>
      </c>
    </row>
    <row r="277" spans="1:67" ht="16" x14ac:dyDescent="0.4">
      <c r="A277" s="4" t="s">
        <v>1486</v>
      </c>
      <c r="B277" s="4" t="s">
        <v>1523</v>
      </c>
      <c r="C277" s="4" t="s">
        <v>127</v>
      </c>
      <c r="D277" s="4" t="s">
        <v>128</v>
      </c>
      <c r="E277" s="189">
        <v>45644</v>
      </c>
      <c r="F277" s="6">
        <f t="shared" si="17"/>
        <v>2024</v>
      </c>
      <c r="G277" s="4" t="s">
        <v>962</v>
      </c>
      <c r="H277" s="22" t="str">
        <f>VLOOKUP($G277,'Item Classification'!B:C,2,0)</f>
        <v>Non-combat military vehicle</v>
      </c>
      <c r="I277" s="6" t="str">
        <f>VLOOKUP($G277,'Item Classification'!B:D,3,0)</f>
        <v>Other</v>
      </c>
      <c r="J277" s="23">
        <f>VLOOKUP($G277,'Item Classification'!B:E,4,0)</f>
        <v>16</v>
      </c>
      <c r="K277" s="116" t="s">
        <v>274</v>
      </c>
      <c r="L277" s="116" t="s">
        <v>275</v>
      </c>
      <c r="M277" s="116" t="str">
        <f>VLOOKUP(L277,'NATO Classifications'!$D$6:$E$647,2,0)</f>
        <v>Trucks and Truck Tractors, Wheeled</v>
      </c>
      <c r="N277" s="4">
        <v>98</v>
      </c>
      <c r="O277" s="81"/>
      <c r="P277" s="81"/>
      <c r="S277" s="4"/>
      <c r="T277" s="91" t="s">
        <v>132</v>
      </c>
      <c r="U277" s="104">
        <f>_xlfn.IFNA(S277/INDEX('Exchange Rates'!$C$7:$F$14,MATCH('MAIN DATA, Orders'!F277,'Exchange Rates'!$B$7:$B$14,0),MATCH('MAIN DATA, Orders'!T277,'Exchange Rates'!$C$6:$F$6,0)), "-")</f>
        <v>0</v>
      </c>
      <c r="V277" s="4" t="s">
        <v>682</v>
      </c>
      <c r="W277" s="4" t="s">
        <v>133</v>
      </c>
      <c r="X277" s="4" t="s">
        <v>128</v>
      </c>
      <c r="Y277" s="24">
        <f t="shared" si="16"/>
        <v>202412</v>
      </c>
      <c r="Z277" s="115">
        <v>0</v>
      </c>
      <c r="AA277" s="115">
        <v>0</v>
      </c>
      <c r="AB277" s="115">
        <v>0</v>
      </c>
      <c r="AC277" s="115" t="s">
        <v>127</v>
      </c>
      <c r="AD277" s="115" t="s">
        <v>127</v>
      </c>
      <c r="AE277" s="115" t="s">
        <v>127</v>
      </c>
      <c r="AF277" s="115" t="s">
        <v>127</v>
      </c>
      <c r="AG277" s="4" t="s">
        <v>127</v>
      </c>
      <c r="AH277" s="4" t="s">
        <v>127</v>
      </c>
      <c r="AI277" s="4" t="s">
        <v>127</v>
      </c>
      <c r="AJ277" s="4" t="s">
        <v>127</v>
      </c>
      <c r="AK277" s="4" t="s">
        <v>127</v>
      </c>
      <c r="AL277" s="4" t="s">
        <v>127</v>
      </c>
      <c r="AM277" s="4" t="s">
        <v>127</v>
      </c>
      <c r="AN277" s="4" t="s">
        <v>127</v>
      </c>
      <c r="AO277" s="4" t="s">
        <v>127</v>
      </c>
      <c r="AP277" s="4" t="s">
        <v>127</v>
      </c>
      <c r="AQ277" s="4" t="s">
        <v>127</v>
      </c>
      <c r="AR277" s="4" t="s">
        <v>127</v>
      </c>
      <c r="AS277" s="4" t="s">
        <v>127</v>
      </c>
      <c r="AT277" s="4" t="s">
        <v>127</v>
      </c>
      <c r="AU277" s="4" t="s">
        <v>127</v>
      </c>
      <c r="AV277" s="4" t="s">
        <v>127</v>
      </c>
      <c r="AW277" s="4" t="s">
        <v>127</v>
      </c>
      <c r="AX277" s="4" t="s">
        <v>127</v>
      </c>
      <c r="AY277" s="96" t="s">
        <v>1488</v>
      </c>
      <c r="AZ277" s="96" t="s">
        <v>1489</v>
      </c>
      <c r="BA277" s="4" t="s">
        <v>127</v>
      </c>
      <c r="BB277" s="4" t="s">
        <v>1490</v>
      </c>
      <c r="BC277" s="4" t="s">
        <v>1524</v>
      </c>
      <c r="BD277" s="4" t="s">
        <v>127</v>
      </c>
      <c r="BE277" s="4" t="s">
        <v>1492</v>
      </c>
      <c r="BF277" s="4" t="s">
        <v>127</v>
      </c>
      <c r="BG277" s="4" t="s">
        <v>200</v>
      </c>
      <c r="BH277" s="4" t="s">
        <v>200</v>
      </c>
      <c r="BI277" s="4" t="s">
        <v>200</v>
      </c>
      <c r="BJ277" s="4" t="s">
        <v>200</v>
      </c>
      <c r="BK277" s="4" t="s">
        <v>200</v>
      </c>
      <c r="BL277" s="4" t="s">
        <v>200</v>
      </c>
      <c r="BM277" s="4" t="s">
        <v>200</v>
      </c>
      <c r="BN277" s="4" t="s">
        <v>200</v>
      </c>
      <c r="BO277" s="4" t="s">
        <v>200</v>
      </c>
    </row>
    <row r="278" spans="1:67" ht="16" x14ac:dyDescent="0.4">
      <c r="A278" s="4" t="s">
        <v>1486</v>
      </c>
      <c r="B278" s="4" t="s">
        <v>1525</v>
      </c>
      <c r="C278" s="4" t="s">
        <v>127</v>
      </c>
      <c r="D278" s="4" t="s">
        <v>128</v>
      </c>
      <c r="E278" s="189">
        <v>45644</v>
      </c>
      <c r="F278" s="6">
        <f t="shared" si="17"/>
        <v>2024</v>
      </c>
      <c r="G278" s="4" t="s">
        <v>960</v>
      </c>
      <c r="H278" s="22" t="str">
        <f>VLOOKUP($G278,'Item Classification'!B:C,2,0)</f>
        <v>Armoured Utility Vehicle (AUV)</v>
      </c>
      <c r="I278" s="6" t="str">
        <f>VLOOKUP($G278,'Item Classification'!B:D,3,0)</f>
        <v>Armoured vehicle</v>
      </c>
      <c r="J278" s="23">
        <f>VLOOKUP($G278,'Item Classification'!B:E,4,0)</f>
        <v>2</v>
      </c>
      <c r="K278" s="116" t="s">
        <v>274</v>
      </c>
      <c r="L278" s="116" t="s">
        <v>275</v>
      </c>
      <c r="M278" s="116" t="str">
        <f>VLOOKUP(L278,'NATO Classifications'!$D$6:$E$647,2,0)</f>
        <v>Trucks and Truck Tractors, Wheeled</v>
      </c>
      <c r="N278" s="4">
        <v>121</v>
      </c>
      <c r="O278" s="81"/>
      <c r="P278" s="81"/>
      <c r="Q278" s="4"/>
      <c r="R278" s="4"/>
      <c r="S278" s="4"/>
      <c r="T278" s="91" t="s">
        <v>132</v>
      </c>
      <c r="U278" s="104">
        <f>_xlfn.IFNA(S278/INDEX('Exchange Rates'!$C$7:$F$14,MATCH('MAIN DATA, Orders'!F278,'Exchange Rates'!$B$7:$B$14,0),MATCH('MAIN DATA, Orders'!T278,'Exchange Rates'!$C$6:$F$6,0)), "-")</f>
        <v>0</v>
      </c>
      <c r="V278" s="4" t="s">
        <v>682</v>
      </c>
      <c r="W278" s="4" t="s">
        <v>133</v>
      </c>
      <c r="X278" s="4" t="s">
        <v>128</v>
      </c>
      <c r="Y278" s="24">
        <f t="shared" si="16"/>
        <v>202412</v>
      </c>
      <c r="Z278" s="115">
        <v>0</v>
      </c>
      <c r="AA278" s="115">
        <v>0</v>
      </c>
      <c r="AB278" s="115">
        <v>0</v>
      </c>
      <c r="AC278" s="115" t="s">
        <v>127</v>
      </c>
      <c r="AD278" s="115" t="s">
        <v>127</v>
      </c>
      <c r="AE278" s="115" t="s">
        <v>127</v>
      </c>
      <c r="AF278" s="115" t="s">
        <v>127</v>
      </c>
      <c r="AG278" s="4" t="s">
        <v>127</v>
      </c>
      <c r="AH278" s="4" t="s">
        <v>127</v>
      </c>
      <c r="AI278" s="4" t="s">
        <v>127</v>
      </c>
      <c r="AJ278" s="4" t="s">
        <v>127</v>
      </c>
      <c r="AK278" s="4" t="s">
        <v>127</v>
      </c>
      <c r="AL278" s="4" t="s">
        <v>127</v>
      </c>
      <c r="AM278" s="4" t="s">
        <v>127</v>
      </c>
      <c r="AN278" s="4" t="s">
        <v>127</v>
      </c>
      <c r="AO278" s="4" t="s">
        <v>127</v>
      </c>
      <c r="AP278" s="4" t="s">
        <v>127</v>
      </c>
      <c r="AQ278" s="4" t="s">
        <v>127</v>
      </c>
      <c r="AR278" s="4" t="s">
        <v>127</v>
      </c>
      <c r="AS278" s="4" t="s">
        <v>127</v>
      </c>
      <c r="AT278" s="4" t="s">
        <v>127</v>
      </c>
      <c r="AU278" s="4" t="s">
        <v>127</v>
      </c>
      <c r="AV278" s="4" t="s">
        <v>127</v>
      </c>
      <c r="AW278" s="4" t="s">
        <v>127</v>
      </c>
      <c r="AX278" s="4" t="s">
        <v>127</v>
      </c>
      <c r="AY278" s="96" t="s">
        <v>1488</v>
      </c>
      <c r="AZ278" s="96" t="s">
        <v>1489</v>
      </c>
      <c r="BA278" s="4" t="s">
        <v>127</v>
      </c>
      <c r="BB278" s="4" t="s">
        <v>1490</v>
      </c>
      <c r="BC278" s="4" t="s">
        <v>1524</v>
      </c>
      <c r="BD278" s="4" t="s">
        <v>127</v>
      </c>
      <c r="BE278" s="4" t="s">
        <v>1492</v>
      </c>
      <c r="BF278" s="4" t="s">
        <v>127</v>
      </c>
      <c r="BG278" s="4" t="s">
        <v>200</v>
      </c>
      <c r="BH278" s="4" t="s">
        <v>200</v>
      </c>
      <c r="BI278" s="4" t="s">
        <v>200</v>
      </c>
      <c r="BJ278" s="4" t="s">
        <v>200</v>
      </c>
      <c r="BK278" s="4" t="s">
        <v>200</v>
      </c>
      <c r="BL278" s="4" t="s">
        <v>200</v>
      </c>
      <c r="BM278" s="4" t="s">
        <v>200</v>
      </c>
      <c r="BN278" s="4" t="s">
        <v>200</v>
      </c>
      <c r="BO278" s="4" t="s">
        <v>200</v>
      </c>
    </row>
    <row r="279" spans="1:67" ht="16" x14ac:dyDescent="0.4">
      <c r="A279" s="4" t="s">
        <v>1486</v>
      </c>
      <c r="B279" s="4" t="s">
        <v>1526</v>
      </c>
      <c r="C279" s="4" t="s">
        <v>127</v>
      </c>
      <c r="D279" s="4" t="s">
        <v>128</v>
      </c>
      <c r="E279" s="189">
        <v>45644</v>
      </c>
      <c r="F279" s="6">
        <f t="shared" si="17"/>
        <v>2024</v>
      </c>
      <c r="G279" s="4" t="s">
        <v>1084</v>
      </c>
      <c r="H279" s="22" t="str">
        <f>VLOOKUP($G279,'Item Classification'!B:C,2,0)</f>
        <v>Infantry mobility vehicle</v>
      </c>
      <c r="I279" s="6" t="str">
        <f>VLOOKUP($G279,'Item Classification'!B:D,3,0)</f>
        <v>Armoured vehicle</v>
      </c>
      <c r="J279" s="23">
        <f>VLOOKUP($G279,'Item Classification'!B:E,4,0)</f>
        <v>2</v>
      </c>
      <c r="K279" s="116" t="s">
        <v>274</v>
      </c>
      <c r="L279" s="116" t="s">
        <v>493</v>
      </c>
      <c r="M279" s="116" t="str">
        <f>VLOOKUP(L279,'NATO Classifications'!$D$6:$E$647,2,0)</f>
        <v>Combat, Assault, and Tactical Vehicles, Wheeled</v>
      </c>
      <c r="N279" s="4">
        <v>65</v>
      </c>
      <c r="O279" s="81"/>
      <c r="P279" s="81"/>
      <c r="Q279" s="4"/>
      <c r="R279" s="4"/>
      <c r="S279" s="4"/>
      <c r="T279" s="91" t="s">
        <v>132</v>
      </c>
      <c r="U279" s="104">
        <f>_xlfn.IFNA(S279/INDEX('Exchange Rates'!$C$7:$F$14,MATCH('MAIN DATA, Orders'!F279,'Exchange Rates'!$B$7:$B$14,0),MATCH('MAIN DATA, Orders'!T279,'Exchange Rates'!$C$6:$F$6,0)), "-")</f>
        <v>0</v>
      </c>
      <c r="V279" s="4" t="s">
        <v>682</v>
      </c>
      <c r="W279" s="4" t="s">
        <v>133</v>
      </c>
      <c r="X279" s="4" t="s">
        <v>128</v>
      </c>
      <c r="Y279" s="24">
        <f t="shared" ref="Y279:Y342" si="20">_xlfn.NUMBERVALUE(_xlfn.CONCAT(YEAR(E279),TEXT(E279, "mm")))</f>
        <v>202412</v>
      </c>
      <c r="Z279" s="115">
        <v>0</v>
      </c>
      <c r="AA279" s="115">
        <v>0</v>
      </c>
      <c r="AB279" s="115">
        <v>0</v>
      </c>
      <c r="AC279" s="115" t="s">
        <v>127</v>
      </c>
      <c r="AD279" s="115" t="s">
        <v>127</v>
      </c>
      <c r="AE279" s="115" t="s">
        <v>127</v>
      </c>
      <c r="AF279" s="115" t="s">
        <v>127</v>
      </c>
      <c r="AG279" s="4" t="s">
        <v>127</v>
      </c>
      <c r="AH279" s="4" t="s">
        <v>127</v>
      </c>
      <c r="AI279" s="4" t="s">
        <v>127</v>
      </c>
      <c r="AJ279" s="4" t="s">
        <v>127</v>
      </c>
      <c r="AK279" s="4" t="s">
        <v>127</v>
      </c>
      <c r="AL279" s="4" t="s">
        <v>127</v>
      </c>
      <c r="AM279" s="4" t="s">
        <v>127</v>
      </c>
      <c r="AN279" s="4" t="s">
        <v>127</v>
      </c>
      <c r="AO279" s="4" t="s">
        <v>127</v>
      </c>
      <c r="AP279" s="4" t="s">
        <v>127</v>
      </c>
      <c r="AQ279" s="4" t="s">
        <v>127</v>
      </c>
      <c r="AR279" s="4" t="s">
        <v>127</v>
      </c>
      <c r="AS279" s="4" t="s">
        <v>127</v>
      </c>
      <c r="AT279" s="4" t="s">
        <v>127</v>
      </c>
      <c r="AU279" s="4" t="s">
        <v>127</v>
      </c>
      <c r="AV279" s="4" t="s">
        <v>127</v>
      </c>
      <c r="AW279" s="4" t="s">
        <v>127</v>
      </c>
      <c r="AX279" s="4" t="s">
        <v>127</v>
      </c>
      <c r="AY279" s="96" t="s">
        <v>1488</v>
      </c>
      <c r="AZ279" s="96" t="s">
        <v>1489</v>
      </c>
      <c r="BA279" s="4" t="s">
        <v>127</v>
      </c>
      <c r="BB279" s="4" t="s">
        <v>1490</v>
      </c>
      <c r="BC279" s="4" t="s">
        <v>1527</v>
      </c>
      <c r="BD279" s="4" t="s">
        <v>127</v>
      </c>
      <c r="BE279" s="4" t="s">
        <v>1492</v>
      </c>
      <c r="BF279" s="4" t="s">
        <v>127</v>
      </c>
      <c r="BG279" s="4" t="s">
        <v>200</v>
      </c>
      <c r="BH279" s="4" t="s">
        <v>200</v>
      </c>
      <c r="BI279" s="4" t="s">
        <v>200</v>
      </c>
      <c r="BJ279" s="4" t="s">
        <v>200</v>
      </c>
      <c r="BK279" s="4" t="s">
        <v>200</v>
      </c>
      <c r="BL279" s="4" t="s">
        <v>200</v>
      </c>
      <c r="BM279" s="4" t="s">
        <v>200</v>
      </c>
      <c r="BN279" s="4" t="s">
        <v>200</v>
      </c>
      <c r="BO279" s="4" t="s">
        <v>200</v>
      </c>
    </row>
    <row r="280" spans="1:67" ht="16" x14ac:dyDescent="0.4">
      <c r="A280" s="4" t="s">
        <v>1486</v>
      </c>
      <c r="B280" s="4" t="s">
        <v>1528</v>
      </c>
      <c r="C280" s="4" t="s">
        <v>127</v>
      </c>
      <c r="D280" s="4" t="s">
        <v>128</v>
      </c>
      <c r="E280" s="189">
        <v>45644</v>
      </c>
      <c r="F280" s="6">
        <f t="shared" si="17"/>
        <v>2024</v>
      </c>
      <c r="G280" s="4" t="s">
        <v>293</v>
      </c>
      <c r="H280" s="22" t="str">
        <f>VLOOKUP($G280,'Item Classification'!B:C,2,0)</f>
        <v>Non-combat military vehicle</v>
      </c>
      <c r="I280" s="6" t="str">
        <f>VLOOKUP($G280,'Item Classification'!B:D,3,0)</f>
        <v>Other</v>
      </c>
      <c r="J280" s="23">
        <f>VLOOKUP($G280,'Item Classification'!B:E,4,0)</f>
        <v>16</v>
      </c>
      <c r="K280" s="116" t="s">
        <v>274</v>
      </c>
      <c r="L280" s="116" t="s">
        <v>275</v>
      </c>
      <c r="M280" s="116" t="str">
        <f>VLOOKUP(L280,'NATO Classifications'!$D$6:$E$647,2,0)</f>
        <v>Trucks and Truck Tractors, Wheeled</v>
      </c>
      <c r="N280" s="4">
        <v>185</v>
      </c>
      <c r="O280" s="81"/>
      <c r="P280" s="81"/>
      <c r="Q280" s="4"/>
      <c r="R280" s="4"/>
      <c r="S280" s="4"/>
      <c r="T280" s="91" t="s">
        <v>132</v>
      </c>
      <c r="U280" s="104">
        <f>_xlfn.IFNA(S280/INDEX('Exchange Rates'!$C$7:$F$14,MATCH('MAIN DATA, Orders'!F280,'Exchange Rates'!$B$7:$B$14,0),MATCH('MAIN DATA, Orders'!T280,'Exchange Rates'!$C$6:$F$6,0)), "-")</f>
        <v>0</v>
      </c>
      <c r="V280" s="4" t="s">
        <v>682</v>
      </c>
      <c r="W280" s="4" t="s">
        <v>133</v>
      </c>
      <c r="X280" s="4" t="s">
        <v>128</v>
      </c>
      <c r="Y280" s="24">
        <f t="shared" si="20"/>
        <v>202412</v>
      </c>
      <c r="Z280" s="115">
        <v>0</v>
      </c>
      <c r="AA280" s="115">
        <v>0</v>
      </c>
      <c r="AB280" s="115">
        <v>0</v>
      </c>
      <c r="AC280" s="115" t="s">
        <v>127</v>
      </c>
      <c r="AD280" s="115" t="s">
        <v>127</v>
      </c>
      <c r="AE280" s="115" t="s">
        <v>127</v>
      </c>
      <c r="AF280" s="115" t="s">
        <v>127</v>
      </c>
      <c r="AG280" s="4" t="s">
        <v>127</v>
      </c>
      <c r="AH280" s="4" t="s">
        <v>127</v>
      </c>
      <c r="AI280" s="4" t="s">
        <v>127</v>
      </c>
      <c r="AJ280" s="4" t="s">
        <v>127</v>
      </c>
      <c r="AK280" s="4" t="s">
        <v>127</v>
      </c>
      <c r="AL280" s="4" t="s">
        <v>127</v>
      </c>
      <c r="AM280" s="4" t="s">
        <v>127</v>
      </c>
      <c r="AN280" s="4" t="s">
        <v>127</v>
      </c>
      <c r="AO280" s="4" t="s">
        <v>127</v>
      </c>
      <c r="AP280" s="4" t="s">
        <v>127</v>
      </c>
      <c r="AQ280" s="4" t="s">
        <v>127</v>
      </c>
      <c r="AR280" s="4" t="s">
        <v>127</v>
      </c>
      <c r="AS280" s="4" t="s">
        <v>127</v>
      </c>
      <c r="AT280" s="4" t="s">
        <v>127</v>
      </c>
      <c r="AU280" s="4" t="s">
        <v>127</v>
      </c>
      <c r="AV280" s="4" t="s">
        <v>127</v>
      </c>
      <c r="AW280" s="4" t="s">
        <v>127</v>
      </c>
      <c r="AX280" s="4" t="s">
        <v>127</v>
      </c>
      <c r="AY280" s="96" t="s">
        <v>1488</v>
      </c>
      <c r="AZ280" s="96" t="s">
        <v>1489</v>
      </c>
      <c r="BA280" s="4" t="s">
        <v>127</v>
      </c>
      <c r="BB280" s="4" t="s">
        <v>1490</v>
      </c>
      <c r="BC280" s="4" t="s">
        <v>1529</v>
      </c>
      <c r="BD280" s="4" t="s">
        <v>127</v>
      </c>
      <c r="BE280" s="4" t="s">
        <v>1492</v>
      </c>
      <c r="BF280" s="4" t="s">
        <v>127</v>
      </c>
      <c r="BG280" s="4" t="s">
        <v>200</v>
      </c>
      <c r="BH280" s="4" t="s">
        <v>200</v>
      </c>
      <c r="BI280" s="4" t="s">
        <v>200</v>
      </c>
      <c r="BJ280" s="4" t="s">
        <v>200</v>
      </c>
      <c r="BK280" s="4" t="s">
        <v>200</v>
      </c>
      <c r="BL280" s="4" t="s">
        <v>200</v>
      </c>
      <c r="BM280" s="4" t="s">
        <v>200</v>
      </c>
      <c r="BN280" s="4" t="s">
        <v>200</v>
      </c>
      <c r="BO280" s="4" t="s">
        <v>200</v>
      </c>
    </row>
    <row r="281" spans="1:67" ht="16" x14ac:dyDescent="0.4">
      <c r="A281" s="4" t="s">
        <v>1486</v>
      </c>
      <c r="B281" s="4" t="s">
        <v>1530</v>
      </c>
      <c r="C281" s="4" t="s">
        <v>127</v>
      </c>
      <c r="D281" s="4" t="s">
        <v>128</v>
      </c>
      <c r="E281" s="189">
        <v>45644</v>
      </c>
      <c r="F281" s="6">
        <f t="shared" si="17"/>
        <v>2024</v>
      </c>
      <c r="G281" s="4" t="s">
        <v>290</v>
      </c>
      <c r="H281" s="22" t="str">
        <f>VLOOKUP($G281,'Item Classification'!B:C,2,0)</f>
        <v>Non-combat military vehicle</v>
      </c>
      <c r="I281" s="6" t="str">
        <f>VLOOKUP($G281,'Item Classification'!B:D,3,0)</f>
        <v>Other</v>
      </c>
      <c r="J281" s="23">
        <f>VLOOKUP($G281,'Item Classification'!B:E,4,0)</f>
        <v>16</v>
      </c>
      <c r="K281" s="116" t="s">
        <v>274</v>
      </c>
      <c r="L281" s="116" t="s">
        <v>275</v>
      </c>
      <c r="M281" s="116" t="str">
        <f>VLOOKUP(L281,'NATO Classifications'!$D$6:$E$647,2,0)</f>
        <v>Trucks and Truck Tractors, Wheeled</v>
      </c>
      <c r="N281" s="4">
        <v>164</v>
      </c>
      <c r="O281" s="81"/>
      <c r="P281" s="81"/>
      <c r="Q281" s="4"/>
      <c r="R281" s="4"/>
      <c r="S281" s="4"/>
      <c r="T281" s="91" t="s">
        <v>132</v>
      </c>
      <c r="U281" s="104">
        <f>_xlfn.IFNA(S281/INDEX('Exchange Rates'!$C$7:$F$14,MATCH('MAIN DATA, Orders'!F281,'Exchange Rates'!$B$7:$B$14,0),MATCH('MAIN DATA, Orders'!T281,'Exchange Rates'!$C$6:$F$6,0)), "-")</f>
        <v>0</v>
      </c>
      <c r="V281" s="4" t="s">
        <v>682</v>
      </c>
      <c r="W281" s="4" t="s">
        <v>133</v>
      </c>
      <c r="X281" s="4" t="s">
        <v>128</v>
      </c>
      <c r="Y281" s="24">
        <f t="shared" si="20"/>
        <v>202412</v>
      </c>
      <c r="Z281" s="115">
        <v>0</v>
      </c>
      <c r="AA281" s="115">
        <v>0</v>
      </c>
      <c r="AB281" s="115">
        <v>0</v>
      </c>
      <c r="AC281" s="115" t="s">
        <v>127</v>
      </c>
      <c r="AD281" s="115" t="s">
        <v>127</v>
      </c>
      <c r="AE281" s="115" t="s">
        <v>127</v>
      </c>
      <c r="AF281" s="115" t="s">
        <v>127</v>
      </c>
      <c r="AG281" s="4" t="s">
        <v>127</v>
      </c>
      <c r="AH281" s="4" t="s">
        <v>127</v>
      </c>
      <c r="AI281" s="4" t="s">
        <v>127</v>
      </c>
      <c r="AJ281" s="4" t="s">
        <v>127</v>
      </c>
      <c r="AK281" s="4" t="s">
        <v>127</v>
      </c>
      <c r="AL281" s="4" t="s">
        <v>127</v>
      </c>
      <c r="AM281" s="4" t="s">
        <v>127</v>
      </c>
      <c r="AN281" s="4" t="s">
        <v>127</v>
      </c>
      <c r="AO281" s="4" t="s">
        <v>127</v>
      </c>
      <c r="AP281" s="4" t="s">
        <v>127</v>
      </c>
      <c r="AQ281" s="4" t="s">
        <v>127</v>
      </c>
      <c r="AR281" s="4" t="s">
        <v>127</v>
      </c>
      <c r="AS281" s="4" t="s">
        <v>127</v>
      </c>
      <c r="AT281" s="4" t="s">
        <v>127</v>
      </c>
      <c r="AU281" s="4" t="s">
        <v>127</v>
      </c>
      <c r="AV281" s="4" t="s">
        <v>127</v>
      </c>
      <c r="AW281" s="4" t="s">
        <v>127</v>
      </c>
      <c r="AX281" s="4" t="s">
        <v>127</v>
      </c>
      <c r="AY281" s="96" t="s">
        <v>1488</v>
      </c>
      <c r="AZ281" s="96" t="s">
        <v>1489</v>
      </c>
      <c r="BA281" s="4" t="s">
        <v>127</v>
      </c>
      <c r="BB281" s="4" t="s">
        <v>1490</v>
      </c>
      <c r="BC281" s="4" t="s">
        <v>1529</v>
      </c>
      <c r="BD281" s="4" t="s">
        <v>127</v>
      </c>
      <c r="BE281" s="4" t="s">
        <v>1492</v>
      </c>
      <c r="BF281" s="4" t="s">
        <v>127</v>
      </c>
      <c r="BG281" s="4" t="s">
        <v>200</v>
      </c>
      <c r="BH281" s="4" t="s">
        <v>200</v>
      </c>
      <c r="BI281" s="4" t="s">
        <v>200</v>
      </c>
      <c r="BJ281" s="4" t="s">
        <v>200</v>
      </c>
      <c r="BK281" s="4" t="s">
        <v>200</v>
      </c>
      <c r="BL281" s="4" t="s">
        <v>200</v>
      </c>
      <c r="BM281" s="4" t="s">
        <v>200</v>
      </c>
      <c r="BN281" s="4" t="s">
        <v>200</v>
      </c>
      <c r="BO281" s="4" t="s">
        <v>200</v>
      </c>
    </row>
    <row r="282" spans="1:67" ht="16" x14ac:dyDescent="0.4">
      <c r="A282" s="4" t="s">
        <v>1486</v>
      </c>
      <c r="B282" s="4" t="s">
        <v>1531</v>
      </c>
      <c r="C282" s="4" t="s">
        <v>127</v>
      </c>
      <c r="D282" s="4" t="s">
        <v>128</v>
      </c>
      <c r="E282" s="189">
        <v>45644</v>
      </c>
      <c r="F282" s="6">
        <f t="shared" si="17"/>
        <v>2024</v>
      </c>
      <c r="G282" s="4" t="s">
        <v>1532</v>
      </c>
      <c r="H282" s="22" t="str">
        <f>VLOOKUP($G282,'Item Classification'!B:C,2,0)</f>
        <v>Anti-aircraft surface-to-air missile (SAM) system (medium-range)</v>
      </c>
      <c r="I282" s="6" t="str">
        <f>VLOOKUP($G282,'Item Classification'!B:D,3,0)</f>
        <v>Air defence system</v>
      </c>
      <c r="J282" s="23">
        <f>VLOOKUP($G282,'Item Classification'!B:E,4,0)</f>
        <v>5</v>
      </c>
      <c r="K282" s="116" t="s">
        <v>211</v>
      </c>
      <c r="L282" s="116" t="s">
        <v>326</v>
      </c>
      <c r="M282" s="116" t="str">
        <f>VLOOKUP(L282,'NATO Classifications'!$D$6:$E$647,2,0)</f>
        <v>Guided Missile Systems, Complete</v>
      </c>
      <c r="N282" s="4"/>
      <c r="O282" s="81"/>
      <c r="P282" s="81"/>
      <c r="Q282" s="4"/>
      <c r="R282" s="4"/>
      <c r="S282" s="4"/>
      <c r="T282" s="91" t="s">
        <v>132</v>
      </c>
      <c r="U282" s="104">
        <f>_xlfn.IFNA(S282/INDEX('Exchange Rates'!$C$7:$F$14,MATCH('MAIN DATA, Orders'!F282,'Exchange Rates'!$B$7:$B$14,0),MATCH('MAIN DATA, Orders'!T282,'Exchange Rates'!$C$6:$F$6,0)), "-")</f>
        <v>0</v>
      </c>
      <c r="V282" s="4" t="s">
        <v>682</v>
      </c>
      <c r="W282" s="4" t="s">
        <v>133</v>
      </c>
      <c r="X282" s="4" t="s">
        <v>128</v>
      </c>
      <c r="Y282" s="24">
        <f t="shared" si="20"/>
        <v>202412</v>
      </c>
      <c r="Z282" s="115">
        <v>0</v>
      </c>
      <c r="AA282" s="115">
        <v>1</v>
      </c>
      <c r="AB282" s="115">
        <v>0</v>
      </c>
      <c r="AC282" s="115" t="s">
        <v>127</v>
      </c>
      <c r="AD282" s="115" t="s">
        <v>127</v>
      </c>
      <c r="AE282" s="115" t="s">
        <v>127</v>
      </c>
      <c r="AF282" s="115" t="s">
        <v>127</v>
      </c>
      <c r="AG282" s="4" t="s">
        <v>127</v>
      </c>
      <c r="AH282" s="4" t="s">
        <v>127</v>
      </c>
      <c r="AI282" s="4" t="s">
        <v>127</v>
      </c>
      <c r="AJ282" s="4" t="s">
        <v>127</v>
      </c>
      <c r="AK282" s="4" t="s">
        <v>127</v>
      </c>
      <c r="AL282" s="4" t="s">
        <v>127</v>
      </c>
      <c r="AM282" s="4" t="s">
        <v>127</v>
      </c>
      <c r="AN282" s="4" t="s">
        <v>127</v>
      </c>
      <c r="AO282" s="4" t="s">
        <v>127</v>
      </c>
      <c r="AP282" s="4" t="s">
        <v>127</v>
      </c>
      <c r="AQ282" s="4" t="s">
        <v>127</v>
      </c>
      <c r="AR282" s="4" t="s">
        <v>127</v>
      </c>
      <c r="AS282" s="4" t="s">
        <v>127</v>
      </c>
      <c r="AT282" s="4" t="s">
        <v>127</v>
      </c>
      <c r="AU282" s="4" t="s">
        <v>127</v>
      </c>
      <c r="AV282" s="4" t="s">
        <v>127</v>
      </c>
      <c r="AW282" s="4" t="s">
        <v>127</v>
      </c>
      <c r="AX282" s="4" t="s">
        <v>127</v>
      </c>
      <c r="AY282" s="96" t="s">
        <v>1488</v>
      </c>
      <c r="AZ282" s="96" t="s">
        <v>1489</v>
      </c>
      <c r="BA282" s="4" t="s">
        <v>127</v>
      </c>
      <c r="BB282" s="4" t="s">
        <v>1490</v>
      </c>
      <c r="BC282" s="4" t="s">
        <v>127</v>
      </c>
      <c r="BD282" s="4" t="s">
        <v>127</v>
      </c>
      <c r="BE282" s="4" t="s">
        <v>1492</v>
      </c>
      <c r="BF282" s="4" t="s">
        <v>127</v>
      </c>
      <c r="BG282" s="4" t="s">
        <v>200</v>
      </c>
      <c r="BH282" s="4" t="s">
        <v>200</v>
      </c>
      <c r="BI282" s="4" t="s">
        <v>200</v>
      </c>
      <c r="BJ282" s="4" t="s">
        <v>200</v>
      </c>
      <c r="BK282" s="4" t="s">
        <v>200</v>
      </c>
      <c r="BL282" s="4" t="s">
        <v>200</v>
      </c>
      <c r="BM282" s="4" t="s">
        <v>200</v>
      </c>
      <c r="BN282" s="4" t="s">
        <v>200</v>
      </c>
      <c r="BO282" s="4" t="s">
        <v>200</v>
      </c>
    </row>
    <row r="283" spans="1:67" ht="16" x14ac:dyDescent="0.4">
      <c r="A283" s="4" t="s">
        <v>1486</v>
      </c>
      <c r="B283" s="4" t="s">
        <v>1533</v>
      </c>
      <c r="C283" s="4" t="s">
        <v>127</v>
      </c>
      <c r="D283" s="4" t="s">
        <v>128</v>
      </c>
      <c r="E283" s="189">
        <v>45644</v>
      </c>
      <c r="F283" s="6">
        <f t="shared" si="17"/>
        <v>2024</v>
      </c>
      <c r="G283" s="4" t="s">
        <v>1534</v>
      </c>
      <c r="H283" s="22" t="str">
        <f>VLOOKUP($G283,'Item Classification'!B:C,2,0)</f>
        <v>Fighter jet development</v>
      </c>
      <c r="I283" s="6" t="str">
        <f>VLOOKUP($G283,'Item Classification'!B:D,3,0)</f>
        <v>Development - Aircraft</v>
      </c>
      <c r="J283" s="23">
        <f>VLOOKUP($G283,'Item Classification'!B:E,4,0)</f>
        <v>15</v>
      </c>
      <c r="K283" s="116" t="s">
        <v>130</v>
      </c>
      <c r="L283" s="116" t="s">
        <v>237</v>
      </c>
      <c r="M283" s="116" t="str">
        <f>VLOOKUP(L283,'NATO Classifications'!$D$6:$E$647,2,0)</f>
        <v>Aircraft, Fixed Wing</v>
      </c>
      <c r="N283" s="4"/>
      <c r="O283" s="81"/>
      <c r="P283" s="81"/>
      <c r="Q283" s="4"/>
      <c r="R283" s="4"/>
      <c r="S283" s="4"/>
      <c r="T283" s="91" t="s">
        <v>132</v>
      </c>
      <c r="U283" s="104">
        <f>_xlfn.IFNA(S283/INDEX('Exchange Rates'!$C$7:$F$14,MATCH('MAIN DATA, Orders'!F283,'Exchange Rates'!$B$7:$B$14,0),MATCH('MAIN DATA, Orders'!T283,'Exchange Rates'!$C$6:$F$6,0)), "-")</f>
        <v>0</v>
      </c>
      <c r="V283" s="4" t="s">
        <v>682</v>
      </c>
      <c r="W283" s="4" t="s">
        <v>133</v>
      </c>
      <c r="X283" s="4" t="s">
        <v>128</v>
      </c>
      <c r="Y283" s="24">
        <f t="shared" si="20"/>
        <v>202412</v>
      </c>
      <c r="Z283" s="115">
        <v>0</v>
      </c>
      <c r="AA283" s="115">
        <v>0</v>
      </c>
      <c r="AB283" s="115">
        <v>0</v>
      </c>
      <c r="AC283" s="115" t="s">
        <v>127</v>
      </c>
      <c r="AD283" s="115" t="s">
        <v>127</v>
      </c>
      <c r="AE283" s="115" t="s">
        <v>127</v>
      </c>
      <c r="AF283" s="115" t="s">
        <v>127</v>
      </c>
      <c r="AG283" s="4" t="s">
        <v>127</v>
      </c>
      <c r="AH283" s="4" t="s">
        <v>127</v>
      </c>
      <c r="AI283" s="4" t="s">
        <v>127</v>
      </c>
      <c r="AJ283" s="4" t="s">
        <v>127</v>
      </c>
      <c r="AK283" s="4" t="s">
        <v>127</v>
      </c>
      <c r="AL283" s="4" t="s">
        <v>127</v>
      </c>
      <c r="AM283" s="4" t="s">
        <v>127</v>
      </c>
      <c r="AN283" s="4" t="s">
        <v>127</v>
      </c>
      <c r="AO283" s="4" t="s">
        <v>127</v>
      </c>
      <c r="AP283" s="4" t="s">
        <v>127</v>
      </c>
      <c r="AQ283" s="4" t="s">
        <v>127</v>
      </c>
      <c r="AR283" s="4" t="s">
        <v>127</v>
      </c>
      <c r="AS283" s="4" t="s">
        <v>127</v>
      </c>
      <c r="AT283" s="4" t="s">
        <v>127</v>
      </c>
      <c r="AU283" s="4" t="s">
        <v>127</v>
      </c>
      <c r="AV283" s="4" t="s">
        <v>127</v>
      </c>
      <c r="AW283" s="4" t="s">
        <v>127</v>
      </c>
      <c r="AX283" s="4" t="s">
        <v>127</v>
      </c>
      <c r="AY283" s="96" t="s">
        <v>1488</v>
      </c>
      <c r="AZ283" s="96" t="s">
        <v>1489</v>
      </c>
      <c r="BA283" s="4" t="s">
        <v>127</v>
      </c>
      <c r="BB283" s="4" t="s">
        <v>1490</v>
      </c>
      <c r="BC283" s="4" t="s">
        <v>127</v>
      </c>
      <c r="BD283" s="4" t="s">
        <v>127</v>
      </c>
      <c r="BE283" s="4" t="s">
        <v>1492</v>
      </c>
      <c r="BF283" s="4" t="s">
        <v>127</v>
      </c>
      <c r="BG283" s="4" t="s">
        <v>200</v>
      </c>
      <c r="BH283" s="4" t="s">
        <v>200</v>
      </c>
      <c r="BI283" s="4" t="s">
        <v>200</v>
      </c>
      <c r="BJ283" s="4" t="s">
        <v>200</v>
      </c>
      <c r="BK283" s="4" t="s">
        <v>200</v>
      </c>
      <c r="BL283" s="4" t="s">
        <v>200</v>
      </c>
      <c r="BM283" s="4" t="s">
        <v>200</v>
      </c>
      <c r="BN283" s="4" t="s">
        <v>200</v>
      </c>
      <c r="BO283" s="4" t="s">
        <v>200</v>
      </c>
    </row>
    <row r="284" spans="1:67" ht="16" x14ac:dyDescent="0.4">
      <c r="A284" s="4" t="s">
        <v>1486</v>
      </c>
      <c r="B284" s="4" t="s">
        <v>1535</v>
      </c>
      <c r="C284" s="4" t="s">
        <v>127</v>
      </c>
      <c r="D284" s="4" t="s">
        <v>128</v>
      </c>
      <c r="E284" s="189">
        <v>45644</v>
      </c>
      <c r="F284" s="6">
        <f t="shared" si="17"/>
        <v>2024</v>
      </c>
      <c r="G284" s="4" t="s">
        <v>1536</v>
      </c>
      <c r="H284" s="22" t="str">
        <f>VLOOKUP($G284,'Item Classification'!B:C,2,0)</f>
        <v>Communication and digitalisation</v>
      </c>
      <c r="I284" s="6" t="str">
        <f>VLOOKUP($G284,'Item Classification'!B:D,3,0)</f>
        <v>Modernisation</v>
      </c>
      <c r="J284" s="23">
        <f>VLOOKUP($G284,'Item Classification'!B:E,4,0)</f>
        <v>13</v>
      </c>
      <c r="K284" s="116" t="s">
        <v>168</v>
      </c>
      <c r="L284" s="116" t="s">
        <v>169</v>
      </c>
      <c r="M284" s="116" t="str">
        <f>VLOOKUP(L284,'NATO Classifications'!$D$6:$E$647,2,0)</f>
        <v>ADPE System Configuration</v>
      </c>
      <c r="N284" s="4"/>
      <c r="O284" s="81"/>
      <c r="P284" s="81"/>
      <c r="Q284" s="4"/>
      <c r="R284" s="4"/>
      <c r="S284" s="4"/>
      <c r="T284" s="91" t="s">
        <v>132</v>
      </c>
      <c r="U284" s="104">
        <f>_xlfn.IFNA(S284/INDEX('Exchange Rates'!$C$7:$F$14,MATCH('MAIN DATA, Orders'!F284,'Exchange Rates'!$B$7:$B$14,0),MATCH('MAIN DATA, Orders'!T284,'Exchange Rates'!$C$6:$F$6,0)), "-")</f>
        <v>0</v>
      </c>
      <c r="V284" s="4" t="s">
        <v>682</v>
      </c>
      <c r="W284" s="4" t="s">
        <v>133</v>
      </c>
      <c r="X284" s="4" t="s">
        <v>128</v>
      </c>
      <c r="Y284" s="24">
        <f t="shared" si="20"/>
        <v>202412</v>
      </c>
      <c r="Z284" s="115">
        <v>0</v>
      </c>
      <c r="AA284" s="115">
        <v>0</v>
      </c>
      <c r="AB284" s="115">
        <v>0</v>
      </c>
      <c r="AC284" s="115" t="s">
        <v>127</v>
      </c>
      <c r="AD284" s="115" t="s">
        <v>127</v>
      </c>
      <c r="AE284" s="115" t="s">
        <v>127</v>
      </c>
      <c r="AF284" s="115" t="s">
        <v>127</v>
      </c>
      <c r="AG284" s="4" t="s">
        <v>127</v>
      </c>
      <c r="AH284" s="4" t="s">
        <v>127</v>
      </c>
      <c r="AI284" s="4" t="s">
        <v>127</v>
      </c>
      <c r="AJ284" s="4" t="s">
        <v>127</v>
      </c>
      <c r="AK284" s="4" t="s">
        <v>127</v>
      </c>
      <c r="AL284" s="4" t="s">
        <v>127</v>
      </c>
      <c r="AM284" s="4" t="s">
        <v>127</v>
      </c>
      <c r="AN284" s="4" t="s">
        <v>127</v>
      </c>
      <c r="AO284" s="4" t="s">
        <v>127</v>
      </c>
      <c r="AP284" s="4" t="s">
        <v>127</v>
      </c>
      <c r="AQ284" s="4" t="s">
        <v>127</v>
      </c>
      <c r="AR284" s="4" t="s">
        <v>127</v>
      </c>
      <c r="AS284" s="4" t="s">
        <v>127</v>
      </c>
      <c r="AT284" s="4" t="s">
        <v>127</v>
      </c>
      <c r="AU284" s="4" t="s">
        <v>127</v>
      </c>
      <c r="AV284" s="4" t="s">
        <v>127</v>
      </c>
      <c r="AW284" s="4" t="s">
        <v>127</v>
      </c>
      <c r="AX284" s="4" t="s">
        <v>127</v>
      </c>
      <c r="AY284" s="96" t="s">
        <v>1488</v>
      </c>
      <c r="AZ284" s="96" t="s">
        <v>1489</v>
      </c>
      <c r="BA284" s="4" t="s">
        <v>127</v>
      </c>
      <c r="BB284" s="4" t="s">
        <v>1490</v>
      </c>
      <c r="BC284" s="4" t="s">
        <v>127</v>
      </c>
      <c r="BD284" s="4" t="s">
        <v>127</v>
      </c>
      <c r="BE284" s="4" t="s">
        <v>1492</v>
      </c>
      <c r="BF284" s="4" t="s">
        <v>127</v>
      </c>
      <c r="BG284" s="4" t="s">
        <v>200</v>
      </c>
      <c r="BH284" s="4" t="s">
        <v>200</v>
      </c>
      <c r="BI284" s="4" t="s">
        <v>200</v>
      </c>
      <c r="BJ284" s="4" t="s">
        <v>200</v>
      </c>
      <c r="BK284" s="4" t="s">
        <v>200</v>
      </c>
      <c r="BL284" s="4" t="s">
        <v>200</v>
      </c>
      <c r="BM284" s="4" t="s">
        <v>200</v>
      </c>
      <c r="BN284" s="4" t="s">
        <v>200</v>
      </c>
      <c r="BO284" s="4" t="s">
        <v>200</v>
      </c>
    </row>
    <row r="285" spans="1:67" ht="16" x14ac:dyDescent="0.4">
      <c r="A285" s="4" t="s">
        <v>1486</v>
      </c>
      <c r="B285" s="4" t="s">
        <v>1537</v>
      </c>
      <c r="C285" s="4" t="s">
        <v>127</v>
      </c>
      <c r="D285" s="4" t="s">
        <v>128</v>
      </c>
      <c r="E285" s="189">
        <v>45644</v>
      </c>
      <c r="F285" s="6">
        <f t="shared" si="17"/>
        <v>2024</v>
      </c>
      <c r="G285" s="4" t="s">
        <v>1538</v>
      </c>
      <c r="H285" s="22" t="str">
        <f>VLOOKUP($G285,'Item Classification'!B:C,2,0)</f>
        <v>Communication and digitalisation</v>
      </c>
      <c r="I285" s="6" t="str">
        <f>VLOOKUP($G285,'Item Classification'!B:D,3,0)</f>
        <v>Modernisation</v>
      </c>
      <c r="J285" s="23">
        <f>VLOOKUP($G285,'Item Classification'!B:E,4,0)</f>
        <v>13</v>
      </c>
      <c r="K285" s="116" t="s">
        <v>158</v>
      </c>
      <c r="L285" s="116" t="s">
        <v>399</v>
      </c>
      <c r="M285" s="116" t="str">
        <f>VLOOKUP(L285,'NATO Classifications'!$D$6:$E$647,2,0)</f>
        <v>Radar and Sensor</v>
      </c>
      <c r="N285" s="4"/>
      <c r="O285" s="81"/>
      <c r="P285" s="81"/>
      <c r="Q285" s="4"/>
      <c r="R285" s="4"/>
      <c r="S285" s="4"/>
      <c r="T285" s="91" t="s">
        <v>132</v>
      </c>
      <c r="U285" s="104">
        <f>_xlfn.IFNA(S285/INDEX('Exchange Rates'!$C$7:$F$14,MATCH('MAIN DATA, Orders'!F285,'Exchange Rates'!$B$7:$B$14,0),MATCH('MAIN DATA, Orders'!T285,'Exchange Rates'!$C$6:$F$6,0)), "-")</f>
        <v>0</v>
      </c>
      <c r="V285" s="4" t="s">
        <v>682</v>
      </c>
      <c r="W285" s="4" t="s">
        <v>133</v>
      </c>
      <c r="X285" s="4" t="s">
        <v>128</v>
      </c>
      <c r="Y285" s="24">
        <f t="shared" si="20"/>
        <v>202412</v>
      </c>
      <c r="Z285" s="115">
        <v>0</v>
      </c>
      <c r="AA285" s="115">
        <v>0</v>
      </c>
      <c r="AB285" s="115">
        <v>0</v>
      </c>
      <c r="AC285" s="115" t="s">
        <v>127</v>
      </c>
      <c r="AD285" s="115" t="s">
        <v>127</v>
      </c>
      <c r="AE285" s="115" t="s">
        <v>127</v>
      </c>
      <c r="AF285" s="115" t="s">
        <v>127</v>
      </c>
      <c r="AG285" s="4" t="s">
        <v>127</v>
      </c>
      <c r="AH285" s="4" t="s">
        <v>127</v>
      </c>
      <c r="AI285" s="4" t="s">
        <v>127</v>
      </c>
      <c r="AJ285" s="4" t="s">
        <v>127</v>
      </c>
      <c r="AK285" s="4" t="s">
        <v>127</v>
      </c>
      <c r="AL285" s="4" t="s">
        <v>127</v>
      </c>
      <c r="AM285" s="4" t="s">
        <v>127</v>
      </c>
      <c r="AN285" s="4" t="s">
        <v>127</v>
      </c>
      <c r="AO285" s="4" t="s">
        <v>127</v>
      </c>
      <c r="AP285" s="4" t="s">
        <v>127</v>
      </c>
      <c r="AQ285" s="4" t="s">
        <v>127</v>
      </c>
      <c r="AR285" s="4" t="s">
        <v>127</v>
      </c>
      <c r="AS285" s="4" t="s">
        <v>127</v>
      </c>
      <c r="AT285" s="4" t="s">
        <v>127</v>
      </c>
      <c r="AU285" s="4" t="s">
        <v>127</v>
      </c>
      <c r="AV285" s="4" t="s">
        <v>127</v>
      </c>
      <c r="AW285" s="4" t="s">
        <v>127</v>
      </c>
      <c r="AX285" s="4" t="s">
        <v>127</v>
      </c>
      <c r="AY285" s="96" t="s">
        <v>1488</v>
      </c>
      <c r="AZ285" s="96" t="s">
        <v>1489</v>
      </c>
      <c r="BA285" s="4" t="s">
        <v>127</v>
      </c>
      <c r="BB285" s="4" t="s">
        <v>1490</v>
      </c>
      <c r="BC285" s="4" t="s">
        <v>127</v>
      </c>
      <c r="BD285" s="4" t="s">
        <v>127</v>
      </c>
      <c r="BE285" s="4" t="s">
        <v>1492</v>
      </c>
      <c r="BF285" s="4" t="s">
        <v>127</v>
      </c>
      <c r="BG285" s="4" t="s">
        <v>200</v>
      </c>
      <c r="BH285" s="4" t="s">
        <v>200</v>
      </c>
      <c r="BI285" s="4" t="s">
        <v>200</v>
      </c>
      <c r="BJ285" s="4" t="s">
        <v>200</v>
      </c>
      <c r="BK285" s="4" t="s">
        <v>200</v>
      </c>
      <c r="BL285" s="4" t="s">
        <v>200</v>
      </c>
      <c r="BM285" s="4" t="s">
        <v>200</v>
      </c>
      <c r="BN285" s="4" t="s">
        <v>200</v>
      </c>
      <c r="BO285" s="4" t="s">
        <v>200</v>
      </c>
    </row>
    <row r="286" spans="1:67" ht="16" x14ac:dyDescent="0.4">
      <c r="A286" s="4" t="s">
        <v>1486</v>
      </c>
      <c r="B286" s="4" t="s">
        <v>1539</v>
      </c>
      <c r="C286" s="4" t="s">
        <v>127</v>
      </c>
      <c r="D286" s="4" t="s">
        <v>128</v>
      </c>
      <c r="E286" s="189">
        <v>45644</v>
      </c>
      <c r="F286" s="6">
        <f t="shared" si="17"/>
        <v>2024</v>
      </c>
      <c r="G286" s="4" t="s">
        <v>1540</v>
      </c>
      <c r="H286" s="22" t="str">
        <f>VLOOKUP($G286,'Item Classification'!B:C,2,0)</f>
        <v>Anti-missile countermeasure system</v>
      </c>
      <c r="I286" s="6" t="str">
        <f>VLOOKUP($G286,'Item Classification'!B:D,3,0)</f>
        <v>Aircraft</v>
      </c>
      <c r="J286" s="23">
        <f>VLOOKUP($G286,'Item Classification'!B:E,4,0)</f>
        <v>11</v>
      </c>
      <c r="K286" s="116" t="s">
        <v>158</v>
      </c>
      <c r="L286" s="116" t="s">
        <v>379</v>
      </c>
      <c r="M286" s="116" t="str">
        <f>VLOOKUP(L286,'NATO Classifications'!$D$6:$E$647,2,0)</f>
        <v>Communication, Detection, and Coherent Radiation Equipment (other)</v>
      </c>
      <c r="N286" s="4"/>
      <c r="O286" s="81"/>
      <c r="P286" s="81"/>
      <c r="Q286" s="4"/>
      <c r="R286" s="4"/>
      <c r="S286" s="4"/>
      <c r="T286" s="91" t="s">
        <v>132</v>
      </c>
      <c r="U286" s="104">
        <f>_xlfn.IFNA(S286/INDEX('Exchange Rates'!$C$7:$F$14,MATCH('MAIN DATA, Orders'!F286,'Exchange Rates'!$B$7:$B$14,0),MATCH('MAIN DATA, Orders'!T286,'Exchange Rates'!$C$6:$F$6,0)), "-")</f>
        <v>0</v>
      </c>
      <c r="V286" s="4" t="s">
        <v>682</v>
      </c>
      <c r="W286" s="4" t="s">
        <v>133</v>
      </c>
      <c r="X286" s="4" t="s">
        <v>128</v>
      </c>
      <c r="Y286" s="24">
        <f t="shared" si="20"/>
        <v>202412</v>
      </c>
      <c r="Z286" s="115">
        <v>0</v>
      </c>
      <c r="AA286" s="115">
        <v>0</v>
      </c>
      <c r="AB286" s="115">
        <v>0</v>
      </c>
      <c r="AC286" s="115" t="s">
        <v>127</v>
      </c>
      <c r="AD286" s="115" t="s">
        <v>127</v>
      </c>
      <c r="AE286" s="115" t="s">
        <v>127</v>
      </c>
      <c r="AF286" s="115" t="s">
        <v>127</v>
      </c>
      <c r="AG286" s="4" t="s">
        <v>127</v>
      </c>
      <c r="AH286" s="4" t="s">
        <v>127</v>
      </c>
      <c r="AI286" s="4" t="s">
        <v>127</v>
      </c>
      <c r="AJ286" s="4" t="s">
        <v>127</v>
      </c>
      <c r="AK286" s="4" t="s">
        <v>127</v>
      </c>
      <c r="AL286" s="4" t="s">
        <v>127</v>
      </c>
      <c r="AM286" s="4" t="s">
        <v>127</v>
      </c>
      <c r="AN286" s="4" t="s">
        <v>127</v>
      </c>
      <c r="AO286" s="4" t="s">
        <v>127</v>
      </c>
      <c r="AP286" s="4" t="s">
        <v>127</v>
      </c>
      <c r="AQ286" s="4" t="s">
        <v>127</v>
      </c>
      <c r="AR286" s="4" t="s">
        <v>127</v>
      </c>
      <c r="AS286" s="4" t="s">
        <v>127</v>
      </c>
      <c r="AT286" s="4" t="s">
        <v>127</v>
      </c>
      <c r="AU286" s="4" t="s">
        <v>127</v>
      </c>
      <c r="AV286" s="4" t="s">
        <v>127</v>
      </c>
      <c r="AW286" s="4" t="s">
        <v>127</v>
      </c>
      <c r="AX286" s="4" t="s">
        <v>127</v>
      </c>
      <c r="AY286" s="96" t="s">
        <v>1488</v>
      </c>
      <c r="AZ286" s="96" t="s">
        <v>1489</v>
      </c>
      <c r="BA286" s="4" t="s">
        <v>127</v>
      </c>
      <c r="BB286" s="4" t="s">
        <v>1490</v>
      </c>
      <c r="BC286" s="4" t="s">
        <v>127</v>
      </c>
      <c r="BD286" s="4" t="s">
        <v>127</v>
      </c>
      <c r="BE286" s="4" t="s">
        <v>1492</v>
      </c>
      <c r="BF286" s="4" t="s">
        <v>127</v>
      </c>
      <c r="BG286" s="4" t="s">
        <v>200</v>
      </c>
      <c r="BH286" s="4" t="s">
        <v>200</v>
      </c>
      <c r="BI286" s="4" t="s">
        <v>200</v>
      </c>
      <c r="BJ286" s="4" t="s">
        <v>200</v>
      </c>
      <c r="BK286" s="4" t="s">
        <v>200</v>
      </c>
      <c r="BL286" s="4" t="s">
        <v>200</v>
      </c>
      <c r="BM286" s="4" t="s">
        <v>200</v>
      </c>
      <c r="BN286" s="4" t="s">
        <v>200</v>
      </c>
      <c r="BO286" s="4" t="s">
        <v>200</v>
      </c>
    </row>
    <row r="287" spans="1:67" ht="16" x14ac:dyDescent="0.4">
      <c r="A287" s="4" t="s">
        <v>1486</v>
      </c>
      <c r="B287" s="4" t="s">
        <v>1541</v>
      </c>
      <c r="C287" s="4" t="s">
        <v>127</v>
      </c>
      <c r="D287" s="4" t="s">
        <v>128</v>
      </c>
      <c r="E287" s="189">
        <v>45644</v>
      </c>
      <c r="F287" s="6">
        <f t="shared" si="17"/>
        <v>2024</v>
      </c>
      <c r="G287" s="4" t="s">
        <v>785</v>
      </c>
      <c r="H287" s="22" t="str">
        <f>VLOOKUP($G287,'Item Classification'!B:C,2,0)</f>
        <v>Communication equipment</v>
      </c>
      <c r="I287" s="6" t="str">
        <f>VLOOKUP($G287,'Item Classification'!B:D,3,0)</f>
        <v>Modernisation</v>
      </c>
      <c r="J287" s="23">
        <f>VLOOKUP($G287,'Item Classification'!B:E,4,0)</f>
        <v>13</v>
      </c>
      <c r="K287" s="116" t="s">
        <v>158</v>
      </c>
      <c r="L287" s="116" t="s">
        <v>567</v>
      </c>
      <c r="M287" s="116" t="str">
        <f>VLOOKUP(L287,'NATO Classifications'!$D$6:$E$647,2,0)</f>
        <v>Communication, Detection, and Coherent Radiation Equipment (other)</v>
      </c>
      <c r="N287" s="4">
        <v>1147</v>
      </c>
      <c r="O287" s="81"/>
      <c r="P287" s="81"/>
      <c r="Q287" s="4"/>
      <c r="R287" s="4"/>
      <c r="S287" s="4"/>
      <c r="T287" s="91" t="s">
        <v>132</v>
      </c>
      <c r="U287" s="104">
        <f>_xlfn.IFNA(S287/INDEX('Exchange Rates'!$C$7:$F$14,MATCH('MAIN DATA, Orders'!F287,'Exchange Rates'!$B$7:$B$14,0),MATCH('MAIN DATA, Orders'!T287,'Exchange Rates'!$C$6:$F$6,0)), "-")</f>
        <v>0</v>
      </c>
      <c r="V287" s="4" t="s">
        <v>682</v>
      </c>
      <c r="W287" s="4" t="s">
        <v>133</v>
      </c>
      <c r="X287" s="4" t="s">
        <v>128</v>
      </c>
      <c r="Y287" s="24">
        <f t="shared" si="20"/>
        <v>202412</v>
      </c>
      <c r="Z287" s="115">
        <v>1</v>
      </c>
      <c r="AA287" s="115">
        <v>0</v>
      </c>
      <c r="AB287" s="115">
        <v>0</v>
      </c>
      <c r="AC287" s="115" t="s">
        <v>127</v>
      </c>
      <c r="AD287" s="115" t="s">
        <v>127</v>
      </c>
      <c r="AE287" s="115" t="s">
        <v>127</v>
      </c>
      <c r="AF287" s="115" t="s">
        <v>127</v>
      </c>
      <c r="AG287" s="4" t="s">
        <v>127</v>
      </c>
      <c r="AH287" s="4" t="s">
        <v>127</v>
      </c>
      <c r="AI287" s="4" t="s">
        <v>127</v>
      </c>
      <c r="AJ287" s="4" t="s">
        <v>127</v>
      </c>
      <c r="AK287" s="4" t="s">
        <v>127</v>
      </c>
      <c r="AL287" s="4" t="s">
        <v>127</v>
      </c>
      <c r="AM287" s="4" t="s">
        <v>127</v>
      </c>
      <c r="AN287" s="4" t="s">
        <v>127</v>
      </c>
      <c r="AO287" s="4" t="s">
        <v>127</v>
      </c>
      <c r="AP287" s="4" t="s">
        <v>127</v>
      </c>
      <c r="AQ287" s="4" t="s">
        <v>127</v>
      </c>
      <c r="AR287" s="4" t="s">
        <v>127</v>
      </c>
      <c r="AS287" s="4" t="s">
        <v>127</v>
      </c>
      <c r="AT287" s="4" t="s">
        <v>127</v>
      </c>
      <c r="AU287" s="4" t="s">
        <v>127</v>
      </c>
      <c r="AV287" s="4" t="s">
        <v>127</v>
      </c>
      <c r="AW287" s="4" t="s">
        <v>127</v>
      </c>
      <c r="AX287" s="4" t="s">
        <v>127</v>
      </c>
      <c r="AY287" s="96" t="s">
        <v>1488</v>
      </c>
      <c r="AZ287" s="96" t="s">
        <v>1489</v>
      </c>
      <c r="BA287" s="4" t="s">
        <v>127</v>
      </c>
      <c r="BB287" s="4" t="s">
        <v>1490</v>
      </c>
      <c r="BC287" s="4" t="s">
        <v>1542</v>
      </c>
      <c r="BD287" s="4" t="s">
        <v>127</v>
      </c>
      <c r="BE287" s="4" t="s">
        <v>1492</v>
      </c>
      <c r="BF287" s="4" t="s">
        <v>127</v>
      </c>
      <c r="BG287" s="4" t="s">
        <v>200</v>
      </c>
      <c r="BH287" s="4" t="s">
        <v>200</v>
      </c>
      <c r="BI287" s="4" t="s">
        <v>200</v>
      </c>
      <c r="BJ287" s="4" t="s">
        <v>200</v>
      </c>
      <c r="BK287" s="4" t="s">
        <v>200</v>
      </c>
      <c r="BL287" s="4" t="s">
        <v>200</v>
      </c>
      <c r="BM287" s="4" t="s">
        <v>200</v>
      </c>
      <c r="BN287" s="4" t="s">
        <v>200</v>
      </c>
      <c r="BO287" s="4" t="s">
        <v>200</v>
      </c>
    </row>
    <row r="288" spans="1:67" ht="16" x14ac:dyDescent="0.4">
      <c r="A288" s="4" t="s">
        <v>1486</v>
      </c>
      <c r="B288" s="4" t="s">
        <v>1543</v>
      </c>
      <c r="C288" s="4" t="s">
        <v>127</v>
      </c>
      <c r="D288" s="4" t="s">
        <v>128</v>
      </c>
      <c r="E288" s="189">
        <v>45644</v>
      </c>
      <c r="F288" s="6">
        <f t="shared" si="17"/>
        <v>2024</v>
      </c>
      <c r="G288" s="4" t="s">
        <v>1544</v>
      </c>
      <c r="H288" s="22" t="str">
        <f>VLOOKUP($G288,'Item Classification'!B:C,2,0)</f>
        <v>Communication equipment</v>
      </c>
      <c r="I288" s="6" t="str">
        <f>VLOOKUP($G288,'Item Classification'!B:D,3,0)</f>
        <v>Modernisation</v>
      </c>
      <c r="J288" s="23">
        <f>VLOOKUP($G288,'Item Classification'!B:E,4,0)</f>
        <v>13</v>
      </c>
      <c r="K288" s="116" t="s">
        <v>158</v>
      </c>
      <c r="L288" s="116" t="s">
        <v>567</v>
      </c>
      <c r="M288" s="116" t="str">
        <f>VLOOKUP(L288,'NATO Classifications'!$D$6:$E$647,2,0)</f>
        <v>Communication, Detection, and Coherent Radiation Equipment (other)</v>
      </c>
      <c r="N288" s="4">
        <v>12000</v>
      </c>
      <c r="O288" s="81"/>
      <c r="P288" s="81"/>
      <c r="Q288" s="4"/>
      <c r="R288" s="4"/>
      <c r="S288" s="4"/>
      <c r="T288" s="91" t="s">
        <v>132</v>
      </c>
      <c r="U288" s="104">
        <f>_xlfn.IFNA(S288/INDEX('Exchange Rates'!$C$7:$F$14,MATCH('MAIN DATA, Orders'!F288,'Exchange Rates'!$B$7:$B$14,0),MATCH('MAIN DATA, Orders'!T288,'Exchange Rates'!$C$6:$F$6,0)), "-")</f>
        <v>0</v>
      </c>
      <c r="V288" s="4" t="s">
        <v>682</v>
      </c>
      <c r="W288" s="4" t="s">
        <v>133</v>
      </c>
      <c r="X288" s="4" t="s">
        <v>128</v>
      </c>
      <c r="Y288" s="24">
        <f t="shared" si="20"/>
        <v>202412</v>
      </c>
      <c r="Z288" s="115">
        <v>1</v>
      </c>
      <c r="AA288" s="115">
        <v>0</v>
      </c>
      <c r="AB288" s="115">
        <v>0</v>
      </c>
      <c r="AC288" s="115" t="s">
        <v>127</v>
      </c>
      <c r="AD288" s="115" t="s">
        <v>127</v>
      </c>
      <c r="AE288" s="115" t="s">
        <v>127</v>
      </c>
      <c r="AF288" s="115" t="s">
        <v>127</v>
      </c>
      <c r="AG288" s="4" t="s">
        <v>127</v>
      </c>
      <c r="AH288" s="4" t="s">
        <v>127</v>
      </c>
      <c r="AI288" s="4" t="s">
        <v>127</v>
      </c>
      <c r="AJ288" s="4" t="s">
        <v>127</v>
      </c>
      <c r="AK288" s="4" t="s">
        <v>127</v>
      </c>
      <c r="AL288" s="4" t="s">
        <v>127</v>
      </c>
      <c r="AM288" s="4" t="s">
        <v>127</v>
      </c>
      <c r="AN288" s="4" t="s">
        <v>127</v>
      </c>
      <c r="AO288" s="4" t="s">
        <v>127</v>
      </c>
      <c r="AP288" s="4" t="s">
        <v>127</v>
      </c>
      <c r="AQ288" s="4" t="s">
        <v>127</v>
      </c>
      <c r="AR288" s="4" t="s">
        <v>127</v>
      </c>
      <c r="AS288" s="4" t="s">
        <v>127</v>
      </c>
      <c r="AT288" s="4" t="s">
        <v>127</v>
      </c>
      <c r="AU288" s="4" t="s">
        <v>127</v>
      </c>
      <c r="AV288" s="4" t="s">
        <v>127</v>
      </c>
      <c r="AW288" s="4" t="s">
        <v>127</v>
      </c>
      <c r="AX288" s="4" t="s">
        <v>127</v>
      </c>
      <c r="AY288" s="96" t="s">
        <v>1488</v>
      </c>
      <c r="AZ288" s="96" t="s">
        <v>1489</v>
      </c>
      <c r="BA288" s="4" t="s">
        <v>127</v>
      </c>
      <c r="BB288" s="4" t="s">
        <v>1490</v>
      </c>
      <c r="BC288" s="4" t="s">
        <v>1542</v>
      </c>
      <c r="BD288" s="4" t="s">
        <v>127</v>
      </c>
      <c r="BE288" s="4" t="s">
        <v>1492</v>
      </c>
      <c r="BF288" s="4" t="s">
        <v>127</v>
      </c>
      <c r="BG288" s="4" t="s">
        <v>200</v>
      </c>
      <c r="BH288" s="4" t="s">
        <v>200</v>
      </c>
      <c r="BI288" s="4" t="s">
        <v>200</v>
      </c>
      <c r="BJ288" s="4" t="s">
        <v>200</v>
      </c>
      <c r="BK288" s="4" t="s">
        <v>200</v>
      </c>
      <c r="BL288" s="4" t="s">
        <v>200</v>
      </c>
      <c r="BM288" s="4" t="s">
        <v>200</v>
      </c>
      <c r="BN288" s="4" t="s">
        <v>200</v>
      </c>
      <c r="BO288" s="4" t="s">
        <v>200</v>
      </c>
    </row>
    <row r="289" spans="1:67" ht="16" x14ac:dyDescent="0.4">
      <c r="A289" s="4" t="s">
        <v>1486</v>
      </c>
      <c r="B289" s="4" t="s">
        <v>1545</v>
      </c>
      <c r="C289" s="4" t="s">
        <v>127</v>
      </c>
      <c r="D289" s="4" t="s">
        <v>128</v>
      </c>
      <c r="E289" s="189">
        <v>45644</v>
      </c>
      <c r="F289" s="6">
        <f t="shared" si="17"/>
        <v>2024</v>
      </c>
      <c r="G289" s="4" t="s">
        <v>1546</v>
      </c>
      <c r="H289" s="22" t="str">
        <f>VLOOKUP($G289,'Item Classification'!B:C,2,0)</f>
        <v>Equipment for Small Arms and Light Weapons (SALW)</v>
      </c>
      <c r="I289" s="6" t="str">
        <f>VLOOKUP($G289,'Item Classification'!B:D,3,0)</f>
        <v>Infantry</v>
      </c>
      <c r="J289" s="23">
        <f>VLOOKUP($G289,'Item Classification'!B:E,4,0)</f>
        <v>8</v>
      </c>
      <c r="K289" s="116" t="s">
        <v>158</v>
      </c>
      <c r="L289" s="116" t="s">
        <v>369</v>
      </c>
      <c r="M289" s="116" t="str">
        <f>VLOOKUP(L289,'NATO Classifications'!$D$6:$E$647,2,0)</f>
        <v>Communication, Detection, and Coherent Radiation Equipment (other)</v>
      </c>
      <c r="N289" s="4"/>
      <c r="O289" s="81"/>
      <c r="P289" s="81"/>
      <c r="Q289" s="4"/>
      <c r="R289" s="4"/>
      <c r="S289" s="4"/>
      <c r="T289" s="91" t="s">
        <v>132</v>
      </c>
      <c r="U289" s="104">
        <f>_xlfn.IFNA(S289/INDEX('Exchange Rates'!$C$7:$F$14,MATCH('MAIN DATA, Orders'!F289,'Exchange Rates'!$B$7:$B$14,0),MATCH('MAIN DATA, Orders'!T289,'Exchange Rates'!$C$6:$F$6,0)), "-")</f>
        <v>0</v>
      </c>
      <c r="V289" s="4" t="s">
        <v>682</v>
      </c>
      <c r="W289" s="4" t="s">
        <v>133</v>
      </c>
      <c r="X289" s="4" t="s">
        <v>128</v>
      </c>
      <c r="Y289" s="24">
        <f t="shared" si="20"/>
        <v>202412</v>
      </c>
      <c r="Z289" s="115">
        <v>0</v>
      </c>
      <c r="AA289" s="115">
        <v>0</v>
      </c>
      <c r="AB289" s="115">
        <v>0</v>
      </c>
      <c r="AC289" s="115" t="s">
        <v>127</v>
      </c>
      <c r="AD289" s="115" t="s">
        <v>127</v>
      </c>
      <c r="AE289" s="115" t="s">
        <v>127</v>
      </c>
      <c r="AF289" s="115" t="s">
        <v>127</v>
      </c>
      <c r="AG289" s="4" t="s">
        <v>127</v>
      </c>
      <c r="AH289" s="4" t="s">
        <v>127</v>
      </c>
      <c r="AI289" s="4" t="s">
        <v>127</v>
      </c>
      <c r="AJ289" s="4" t="s">
        <v>127</v>
      </c>
      <c r="AK289" s="4" t="s">
        <v>127</v>
      </c>
      <c r="AL289" s="4" t="s">
        <v>127</v>
      </c>
      <c r="AM289" s="4" t="s">
        <v>127</v>
      </c>
      <c r="AN289" s="4" t="s">
        <v>127</v>
      </c>
      <c r="AO289" s="4" t="s">
        <v>127</v>
      </c>
      <c r="AP289" s="4" t="s">
        <v>127</v>
      </c>
      <c r="AQ289" s="4" t="s">
        <v>127</v>
      </c>
      <c r="AR289" s="4" t="s">
        <v>127</v>
      </c>
      <c r="AS289" s="4" t="s">
        <v>127</v>
      </c>
      <c r="AT289" s="4" t="s">
        <v>127</v>
      </c>
      <c r="AU289" s="4" t="s">
        <v>127</v>
      </c>
      <c r="AV289" s="4" t="s">
        <v>127</v>
      </c>
      <c r="AW289" s="4" t="s">
        <v>127</v>
      </c>
      <c r="AX289" s="4" t="s">
        <v>127</v>
      </c>
      <c r="AY289" s="96" t="s">
        <v>1488</v>
      </c>
      <c r="AZ289" s="96" t="s">
        <v>1489</v>
      </c>
      <c r="BA289" s="4" t="s">
        <v>127</v>
      </c>
      <c r="BB289" s="4" t="s">
        <v>1490</v>
      </c>
      <c r="BC289" s="4" t="s">
        <v>127</v>
      </c>
      <c r="BD289" s="4" t="s">
        <v>127</v>
      </c>
      <c r="BE289" s="4" t="s">
        <v>1492</v>
      </c>
      <c r="BF289" s="4" t="s">
        <v>127</v>
      </c>
      <c r="BG289" s="4" t="s">
        <v>200</v>
      </c>
      <c r="BH289" s="4" t="s">
        <v>200</v>
      </c>
      <c r="BI289" s="4" t="s">
        <v>200</v>
      </c>
      <c r="BJ289" s="4" t="s">
        <v>200</v>
      </c>
      <c r="BK289" s="4" t="s">
        <v>200</v>
      </c>
      <c r="BL289" s="4" t="s">
        <v>200</v>
      </c>
      <c r="BM289" s="4" t="s">
        <v>200</v>
      </c>
      <c r="BN289" s="4" t="s">
        <v>200</v>
      </c>
      <c r="BO289" s="4" t="s">
        <v>200</v>
      </c>
    </row>
    <row r="290" spans="1:67" ht="16" x14ac:dyDescent="0.4">
      <c r="A290" s="4" t="s">
        <v>1486</v>
      </c>
      <c r="B290" s="4" t="s">
        <v>1547</v>
      </c>
      <c r="C290" s="4" t="s">
        <v>127</v>
      </c>
      <c r="D290" s="4" t="s">
        <v>128</v>
      </c>
      <c r="E290" s="189">
        <v>45644</v>
      </c>
      <c r="F290" s="6">
        <f t="shared" si="17"/>
        <v>2024</v>
      </c>
      <c r="G290" s="4" t="s">
        <v>1548</v>
      </c>
      <c r="H290" s="22" t="str">
        <f>VLOOKUP($G290,'Item Classification'!B:C,2,0)</f>
        <v>Communication and digitalisation</v>
      </c>
      <c r="I290" s="6" t="str">
        <f>VLOOKUP($G290,'Item Classification'!B:D,3,0)</f>
        <v>Modernisation</v>
      </c>
      <c r="J290" s="23">
        <f>VLOOKUP($G290,'Item Classification'!B:E,4,0)</f>
        <v>13</v>
      </c>
      <c r="K290" s="116" t="s">
        <v>1549</v>
      </c>
      <c r="L290" s="116" t="s">
        <v>1550</v>
      </c>
      <c r="M290" s="116" t="str">
        <f>VLOOKUP(L290,'NATO Classifications'!$D$6:$E$647,2,0)</f>
        <v>Mining, Rock Drilling, Earth Boring, and Related Equipment</v>
      </c>
      <c r="N290" s="4"/>
      <c r="O290" s="81"/>
      <c r="P290" s="81"/>
      <c r="Q290" s="4"/>
      <c r="R290" s="4"/>
      <c r="S290" s="4"/>
      <c r="T290" s="91" t="s">
        <v>132</v>
      </c>
      <c r="U290" s="104">
        <f>_xlfn.IFNA(S290/INDEX('Exchange Rates'!$C$7:$F$14,MATCH('MAIN DATA, Orders'!F290,'Exchange Rates'!$B$7:$B$14,0),MATCH('MAIN DATA, Orders'!T290,'Exchange Rates'!$C$6:$F$6,0)), "-")</f>
        <v>0</v>
      </c>
      <c r="V290" s="4" t="s">
        <v>682</v>
      </c>
      <c r="W290" s="4" t="s">
        <v>133</v>
      </c>
      <c r="X290" s="4" t="s">
        <v>128</v>
      </c>
      <c r="Y290" s="24">
        <f t="shared" si="20"/>
        <v>202412</v>
      </c>
      <c r="Z290" s="115">
        <v>1</v>
      </c>
      <c r="AA290" s="115">
        <v>0</v>
      </c>
      <c r="AB290" s="115">
        <v>0</v>
      </c>
      <c r="AC290" s="115" t="s">
        <v>127</v>
      </c>
      <c r="AD290" s="115" t="s">
        <v>127</v>
      </c>
      <c r="AE290" s="115" t="s">
        <v>127</v>
      </c>
      <c r="AF290" s="115" t="s">
        <v>127</v>
      </c>
      <c r="AG290" s="4" t="s">
        <v>127</v>
      </c>
      <c r="AH290" s="4" t="s">
        <v>127</v>
      </c>
      <c r="AI290" s="4" t="s">
        <v>127</v>
      </c>
      <c r="AJ290" s="4" t="s">
        <v>127</v>
      </c>
      <c r="AK290" s="4" t="s">
        <v>127</v>
      </c>
      <c r="AL290" s="4" t="s">
        <v>127</v>
      </c>
      <c r="AM290" s="4" t="s">
        <v>127</v>
      </c>
      <c r="AN290" s="4" t="s">
        <v>127</v>
      </c>
      <c r="AO290" s="4" t="s">
        <v>127</v>
      </c>
      <c r="AP290" s="4" t="s">
        <v>127</v>
      </c>
      <c r="AQ290" s="4" t="s">
        <v>127</v>
      </c>
      <c r="AR290" s="4" t="s">
        <v>127</v>
      </c>
      <c r="AS290" s="4" t="s">
        <v>127</v>
      </c>
      <c r="AT290" s="4" t="s">
        <v>127</v>
      </c>
      <c r="AU290" s="4" t="s">
        <v>127</v>
      </c>
      <c r="AV290" s="4" t="s">
        <v>127</v>
      </c>
      <c r="AW290" s="4" t="s">
        <v>127</v>
      </c>
      <c r="AX290" s="4" t="s">
        <v>127</v>
      </c>
      <c r="AY290" s="96" t="s">
        <v>1488</v>
      </c>
      <c r="AZ290" s="96" t="s">
        <v>1489</v>
      </c>
      <c r="BA290" s="4" t="s">
        <v>127</v>
      </c>
      <c r="BB290" s="4" t="s">
        <v>1490</v>
      </c>
      <c r="BC290" s="4" t="s">
        <v>127</v>
      </c>
      <c r="BD290" s="4" t="s">
        <v>127</v>
      </c>
      <c r="BE290" s="4" t="s">
        <v>1492</v>
      </c>
      <c r="BF290" s="4" t="s">
        <v>127</v>
      </c>
      <c r="BG290" s="4" t="s">
        <v>200</v>
      </c>
      <c r="BH290" s="4" t="s">
        <v>200</v>
      </c>
      <c r="BI290" s="4" t="s">
        <v>200</v>
      </c>
      <c r="BJ290" s="4" t="s">
        <v>200</v>
      </c>
      <c r="BK290" s="4" t="s">
        <v>200</v>
      </c>
      <c r="BL290" s="4" t="s">
        <v>200</v>
      </c>
      <c r="BM290" s="4" t="s">
        <v>200</v>
      </c>
      <c r="BN290" s="4" t="s">
        <v>200</v>
      </c>
      <c r="BO290" s="4" t="s">
        <v>200</v>
      </c>
    </row>
    <row r="291" spans="1:67" ht="16" x14ac:dyDescent="0.4">
      <c r="A291" s="4" t="s">
        <v>1486</v>
      </c>
      <c r="B291" s="4" t="s">
        <v>1551</v>
      </c>
      <c r="C291" s="4" t="s">
        <v>127</v>
      </c>
      <c r="D291" s="4" t="s">
        <v>128</v>
      </c>
      <c r="E291" s="189">
        <v>45644</v>
      </c>
      <c r="F291" s="6">
        <f t="shared" si="17"/>
        <v>2024</v>
      </c>
      <c r="G291" s="4" t="s">
        <v>1552</v>
      </c>
      <c r="H291" s="22" t="str">
        <f>VLOOKUP($G291,'Item Classification'!B:C,2,0)</f>
        <v>Hand grenade</v>
      </c>
      <c r="I291" s="6" t="str">
        <f>VLOOKUP($G291,'Item Classification'!B:D,3,0)</f>
        <v>Infantry</v>
      </c>
      <c r="J291" s="23">
        <f>VLOOKUP($G291,'Item Classification'!B:E,4,0)</f>
        <v>8</v>
      </c>
      <c r="K291" s="116" t="s">
        <v>189</v>
      </c>
      <c r="L291" s="116" t="s">
        <v>1249</v>
      </c>
      <c r="M291" s="116" t="str">
        <f>VLOOKUP(L291,'NATO Classifications'!$D$6:$E$647,2,0)</f>
        <v>Grenades, Hand and Rifle</v>
      </c>
      <c r="N291" s="4"/>
      <c r="O291" s="81"/>
      <c r="P291" s="81"/>
      <c r="Q291" s="4"/>
      <c r="R291" s="4"/>
      <c r="S291" s="4"/>
      <c r="T291" s="91" t="s">
        <v>132</v>
      </c>
      <c r="U291" s="104">
        <f>_xlfn.IFNA(S291/INDEX('Exchange Rates'!$C$7:$F$14,MATCH('MAIN DATA, Orders'!F291,'Exchange Rates'!$B$7:$B$14,0),MATCH('MAIN DATA, Orders'!T291,'Exchange Rates'!$C$6:$F$6,0)), "-")</f>
        <v>0</v>
      </c>
      <c r="V291" s="4" t="s">
        <v>682</v>
      </c>
      <c r="W291" s="4" t="s">
        <v>133</v>
      </c>
      <c r="X291" s="4" t="s">
        <v>128</v>
      </c>
      <c r="Y291" s="24">
        <f t="shared" si="20"/>
        <v>202412</v>
      </c>
      <c r="Z291" s="115">
        <v>1</v>
      </c>
      <c r="AA291" s="115">
        <v>0</v>
      </c>
      <c r="AB291" s="115">
        <v>0</v>
      </c>
      <c r="AC291" s="115" t="s">
        <v>127</v>
      </c>
      <c r="AD291" s="115" t="s">
        <v>127</v>
      </c>
      <c r="AE291" s="115" t="s">
        <v>127</v>
      </c>
      <c r="AF291" s="115" t="s">
        <v>127</v>
      </c>
      <c r="AG291" s="4" t="s">
        <v>127</v>
      </c>
      <c r="AH291" s="4" t="s">
        <v>127</v>
      </c>
      <c r="AI291" s="4" t="s">
        <v>127</v>
      </c>
      <c r="AJ291" s="4" t="s">
        <v>127</v>
      </c>
      <c r="AK291" s="4" t="s">
        <v>127</v>
      </c>
      <c r="AL291" s="4" t="s">
        <v>127</v>
      </c>
      <c r="AM291" s="4" t="s">
        <v>127</v>
      </c>
      <c r="AN291" s="4" t="s">
        <v>127</v>
      </c>
      <c r="AO291" s="4" t="s">
        <v>127</v>
      </c>
      <c r="AP291" s="4" t="s">
        <v>127</v>
      </c>
      <c r="AQ291" s="4" t="s">
        <v>127</v>
      </c>
      <c r="AR291" s="4" t="s">
        <v>127</v>
      </c>
      <c r="AS291" s="4" t="s">
        <v>127</v>
      </c>
      <c r="AT291" s="4" t="s">
        <v>127</v>
      </c>
      <c r="AU291" s="4" t="s">
        <v>127</v>
      </c>
      <c r="AV291" s="4" t="s">
        <v>127</v>
      </c>
      <c r="AW291" s="4" t="s">
        <v>127</v>
      </c>
      <c r="AX291" s="4" t="s">
        <v>127</v>
      </c>
      <c r="AY291" s="96" t="s">
        <v>1488</v>
      </c>
      <c r="AZ291" s="96" t="s">
        <v>1489</v>
      </c>
      <c r="BA291" s="4" t="s">
        <v>127</v>
      </c>
      <c r="BB291" s="4" t="s">
        <v>1490</v>
      </c>
      <c r="BC291" s="4" t="s">
        <v>127</v>
      </c>
      <c r="BD291" s="4" t="s">
        <v>127</v>
      </c>
      <c r="BE291" s="4" t="s">
        <v>1492</v>
      </c>
      <c r="BF291" s="4" t="s">
        <v>127</v>
      </c>
      <c r="BG291" s="4" t="s">
        <v>200</v>
      </c>
      <c r="BH291" s="4" t="s">
        <v>200</v>
      </c>
      <c r="BI291" s="4" t="s">
        <v>200</v>
      </c>
      <c r="BJ291" s="4" t="s">
        <v>200</v>
      </c>
      <c r="BK291" s="4" t="s">
        <v>200</v>
      </c>
      <c r="BL291" s="4" t="s">
        <v>200</v>
      </c>
      <c r="BM291" s="4" t="s">
        <v>200</v>
      </c>
      <c r="BN291" s="4" t="s">
        <v>200</v>
      </c>
      <c r="BO291" s="4" t="s">
        <v>200</v>
      </c>
    </row>
    <row r="292" spans="1:67" ht="16" x14ac:dyDescent="0.4">
      <c r="A292" s="4" t="s">
        <v>1486</v>
      </c>
      <c r="B292" s="4" t="s">
        <v>1553</v>
      </c>
      <c r="C292" s="4" t="s">
        <v>127</v>
      </c>
      <c r="D292" s="4" t="s">
        <v>128</v>
      </c>
      <c r="E292" s="189">
        <v>45644</v>
      </c>
      <c r="F292" s="6">
        <f t="shared" si="17"/>
        <v>2024</v>
      </c>
      <c r="G292" s="4" t="s">
        <v>1554</v>
      </c>
      <c r="H292" s="22" t="str">
        <f>VLOOKUP($G292,'Item Classification'!B:C,2,0)</f>
        <v>Communication and digitalisation</v>
      </c>
      <c r="I292" s="6" t="str">
        <f>VLOOKUP($G292,'Item Classification'!B:D,3,0)</f>
        <v>Modernisation</v>
      </c>
      <c r="J292" s="23">
        <f>VLOOKUP($G292,'Item Classification'!B:E,4,0)</f>
        <v>13</v>
      </c>
      <c r="K292" s="116" t="s">
        <v>168</v>
      </c>
      <c r="L292" s="116" t="s">
        <v>182</v>
      </c>
      <c r="M292" s="116" t="str">
        <f>VLOOKUP(L292,'NATO Classifications'!$D$6:$E$647,2,0)</f>
        <v>ADP Software</v>
      </c>
      <c r="N292" s="4"/>
      <c r="O292" s="81"/>
      <c r="P292" s="81"/>
      <c r="Q292" s="4"/>
      <c r="R292" s="4"/>
      <c r="S292" s="4"/>
      <c r="T292" s="91" t="s">
        <v>132</v>
      </c>
      <c r="U292" s="104">
        <f>_xlfn.IFNA(S292/INDEX('Exchange Rates'!$C$7:$F$14,MATCH('MAIN DATA, Orders'!F292,'Exchange Rates'!$B$7:$B$14,0),MATCH('MAIN DATA, Orders'!T292,'Exchange Rates'!$C$6:$F$6,0)), "-")</f>
        <v>0</v>
      </c>
      <c r="V292" s="4" t="s">
        <v>682</v>
      </c>
      <c r="W292" s="4" t="s">
        <v>133</v>
      </c>
      <c r="X292" s="4" t="s">
        <v>128</v>
      </c>
      <c r="Y292" s="24">
        <f t="shared" si="20"/>
        <v>202412</v>
      </c>
      <c r="Z292" s="115">
        <v>0</v>
      </c>
      <c r="AA292" s="115">
        <v>1</v>
      </c>
      <c r="AB292" s="115">
        <v>0</v>
      </c>
      <c r="AC292" s="115" t="s">
        <v>127</v>
      </c>
      <c r="AD292" s="115" t="s">
        <v>127</v>
      </c>
      <c r="AE292" s="115" t="s">
        <v>127</v>
      </c>
      <c r="AF292" s="115" t="s">
        <v>127</v>
      </c>
      <c r="AG292" s="4" t="s">
        <v>127</v>
      </c>
      <c r="AH292" s="4" t="s">
        <v>127</v>
      </c>
      <c r="AI292" s="4" t="s">
        <v>127</v>
      </c>
      <c r="AJ292" s="4" t="s">
        <v>127</v>
      </c>
      <c r="AK292" s="4" t="s">
        <v>127</v>
      </c>
      <c r="AL292" s="4" t="s">
        <v>127</v>
      </c>
      <c r="AM292" s="4" t="s">
        <v>127</v>
      </c>
      <c r="AN292" s="4" t="s">
        <v>127</v>
      </c>
      <c r="AO292" s="4" t="s">
        <v>127</v>
      </c>
      <c r="AP292" s="4" t="s">
        <v>127</v>
      </c>
      <c r="AQ292" s="4" t="s">
        <v>127</v>
      </c>
      <c r="AR292" s="4" t="s">
        <v>127</v>
      </c>
      <c r="AS292" s="4" t="s">
        <v>127</v>
      </c>
      <c r="AT292" s="4" t="s">
        <v>127</v>
      </c>
      <c r="AU292" s="4" t="s">
        <v>127</v>
      </c>
      <c r="AV292" s="4" t="s">
        <v>127</v>
      </c>
      <c r="AW292" s="4" t="s">
        <v>127</v>
      </c>
      <c r="AX292" s="4" t="s">
        <v>127</v>
      </c>
      <c r="AY292" s="96" t="s">
        <v>1488</v>
      </c>
      <c r="AZ292" s="96" t="s">
        <v>1489</v>
      </c>
      <c r="BA292" s="4" t="s">
        <v>127</v>
      </c>
      <c r="BB292" s="4" t="s">
        <v>1490</v>
      </c>
      <c r="BC292" s="4" t="s">
        <v>127</v>
      </c>
      <c r="BD292" s="4" t="s">
        <v>127</v>
      </c>
      <c r="BE292" s="4" t="s">
        <v>1492</v>
      </c>
      <c r="BF292" s="4" t="s">
        <v>127</v>
      </c>
      <c r="BG292" s="4" t="s">
        <v>200</v>
      </c>
      <c r="BH292" s="4" t="s">
        <v>200</v>
      </c>
      <c r="BI292" s="4" t="s">
        <v>200</v>
      </c>
      <c r="BJ292" s="4" t="s">
        <v>200</v>
      </c>
      <c r="BK292" s="4" t="s">
        <v>200</v>
      </c>
      <c r="BL292" s="4" t="s">
        <v>200</v>
      </c>
      <c r="BM292" s="4" t="s">
        <v>200</v>
      </c>
      <c r="BN292" s="4" t="s">
        <v>200</v>
      </c>
      <c r="BO292" s="4" t="s">
        <v>200</v>
      </c>
    </row>
    <row r="293" spans="1:67" ht="16" x14ac:dyDescent="0.4">
      <c r="A293" s="4" t="s">
        <v>1486</v>
      </c>
      <c r="B293" s="4" t="s">
        <v>1555</v>
      </c>
      <c r="C293" s="4" t="s">
        <v>127</v>
      </c>
      <c r="D293" s="4" t="s">
        <v>128</v>
      </c>
      <c r="E293" s="189">
        <v>45644</v>
      </c>
      <c r="F293" s="6">
        <f t="shared" si="17"/>
        <v>2024</v>
      </c>
      <c r="G293" s="4" t="s">
        <v>1556</v>
      </c>
      <c r="H293" s="22" t="str">
        <f>VLOOKUP($G293,'Item Classification'!B:C,2,0)</f>
        <v>Communication and digitalisation</v>
      </c>
      <c r="I293" s="6" t="str">
        <f>VLOOKUP($G293,'Item Classification'!B:D,3,0)</f>
        <v>Modernisation</v>
      </c>
      <c r="J293" s="23">
        <f>VLOOKUP($G293,'Item Classification'!B:E,4,0)</f>
        <v>13</v>
      </c>
      <c r="K293" s="116" t="s">
        <v>158</v>
      </c>
      <c r="L293" s="116" t="s">
        <v>174</v>
      </c>
      <c r="M293" s="116" t="str">
        <f>VLOOKUP(L293,'NATO Classifications'!$D$6:$E$647,2,0)</f>
        <v>Communication, Detection, and Coherent Radiation Equipment (other)</v>
      </c>
      <c r="N293" s="4"/>
      <c r="O293" s="81"/>
      <c r="P293" s="81"/>
      <c r="Q293" s="4"/>
      <c r="R293" s="4"/>
      <c r="S293" s="4"/>
      <c r="T293" s="91" t="s">
        <v>132</v>
      </c>
      <c r="U293" s="104">
        <f>_xlfn.IFNA(S293/INDEX('Exchange Rates'!$C$7:$F$14,MATCH('MAIN DATA, Orders'!F293,'Exchange Rates'!$B$7:$B$14,0),MATCH('MAIN DATA, Orders'!T293,'Exchange Rates'!$C$6:$F$6,0)), "-")</f>
        <v>0</v>
      </c>
      <c r="V293" s="4" t="s">
        <v>682</v>
      </c>
      <c r="W293" s="4" t="s">
        <v>133</v>
      </c>
      <c r="X293" s="4" t="s">
        <v>128</v>
      </c>
      <c r="Y293" s="24">
        <f t="shared" si="20"/>
        <v>202412</v>
      </c>
      <c r="Z293" s="115">
        <v>1</v>
      </c>
      <c r="AA293" s="115">
        <v>0</v>
      </c>
      <c r="AB293" s="115">
        <v>0</v>
      </c>
      <c r="AC293" s="115" t="s">
        <v>127</v>
      </c>
      <c r="AD293" s="115" t="s">
        <v>127</v>
      </c>
      <c r="AE293" s="115" t="s">
        <v>127</v>
      </c>
      <c r="AF293" s="115" t="s">
        <v>127</v>
      </c>
      <c r="AG293" s="4" t="s">
        <v>127</v>
      </c>
      <c r="AH293" s="4" t="s">
        <v>127</v>
      </c>
      <c r="AI293" s="4" t="s">
        <v>127</v>
      </c>
      <c r="AJ293" s="4" t="s">
        <v>127</v>
      </c>
      <c r="AK293" s="4" t="s">
        <v>127</v>
      </c>
      <c r="AL293" s="4" t="s">
        <v>127</v>
      </c>
      <c r="AM293" s="4" t="s">
        <v>127</v>
      </c>
      <c r="AN293" s="4" t="s">
        <v>127</v>
      </c>
      <c r="AO293" s="4" t="s">
        <v>127</v>
      </c>
      <c r="AP293" s="4" t="s">
        <v>127</v>
      </c>
      <c r="AQ293" s="4" t="s">
        <v>127</v>
      </c>
      <c r="AR293" s="4" t="s">
        <v>127</v>
      </c>
      <c r="AS293" s="4" t="s">
        <v>127</v>
      </c>
      <c r="AT293" s="4" t="s">
        <v>127</v>
      </c>
      <c r="AU293" s="4" t="s">
        <v>127</v>
      </c>
      <c r="AV293" s="4" t="s">
        <v>127</v>
      </c>
      <c r="AW293" s="4" t="s">
        <v>127</v>
      </c>
      <c r="AX293" s="4" t="s">
        <v>127</v>
      </c>
      <c r="AY293" s="96" t="s">
        <v>1488</v>
      </c>
      <c r="AZ293" s="96" t="s">
        <v>1489</v>
      </c>
      <c r="BA293" s="4" t="s">
        <v>127</v>
      </c>
      <c r="BB293" s="4" t="s">
        <v>1490</v>
      </c>
      <c r="BC293" s="4" t="s">
        <v>127</v>
      </c>
      <c r="BD293" s="4" t="s">
        <v>127</v>
      </c>
      <c r="BE293" s="4" t="s">
        <v>1492</v>
      </c>
      <c r="BF293" s="4" t="s">
        <v>127</v>
      </c>
      <c r="BG293" s="4" t="s">
        <v>200</v>
      </c>
      <c r="BH293" s="4" t="s">
        <v>200</v>
      </c>
      <c r="BI293" s="4" t="s">
        <v>200</v>
      </c>
      <c r="BJ293" s="4" t="s">
        <v>200</v>
      </c>
      <c r="BK293" s="4" t="s">
        <v>200</v>
      </c>
      <c r="BL293" s="4" t="s">
        <v>200</v>
      </c>
      <c r="BM293" s="4" t="s">
        <v>200</v>
      </c>
      <c r="BN293" s="4" t="s">
        <v>200</v>
      </c>
      <c r="BO293" s="4" t="s">
        <v>200</v>
      </c>
    </row>
    <row r="294" spans="1:67" ht="16" x14ac:dyDescent="0.4">
      <c r="A294" s="4" t="s">
        <v>1486</v>
      </c>
      <c r="B294" s="4" t="s">
        <v>1557</v>
      </c>
      <c r="C294" s="4" t="s">
        <v>127</v>
      </c>
      <c r="D294" s="4" t="s">
        <v>128</v>
      </c>
      <c r="E294" s="189">
        <v>45644</v>
      </c>
      <c r="F294" s="6">
        <f t="shared" si="17"/>
        <v>2024</v>
      </c>
      <c r="G294" s="4" t="s">
        <v>1558</v>
      </c>
      <c r="H294" s="22" t="str">
        <f>VLOOKUP($G294,'Item Classification'!B:C,2,0)</f>
        <v>Communication and digitalisation</v>
      </c>
      <c r="I294" s="6" t="str">
        <f>VLOOKUP($G294,'Item Classification'!B:D,3,0)</f>
        <v>Modernisation</v>
      </c>
      <c r="J294" s="23">
        <f>VLOOKUP($G294,'Item Classification'!B:E,4,0)</f>
        <v>13</v>
      </c>
      <c r="K294" s="116" t="s">
        <v>158</v>
      </c>
      <c r="L294" s="116" t="s">
        <v>354</v>
      </c>
      <c r="M294" s="116" t="str">
        <f>VLOOKUP(L294,'NATO Classifications'!$D$6:$E$647,2,0)</f>
        <v>Communication, Detection, and Coherent Radiation Equipment (other)</v>
      </c>
      <c r="N294" s="4"/>
      <c r="O294" s="81"/>
      <c r="P294" s="81"/>
      <c r="Q294" s="4"/>
      <c r="R294" s="4"/>
      <c r="S294" s="4"/>
      <c r="T294" s="91" t="s">
        <v>132</v>
      </c>
      <c r="U294" s="104">
        <f>_xlfn.IFNA(S294/INDEX('Exchange Rates'!$C$7:$F$14,MATCH('MAIN DATA, Orders'!F294,'Exchange Rates'!$B$7:$B$14,0),MATCH('MAIN DATA, Orders'!T294,'Exchange Rates'!$C$6:$F$6,0)), "-")</f>
        <v>0</v>
      </c>
      <c r="V294" s="4" t="s">
        <v>682</v>
      </c>
      <c r="W294" s="4" t="s">
        <v>133</v>
      </c>
      <c r="X294" s="4" t="s">
        <v>128</v>
      </c>
      <c r="Y294" s="24">
        <f t="shared" si="20"/>
        <v>202412</v>
      </c>
      <c r="Z294" s="115">
        <v>0</v>
      </c>
      <c r="AA294" s="115">
        <v>0</v>
      </c>
      <c r="AB294" s="115">
        <v>0</v>
      </c>
      <c r="AC294" s="115" t="s">
        <v>127</v>
      </c>
      <c r="AD294" s="115" t="s">
        <v>127</v>
      </c>
      <c r="AE294" s="115" t="s">
        <v>127</v>
      </c>
      <c r="AF294" s="115" t="s">
        <v>127</v>
      </c>
      <c r="AG294" s="4" t="s">
        <v>127</v>
      </c>
      <c r="AH294" s="4" t="s">
        <v>127</v>
      </c>
      <c r="AI294" s="4" t="s">
        <v>127</v>
      </c>
      <c r="AJ294" s="4" t="s">
        <v>127</v>
      </c>
      <c r="AK294" s="4" t="s">
        <v>127</v>
      </c>
      <c r="AL294" s="4" t="s">
        <v>127</v>
      </c>
      <c r="AM294" s="4" t="s">
        <v>127</v>
      </c>
      <c r="AN294" s="4" t="s">
        <v>127</v>
      </c>
      <c r="AO294" s="4" t="s">
        <v>127</v>
      </c>
      <c r="AP294" s="4" t="s">
        <v>127</v>
      </c>
      <c r="AQ294" s="4" t="s">
        <v>127</v>
      </c>
      <c r="AR294" s="4" t="s">
        <v>127</v>
      </c>
      <c r="AS294" s="4" t="s">
        <v>127</v>
      </c>
      <c r="AT294" s="4" t="s">
        <v>127</v>
      </c>
      <c r="AU294" s="4" t="s">
        <v>127</v>
      </c>
      <c r="AV294" s="4" t="s">
        <v>127</v>
      </c>
      <c r="AW294" s="4" t="s">
        <v>127</v>
      </c>
      <c r="AX294" s="4" t="s">
        <v>127</v>
      </c>
      <c r="AY294" s="96" t="s">
        <v>1488</v>
      </c>
      <c r="AZ294" s="96" t="s">
        <v>1489</v>
      </c>
      <c r="BA294" s="4" t="s">
        <v>127</v>
      </c>
      <c r="BB294" s="4" t="s">
        <v>1490</v>
      </c>
      <c r="BC294" s="4" t="s">
        <v>127</v>
      </c>
      <c r="BD294" s="4" t="s">
        <v>127</v>
      </c>
      <c r="BE294" s="4" t="s">
        <v>1492</v>
      </c>
      <c r="BF294" s="4" t="s">
        <v>127</v>
      </c>
      <c r="BG294" s="4" t="s">
        <v>200</v>
      </c>
      <c r="BH294" s="4" t="s">
        <v>200</v>
      </c>
      <c r="BI294" s="4" t="s">
        <v>200</v>
      </c>
      <c r="BJ294" s="4" t="s">
        <v>200</v>
      </c>
      <c r="BK294" s="4" t="s">
        <v>200</v>
      </c>
      <c r="BL294" s="4" t="s">
        <v>200</v>
      </c>
      <c r="BM294" s="4" t="s">
        <v>200</v>
      </c>
      <c r="BN294" s="4" t="s">
        <v>200</v>
      </c>
      <c r="BO294" s="4" t="s">
        <v>200</v>
      </c>
    </row>
    <row r="295" spans="1:67" ht="16" x14ac:dyDescent="0.4">
      <c r="A295" s="4" t="s">
        <v>1486</v>
      </c>
      <c r="B295" s="4" t="s">
        <v>1559</v>
      </c>
      <c r="C295" s="4" t="s">
        <v>127</v>
      </c>
      <c r="D295" s="4" t="s">
        <v>128</v>
      </c>
      <c r="E295" s="189">
        <v>45644</v>
      </c>
      <c r="F295" s="6">
        <f t="shared" si="17"/>
        <v>2024</v>
      </c>
      <c r="G295" s="4" t="s">
        <v>1560</v>
      </c>
      <c r="H295" s="22" t="str">
        <f>VLOOKUP($G295,'Item Classification'!B:C,2,0)</f>
        <v>Air-launched cruise missile</v>
      </c>
      <c r="I295" s="6" t="str">
        <f>VLOOKUP($G295,'Item Classification'!B:D,3,0)</f>
        <v>Missile (Air)</v>
      </c>
      <c r="J295" s="23">
        <f>VLOOKUP($G295,'Item Classification'!B:E,4,0)</f>
        <v>6</v>
      </c>
      <c r="K295" s="116" t="s">
        <v>211</v>
      </c>
      <c r="L295" s="116" t="s">
        <v>211</v>
      </c>
      <c r="M295" s="116" t="str">
        <f>VLOOKUP(L295,'NATO Classifications'!$D$6:$E$647,2,0)</f>
        <v>Guided Missiles</v>
      </c>
      <c r="N295" s="4"/>
      <c r="O295" s="81"/>
      <c r="P295" s="81"/>
      <c r="Q295" s="4"/>
      <c r="R295" s="4"/>
      <c r="S295" s="4"/>
      <c r="T295" s="91" t="s">
        <v>132</v>
      </c>
      <c r="U295" s="104">
        <f>_xlfn.IFNA(S295/INDEX('Exchange Rates'!$C$7:$F$14,MATCH('MAIN DATA, Orders'!F295,'Exchange Rates'!$B$7:$B$14,0),MATCH('MAIN DATA, Orders'!T295,'Exchange Rates'!$C$6:$F$6,0)), "-")</f>
        <v>0</v>
      </c>
      <c r="V295" s="4" t="s">
        <v>682</v>
      </c>
      <c r="W295" s="4" t="s">
        <v>133</v>
      </c>
      <c r="X295" s="4" t="s">
        <v>128</v>
      </c>
      <c r="Y295" s="24">
        <f t="shared" si="20"/>
        <v>202412</v>
      </c>
      <c r="Z295" s="115">
        <v>0</v>
      </c>
      <c r="AA295" s="115">
        <v>1</v>
      </c>
      <c r="AB295" s="115">
        <v>0</v>
      </c>
      <c r="AC295" s="115" t="s">
        <v>127</v>
      </c>
      <c r="AD295" s="115" t="s">
        <v>127</v>
      </c>
      <c r="AE295" s="115" t="s">
        <v>127</v>
      </c>
      <c r="AF295" s="115" t="s">
        <v>127</v>
      </c>
      <c r="AG295" s="4" t="s">
        <v>127</v>
      </c>
      <c r="AH295" s="4" t="s">
        <v>127</v>
      </c>
      <c r="AI295" s="4" t="s">
        <v>127</v>
      </c>
      <c r="AJ295" s="4" t="s">
        <v>127</v>
      </c>
      <c r="AK295" s="4" t="s">
        <v>127</v>
      </c>
      <c r="AL295" s="4" t="s">
        <v>127</v>
      </c>
      <c r="AM295" s="4" t="s">
        <v>127</v>
      </c>
      <c r="AN295" s="4" t="s">
        <v>127</v>
      </c>
      <c r="AO295" s="4" t="s">
        <v>127</v>
      </c>
      <c r="AP295" s="4" t="s">
        <v>127</v>
      </c>
      <c r="AQ295" s="4" t="s">
        <v>127</v>
      </c>
      <c r="AR295" s="4" t="s">
        <v>127</v>
      </c>
      <c r="AS295" s="4" t="s">
        <v>127</v>
      </c>
      <c r="AT295" s="4" t="s">
        <v>127</v>
      </c>
      <c r="AU295" s="4" t="s">
        <v>127</v>
      </c>
      <c r="AV295" s="4" t="s">
        <v>127</v>
      </c>
      <c r="AW295" s="4" t="s">
        <v>127</v>
      </c>
      <c r="AX295" s="4" t="s">
        <v>127</v>
      </c>
      <c r="AY295" s="96" t="s">
        <v>1488</v>
      </c>
      <c r="AZ295" s="96" t="s">
        <v>1489</v>
      </c>
      <c r="BA295" s="4" t="s">
        <v>127</v>
      </c>
      <c r="BB295" s="4" t="s">
        <v>1490</v>
      </c>
      <c r="BC295" s="4" t="s">
        <v>127</v>
      </c>
      <c r="BD295" s="4" t="s">
        <v>127</v>
      </c>
      <c r="BE295" s="4" t="s">
        <v>1492</v>
      </c>
      <c r="BF295" s="4" t="s">
        <v>127</v>
      </c>
      <c r="BG295" s="4" t="s">
        <v>200</v>
      </c>
      <c r="BH295" s="4" t="s">
        <v>200</v>
      </c>
      <c r="BI295" s="4" t="s">
        <v>200</v>
      </c>
      <c r="BJ295" s="4" t="s">
        <v>200</v>
      </c>
      <c r="BK295" s="4" t="s">
        <v>200</v>
      </c>
      <c r="BL295" s="4" t="s">
        <v>200</v>
      </c>
      <c r="BM295" s="4" t="s">
        <v>200</v>
      </c>
      <c r="BN295" s="4" t="s">
        <v>200</v>
      </c>
      <c r="BO295" s="4" t="s">
        <v>200</v>
      </c>
    </row>
    <row r="296" spans="1:67" ht="16" x14ac:dyDescent="0.4">
      <c r="A296" s="4" t="s">
        <v>1486</v>
      </c>
      <c r="B296" s="4" t="s">
        <v>1561</v>
      </c>
      <c r="C296" s="4" t="s">
        <v>127</v>
      </c>
      <c r="D296" s="4" t="s">
        <v>128</v>
      </c>
      <c r="E296" s="189">
        <v>45644</v>
      </c>
      <c r="F296" s="6">
        <f t="shared" si="17"/>
        <v>2024</v>
      </c>
      <c r="G296" s="4" t="s">
        <v>1562</v>
      </c>
      <c r="H296" s="22" t="str">
        <f>VLOOKUP($G296,'Item Classification'!B:C,2,0)</f>
        <v>Communication and digitalisation</v>
      </c>
      <c r="I296" s="6" t="str">
        <f>VLOOKUP($G296,'Item Classification'!B:D,3,0)</f>
        <v>Modernisation</v>
      </c>
      <c r="J296" s="23">
        <f>VLOOKUP($G296,'Item Classification'!B:E,4,0)</f>
        <v>13</v>
      </c>
      <c r="K296" s="116" t="s">
        <v>941</v>
      </c>
      <c r="L296" s="116" t="s">
        <v>942</v>
      </c>
      <c r="M296" s="116" t="str">
        <f>VLOOKUP(L296,'NATO Classifications'!$D$6:$E$647,2,0)</f>
        <v>Training Aids</v>
      </c>
      <c r="N296" s="4"/>
      <c r="O296" s="81"/>
      <c r="P296" s="81"/>
      <c r="Q296" s="4"/>
      <c r="R296" s="4"/>
      <c r="S296" s="4"/>
      <c r="T296" s="91" t="s">
        <v>132</v>
      </c>
      <c r="U296" s="104">
        <f>_xlfn.IFNA(S296/INDEX('Exchange Rates'!$C$7:$F$14,MATCH('MAIN DATA, Orders'!F296,'Exchange Rates'!$B$7:$B$14,0),MATCH('MAIN DATA, Orders'!T296,'Exchange Rates'!$C$6:$F$6,0)), "-")</f>
        <v>0</v>
      </c>
      <c r="V296" s="4" t="s">
        <v>682</v>
      </c>
      <c r="W296" s="4" t="s">
        <v>133</v>
      </c>
      <c r="X296" s="4" t="s">
        <v>128</v>
      </c>
      <c r="Y296" s="24">
        <f t="shared" si="20"/>
        <v>202412</v>
      </c>
      <c r="Z296" s="115">
        <v>0</v>
      </c>
      <c r="AA296" s="115">
        <v>0</v>
      </c>
      <c r="AB296" s="115">
        <v>0</v>
      </c>
      <c r="AC296" s="115" t="s">
        <v>127</v>
      </c>
      <c r="AD296" s="115" t="s">
        <v>127</v>
      </c>
      <c r="AE296" s="115" t="s">
        <v>127</v>
      </c>
      <c r="AF296" s="115" t="s">
        <v>127</v>
      </c>
      <c r="AG296" s="4" t="s">
        <v>127</v>
      </c>
      <c r="AH296" s="4" t="s">
        <v>127</v>
      </c>
      <c r="AI296" s="4" t="s">
        <v>127</v>
      </c>
      <c r="AJ296" s="4" t="s">
        <v>127</v>
      </c>
      <c r="AK296" s="4" t="s">
        <v>127</v>
      </c>
      <c r="AL296" s="4" t="s">
        <v>127</v>
      </c>
      <c r="AM296" s="4" t="s">
        <v>127</v>
      </c>
      <c r="AN296" s="4" t="s">
        <v>127</v>
      </c>
      <c r="AO296" s="4" t="s">
        <v>127</v>
      </c>
      <c r="AP296" s="4" t="s">
        <v>127</v>
      </c>
      <c r="AQ296" s="4" t="s">
        <v>127</v>
      </c>
      <c r="AR296" s="4" t="s">
        <v>127</v>
      </c>
      <c r="AS296" s="4" t="s">
        <v>127</v>
      </c>
      <c r="AT296" s="4" t="s">
        <v>127</v>
      </c>
      <c r="AU296" s="4" t="s">
        <v>127</v>
      </c>
      <c r="AV296" s="4" t="s">
        <v>127</v>
      </c>
      <c r="AW296" s="4" t="s">
        <v>127</v>
      </c>
      <c r="AX296" s="4" t="s">
        <v>127</v>
      </c>
      <c r="AY296" s="96" t="s">
        <v>1488</v>
      </c>
      <c r="AZ296" s="96" t="s">
        <v>1489</v>
      </c>
      <c r="BA296" s="4" t="s">
        <v>127</v>
      </c>
      <c r="BB296" s="4" t="s">
        <v>1490</v>
      </c>
      <c r="BC296" s="4" t="s">
        <v>127</v>
      </c>
      <c r="BD296" s="4" t="s">
        <v>127</v>
      </c>
      <c r="BE296" s="4" t="s">
        <v>1492</v>
      </c>
      <c r="BF296" s="4" t="s">
        <v>127</v>
      </c>
      <c r="BG296" s="4" t="s">
        <v>200</v>
      </c>
      <c r="BH296" s="4" t="s">
        <v>200</v>
      </c>
      <c r="BI296" s="4" t="s">
        <v>200</v>
      </c>
      <c r="BJ296" s="4" t="s">
        <v>200</v>
      </c>
      <c r="BK296" s="4" t="s">
        <v>200</v>
      </c>
      <c r="BL296" s="4" t="s">
        <v>200</v>
      </c>
      <c r="BM296" s="4" t="s">
        <v>200</v>
      </c>
      <c r="BN296" s="4" t="s">
        <v>200</v>
      </c>
      <c r="BO296" s="4" t="s">
        <v>200</v>
      </c>
    </row>
    <row r="297" spans="1:67" ht="16" x14ac:dyDescent="0.4">
      <c r="A297" s="4" t="s">
        <v>1486</v>
      </c>
      <c r="B297" s="4" t="s">
        <v>1563</v>
      </c>
      <c r="C297" s="4" t="s">
        <v>127</v>
      </c>
      <c r="D297" s="4" t="s">
        <v>128</v>
      </c>
      <c r="E297" s="189">
        <v>45644</v>
      </c>
      <c r="F297" s="6">
        <f t="shared" si="17"/>
        <v>2024</v>
      </c>
      <c r="G297" s="4" t="s">
        <v>1564</v>
      </c>
      <c r="H297" s="22" t="str">
        <f>VLOOKUP($G297,'Item Classification'!B:C,2,0)</f>
        <v>Communication and digitalisation</v>
      </c>
      <c r="I297" s="6" t="str">
        <f>VLOOKUP($G297,'Item Classification'!B:D,3,0)</f>
        <v>Modernisation</v>
      </c>
      <c r="J297" s="23">
        <f>VLOOKUP($G297,'Item Classification'!B:E,4,0)</f>
        <v>13</v>
      </c>
      <c r="K297" s="116" t="s">
        <v>168</v>
      </c>
      <c r="L297" s="116" t="s">
        <v>169</v>
      </c>
      <c r="M297" s="116" t="str">
        <f>VLOOKUP(L297,'NATO Classifications'!$D$6:$E$647,2,0)</f>
        <v>ADPE System Configuration</v>
      </c>
      <c r="N297" s="4">
        <v>24</v>
      </c>
      <c r="O297" s="81"/>
      <c r="P297" s="81"/>
      <c r="Q297" s="4"/>
      <c r="R297" s="4"/>
      <c r="S297" s="4"/>
      <c r="T297" s="91" t="s">
        <v>132</v>
      </c>
      <c r="U297" s="104">
        <f>_xlfn.IFNA(S297/INDEX('Exchange Rates'!$C$7:$F$14,MATCH('MAIN DATA, Orders'!F297,'Exchange Rates'!$B$7:$B$14,0),MATCH('MAIN DATA, Orders'!T297,'Exchange Rates'!$C$6:$F$6,0)), "-")</f>
        <v>0</v>
      </c>
      <c r="V297" s="4" t="s">
        <v>682</v>
      </c>
      <c r="W297" s="4" t="s">
        <v>133</v>
      </c>
      <c r="X297" s="4" t="s">
        <v>128</v>
      </c>
      <c r="Y297" s="24">
        <f t="shared" si="20"/>
        <v>202412</v>
      </c>
      <c r="Z297" s="115">
        <v>0</v>
      </c>
      <c r="AA297" s="115">
        <v>0</v>
      </c>
      <c r="AB297" s="115">
        <v>0</v>
      </c>
      <c r="AC297" s="115" t="s">
        <v>127</v>
      </c>
      <c r="AD297" s="115" t="s">
        <v>127</v>
      </c>
      <c r="AE297" s="115" t="s">
        <v>127</v>
      </c>
      <c r="AF297" s="115" t="s">
        <v>127</v>
      </c>
      <c r="AG297" s="4" t="s">
        <v>127</v>
      </c>
      <c r="AH297" s="4" t="s">
        <v>127</v>
      </c>
      <c r="AI297" s="4" t="s">
        <v>127</v>
      </c>
      <c r="AJ297" s="4" t="s">
        <v>127</v>
      </c>
      <c r="AK297" s="4" t="s">
        <v>127</v>
      </c>
      <c r="AL297" s="4" t="s">
        <v>127</v>
      </c>
      <c r="AM297" s="4" t="s">
        <v>127</v>
      </c>
      <c r="AN297" s="4" t="s">
        <v>127</v>
      </c>
      <c r="AO297" s="4" t="s">
        <v>127</v>
      </c>
      <c r="AP297" s="4" t="s">
        <v>127</v>
      </c>
      <c r="AQ297" s="4" t="s">
        <v>127</v>
      </c>
      <c r="AR297" s="4" t="s">
        <v>127</v>
      </c>
      <c r="AS297" s="4" t="s">
        <v>127</v>
      </c>
      <c r="AT297" s="4" t="s">
        <v>127</v>
      </c>
      <c r="AU297" s="4" t="s">
        <v>127</v>
      </c>
      <c r="AV297" s="4" t="s">
        <v>127</v>
      </c>
      <c r="AW297" s="4" t="s">
        <v>127</v>
      </c>
      <c r="AX297" s="4" t="s">
        <v>127</v>
      </c>
      <c r="AY297" s="96" t="s">
        <v>1488</v>
      </c>
      <c r="AZ297" s="96" t="s">
        <v>1489</v>
      </c>
      <c r="BA297" s="4" t="s">
        <v>127</v>
      </c>
      <c r="BB297" s="4" t="s">
        <v>1490</v>
      </c>
      <c r="BC297" s="4" t="s">
        <v>1565</v>
      </c>
      <c r="BD297" s="4" t="s">
        <v>127</v>
      </c>
      <c r="BE297" s="4" t="s">
        <v>1492</v>
      </c>
      <c r="BF297" s="4" t="s">
        <v>127</v>
      </c>
      <c r="BG297" s="4" t="s">
        <v>200</v>
      </c>
      <c r="BH297" s="4" t="s">
        <v>200</v>
      </c>
      <c r="BI297" s="4" t="s">
        <v>200</v>
      </c>
      <c r="BJ297" s="4" t="s">
        <v>200</v>
      </c>
      <c r="BK297" s="4" t="s">
        <v>200</v>
      </c>
      <c r="BL297" s="4" t="s">
        <v>200</v>
      </c>
      <c r="BM297" s="4" t="s">
        <v>200</v>
      </c>
      <c r="BN297" s="4" t="s">
        <v>200</v>
      </c>
      <c r="BO297" s="4" t="s">
        <v>200</v>
      </c>
    </row>
    <row r="298" spans="1:67" ht="16" x14ac:dyDescent="0.4">
      <c r="A298" s="4" t="s">
        <v>1486</v>
      </c>
      <c r="B298" s="4" t="s">
        <v>1566</v>
      </c>
      <c r="C298" s="4" t="s">
        <v>127</v>
      </c>
      <c r="D298" s="4" t="s">
        <v>128</v>
      </c>
      <c r="E298" s="189">
        <v>45644</v>
      </c>
      <c r="F298" s="6">
        <f t="shared" si="17"/>
        <v>2024</v>
      </c>
      <c r="G298" s="4" t="s">
        <v>1567</v>
      </c>
      <c r="H298" s="22" t="str">
        <f>VLOOKUP($G298,'Item Classification'!B:C,2,0)</f>
        <v>Frigate development</v>
      </c>
      <c r="I298" s="6" t="str">
        <f>VLOOKUP($G298,'Item Classification'!B:D,3,0)</f>
        <v>Development - Naval</v>
      </c>
      <c r="J298" s="23">
        <f>VLOOKUP($G298,'Item Classification'!B:E,4,0)</f>
        <v>15</v>
      </c>
      <c r="K298" s="116" t="s">
        <v>143</v>
      </c>
      <c r="L298" s="116" t="s">
        <v>144</v>
      </c>
      <c r="M298" s="116" t="str">
        <f>VLOOKUP(L298,'NATO Classifications'!$D$6:$E$647,2,0)</f>
        <v>Combat Ships and Landing Vessels</v>
      </c>
      <c r="N298" s="4"/>
      <c r="O298" s="81"/>
      <c r="P298" s="81"/>
      <c r="Q298" s="4"/>
      <c r="R298" s="4"/>
      <c r="S298" s="4"/>
      <c r="T298" s="91" t="s">
        <v>132</v>
      </c>
      <c r="U298" s="104">
        <f>_xlfn.IFNA(S298/INDEX('Exchange Rates'!$C$7:$F$14,MATCH('MAIN DATA, Orders'!F298,'Exchange Rates'!$B$7:$B$14,0),MATCH('MAIN DATA, Orders'!T298,'Exchange Rates'!$C$6:$F$6,0)), "-")</f>
        <v>0</v>
      </c>
      <c r="V298" s="4" t="s">
        <v>682</v>
      </c>
      <c r="W298" s="4" t="s">
        <v>133</v>
      </c>
      <c r="X298" s="4" t="s">
        <v>128</v>
      </c>
      <c r="Y298" s="24">
        <f t="shared" si="20"/>
        <v>202412</v>
      </c>
      <c r="Z298" s="115">
        <v>0</v>
      </c>
      <c r="AA298" s="115">
        <v>0</v>
      </c>
      <c r="AB298" s="115">
        <v>0</v>
      </c>
      <c r="AC298" s="115" t="s">
        <v>127</v>
      </c>
      <c r="AD298" s="115" t="s">
        <v>127</v>
      </c>
      <c r="AE298" s="115" t="s">
        <v>127</v>
      </c>
      <c r="AF298" s="115" t="s">
        <v>127</v>
      </c>
      <c r="AG298" s="4" t="s">
        <v>127</v>
      </c>
      <c r="AH298" s="4" t="s">
        <v>127</v>
      </c>
      <c r="AI298" s="4" t="s">
        <v>127</v>
      </c>
      <c r="AJ298" s="4" t="s">
        <v>127</v>
      </c>
      <c r="AK298" s="4" t="s">
        <v>127</v>
      </c>
      <c r="AL298" s="4" t="s">
        <v>127</v>
      </c>
      <c r="AM298" s="4" t="s">
        <v>127</v>
      </c>
      <c r="AN298" s="4" t="s">
        <v>127</v>
      </c>
      <c r="AO298" s="4" t="s">
        <v>127</v>
      </c>
      <c r="AP298" s="4" t="s">
        <v>127</v>
      </c>
      <c r="AQ298" s="4" t="s">
        <v>127</v>
      </c>
      <c r="AR298" s="4" t="s">
        <v>127</v>
      </c>
      <c r="AS298" s="4" t="s">
        <v>127</v>
      </c>
      <c r="AT298" s="4" t="s">
        <v>127</v>
      </c>
      <c r="AU298" s="4" t="s">
        <v>127</v>
      </c>
      <c r="AV298" s="4" t="s">
        <v>127</v>
      </c>
      <c r="AW298" s="4" t="s">
        <v>127</v>
      </c>
      <c r="AX298" s="4" t="s">
        <v>127</v>
      </c>
      <c r="AY298" s="96" t="s">
        <v>1488</v>
      </c>
      <c r="AZ298" s="96" t="s">
        <v>1489</v>
      </c>
      <c r="BA298" s="4" t="s">
        <v>127</v>
      </c>
      <c r="BB298" s="4" t="s">
        <v>1490</v>
      </c>
      <c r="BC298" s="4" t="s">
        <v>127</v>
      </c>
      <c r="BD298" s="4" t="s">
        <v>127</v>
      </c>
      <c r="BE298" s="4" t="s">
        <v>1492</v>
      </c>
      <c r="BF298" s="4" t="s">
        <v>127</v>
      </c>
      <c r="BG298" s="4" t="s">
        <v>200</v>
      </c>
      <c r="BH298" s="4" t="s">
        <v>200</v>
      </c>
      <c r="BI298" s="4" t="s">
        <v>200</v>
      </c>
      <c r="BJ298" s="4" t="s">
        <v>200</v>
      </c>
      <c r="BK298" s="4" t="s">
        <v>200</v>
      </c>
      <c r="BL298" s="4" t="s">
        <v>200</v>
      </c>
      <c r="BM298" s="4" t="s">
        <v>200</v>
      </c>
      <c r="BN298" s="4" t="s">
        <v>200</v>
      </c>
      <c r="BO298" s="4" t="s">
        <v>200</v>
      </c>
    </row>
    <row r="299" spans="1:67" ht="16" x14ac:dyDescent="0.4">
      <c r="A299" s="4" t="s">
        <v>1486</v>
      </c>
      <c r="B299" s="4" t="s">
        <v>1568</v>
      </c>
      <c r="C299" s="4" t="s">
        <v>127</v>
      </c>
      <c r="D299" s="4" t="s">
        <v>128</v>
      </c>
      <c r="E299" s="189">
        <v>45644</v>
      </c>
      <c r="F299" s="6">
        <f t="shared" si="17"/>
        <v>2024</v>
      </c>
      <c r="G299" s="4" t="s">
        <v>1569</v>
      </c>
      <c r="H299" s="22" t="str">
        <f>VLOOKUP($G299,'Item Classification'!B:C,2,0)</f>
        <v>Naval guided missile development</v>
      </c>
      <c r="I299" s="6" t="str">
        <f>VLOOKUP($G299,'Item Classification'!B:D,3,0)</f>
        <v>Development - Missile (Naval)</v>
      </c>
      <c r="J299" s="23">
        <f>VLOOKUP($G299,'Item Classification'!B:E,4,0)</f>
        <v>15</v>
      </c>
      <c r="K299" s="116" t="s">
        <v>211</v>
      </c>
      <c r="L299" s="116" t="s">
        <v>211</v>
      </c>
      <c r="M299" s="116" t="str">
        <f>VLOOKUP(L299,'NATO Classifications'!$D$6:$E$647,2,0)</f>
        <v>Guided Missiles</v>
      </c>
      <c r="N299" s="4"/>
      <c r="O299" s="81"/>
      <c r="P299" s="81"/>
      <c r="Q299" s="4"/>
      <c r="R299" s="4"/>
      <c r="S299" s="4"/>
      <c r="T299" s="91" t="s">
        <v>132</v>
      </c>
      <c r="U299" s="104">
        <f>_xlfn.IFNA(S299/INDEX('Exchange Rates'!$C$7:$F$14,MATCH('MAIN DATA, Orders'!F299,'Exchange Rates'!$B$7:$B$14,0),MATCH('MAIN DATA, Orders'!T299,'Exchange Rates'!$C$6:$F$6,0)), "-")</f>
        <v>0</v>
      </c>
      <c r="V299" s="4" t="s">
        <v>682</v>
      </c>
      <c r="W299" s="4" t="s">
        <v>133</v>
      </c>
      <c r="X299" s="4" t="s">
        <v>128</v>
      </c>
      <c r="Y299" s="24">
        <f t="shared" si="20"/>
        <v>202412</v>
      </c>
      <c r="Z299" s="115">
        <v>0</v>
      </c>
      <c r="AA299" s="115">
        <v>0</v>
      </c>
      <c r="AB299" s="115">
        <v>0</v>
      </c>
      <c r="AC299" s="115" t="s">
        <v>127</v>
      </c>
      <c r="AD299" s="115" t="s">
        <v>127</v>
      </c>
      <c r="AE299" s="115" t="s">
        <v>127</v>
      </c>
      <c r="AF299" s="115" t="s">
        <v>127</v>
      </c>
      <c r="AG299" s="4" t="s">
        <v>127</v>
      </c>
      <c r="AH299" s="4" t="s">
        <v>127</v>
      </c>
      <c r="AI299" s="4" t="s">
        <v>127</v>
      </c>
      <c r="AJ299" s="4" t="s">
        <v>127</v>
      </c>
      <c r="AK299" s="4" t="s">
        <v>127</v>
      </c>
      <c r="AL299" s="4" t="s">
        <v>127</v>
      </c>
      <c r="AM299" s="4" t="s">
        <v>127</v>
      </c>
      <c r="AN299" s="4" t="s">
        <v>127</v>
      </c>
      <c r="AO299" s="4" t="s">
        <v>127</v>
      </c>
      <c r="AP299" s="4" t="s">
        <v>127</v>
      </c>
      <c r="AQ299" s="4" t="s">
        <v>127</v>
      </c>
      <c r="AR299" s="4" t="s">
        <v>127</v>
      </c>
      <c r="AS299" s="4" t="s">
        <v>127</v>
      </c>
      <c r="AT299" s="4" t="s">
        <v>127</v>
      </c>
      <c r="AU299" s="4" t="s">
        <v>127</v>
      </c>
      <c r="AV299" s="4" t="s">
        <v>127</v>
      </c>
      <c r="AW299" s="4" t="s">
        <v>127</v>
      </c>
      <c r="AX299" s="4" t="s">
        <v>127</v>
      </c>
      <c r="AY299" s="96" t="s">
        <v>1488</v>
      </c>
      <c r="AZ299" s="96" t="s">
        <v>1489</v>
      </c>
      <c r="BA299" s="4" t="s">
        <v>127</v>
      </c>
      <c r="BB299" s="4" t="s">
        <v>1490</v>
      </c>
      <c r="BC299" s="4" t="s">
        <v>127</v>
      </c>
      <c r="BD299" s="4" t="s">
        <v>127</v>
      </c>
      <c r="BE299" s="4" t="s">
        <v>1492</v>
      </c>
      <c r="BF299" s="4" t="s">
        <v>127</v>
      </c>
      <c r="BG299" s="4" t="s">
        <v>200</v>
      </c>
      <c r="BH299" s="4" t="s">
        <v>200</v>
      </c>
      <c r="BI299" s="4" t="s">
        <v>200</v>
      </c>
      <c r="BJ299" s="4" t="s">
        <v>200</v>
      </c>
      <c r="BK299" s="4" t="s">
        <v>200</v>
      </c>
      <c r="BL299" s="4" t="s">
        <v>200</v>
      </c>
      <c r="BM299" s="4" t="s">
        <v>200</v>
      </c>
      <c r="BN299" s="4" t="s">
        <v>200</v>
      </c>
      <c r="BO299" s="4" t="s">
        <v>200</v>
      </c>
    </row>
    <row r="300" spans="1:67" ht="16" x14ac:dyDescent="0.4">
      <c r="A300" s="4" t="s">
        <v>1486</v>
      </c>
      <c r="B300" s="4" t="s">
        <v>1570</v>
      </c>
      <c r="C300" s="4" t="s">
        <v>127</v>
      </c>
      <c r="D300" s="4" t="s">
        <v>128</v>
      </c>
      <c r="E300" s="189">
        <v>45644</v>
      </c>
      <c r="F300" s="6">
        <f t="shared" si="17"/>
        <v>2024</v>
      </c>
      <c r="G300" s="4" t="s">
        <v>1571</v>
      </c>
      <c r="H300" s="22" t="str">
        <f>VLOOKUP($G300,'Item Classification'!B:C,2,0)</f>
        <v>Naval surface-to-air missile (SAM) missile (medium-range)</v>
      </c>
      <c r="I300" s="6" t="str">
        <f>VLOOKUP($G300,'Item Classification'!B:D,3,0)</f>
        <v>Missile (Naval)</v>
      </c>
      <c r="J300" s="23">
        <f>VLOOKUP($G300,'Item Classification'!B:E,4,0)</f>
        <v>6</v>
      </c>
      <c r="K300" s="116" t="s">
        <v>211</v>
      </c>
      <c r="L300" s="116" t="s">
        <v>211</v>
      </c>
      <c r="M300" s="116" t="str">
        <f>VLOOKUP(L300,'NATO Classifications'!$D$6:$E$647,2,0)</f>
        <v>Guided Missiles</v>
      </c>
      <c r="N300" s="4"/>
      <c r="O300" s="81"/>
      <c r="P300" s="81"/>
      <c r="Q300" s="4"/>
      <c r="R300" s="4"/>
      <c r="S300" s="4"/>
      <c r="T300" s="91" t="s">
        <v>132</v>
      </c>
      <c r="U300" s="104">
        <f>_xlfn.IFNA(S300/INDEX('Exchange Rates'!$C$7:$F$14,MATCH('MAIN DATA, Orders'!F300,'Exchange Rates'!$B$7:$B$14,0),MATCH('MAIN DATA, Orders'!T300,'Exchange Rates'!$C$6:$F$6,0)), "-")</f>
        <v>0</v>
      </c>
      <c r="V300" s="4" t="s">
        <v>682</v>
      </c>
      <c r="W300" s="4" t="s">
        <v>133</v>
      </c>
      <c r="X300" s="4" t="s">
        <v>128</v>
      </c>
      <c r="Y300" s="24">
        <f t="shared" si="20"/>
        <v>202412</v>
      </c>
      <c r="Z300" s="115">
        <v>0</v>
      </c>
      <c r="AA300" s="115">
        <v>0</v>
      </c>
      <c r="AB300" s="115">
        <v>0</v>
      </c>
      <c r="AC300" s="115" t="s">
        <v>127</v>
      </c>
      <c r="AD300" s="115" t="s">
        <v>127</v>
      </c>
      <c r="AE300" s="115" t="s">
        <v>127</v>
      </c>
      <c r="AF300" s="115" t="s">
        <v>127</v>
      </c>
      <c r="AG300" s="4" t="s">
        <v>127</v>
      </c>
      <c r="AH300" s="4" t="s">
        <v>127</v>
      </c>
      <c r="AI300" s="4" t="s">
        <v>127</v>
      </c>
      <c r="AJ300" s="4" t="s">
        <v>127</v>
      </c>
      <c r="AK300" s="4" t="s">
        <v>127</v>
      </c>
      <c r="AL300" s="4" t="s">
        <v>127</v>
      </c>
      <c r="AM300" s="4" t="s">
        <v>127</v>
      </c>
      <c r="AN300" s="4" t="s">
        <v>127</v>
      </c>
      <c r="AO300" s="4" t="s">
        <v>127</v>
      </c>
      <c r="AP300" s="4" t="s">
        <v>127</v>
      </c>
      <c r="AQ300" s="4" t="s">
        <v>127</v>
      </c>
      <c r="AR300" s="4" t="s">
        <v>127</v>
      </c>
      <c r="AS300" s="4" t="s">
        <v>127</v>
      </c>
      <c r="AT300" s="4" t="s">
        <v>127</v>
      </c>
      <c r="AU300" s="4" t="s">
        <v>127</v>
      </c>
      <c r="AV300" s="4" t="s">
        <v>127</v>
      </c>
      <c r="AW300" s="4" t="s">
        <v>127</v>
      </c>
      <c r="AX300" s="4" t="s">
        <v>127</v>
      </c>
      <c r="AY300" s="96" t="s">
        <v>1488</v>
      </c>
      <c r="AZ300" s="96" t="s">
        <v>1489</v>
      </c>
      <c r="BA300" s="4" t="s">
        <v>127</v>
      </c>
      <c r="BB300" s="4" t="s">
        <v>1490</v>
      </c>
      <c r="BC300" s="4" t="s">
        <v>127</v>
      </c>
      <c r="BD300" s="4" t="s">
        <v>127</v>
      </c>
      <c r="BE300" s="4" t="s">
        <v>1492</v>
      </c>
      <c r="BF300" s="4" t="s">
        <v>127</v>
      </c>
      <c r="BG300" s="4" t="s">
        <v>200</v>
      </c>
      <c r="BH300" s="4" t="s">
        <v>200</v>
      </c>
      <c r="BI300" s="4" t="s">
        <v>200</v>
      </c>
      <c r="BJ300" s="4" t="s">
        <v>200</v>
      </c>
      <c r="BK300" s="4" t="s">
        <v>200</v>
      </c>
      <c r="BL300" s="4" t="s">
        <v>200</v>
      </c>
      <c r="BM300" s="4" t="s">
        <v>200</v>
      </c>
      <c r="BN300" s="4" t="s">
        <v>200</v>
      </c>
      <c r="BO300" s="4" t="s">
        <v>200</v>
      </c>
    </row>
    <row r="301" spans="1:67" ht="16" x14ac:dyDescent="0.4">
      <c r="A301" s="4" t="s">
        <v>1486</v>
      </c>
      <c r="B301" s="4" t="s">
        <v>1572</v>
      </c>
      <c r="C301" s="4" t="s">
        <v>127</v>
      </c>
      <c r="D301" s="4" t="s">
        <v>128</v>
      </c>
      <c r="E301" s="189">
        <v>45644</v>
      </c>
      <c r="F301" s="6">
        <f t="shared" si="17"/>
        <v>2024</v>
      </c>
      <c r="G301" s="4" t="s">
        <v>1573</v>
      </c>
      <c r="H301" s="22" t="str">
        <f>VLOOKUP($G301,'Item Classification'!B:C,2,0)</f>
        <v>Communication and digitalisation</v>
      </c>
      <c r="I301" s="6" t="str">
        <f>VLOOKUP($G301,'Item Classification'!B:D,3,0)</f>
        <v>Modernisation</v>
      </c>
      <c r="J301" s="23">
        <f>VLOOKUP($G301,'Item Classification'!B:E,4,0)</f>
        <v>13</v>
      </c>
      <c r="K301" s="116" t="s">
        <v>158</v>
      </c>
      <c r="L301" s="116" t="s">
        <v>354</v>
      </c>
      <c r="M301" s="116" t="str">
        <f>VLOOKUP(L301,'NATO Classifications'!$D$6:$E$647,2,0)</f>
        <v>Communication, Detection, and Coherent Radiation Equipment (other)</v>
      </c>
      <c r="N301" s="4"/>
      <c r="O301" s="81"/>
      <c r="P301" s="81"/>
      <c r="Q301" s="4"/>
      <c r="R301" s="4"/>
      <c r="S301" s="4"/>
      <c r="T301" s="91" t="s">
        <v>132</v>
      </c>
      <c r="U301" s="104">
        <f>_xlfn.IFNA(S301/INDEX('Exchange Rates'!$C$7:$F$14,MATCH('MAIN DATA, Orders'!F301,'Exchange Rates'!$B$7:$B$14,0),MATCH('MAIN DATA, Orders'!T301,'Exchange Rates'!$C$6:$F$6,0)), "-")</f>
        <v>0</v>
      </c>
      <c r="V301" s="4" t="s">
        <v>682</v>
      </c>
      <c r="W301" s="4" t="s">
        <v>133</v>
      </c>
      <c r="X301" s="4" t="s">
        <v>128</v>
      </c>
      <c r="Y301" s="24">
        <f t="shared" si="20"/>
        <v>202412</v>
      </c>
      <c r="Z301" s="115">
        <v>0</v>
      </c>
      <c r="AA301" s="115">
        <v>0</v>
      </c>
      <c r="AB301" s="115">
        <v>0</v>
      </c>
      <c r="AC301" s="115" t="s">
        <v>127</v>
      </c>
      <c r="AD301" s="115" t="s">
        <v>127</v>
      </c>
      <c r="AE301" s="115" t="s">
        <v>127</v>
      </c>
      <c r="AF301" s="115" t="s">
        <v>127</v>
      </c>
      <c r="AG301" s="4" t="s">
        <v>127</v>
      </c>
      <c r="AH301" s="4" t="s">
        <v>127</v>
      </c>
      <c r="AI301" s="4" t="s">
        <v>127</v>
      </c>
      <c r="AJ301" s="4" t="s">
        <v>127</v>
      </c>
      <c r="AK301" s="4" t="s">
        <v>127</v>
      </c>
      <c r="AL301" s="4" t="s">
        <v>127</v>
      </c>
      <c r="AM301" s="4" t="s">
        <v>127</v>
      </c>
      <c r="AN301" s="4" t="s">
        <v>127</v>
      </c>
      <c r="AO301" s="4" t="s">
        <v>127</v>
      </c>
      <c r="AP301" s="4" t="s">
        <v>127</v>
      </c>
      <c r="AQ301" s="4" t="s">
        <v>127</v>
      </c>
      <c r="AR301" s="4" t="s">
        <v>127</v>
      </c>
      <c r="AS301" s="4" t="s">
        <v>127</v>
      </c>
      <c r="AT301" s="4" t="s">
        <v>127</v>
      </c>
      <c r="AU301" s="4" t="s">
        <v>127</v>
      </c>
      <c r="AV301" s="4" t="s">
        <v>127</v>
      </c>
      <c r="AW301" s="4" t="s">
        <v>127</v>
      </c>
      <c r="AX301" s="4" t="s">
        <v>127</v>
      </c>
      <c r="AY301" s="96" t="s">
        <v>1488</v>
      </c>
      <c r="AZ301" s="96" t="s">
        <v>1489</v>
      </c>
      <c r="BA301" s="4" t="s">
        <v>127</v>
      </c>
      <c r="BB301" s="4" t="s">
        <v>1490</v>
      </c>
      <c r="BC301" s="4" t="s">
        <v>127</v>
      </c>
      <c r="BD301" s="4" t="s">
        <v>127</v>
      </c>
      <c r="BE301" s="4" t="s">
        <v>1492</v>
      </c>
      <c r="BF301" s="4" t="s">
        <v>127</v>
      </c>
      <c r="BG301" s="4" t="s">
        <v>200</v>
      </c>
      <c r="BH301" s="4" t="s">
        <v>200</v>
      </c>
      <c r="BI301" s="4" t="s">
        <v>200</v>
      </c>
      <c r="BJ301" s="4" t="s">
        <v>200</v>
      </c>
      <c r="BK301" s="4" t="s">
        <v>200</v>
      </c>
      <c r="BL301" s="4" t="s">
        <v>200</v>
      </c>
      <c r="BM301" s="4" t="s">
        <v>200</v>
      </c>
      <c r="BN301" s="4" t="s">
        <v>200</v>
      </c>
      <c r="BO301" s="4" t="s">
        <v>200</v>
      </c>
    </row>
    <row r="302" spans="1:67" ht="16" x14ac:dyDescent="0.4">
      <c r="A302" s="4" t="s">
        <v>1486</v>
      </c>
      <c r="B302" s="4" t="s">
        <v>1574</v>
      </c>
      <c r="C302" s="4" t="s">
        <v>127</v>
      </c>
      <c r="D302" s="4" t="s">
        <v>128</v>
      </c>
      <c r="E302" s="189">
        <v>45644</v>
      </c>
      <c r="F302" s="6">
        <f t="shared" si="17"/>
        <v>2024</v>
      </c>
      <c r="G302" s="4" t="s">
        <v>1575</v>
      </c>
      <c r="H302" s="22" t="str">
        <f>VLOOKUP($G302,'Item Classification'!B:C,2,0)</f>
        <v>Surface-to-air missile (SAM) system upgrade</v>
      </c>
      <c r="I302" s="6" t="str">
        <f>VLOOKUP($G302,'Item Classification'!B:D,3,0)</f>
        <v>Air defence system</v>
      </c>
      <c r="J302" s="23">
        <f>VLOOKUP($G302,'Item Classification'!B:E,4,0)</f>
        <v>5</v>
      </c>
      <c r="K302" s="116" t="s">
        <v>211</v>
      </c>
      <c r="L302" s="116" t="s">
        <v>1576</v>
      </c>
      <c r="M302" s="116" t="str">
        <f>VLOOKUP(L302,'NATO Classifications'!$D$6:$E$647,2,0)</f>
        <v>Launchers, Guided Missile</v>
      </c>
      <c r="N302" s="4">
        <v>16</v>
      </c>
      <c r="O302" s="81"/>
      <c r="P302" s="81"/>
      <c r="Q302" s="4"/>
      <c r="R302" s="4"/>
      <c r="S302" s="4"/>
      <c r="T302" s="91" t="s">
        <v>132</v>
      </c>
      <c r="U302" s="104">
        <f>_xlfn.IFNA(S302/INDEX('Exchange Rates'!$C$7:$F$14,MATCH('MAIN DATA, Orders'!F302,'Exchange Rates'!$B$7:$B$14,0),MATCH('MAIN DATA, Orders'!T302,'Exchange Rates'!$C$6:$F$6,0)), "-")</f>
        <v>0</v>
      </c>
      <c r="V302" s="4" t="s">
        <v>682</v>
      </c>
      <c r="W302" s="4" t="s">
        <v>133</v>
      </c>
      <c r="X302" s="4" t="s">
        <v>128</v>
      </c>
      <c r="Y302" s="24">
        <f t="shared" si="20"/>
        <v>202412</v>
      </c>
      <c r="Z302" s="115">
        <v>0</v>
      </c>
      <c r="AA302" s="115">
        <v>0</v>
      </c>
      <c r="AB302" s="115">
        <v>0</v>
      </c>
      <c r="AC302" s="115" t="s">
        <v>127</v>
      </c>
      <c r="AD302" s="115" t="s">
        <v>127</v>
      </c>
      <c r="AE302" s="115" t="s">
        <v>127</v>
      </c>
      <c r="AF302" s="115" t="s">
        <v>127</v>
      </c>
      <c r="AG302" s="4" t="s">
        <v>127</v>
      </c>
      <c r="AH302" s="4" t="s">
        <v>127</v>
      </c>
      <c r="AI302" s="4" t="s">
        <v>127</v>
      </c>
      <c r="AJ302" s="4" t="s">
        <v>127</v>
      </c>
      <c r="AK302" s="4" t="s">
        <v>127</v>
      </c>
      <c r="AL302" s="4" t="s">
        <v>127</v>
      </c>
      <c r="AM302" s="4" t="s">
        <v>127</v>
      </c>
      <c r="AN302" s="4" t="s">
        <v>127</v>
      </c>
      <c r="AO302" s="4" t="s">
        <v>127</v>
      </c>
      <c r="AP302" s="4" t="s">
        <v>127</v>
      </c>
      <c r="AQ302" s="4" t="s">
        <v>127</v>
      </c>
      <c r="AR302" s="4" t="s">
        <v>127</v>
      </c>
      <c r="AS302" s="4" t="s">
        <v>127</v>
      </c>
      <c r="AT302" s="4" t="s">
        <v>127</v>
      </c>
      <c r="AU302" s="4" t="s">
        <v>127</v>
      </c>
      <c r="AV302" s="4" t="s">
        <v>127</v>
      </c>
      <c r="AW302" s="4" t="s">
        <v>127</v>
      </c>
      <c r="AX302" s="4" t="s">
        <v>127</v>
      </c>
      <c r="AY302" s="96" t="s">
        <v>1488</v>
      </c>
      <c r="AZ302" s="96" t="s">
        <v>1489</v>
      </c>
      <c r="BA302" s="4" t="s">
        <v>127</v>
      </c>
      <c r="BB302" s="4" t="s">
        <v>1490</v>
      </c>
      <c r="BC302" s="4" t="s">
        <v>1577</v>
      </c>
      <c r="BD302" s="4" t="s">
        <v>127</v>
      </c>
      <c r="BE302" s="4" t="s">
        <v>1492</v>
      </c>
      <c r="BF302" s="4" t="s">
        <v>127</v>
      </c>
      <c r="BG302" s="4" t="s">
        <v>200</v>
      </c>
      <c r="BH302" s="4" t="s">
        <v>200</v>
      </c>
      <c r="BI302" s="4" t="s">
        <v>200</v>
      </c>
      <c r="BJ302" s="4" t="s">
        <v>200</v>
      </c>
      <c r="BK302" s="4" t="s">
        <v>200</v>
      </c>
      <c r="BL302" s="4" t="s">
        <v>200</v>
      </c>
      <c r="BM302" s="4" t="s">
        <v>200</v>
      </c>
      <c r="BN302" s="4" t="s">
        <v>200</v>
      </c>
      <c r="BO302" s="4" t="s">
        <v>200</v>
      </c>
    </row>
    <row r="303" spans="1:67" ht="16" x14ac:dyDescent="0.4">
      <c r="A303" s="4" t="s">
        <v>1578</v>
      </c>
      <c r="B303" s="4" t="s">
        <v>1578</v>
      </c>
      <c r="C303" s="4" t="s">
        <v>127</v>
      </c>
      <c r="D303" s="4" t="s">
        <v>128</v>
      </c>
      <c r="E303" s="189">
        <v>45644</v>
      </c>
      <c r="F303" s="6">
        <f t="shared" si="17"/>
        <v>2024</v>
      </c>
      <c r="G303" s="4" t="s">
        <v>1579</v>
      </c>
      <c r="H303" s="22" t="str">
        <f>VLOOKUP($G303,'Item Classification'!B:C,2,0)</f>
        <v>Multiple rocket launcher system</v>
      </c>
      <c r="I303" s="6" t="str">
        <f>VLOOKUP($G303,'Item Classification'!B:D,3,0)</f>
        <v>Artillery</v>
      </c>
      <c r="J303" s="23">
        <f>VLOOKUP($G303,'Item Classification'!B:E,4,0)</f>
        <v>3</v>
      </c>
      <c r="K303" s="116" t="s">
        <v>763</v>
      </c>
      <c r="L303" s="116" t="s">
        <v>1580</v>
      </c>
      <c r="M303" s="116" t="str">
        <f>VLOOKUP(L303,'NATO Classifications'!$D$6:$E$647,2,0)</f>
        <v>Launchers, Rocket and Pyrotechnic</v>
      </c>
      <c r="N303" s="4">
        <v>5</v>
      </c>
      <c r="O303" s="81">
        <f t="shared" si="18"/>
        <v>13000000</v>
      </c>
      <c r="P303" s="81">
        <f t="shared" si="19"/>
        <v>13000000</v>
      </c>
      <c r="Q303" s="4">
        <v>2025</v>
      </c>
      <c r="R303" s="4"/>
      <c r="S303" s="112">
        <v>65000000</v>
      </c>
      <c r="T303" s="91" t="s">
        <v>132</v>
      </c>
      <c r="U303" s="104">
        <f>_xlfn.IFNA(S303/INDEX('Exchange Rates'!$C$7:$F$14,MATCH('MAIN DATA, Orders'!F303,'Exchange Rates'!$B$7:$B$14,0),MATCH('MAIN DATA, Orders'!T303,'Exchange Rates'!$C$6:$F$6,0)), "-")</f>
        <v>65000000</v>
      </c>
      <c r="V303" s="4" t="s">
        <v>682</v>
      </c>
      <c r="W303" s="4" t="s">
        <v>133</v>
      </c>
      <c r="X303" s="4" t="s">
        <v>128</v>
      </c>
      <c r="Y303" s="24">
        <f t="shared" si="20"/>
        <v>202412</v>
      </c>
      <c r="Z303" s="115">
        <v>0</v>
      </c>
      <c r="AA303" s="115">
        <v>0</v>
      </c>
      <c r="AB303" s="115">
        <v>0</v>
      </c>
      <c r="AC303" s="115">
        <v>0</v>
      </c>
      <c r="AD303" s="115">
        <v>0</v>
      </c>
      <c r="AE303" s="115">
        <v>0</v>
      </c>
      <c r="AF303" s="115">
        <v>0</v>
      </c>
      <c r="AG303" s="4" t="s">
        <v>748</v>
      </c>
      <c r="AH303" s="4" t="s">
        <v>135</v>
      </c>
      <c r="AI303" s="4" t="s">
        <v>127</v>
      </c>
      <c r="AJ303" s="4" t="s">
        <v>127</v>
      </c>
      <c r="AK303" s="4" t="s">
        <v>127</v>
      </c>
      <c r="AL303" s="4" t="s">
        <v>127</v>
      </c>
      <c r="AM303" s="4" t="s">
        <v>127</v>
      </c>
      <c r="AN303" s="4" t="s">
        <v>127</v>
      </c>
      <c r="AO303" s="4" t="s">
        <v>127</v>
      </c>
      <c r="AP303" s="4" t="s">
        <v>127</v>
      </c>
      <c r="AQ303" s="4" t="s">
        <v>127</v>
      </c>
      <c r="AR303" s="4" t="s">
        <v>127</v>
      </c>
      <c r="AS303" s="4" t="s">
        <v>127</v>
      </c>
      <c r="AT303" s="4" t="s">
        <v>127</v>
      </c>
      <c r="AU303" s="4" t="s">
        <v>127</v>
      </c>
      <c r="AV303" s="4" t="s">
        <v>127</v>
      </c>
      <c r="AW303" s="4" t="s">
        <v>127</v>
      </c>
      <c r="AX303" s="4" t="s">
        <v>127</v>
      </c>
      <c r="AY303" s="111" t="s">
        <v>1488</v>
      </c>
      <c r="AZ303" s="96" t="s">
        <v>1581</v>
      </c>
      <c r="BA303" s="96" t="s">
        <v>1489</v>
      </c>
      <c r="BB303" s="4" t="s">
        <v>1490</v>
      </c>
      <c r="BC303" s="4" t="s">
        <v>1582</v>
      </c>
      <c r="BD303" s="4" t="s">
        <v>127</v>
      </c>
      <c r="BE303" s="4" t="s">
        <v>1492</v>
      </c>
      <c r="BF303" s="4" t="s">
        <v>127</v>
      </c>
      <c r="BG303" s="4"/>
      <c r="BH303" s="4"/>
      <c r="BI303" s="4"/>
      <c r="BJ303" s="4"/>
      <c r="BK303" s="4"/>
      <c r="BL303" s="4"/>
      <c r="BM303" s="4"/>
      <c r="BN303" s="4"/>
      <c r="BO303" s="4"/>
    </row>
    <row r="304" spans="1:67" ht="16" x14ac:dyDescent="0.4">
      <c r="A304" s="4" t="s">
        <v>1583</v>
      </c>
      <c r="B304" s="4" t="s">
        <v>1583</v>
      </c>
      <c r="C304" s="4" t="s">
        <v>127</v>
      </c>
      <c r="D304" s="4" t="s">
        <v>128</v>
      </c>
      <c r="E304" s="189">
        <v>45644</v>
      </c>
      <c r="F304" s="6">
        <f t="shared" si="17"/>
        <v>2024</v>
      </c>
      <c r="G304" s="4" t="s">
        <v>220</v>
      </c>
      <c r="H304" s="22" t="str">
        <f>VLOOKUP($G304,'Item Classification'!B:C,2,0)</f>
        <v>Clothing and personal equipment</v>
      </c>
      <c r="I304" s="6" t="str">
        <f>VLOOKUP($G304,'Item Classification'!B:D,3,0)</f>
        <v>Modernisation</v>
      </c>
      <c r="J304" s="23">
        <f>VLOOKUP($G304,'Item Classification'!B:E,4,0)</f>
        <v>13</v>
      </c>
      <c r="K304" s="116" t="s">
        <v>221</v>
      </c>
      <c r="L304" s="116" t="s">
        <v>222</v>
      </c>
      <c r="M304" s="116" t="str">
        <f>VLOOKUP(L304,'NATO Classifications'!$D$6:$E$647,2,0)</f>
        <v>Clothing, Special Purpose</v>
      </c>
      <c r="N304" s="4">
        <v>7</v>
      </c>
      <c r="O304" s="81">
        <f t="shared" si="18"/>
        <v>114285714.28571428</v>
      </c>
      <c r="P304" s="81">
        <f t="shared" si="19"/>
        <v>114285714.28571428</v>
      </c>
      <c r="Q304" s="4">
        <v>2025</v>
      </c>
      <c r="R304" s="4">
        <v>2032</v>
      </c>
      <c r="S304" s="112">
        <v>800000000</v>
      </c>
      <c r="T304" s="91" t="s">
        <v>132</v>
      </c>
      <c r="U304" s="104">
        <f>_xlfn.IFNA(S304/INDEX('Exchange Rates'!$C$7:$F$14,MATCH('MAIN DATA, Orders'!F304,'Exchange Rates'!$B$7:$B$14,0),MATCH('MAIN DATA, Orders'!T304,'Exchange Rates'!$C$6:$F$6,0)), "-")</f>
        <v>800000000</v>
      </c>
      <c r="V304" s="4" t="s">
        <v>682</v>
      </c>
      <c r="W304" s="4" t="s">
        <v>133</v>
      </c>
      <c r="X304" s="4" t="s">
        <v>128</v>
      </c>
      <c r="Y304" s="24">
        <f t="shared" si="20"/>
        <v>202412</v>
      </c>
      <c r="Z304" s="115">
        <v>0</v>
      </c>
      <c r="AA304" s="115">
        <v>0</v>
      </c>
      <c r="AB304" s="115">
        <v>0</v>
      </c>
      <c r="AC304" s="115">
        <v>1</v>
      </c>
      <c r="AD304" s="115">
        <v>0</v>
      </c>
      <c r="AE304" s="115">
        <v>0</v>
      </c>
      <c r="AF304" s="115">
        <v>0</v>
      </c>
      <c r="AG304" s="4" t="s">
        <v>223</v>
      </c>
      <c r="AH304" s="4" t="s">
        <v>128</v>
      </c>
      <c r="AI304" s="4" t="s">
        <v>127</v>
      </c>
      <c r="AJ304" s="4" t="s">
        <v>127</v>
      </c>
      <c r="AK304" s="4" t="s">
        <v>127</v>
      </c>
      <c r="AL304" s="4" t="s">
        <v>127</v>
      </c>
      <c r="AM304" s="4" t="s">
        <v>127</v>
      </c>
      <c r="AN304" s="4" t="s">
        <v>127</v>
      </c>
      <c r="AO304" s="4" t="s">
        <v>127</v>
      </c>
      <c r="AP304" s="4" t="s">
        <v>127</v>
      </c>
      <c r="AQ304" s="4" t="s">
        <v>127</v>
      </c>
      <c r="AR304" s="4" t="s">
        <v>127</v>
      </c>
      <c r="AS304" s="4" t="s">
        <v>127</v>
      </c>
      <c r="AT304" s="4" t="s">
        <v>127</v>
      </c>
      <c r="AU304" s="4" t="s">
        <v>127</v>
      </c>
      <c r="AV304" s="4" t="s">
        <v>127</v>
      </c>
      <c r="AW304" s="4" t="s">
        <v>127</v>
      </c>
      <c r="AX304" s="4" t="s">
        <v>127</v>
      </c>
      <c r="AY304" s="96" t="s">
        <v>1488</v>
      </c>
      <c r="AZ304" s="111" t="s">
        <v>1584</v>
      </c>
      <c r="BA304" s="96" t="s">
        <v>1489</v>
      </c>
      <c r="BB304" s="4" t="s">
        <v>1585</v>
      </c>
      <c r="BC304" s="4" t="s">
        <v>1586</v>
      </c>
      <c r="BD304" s="4" t="s">
        <v>127</v>
      </c>
      <c r="BE304" s="4" t="s">
        <v>1492</v>
      </c>
      <c r="BF304" s="4" t="s">
        <v>127</v>
      </c>
      <c r="BG304" s="4"/>
      <c r="BH304" s="4"/>
      <c r="BI304" s="4"/>
      <c r="BJ304" s="4"/>
      <c r="BK304" s="4"/>
      <c r="BL304" s="4"/>
      <c r="BM304" s="4"/>
      <c r="BN304" s="4"/>
      <c r="BO304" s="4"/>
    </row>
    <row r="305" spans="1:67" ht="16" x14ac:dyDescent="0.4">
      <c r="A305" s="4" t="s">
        <v>1587</v>
      </c>
      <c r="B305" s="4" t="s">
        <v>1587</v>
      </c>
      <c r="C305" s="4" t="s">
        <v>127</v>
      </c>
      <c r="D305" s="4" t="s">
        <v>128</v>
      </c>
      <c r="E305" s="189">
        <v>45644</v>
      </c>
      <c r="F305" s="6">
        <f t="shared" si="17"/>
        <v>2024</v>
      </c>
      <c r="G305" s="4" t="s">
        <v>466</v>
      </c>
      <c r="H305" s="22" t="str">
        <f>VLOOKUP($G305,'Item Classification'!B:C,2,0)</f>
        <v>Submarine</v>
      </c>
      <c r="I305" s="6" t="str">
        <f>VLOOKUP($G305,'Item Classification'!B:D,3,0)</f>
        <v>Naval</v>
      </c>
      <c r="J305" s="23">
        <f>VLOOKUP($G305,'Item Classification'!B:E,4,0)</f>
        <v>12</v>
      </c>
      <c r="K305" s="116" t="s">
        <v>143</v>
      </c>
      <c r="L305" s="116" t="s">
        <v>144</v>
      </c>
      <c r="M305" s="116" t="str">
        <f>VLOOKUP(L305,'NATO Classifications'!$D$6:$E$647,2,0)</f>
        <v>Combat Ships and Landing Vessels</v>
      </c>
      <c r="N305" s="4">
        <v>4</v>
      </c>
      <c r="O305" s="81">
        <f t="shared" si="18"/>
        <v>1242439750</v>
      </c>
      <c r="P305" s="81">
        <f t="shared" si="19"/>
        <v>1242439750</v>
      </c>
      <c r="Q305" s="4"/>
      <c r="R305" s="4"/>
      <c r="S305" s="112">
        <v>4969759000</v>
      </c>
      <c r="T305" s="91" t="s">
        <v>132</v>
      </c>
      <c r="U305" s="104">
        <f>_xlfn.IFNA(S305/INDEX('Exchange Rates'!$C$7:$F$14,MATCH('MAIN DATA, Orders'!F305,'Exchange Rates'!$B$7:$B$14,0),MATCH('MAIN DATA, Orders'!T305,'Exchange Rates'!$C$6:$F$6,0)), "-")</f>
        <v>4969759000</v>
      </c>
      <c r="V305" s="4" t="s">
        <v>682</v>
      </c>
      <c r="W305" s="4" t="s">
        <v>133</v>
      </c>
      <c r="X305" s="4" t="s">
        <v>128</v>
      </c>
      <c r="Y305" s="24">
        <f t="shared" si="20"/>
        <v>202412</v>
      </c>
      <c r="Z305" s="115">
        <v>0</v>
      </c>
      <c r="AA305" s="115">
        <v>0</v>
      </c>
      <c r="AB305" s="115">
        <v>0</v>
      </c>
      <c r="AC305" s="115">
        <v>1</v>
      </c>
      <c r="AD305" s="115">
        <v>1</v>
      </c>
      <c r="AE305" s="115">
        <v>0</v>
      </c>
      <c r="AF305" s="115">
        <v>1</v>
      </c>
      <c r="AG305" s="4" t="s">
        <v>1588</v>
      </c>
      <c r="AH305" s="4" t="s">
        <v>128</v>
      </c>
      <c r="AI305" s="4" t="s">
        <v>127</v>
      </c>
      <c r="AJ305" s="4" t="s">
        <v>127</v>
      </c>
      <c r="AK305" s="4" t="s">
        <v>127</v>
      </c>
      <c r="AL305" s="4" t="s">
        <v>127</v>
      </c>
      <c r="AM305" s="4" t="s">
        <v>127</v>
      </c>
      <c r="AN305" s="4" t="s">
        <v>468</v>
      </c>
      <c r="AO305" s="4" t="s">
        <v>127</v>
      </c>
      <c r="AP305" s="4" t="s">
        <v>127</v>
      </c>
      <c r="AQ305" s="4" t="s">
        <v>127</v>
      </c>
      <c r="AR305" s="4" t="s">
        <v>127</v>
      </c>
      <c r="AS305" s="4" t="s">
        <v>127</v>
      </c>
      <c r="AT305" s="4" t="s">
        <v>127</v>
      </c>
      <c r="AU305" s="4" t="s">
        <v>127</v>
      </c>
      <c r="AV305" s="4" t="s">
        <v>127</v>
      </c>
      <c r="AW305" s="4" t="s">
        <v>127</v>
      </c>
      <c r="AX305" s="4" t="s">
        <v>127</v>
      </c>
      <c r="AY305" s="96" t="s">
        <v>1488</v>
      </c>
      <c r="AZ305" s="96" t="s">
        <v>1489</v>
      </c>
      <c r="BA305" s="4" t="s">
        <v>127</v>
      </c>
      <c r="BB305" s="4" t="s">
        <v>1589</v>
      </c>
      <c r="BC305" s="4" t="s">
        <v>127</v>
      </c>
      <c r="BD305" s="4" t="s">
        <v>127</v>
      </c>
      <c r="BE305" s="4" t="s">
        <v>1492</v>
      </c>
      <c r="BF305" s="4" t="s">
        <v>127</v>
      </c>
      <c r="BG305" s="4"/>
      <c r="BH305" s="4"/>
      <c r="BI305" s="4"/>
      <c r="BJ305" s="4"/>
      <c r="BK305" s="4"/>
      <c r="BL305" s="4"/>
      <c r="BM305" s="4"/>
      <c r="BN305" s="4"/>
      <c r="BO305" s="4"/>
    </row>
    <row r="306" spans="1:67" ht="16" x14ac:dyDescent="0.4">
      <c r="A306" s="4" t="s">
        <v>1590</v>
      </c>
      <c r="B306" s="4" t="s">
        <v>1590</v>
      </c>
      <c r="C306" s="4" t="s">
        <v>127</v>
      </c>
      <c r="D306" s="4" t="s">
        <v>128</v>
      </c>
      <c r="E306" s="189">
        <v>45686</v>
      </c>
      <c r="F306" s="6">
        <f t="shared" si="17"/>
        <v>2025</v>
      </c>
      <c r="G306" s="4" t="s">
        <v>1591</v>
      </c>
      <c r="H306" s="22" t="str">
        <f>VLOOKUP($G306,'Item Classification'!B:C,2,0)</f>
        <v>120mm mobile mortar system</v>
      </c>
      <c r="I306" s="6" t="str">
        <f>VLOOKUP($G306,'Item Classification'!B:D,3,0)</f>
        <v>Development - Armoured vehicle</v>
      </c>
      <c r="J306" s="23">
        <f>VLOOKUP($G306,'Item Classification'!B:E,4,0)</f>
        <v>15</v>
      </c>
      <c r="K306" s="116" t="s">
        <v>763</v>
      </c>
      <c r="L306" s="116" t="s">
        <v>1592</v>
      </c>
      <c r="M306" s="116" t="str">
        <f>VLOOKUP(L306,'NATO Classifications'!$D$6:$E$647,2,0)</f>
        <v>Guns over 75mm</v>
      </c>
      <c r="N306" s="4"/>
      <c r="O306" s="81"/>
      <c r="P306" s="81"/>
      <c r="Q306" s="4">
        <v>2025</v>
      </c>
      <c r="R306" s="4">
        <v>2026</v>
      </c>
      <c r="S306" s="112">
        <v>51000000</v>
      </c>
      <c r="T306" s="91" t="s">
        <v>132</v>
      </c>
      <c r="U306" s="104">
        <f>_xlfn.IFNA(S306/INDEX('Exchange Rates'!$C$7:$F$14,MATCH('MAIN DATA, Orders'!F306,'Exchange Rates'!$B$7:$B$14,0),MATCH('MAIN DATA, Orders'!T306,'Exchange Rates'!$C$6:$F$6,0)), "-")</f>
        <v>51000000</v>
      </c>
      <c r="V306" s="4" t="s">
        <v>682</v>
      </c>
      <c r="W306" s="4" t="s">
        <v>133</v>
      </c>
      <c r="X306" s="4" t="s">
        <v>128</v>
      </c>
      <c r="Y306" s="24">
        <f t="shared" si="20"/>
        <v>202501</v>
      </c>
      <c r="Z306" s="115">
        <v>0</v>
      </c>
      <c r="AA306" s="115">
        <v>0</v>
      </c>
      <c r="AB306" s="115">
        <v>0</v>
      </c>
      <c r="AC306" s="115" t="s">
        <v>127</v>
      </c>
      <c r="AD306" s="115" t="s">
        <v>127</v>
      </c>
      <c r="AE306" s="115" t="s">
        <v>127</v>
      </c>
      <c r="AF306" s="115" t="s">
        <v>127</v>
      </c>
      <c r="AG306" s="4" t="s">
        <v>127</v>
      </c>
      <c r="AH306" s="4" t="s">
        <v>127</v>
      </c>
      <c r="AI306" s="4" t="s">
        <v>127</v>
      </c>
      <c r="AJ306" s="4" t="s">
        <v>127</v>
      </c>
      <c r="AK306" s="4" t="s">
        <v>127</v>
      </c>
      <c r="AL306" s="4" t="s">
        <v>127</v>
      </c>
      <c r="AM306" s="4" t="s">
        <v>127</v>
      </c>
      <c r="AN306" s="4" t="s">
        <v>127</v>
      </c>
      <c r="AO306" s="4" t="s">
        <v>127</v>
      </c>
      <c r="AP306" s="4" t="s">
        <v>127</v>
      </c>
      <c r="AQ306" s="4" t="s">
        <v>127</v>
      </c>
      <c r="AR306" s="4" t="s">
        <v>127</v>
      </c>
      <c r="AS306" s="4" t="s">
        <v>127</v>
      </c>
      <c r="AT306" s="4" t="s">
        <v>127</v>
      </c>
      <c r="AU306" s="4" t="s">
        <v>127</v>
      </c>
      <c r="AV306" s="4" t="s">
        <v>127</v>
      </c>
      <c r="AW306" s="4" t="s">
        <v>127</v>
      </c>
      <c r="AX306" s="4" t="s">
        <v>127</v>
      </c>
      <c r="AY306" s="111" t="s">
        <v>1593</v>
      </c>
      <c r="AZ306" s="96" t="s">
        <v>1594</v>
      </c>
      <c r="BA306" s="4" t="s">
        <v>127</v>
      </c>
      <c r="BB306" s="4" t="s">
        <v>1595</v>
      </c>
      <c r="BC306" s="4" t="s">
        <v>1596</v>
      </c>
      <c r="BD306" s="4" t="s">
        <v>127</v>
      </c>
      <c r="BE306" s="4" t="s">
        <v>127</v>
      </c>
      <c r="BF306" s="4"/>
      <c r="BG306" s="4"/>
      <c r="BH306" s="4"/>
      <c r="BI306" s="4"/>
      <c r="BJ306" s="4"/>
      <c r="BK306" s="4"/>
      <c r="BL306" s="4"/>
      <c r="BM306" s="4"/>
      <c r="BN306" s="4"/>
      <c r="BO306" s="4"/>
    </row>
    <row r="307" spans="1:67" ht="16" x14ac:dyDescent="0.4">
      <c r="A307" s="4" t="s">
        <v>1597</v>
      </c>
      <c r="B307" s="4" t="s">
        <v>1597</v>
      </c>
      <c r="C307" s="4" t="s">
        <v>127</v>
      </c>
      <c r="D307" s="4" t="s">
        <v>128</v>
      </c>
      <c r="E307" s="189">
        <v>45686</v>
      </c>
      <c r="F307" s="6">
        <f t="shared" si="17"/>
        <v>2025</v>
      </c>
      <c r="G307" s="4" t="s">
        <v>1598</v>
      </c>
      <c r="H307" s="22" t="str">
        <f>VLOOKUP($G307,'Item Classification'!B:C,2,0)</f>
        <v>Communication equipment</v>
      </c>
      <c r="I307" s="6" t="str">
        <f>VLOOKUP($G307,'Item Classification'!B:D,3,0)</f>
        <v>Modernisation</v>
      </c>
      <c r="J307" s="23">
        <f>VLOOKUP($G307,'Item Classification'!B:E,4,0)</f>
        <v>13</v>
      </c>
      <c r="K307" s="116" t="s">
        <v>158</v>
      </c>
      <c r="L307" s="116" t="s">
        <v>567</v>
      </c>
      <c r="M307" s="116" t="str">
        <f>VLOOKUP(L307,'NATO Classifications'!$D$6:$E$647,2,0)</f>
        <v>Communication, Detection, and Coherent Radiation Equipment (other)</v>
      </c>
      <c r="N307" s="4"/>
      <c r="O307" s="81"/>
      <c r="P307" s="81"/>
      <c r="Q307" s="4">
        <v>2025</v>
      </c>
      <c r="R307" s="4"/>
      <c r="S307" s="112">
        <v>1900000000</v>
      </c>
      <c r="T307" s="91" t="s">
        <v>132</v>
      </c>
      <c r="U307" s="104">
        <f>_xlfn.IFNA(S307/INDEX('Exchange Rates'!$C$7:$F$14,MATCH('MAIN DATA, Orders'!F307,'Exchange Rates'!$B$7:$B$14,0),MATCH('MAIN DATA, Orders'!T307,'Exchange Rates'!$C$6:$F$6,0)), "-")</f>
        <v>1900000000</v>
      </c>
      <c r="V307" s="4" t="s">
        <v>682</v>
      </c>
      <c r="W307" s="4" t="s">
        <v>133</v>
      </c>
      <c r="X307" s="4" t="s">
        <v>128</v>
      </c>
      <c r="Y307" s="24">
        <f t="shared" si="20"/>
        <v>202501</v>
      </c>
      <c r="Z307" s="115">
        <v>1</v>
      </c>
      <c r="AA307" s="115">
        <v>0</v>
      </c>
      <c r="AB307" s="115">
        <v>0</v>
      </c>
      <c r="AC307" s="115" t="s">
        <v>127</v>
      </c>
      <c r="AD307" s="115" t="s">
        <v>127</v>
      </c>
      <c r="AE307" s="115" t="s">
        <v>127</v>
      </c>
      <c r="AF307" s="115" t="s">
        <v>127</v>
      </c>
      <c r="AG307" s="4" t="s">
        <v>127</v>
      </c>
      <c r="AH307" s="4" t="s">
        <v>127</v>
      </c>
      <c r="AI307" s="4" t="s">
        <v>127</v>
      </c>
      <c r="AJ307" s="4" t="s">
        <v>127</v>
      </c>
      <c r="AK307" s="4" t="s">
        <v>127</v>
      </c>
      <c r="AL307" s="4" t="s">
        <v>127</v>
      </c>
      <c r="AM307" s="4" t="s">
        <v>127</v>
      </c>
      <c r="AN307" s="4" t="s">
        <v>127</v>
      </c>
      <c r="AO307" s="4" t="s">
        <v>127</v>
      </c>
      <c r="AP307" s="4" t="s">
        <v>127</v>
      </c>
      <c r="AQ307" s="4" t="s">
        <v>127</v>
      </c>
      <c r="AR307" s="4" t="s">
        <v>127</v>
      </c>
      <c r="AS307" s="4" t="s">
        <v>127</v>
      </c>
      <c r="AT307" s="4" t="s">
        <v>127</v>
      </c>
      <c r="AU307" s="4" t="s">
        <v>127</v>
      </c>
      <c r="AV307" s="4" t="s">
        <v>127</v>
      </c>
      <c r="AW307" s="4" t="s">
        <v>127</v>
      </c>
      <c r="AX307" s="4" t="s">
        <v>127</v>
      </c>
      <c r="AY307" s="96" t="s">
        <v>1593</v>
      </c>
      <c r="AZ307" s="96" t="s">
        <v>1594</v>
      </c>
      <c r="BA307" s="4" t="s">
        <v>127</v>
      </c>
      <c r="BB307" s="4" t="s">
        <v>1599</v>
      </c>
      <c r="BC307" s="4" t="s">
        <v>1600</v>
      </c>
      <c r="BD307" s="4" t="s">
        <v>127</v>
      </c>
      <c r="BE307" s="4" t="s">
        <v>127</v>
      </c>
      <c r="BF307" s="4"/>
      <c r="BG307" s="4"/>
      <c r="BH307" s="4"/>
      <c r="BI307" s="4"/>
      <c r="BJ307" s="4"/>
      <c r="BK307" s="4"/>
      <c r="BL307" s="4"/>
      <c r="BM307" s="4"/>
      <c r="BN307" s="4"/>
      <c r="BO307" s="4"/>
    </row>
    <row r="308" spans="1:67" ht="16" x14ac:dyDescent="0.4">
      <c r="A308" s="4" t="s">
        <v>1601</v>
      </c>
      <c r="B308" s="4" t="s">
        <v>1601</v>
      </c>
      <c r="C308" s="4" t="s">
        <v>127</v>
      </c>
      <c r="D308" s="4" t="s">
        <v>128</v>
      </c>
      <c r="E308" s="189">
        <v>45686</v>
      </c>
      <c r="F308" s="6">
        <f t="shared" si="17"/>
        <v>2025</v>
      </c>
      <c r="G308" s="4" t="s">
        <v>127</v>
      </c>
      <c r="H308" s="22" t="s">
        <v>1602</v>
      </c>
      <c r="I308" s="6" t="s">
        <v>287</v>
      </c>
      <c r="J308" s="23">
        <v>16</v>
      </c>
      <c r="K308" s="116" t="s">
        <v>763</v>
      </c>
      <c r="L308" s="116" t="s">
        <v>1603</v>
      </c>
      <c r="M308" s="116" t="str">
        <f>VLOOKUP(L308,'NATO Classifications'!$D$6:$E$647,2,0)</f>
        <v>Weapons (other)</v>
      </c>
      <c r="N308" s="4"/>
      <c r="O308" s="81"/>
      <c r="P308" s="81"/>
      <c r="Q308" s="4">
        <v>2026</v>
      </c>
      <c r="R308" s="4">
        <v>2027</v>
      </c>
      <c r="S308" s="112">
        <v>48000000</v>
      </c>
      <c r="T308" s="91" t="s">
        <v>132</v>
      </c>
      <c r="U308" s="104">
        <f>_xlfn.IFNA(S308/INDEX('Exchange Rates'!$C$7:$F$14,MATCH('MAIN DATA, Orders'!F308,'Exchange Rates'!$B$7:$B$14,0),MATCH('MAIN DATA, Orders'!T308,'Exchange Rates'!$C$6:$F$6,0)), "-")</f>
        <v>48000000</v>
      </c>
      <c r="V308" s="4" t="s">
        <v>682</v>
      </c>
      <c r="W308" s="4" t="s">
        <v>127</v>
      </c>
      <c r="X308" s="4" t="s">
        <v>128</v>
      </c>
      <c r="Y308" s="24">
        <f t="shared" si="20"/>
        <v>202501</v>
      </c>
      <c r="Z308" s="115">
        <v>1</v>
      </c>
      <c r="AA308" s="115">
        <v>0</v>
      </c>
      <c r="AB308" s="115">
        <v>0</v>
      </c>
      <c r="AC308" s="115" t="s">
        <v>127</v>
      </c>
      <c r="AD308" s="115" t="s">
        <v>127</v>
      </c>
      <c r="AE308" s="115" t="s">
        <v>127</v>
      </c>
      <c r="AF308" s="115" t="s">
        <v>127</v>
      </c>
      <c r="AG308" s="4" t="s">
        <v>127</v>
      </c>
      <c r="AH308" s="4" t="s">
        <v>127</v>
      </c>
      <c r="AI308" s="4" t="s">
        <v>127</v>
      </c>
      <c r="AJ308" s="4" t="s">
        <v>127</v>
      </c>
      <c r="AK308" s="4" t="s">
        <v>127</v>
      </c>
      <c r="AL308" s="4" t="s">
        <v>127</v>
      </c>
      <c r="AM308" s="4" t="s">
        <v>127</v>
      </c>
      <c r="AN308" s="4" t="s">
        <v>127</v>
      </c>
      <c r="AO308" s="4" t="s">
        <v>127</v>
      </c>
      <c r="AP308" s="4" t="s">
        <v>127</v>
      </c>
      <c r="AQ308" s="4" t="s">
        <v>127</v>
      </c>
      <c r="AR308" s="4" t="s">
        <v>127</v>
      </c>
      <c r="AS308" s="4" t="s">
        <v>127</v>
      </c>
      <c r="AT308" s="4" t="s">
        <v>127</v>
      </c>
      <c r="AU308" s="4" t="s">
        <v>127</v>
      </c>
      <c r="AV308" s="4" t="s">
        <v>127</v>
      </c>
      <c r="AW308" s="4" t="s">
        <v>127</v>
      </c>
      <c r="AX308" s="4" t="s">
        <v>127</v>
      </c>
      <c r="AY308" s="96" t="s">
        <v>1593</v>
      </c>
      <c r="AZ308" s="96" t="s">
        <v>1594</v>
      </c>
      <c r="BA308" s="96" t="s">
        <v>1604</v>
      </c>
      <c r="BB308" s="4" t="s">
        <v>1605</v>
      </c>
      <c r="BC308" s="4" t="s">
        <v>1606</v>
      </c>
      <c r="BD308" s="4" t="s">
        <v>1607</v>
      </c>
      <c r="BE308" s="4" t="s">
        <v>127</v>
      </c>
      <c r="BF308" s="4" t="s">
        <v>200</v>
      </c>
      <c r="BG308" s="4" t="s">
        <v>200</v>
      </c>
      <c r="BH308" s="4" t="s">
        <v>200</v>
      </c>
      <c r="BI308" s="4" t="s">
        <v>200</v>
      </c>
      <c r="BJ308" s="4" t="s">
        <v>200</v>
      </c>
      <c r="BK308" s="4" t="s">
        <v>200</v>
      </c>
      <c r="BL308" s="4" t="s">
        <v>200</v>
      </c>
      <c r="BM308" s="4" t="s">
        <v>200</v>
      </c>
      <c r="BN308" s="4" t="s">
        <v>200</v>
      </c>
      <c r="BO308" s="4" t="s">
        <v>200</v>
      </c>
    </row>
    <row r="309" spans="1:67" ht="16" x14ac:dyDescent="0.4">
      <c r="A309" s="4" t="s">
        <v>1601</v>
      </c>
      <c r="B309" s="4" t="s">
        <v>1608</v>
      </c>
      <c r="C309" s="4" t="s">
        <v>127</v>
      </c>
      <c r="D309" s="4" t="s">
        <v>128</v>
      </c>
      <c r="E309" s="189">
        <v>45686</v>
      </c>
      <c r="F309" s="6">
        <f t="shared" si="17"/>
        <v>2025</v>
      </c>
      <c r="G309" s="4" t="s">
        <v>1609</v>
      </c>
      <c r="H309" s="22" t="str">
        <f>VLOOKUP($G309,'Item Classification'!B:C,2,0)</f>
        <v>Vehicle-mounted weapons system</v>
      </c>
      <c r="I309" s="6" t="str">
        <f>VLOOKUP($G309,'Item Classification'!B:D,3,0)</f>
        <v>Other</v>
      </c>
      <c r="J309" s="23">
        <f>VLOOKUP($G309,'Item Classification'!B:E,4,0)</f>
        <v>16</v>
      </c>
      <c r="K309" s="116" t="s">
        <v>763</v>
      </c>
      <c r="L309" s="116" t="s">
        <v>1580</v>
      </c>
      <c r="M309" s="116" t="str">
        <f>VLOOKUP(L309,'NATO Classifications'!$D$6:$E$647,2,0)</f>
        <v>Launchers, Rocket and Pyrotechnic</v>
      </c>
      <c r="N309" s="4">
        <v>126</v>
      </c>
      <c r="O309" s="81"/>
      <c r="P309" s="81"/>
      <c r="Q309" s="4">
        <v>2026</v>
      </c>
      <c r="R309" s="4">
        <v>2027</v>
      </c>
      <c r="S309" s="4"/>
      <c r="T309" s="91" t="s">
        <v>132</v>
      </c>
      <c r="U309" s="104">
        <f>_xlfn.IFNA(S309/INDEX('Exchange Rates'!$C$7:$F$14,MATCH('MAIN DATA, Orders'!F309,'Exchange Rates'!$B$7:$B$14,0),MATCH('MAIN DATA, Orders'!T309,'Exchange Rates'!$C$6:$F$6,0)), "-")</f>
        <v>0</v>
      </c>
      <c r="V309" s="4" t="s">
        <v>682</v>
      </c>
      <c r="W309" s="4" t="s">
        <v>127</v>
      </c>
      <c r="X309" s="4" t="s">
        <v>128</v>
      </c>
      <c r="Y309" s="24">
        <f t="shared" si="20"/>
        <v>202501</v>
      </c>
      <c r="Z309" s="115">
        <v>1</v>
      </c>
      <c r="AA309" s="115">
        <v>0</v>
      </c>
      <c r="AB309" s="115">
        <v>0</v>
      </c>
      <c r="AC309" s="115">
        <v>1</v>
      </c>
      <c r="AD309" s="115">
        <v>0</v>
      </c>
      <c r="AE309" s="115">
        <v>0</v>
      </c>
      <c r="AF309" s="115">
        <v>0</v>
      </c>
      <c r="AG309" s="4" t="s">
        <v>1213</v>
      </c>
      <c r="AH309" s="4" t="s">
        <v>128</v>
      </c>
      <c r="AI309" s="4" t="s">
        <v>128</v>
      </c>
      <c r="AJ309" s="4" t="s">
        <v>127</v>
      </c>
      <c r="AK309" s="4" t="s">
        <v>127</v>
      </c>
      <c r="AL309" s="4" t="s">
        <v>127</v>
      </c>
      <c r="AM309" s="4" t="s">
        <v>127</v>
      </c>
      <c r="AN309" s="4" t="s">
        <v>127</v>
      </c>
      <c r="AO309" s="4" t="s">
        <v>127</v>
      </c>
      <c r="AP309" s="4" t="s">
        <v>127</v>
      </c>
      <c r="AQ309" s="4" t="s">
        <v>127</v>
      </c>
      <c r="AR309" s="4" t="s">
        <v>127</v>
      </c>
      <c r="AS309" s="4" t="s">
        <v>127</v>
      </c>
      <c r="AT309" s="4" t="s">
        <v>127</v>
      </c>
      <c r="AU309" s="4" t="s">
        <v>127</v>
      </c>
      <c r="AV309" s="4" t="s">
        <v>127</v>
      </c>
      <c r="AW309" s="4" t="s">
        <v>127</v>
      </c>
      <c r="AX309" s="4" t="s">
        <v>127</v>
      </c>
      <c r="AY309" s="96" t="s">
        <v>1593</v>
      </c>
      <c r="AZ309" s="96" t="s">
        <v>1594</v>
      </c>
      <c r="BA309" s="96" t="s">
        <v>1604</v>
      </c>
      <c r="BB309" s="4" t="s">
        <v>1605</v>
      </c>
      <c r="BC309" s="4" t="s">
        <v>1606</v>
      </c>
      <c r="BD309" s="4" t="s">
        <v>1607</v>
      </c>
      <c r="BE309" s="4" t="s">
        <v>127</v>
      </c>
      <c r="BF309" s="4" t="s">
        <v>200</v>
      </c>
      <c r="BG309" s="4" t="s">
        <v>200</v>
      </c>
      <c r="BH309" s="4" t="s">
        <v>200</v>
      </c>
      <c r="BI309" s="4" t="s">
        <v>200</v>
      </c>
      <c r="BJ309" s="4" t="s">
        <v>200</v>
      </c>
      <c r="BK309" s="4" t="s">
        <v>200</v>
      </c>
      <c r="BL309" s="4" t="s">
        <v>200</v>
      </c>
      <c r="BM309" s="4" t="s">
        <v>200</v>
      </c>
      <c r="BN309" s="4" t="s">
        <v>200</v>
      </c>
      <c r="BO309" s="4" t="s">
        <v>200</v>
      </c>
    </row>
    <row r="310" spans="1:67" ht="16" x14ac:dyDescent="0.4">
      <c r="A310" s="4" t="s">
        <v>1601</v>
      </c>
      <c r="B310" s="4" t="s">
        <v>1610</v>
      </c>
      <c r="C310" s="4" t="s">
        <v>127</v>
      </c>
      <c r="D310" s="4" t="s">
        <v>128</v>
      </c>
      <c r="E310" s="189">
        <v>45686</v>
      </c>
      <c r="F310" s="6">
        <f t="shared" si="17"/>
        <v>2025</v>
      </c>
      <c r="G310" s="4" t="s">
        <v>1611</v>
      </c>
      <c r="H310" s="22" t="str">
        <f>VLOOKUP($G310,'Item Classification'!B:C,2,0)</f>
        <v>Vehicle-mounted weapons system</v>
      </c>
      <c r="I310" s="6" t="str">
        <f>VLOOKUP($G310,'Item Classification'!B:D,3,0)</f>
        <v>Other</v>
      </c>
      <c r="J310" s="23">
        <f>VLOOKUP($G310,'Item Classification'!B:E,4,0)</f>
        <v>16</v>
      </c>
      <c r="K310" s="116" t="s">
        <v>580</v>
      </c>
      <c r="L310" s="116" t="s">
        <v>581</v>
      </c>
      <c r="M310" s="116" t="str">
        <f>VLOOKUP(L310,'NATO Classifications'!$D$6:$E$647,2,0)</f>
        <v>Optical Sighting and Ranging Equipment</v>
      </c>
      <c r="N310" s="4">
        <v>126</v>
      </c>
      <c r="O310" s="81"/>
      <c r="P310" s="81"/>
      <c r="Q310" s="4">
        <v>2026</v>
      </c>
      <c r="R310" s="4">
        <v>2027</v>
      </c>
      <c r="S310" s="4"/>
      <c r="T310" s="91" t="s">
        <v>132</v>
      </c>
      <c r="U310" s="104">
        <f>_xlfn.IFNA(S310/INDEX('Exchange Rates'!$C$7:$F$14,MATCH('MAIN DATA, Orders'!F310,'Exchange Rates'!$B$7:$B$14,0),MATCH('MAIN DATA, Orders'!T310,'Exchange Rates'!$C$6:$F$6,0)), "-")</f>
        <v>0</v>
      </c>
      <c r="V310" s="4" t="s">
        <v>682</v>
      </c>
      <c r="W310" s="4" t="s">
        <v>127</v>
      </c>
      <c r="X310" s="4" t="s">
        <v>128</v>
      </c>
      <c r="Y310" s="24">
        <f t="shared" si="20"/>
        <v>202501</v>
      </c>
      <c r="Z310" s="115">
        <v>1</v>
      </c>
      <c r="AA310" s="115">
        <v>0</v>
      </c>
      <c r="AB310" s="115">
        <v>0</v>
      </c>
      <c r="AC310" s="115">
        <v>1</v>
      </c>
      <c r="AD310" s="115">
        <v>0</v>
      </c>
      <c r="AE310" s="115">
        <v>0</v>
      </c>
      <c r="AF310" s="115">
        <v>0</v>
      </c>
      <c r="AG310" s="4" t="s">
        <v>1612</v>
      </c>
      <c r="AH310" s="4" t="s">
        <v>128</v>
      </c>
      <c r="AI310" s="4" t="s">
        <v>128</v>
      </c>
      <c r="AJ310" s="4" t="s">
        <v>127</v>
      </c>
      <c r="AK310" s="4" t="s">
        <v>127</v>
      </c>
      <c r="AL310" s="4" t="s">
        <v>127</v>
      </c>
      <c r="AM310" s="4" t="s">
        <v>127</v>
      </c>
      <c r="AN310" s="4" t="s">
        <v>127</v>
      </c>
      <c r="AO310" s="4" t="s">
        <v>127</v>
      </c>
      <c r="AP310" s="4" t="s">
        <v>127</v>
      </c>
      <c r="AQ310" s="4" t="s">
        <v>127</v>
      </c>
      <c r="AR310" s="4" t="s">
        <v>127</v>
      </c>
      <c r="AS310" s="4" t="s">
        <v>127</v>
      </c>
      <c r="AT310" s="4" t="s">
        <v>127</v>
      </c>
      <c r="AU310" s="4" t="s">
        <v>127</v>
      </c>
      <c r="AV310" s="4" t="s">
        <v>127</v>
      </c>
      <c r="AW310" s="4" t="s">
        <v>127</v>
      </c>
      <c r="AX310" s="4" t="s">
        <v>127</v>
      </c>
      <c r="AY310" s="96" t="s">
        <v>1593</v>
      </c>
      <c r="AZ310" s="96" t="s">
        <v>1594</v>
      </c>
      <c r="BA310" s="96" t="s">
        <v>1604</v>
      </c>
      <c r="BB310" s="4" t="s">
        <v>1605</v>
      </c>
      <c r="BC310" s="4" t="s">
        <v>1606</v>
      </c>
      <c r="BD310" s="4" t="s">
        <v>1607</v>
      </c>
      <c r="BE310" s="4" t="s">
        <v>127</v>
      </c>
      <c r="BF310" s="4" t="s">
        <v>200</v>
      </c>
      <c r="BG310" s="4" t="s">
        <v>200</v>
      </c>
      <c r="BH310" s="4" t="s">
        <v>200</v>
      </c>
      <c r="BI310" s="4" t="s">
        <v>200</v>
      </c>
      <c r="BJ310" s="4" t="s">
        <v>200</v>
      </c>
      <c r="BK310" s="4" t="s">
        <v>200</v>
      </c>
      <c r="BL310" s="4" t="s">
        <v>200</v>
      </c>
      <c r="BM310" s="4" t="s">
        <v>200</v>
      </c>
      <c r="BN310" s="4" t="s">
        <v>200</v>
      </c>
      <c r="BO310" s="4" t="s">
        <v>200</v>
      </c>
    </row>
    <row r="311" spans="1:67" ht="16" x14ac:dyDescent="0.4">
      <c r="A311" s="4" t="s">
        <v>1613</v>
      </c>
      <c r="B311" s="4" t="s">
        <v>1613</v>
      </c>
      <c r="C311" s="4" t="s">
        <v>127</v>
      </c>
      <c r="D311" s="4" t="s">
        <v>128</v>
      </c>
      <c r="E311" s="189">
        <v>45686</v>
      </c>
      <c r="F311" s="6">
        <f t="shared" si="17"/>
        <v>2025</v>
      </c>
      <c r="G311" s="4" t="s">
        <v>127</v>
      </c>
      <c r="H311" s="22" t="s">
        <v>1614</v>
      </c>
      <c r="I311" s="6" t="s">
        <v>315</v>
      </c>
      <c r="J311" s="23">
        <v>6</v>
      </c>
      <c r="K311" s="116" t="s">
        <v>211</v>
      </c>
      <c r="L311" s="116" t="s">
        <v>326</v>
      </c>
      <c r="M311" s="116" t="str">
        <f>VLOOKUP(L311,'NATO Classifications'!$D$6:$E$647,2,0)</f>
        <v>Guided Missile Systems, Complete</v>
      </c>
      <c r="N311" s="4"/>
      <c r="O311" s="81"/>
      <c r="P311" s="81"/>
      <c r="Q311" s="4"/>
      <c r="R311" s="4"/>
      <c r="S311" s="112">
        <v>103000000</v>
      </c>
      <c r="T311" s="91" t="s">
        <v>132</v>
      </c>
      <c r="U311" s="104">
        <f>_xlfn.IFNA(S311/INDEX('Exchange Rates'!$C$7:$F$14,MATCH('MAIN DATA, Orders'!F311,'Exchange Rates'!$B$7:$B$14,0),MATCH('MAIN DATA, Orders'!T311,'Exchange Rates'!$C$6:$F$6,0)), "-")</f>
        <v>103000000</v>
      </c>
      <c r="V311" s="4" t="s">
        <v>682</v>
      </c>
      <c r="W311" s="4" t="s">
        <v>127</v>
      </c>
      <c r="X311" s="4" t="s">
        <v>128</v>
      </c>
      <c r="Y311" s="24">
        <f t="shared" si="20"/>
        <v>202501</v>
      </c>
      <c r="Z311" s="115">
        <v>1</v>
      </c>
      <c r="AA311" s="115">
        <v>0</v>
      </c>
      <c r="AB311" s="115">
        <v>0</v>
      </c>
      <c r="AC311" s="115">
        <v>1</v>
      </c>
      <c r="AD311" s="115">
        <v>0</v>
      </c>
      <c r="AE311" s="115">
        <v>0</v>
      </c>
      <c r="AF311" s="115">
        <v>0</v>
      </c>
      <c r="AG311" s="4" t="s">
        <v>1504</v>
      </c>
      <c r="AH311" s="4" t="s">
        <v>128</v>
      </c>
      <c r="AI311" s="4" t="s">
        <v>127</v>
      </c>
      <c r="AJ311" s="4" t="s">
        <v>127</v>
      </c>
      <c r="AK311" s="4" t="s">
        <v>127</v>
      </c>
      <c r="AL311" s="4" t="s">
        <v>127</v>
      </c>
      <c r="AM311" s="4" t="s">
        <v>127</v>
      </c>
      <c r="AN311" s="4" t="s">
        <v>127</v>
      </c>
      <c r="AO311" s="4" t="s">
        <v>127</v>
      </c>
      <c r="AP311" s="4" t="s">
        <v>127</v>
      </c>
      <c r="AQ311" s="4" t="s">
        <v>127</v>
      </c>
      <c r="AR311" s="4" t="s">
        <v>127</v>
      </c>
      <c r="AS311" s="4" t="s">
        <v>127</v>
      </c>
      <c r="AT311" s="4" t="s">
        <v>127</v>
      </c>
      <c r="AU311" s="4" t="s">
        <v>127</v>
      </c>
      <c r="AV311" s="4" t="s">
        <v>127</v>
      </c>
      <c r="AW311" s="4" t="s">
        <v>127</v>
      </c>
      <c r="AX311" s="4" t="s">
        <v>127</v>
      </c>
      <c r="AY311" s="96" t="s">
        <v>1593</v>
      </c>
      <c r="AZ311" s="96" t="s">
        <v>1594</v>
      </c>
      <c r="BA311" s="4" t="s">
        <v>127</v>
      </c>
      <c r="BB311" s="4" t="s">
        <v>1615</v>
      </c>
      <c r="BC311" s="4" t="s">
        <v>1616</v>
      </c>
      <c r="BD311" s="4" t="s">
        <v>127</v>
      </c>
      <c r="BE311" s="4" t="s">
        <v>127</v>
      </c>
      <c r="BF311" s="4" t="s">
        <v>200</v>
      </c>
      <c r="BG311" s="4" t="s">
        <v>200</v>
      </c>
      <c r="BH311" s="4" t="s">
        <v>200</v>
      </c>
      <c r="BI311" s="4" t="s">
        <v>200</v>
      </c>
      <c r="BJ311" s="4" t="s">
        <v>200</v>
      </c>
      <c r="BK311" s="4" t="s">
        <v>200</v>
      </c>
      <c r="BL311" s="4" t="s">
        <v>200</v>
      </c>
      <c r="BM311" s="4" t="s">
        <v>200</v>
      </c>
      <c r="BN311" s="4" t="s">
        <v>200</v>
      </c>
      <c r="BO311" s="4" t="s">
        <v>200</v>
      </c>
    </row>
    <row r="312" spans="1:67" ht="16" x14ac:dyDescent="0.4">
      <c r="A312" s="4" t="s">
        <v>1613</v>
      </c>
      <c r="B312" s="4" t="s">
        <v>1617</v>
      </c>
      <c r="C312" s="4" t="s">
        <v>127</v>
      </c>
      <c r="D312" s="4" t="s">
        <v>128</v>
      </c>
      <c r="E312" s="189">
        <v>45686</v>
      </c>
      <c r="F312" s="6">
        <f t="shared" si="17"/>
        <v>2025</v>
      </c>
      <c r="G312" s="4" t="s">
        <v>1618</v>
      </c>
      <c r="H312" s="22" t="str">
        <f>VLOOKUP($G312,'Item Classification'!B:C,2,0)</f>
        <v>Anti-tank missile system</v>
      </c>
      <c r="I312" s="6" t="str">
        <f>VLOOKUP($G312,'Item Classification'!B:D,3,0)</f>
        <v>Missile (Land)</v>
      </c>
      <c r="J312" s="23">
        <f>VLOOKUP($G312,'Item Classification'!B:E,4,0)</f>
        <v>6</v>
      </c>
      <c r="K312" s="116" t="s">
        <v>763</v>
      </c>
      <c r="L312" s="116" t="s">
        <v>1580</v>
      </c>
      <c r="M312" s="116" t="str">
        <f>VLOOKUP(L312,'NATO Classifications'!$D$6:$E$647,2,0)</f>
        <v>Launchers, Rocket and Pyrotechnic</v>
      </c>
      <c r="N312" s="4"/>
      <c r="O312" s="81"/>
      <c r="P312" s="81"/>
      <c r="Q312" s="4"/>
      <c r="R312" s="4"/>
      <c r="S312" s="4"/>
      <c r="T312" s="91" t="s">
        <v>132</v>
      </c>
      <c r="U312" s="104">
        <f>_xlfn.IFNA(S312/INDEX('Exchange Rates'!$C$7:$F$14,MATCH('MAIN DATA, Orders'!F312,'Exchange Rates'!$B$7:$B$14,0),MATCH('MAIN DATA, Orders'!T312,'Exchange Rates'!$C$6:$F$6,0)), "-")</f>
        <v>0</v>
      </c>
      <c r="V312" s="4" t="s">
        <v>682</v>
      </c>
      <c r="W312" s="4" t="s">
        <v>127</v>
      </c>
      <c r="X312" s="4" t="s">
        <v>128</v>
      </c>
      <c r="Y312" s="24">
        <f t="shared" si="20"/>
        <v>202501</v>
      </c>
      <c r="Z312" s="115">
        <v>1</v>
      </c>
      <c r="AA312" s="115">
        <v>0</v>
      </c>
      <c r="AB312" s="115">
        <v>0</v>
      </c>
      <c r="AC312" s="115">
        <v>1</v>
      </c>
      <c r="AD312" s="115">
        <v>0</v>
      </c>
      <c r="AE312" s="115">
        <v>0</v>
      </c>
      <c r="AF312" s="115">
        <v>0</v>
      </c>
      <c r="AG312" s="4" t="s">
        <v>1504</v>
      </c>
      <c r="AH312" s="4" t="s">
        <v>128</v>
      </c>
      <c r="AI312" s="4" t="s">
        <v>127</v>
      </c>
      <c r="AJ312" s="4" t="s">
        <v>127</v>
      </c>
      <c r="AK312" s="4" t="s">
        <v>127</v>
      </c>
      <c r="AL312" s="4" t="s">
        <v>127</v>
      </c>
      <c r="AM312" s="4" t="s">
        <v>127</v>
      </c>
      <c r="AN312" s="4" t="s">
        <v>127</v>
      </c>
      <c r="AO312" s="4" t="s">
        <v>127</v>
      </c>
      <c r="AP312" s="4" t="s">
        <v>127</v>
      </c>
      <c r="AQ312" s="4" t="s">
        <v>127</v>
      </c>
      <c r="AR312" s="4" t="s">
        <v>127</v>
      </c>
      <c r="AS312" s="4" t="s">
        <v>127</v>
      </c>
      <c r="AT312" s="4" t="s">
        <v>127</v>
      </c>
      <c r="AU312" s="4" t="s">
        <v>127</v>
      </c>
      <c r="AV312" s="4" t="s">
        <v>127</v>
      </c>
      <c r="AW312" s="4" t="s">
        <v>127</v>
      </c>
      <c r="AX312" s="4" t="s">
        <v>127</v>
      </c>
      <c r="AY312" s="96" t="s">
        <v>1593</v>
      </c>
      <c r="AZ312" s="96" t="s">
        <v>1594</v>
      </c>
      <c r="BA312" s="4" t="s">
        <v>127</v>
      </c>
      <c r="BB312" s="4" t="s">
        <v>1615</v>
      </c>
      <c r="BC312" s="4" t="s">
        <v>1616</v>
      </c>
      <c r="BD312" s="4" t="s">
        <v>127</v>
      </c>
      <c r="BE312" s="4" t="s">
        <v>127</v>
      </c>
      <c r="BF312" s="4" t="s">
        <v>200</v>
      </c>
      <c r="BG312" s="4" t="s">
        <v>200</v>
      </c>
      <c r="BH312" s="4" t="s">
        <v>200</v>
      </c>
      <c r="BI312" s="4" t="s">
        <v>200</v>
      </c>
      <c r="BJ312" s="4" t="s">
        <v>200</v>
      </c>
      <c r="BK312" s="4" t="s">
        <v>200</v>
      </c>
      <c r="BL312" s="4" t="s">
        <v>200</v>
      </c>
      <c r="BM312" s="4" t="s">
        <v>200</v>
      </c>
      <c r="BN312" s="4" t="s">
        <v>200</v>
      </c>
      <c r="BO312" s="4" t="s">
        <v>200</v>
      </c>
    </row>
    <row r="313" spans="1:67" ht="16" x14ac:dyDescent="0.4">
      <c r="A313" s="4" t="s">
        <v>1613</v>
      </c>
      <c r="B313" s="4" t="s">
        <v>1619</v>
      </c>
      <c r="C313" s="4" t="s">
        <v>127</v>
      </c>
      <c r="D313" s="4" t="s">
        <v>128</v>
      </c>
      <c r="E313" s="189">
        <v>45686</v>
      </c>
      <c r="F313" s="6">
        <f t="shared" si="17"/>
        <v>2025</v>
      </c>
      <c r="G313" s="4" t="s">
        <v>1620</v>
      </c>
      <c r="H313" s="22" t="str">
        <f>VLOOKUP($G313,'Item Classification'!B:C,2,0)</f>
        <v>Anti-tank missile</v>
      </c>
      <c r="I313" s="6" t="str">
        <f>VLOOKUP($G313,'Item Classification'!B:D,3,0)</f>
        <v>Missile (Land)</v>
      </c>
      <c r="J313" s="23">
        <f>VLOOKUP($G313,'Item Classification'!B:E,4,0)</f>
        <v>6</v>
      </c>
      <c r="K313" s="116" t="s">
        <v>189</v>
      </c>
      <c r="L313" s="116" t="s">
        <v>1221</v>
      </c>
      <c r="M313" s="116" t="str">
        <f>VLOOKUP(L313,'NATO Classifications'!$D$6:$E$647,2,0)</f>
        <v>Ammunition and Explosives (other)</v>
      </c>
      <c r="N313" s="4"/>
      <c r="O313" s="81"/>
      <c r="P313" s="81"/>
      <c r="Q313" s="4"/>
      <c r="R313" s="4"/>
      <c r="S313" s="4"/>
      <c r="T313" s="91" t="s">
        <v>132</v>
      </c>
      <c r="U313" s="104">
        <f>_xlfn.IFNA(S313/INDEX('Exchange Rates'!$C$7:$F$14,MATCH('MAIN DATA, Orders'!F313,'Exchange Rates'!$B$7:$B$14,0),MATCH('MAIN DATA, Orders'!T313,'Exchange Rates'!$C$6:$F$6,0)), "-")</f>
        <v>0</v>
      </c>
      <c r="V313" s="4" t="s">
        <v>682</v>
      </c>
      <c r="W313" s="4" t="s">
        <v>127</v>
      </c>
      <c r="X313" s="4" t="s">
        <v>128</v>
      </c>
      <c r="Y313" s="24">
        <f t="shared" si="20"/>
        <v>202501</v>
      </c>
      <c r="Z313" s="115">
        <v>1</v>
      </c>
      <c r="AA313" s="115">
        <v>0</v>
      </c>
      <c r="AB313" s="115">
        <v>0</v>
      </c>
      <c r="AC313" s="115">
        <v>1</v>
      </c>
      <c r="AD313" s="115">
        <v>0</v>
      </c>
      <c r="AE313" s="115">
        <v>0</v>
      </c>
      <c r="AF313" s="115">
        <v>0</v>
      </c>
      <c r="AG313" s="4" t="s">
        <v>1504</v>
      </c>
      <c r="AH313" s="4" t="s">
        <v>128</v>
      </c>
      <c r="AI313" s="4" t="s">
        <v>127</v>
      </c>
      <c r="AJ313" s="4" t="s">
        <v>127</v>
      </c>
      <c r="AK313" s="4" t="s">
        <v>127</v>
      </c>
      <c r="AL313" s="4" t="s">
        <v>127</v>
      </c>
      <c r="AM313" s="4" t="s">
        <v>127</v>
      </c>
      <c r="AN313" s="4" t="s">
        <v>127</v>
      </c>
      <c r="AO313" s="4" t="s">
        <v>127</v>
      </c>
      <c r="AP313" s="4" t="s">
        <v>127</v>
      </c>
      <c r="AQ313" s="4" t="s">
        <v>127</v>
      </c>
      <c r="AR313" s="4" t="s">
        <v>127</v>
      </c>
      <c r="AS313" s="4" t="s">
        <v>127</v>
      </c>
      <c r="AT313" s="4" t="s">
        <v>127</v>
      </c>
      <c r="AU313" s="4" t="s">
        <v>127</v>
      </c>
      <c r="AV313" s="4" t="s">
        <v>127</v>
      </c>
      <c r="AW313" s="4" t="s">
        <v>127</v>
      </c>
      <c r="AX313" s="4" t="s">
        <v>127</v>
      </c>
      <c r="AY313" s="96" t="s">
        <v>1593</v>
      </c>
      <c r="AZ313" s="96" t="s">
        <v>1594</v>
      </c>
      <c r="BA313" s="4" t="s">
        <v>127</v>
      </c>
      <c r="BB313" s="4" t="s">
        <v>1615</v>
      </c>
      <c r="BC313" s="4" t="s">
        <v>1616</v>
      </c>
      <c r="BD313" s="4" t="s">
        <v>127</v>
      </c>
      <c r="BE313" s="4" t="s">
        <v>127</v>
      </c>
      <c r="BF313" s="4" t="s">
        <v>200</v>
      </c>
      <c r="BG313" s="4"/>
      <c r="BH313" s="4" t="s">
        <v>200</v>
      </c>
      <c r="BI313" s="4" t="s">
        <v>200</v>
      </c>
      <c r="BJ313" s="4" t="s">
        <v>200</v>
      </c>
      <c r="BK313" s="4" t="s">
        <v>200</v>
      </c>
      <c r="BL313" s="4" t="s">
        <v>200</v>
      </c>
      <c r="BM313" s="4" t="s">
        <v>200</v>
      </c>
      <c r="BN313" s="4" t="s">
        <v>200</v>
      </c>
      <c r="BO313" s="4" t="s">
        <v>200</v>
      </c>
    </row>
    <row r="314" spans="1:67" ht="16" x14ac:dyDescent="0.4">
      <c r="A314" s="4" t="s">
        <v>1613</v>
      </c>
      <c r="B314" s="4" t="s">
        <v>1621</v>
      </c>
      <c r="C314" s="4" t="s">
        <v>127</v>
      </c>
      <c r="D314" s="4" t="s">
        <v>128</v>
      </c>
      <c r="E314" s="189">
        <v>45686</v>
      </c>
      <c r="F314" s="6">
        <f t="shared" si="17"/>
        <v>2025</v>
      </c>
      <c r="G314" s="4" t="s">
        <v>1622</v>
      </c>
      <c r="H314" s="22" t="str">
        <f>VLOOKUP($G314,'Item Classification'!B:C,2,0)</f>
        <v>Anti-tank missile system</v>
      </c>
      <c r="I314" s="6" t="str">
        <f>VLOOKUP($G314,'Item Classification'!B:D,3,0)</f>
        <v>Missile (Land)</v>
      </c>
      <c r="J314" s="23">
        <f>VLOOKUP($G314,'Item Classification'!B:E,4,0)</f>
        <v>6</v>
      </c>
      <c r="K314" s="116" t="s">
        <v>763</v>
      </c>
      <c r="L314" s="116" t="s">
        <v>1580</v>
      </c>
      <c r="M314" s="116" t="str">
        <f>VLOOKUP(L314,'NATO Classifications'!$D$6:$E$647,2,0)</f>
        <v>Launchers, Rocket and Pyrotechnic</v>
      </c>
      <c r="N314" s="4"/>
      <c r="O314" s="81"/>
      <c r="P314" s="81"/>
      <c r="Q314" s="4"/>
      <c r="R314" s="4"/>
      <c r="S314" s="4"/>
      <c r="T314" s="91" t="s">
        <v>132</v>
      </c>
      <c r="U314" s="104">
        <f>_xlfn.IFNA(S314/INDEX('Exchange Rates'!$C$7:$F$14,MATCH('MAIN DATA, Orders'!F314,'Exchange Rates'!$B$7:$B$14,0),MATCH('MAIN DATA, Orders'!T314,'Exchange Rates'!$C$6:$F$6,0)), "-")</f>
        <v>0</v>
      </c>
      <c r="V314" s="4" t="s">
        <v>682</v>
      </c>
      <c r="W314" s="4" t="s">
        <v>127</v>
      </c>
      <c r="X314" s="4" t="s">
        <v>128</v>
      </c>
      <c r="Y314" s="24">
        <f t="shared" si="20"/>
        <v>202501</v>
      </c>
      <c r="Z314" s="115">
        <v>1</v>
      </c>
      <c r="AA314" s="115">
        <v>0</v>
      </c>
      <c r="AB314" s="115">
        <v>0</v>
      </c>
      <c r="AC314" s="115">
        <v>1</v>
      </c>
      <c r="AD314" s="115">
        <v>0</v>
      </c>
      <c r="AE314" s="115">
        <v>0</v>
      </c>
      <c r="AF314" s="115">
        <v>0</v>
      </c>
      <c r="AG314" s="4" t="s">
        <v>1504</v>
      </c>
      <c r="AH314" s="4" t="s">
        <v>128</v>
      </c>
      <c r="AI314" s="4" t="s">
        <v>127</v>
      </c>
      <c r="AJ314" s="4" t="s">
        <v>127</v>
      </c>
      <c r="AK314" s="4" t="s">
        <v>127</v>
      </c>
      <c r="AL314" s="4" t="s">
        <v>127</v>
      </c>
      <c r="AM314" s="4" t="s">
        <v>127</v>
      </c>
      <c r="AN314" s="4" t="s">
        <v>127</v>
      </c>
      <c r="AO314" s="4" t="s">
        <v>127</v>
      </c>
      <c r="AP314" s="4" t="s">
        <v>127</v>
      </c>
      <c r="AQ314" s="4" t="s">
        <v>127</v>
      </c>
      <c r="AR314" s="4" t="s">
        <v>127</v>
      </c>
      <c r="AS314" s="4" t="s">
        <v>127</v>
      </c>
      <c r="AT314" s="4" t="s">
        <v>127</v>
      </c>
      <c r="AU314" s="4" t="s">
        <v>127</v>
      </c>
      <c r="AV314" s="4" t="s">
        <v>127</v>
      </c>
      <c r="AW314" s="4" t="s">
        <v>127</v>
      </c>
      <c r="AX314" s="4" t="s">
        <v>127</v>
      </c>
      <c r="AY314" s="96" t="s">
        <v>1593</v>
      </c>
      <c r="AZ314" s="96" t="s">
        <v>1594</v>
      </c>
      <c r="BA314" s="4" t="s">
        <v>127</v>
      </c>
      <c r="BB314" s="4" t="s">
        <v>1615</v>
      </c>
      <c r="BC314" s="4" t="s">
        <v>1616</v>
      </c>
      <c r="BD314" s="4" t="s">
        <v>127</v>
      </c>
      <c r="BE314" s="4" t="s">
        <v>127</v>
      </c>
      <c r="BF314" s="4" t="s">
        <v>200</v>
      </c>
      <c r="BG314" s="4"/>
      <c r="BH314" s="4" t="s">
        <v>200</v>
      </c>
      <c r="BI314" s="4" t="s">
        <v>200</v>
      </c>
      <c r="BJ314" s="4" t="s">
        <v>200</v>
      </c>
      <c r="BK314" s="4" t="s">
        <v>200</v>
      </c>
      <c r="BL314" s="4" t="s">
        <v>200</v>
      </c>
      <c r="BM314" s="4" t="s">
        <v>200</v>
      </c>
      <c r="BN314" s="4" t="s">
        <v>200</v>
      </c>
      <c r="BO314" s="4" t="s">
        <v>200</v>
      </c>
    </row>
    <row r="315" spans="1:67" ht="16" x14ac:dyDescent="0.4">
      <c r="A315" s="4" t="s">
        <v>1613</v>
      </c>
      <c r="B315" s="4" t="s">
        <v>1623</v>
      </c>
      <c r="C315" s="4" t="s">
        <v>127</v>
      </c>
      <c r="D315" s="4" t="s">
        <v>128</v>
      </c>
      <c r="E315" s="189">
        <v>45686</v>
      </c>
      <c r="F315" s="6">
        <f t="shared" si="17"/>
        <v>2025</v>
      </c>
      <c r="G315" s="4" t="s">
        <v>1624</v>
      </c>
      <c r="H315" s="22" t="str">
        <f>VLOOKUP($G315,'Item Classification'!B:C,2,0)</f>
        <v>Anti-tank missile</v>
      </c>
      <c r="I315" s="6" t="str">
        <f>VLOOKUP($G315,'Item Classification'!B:D,3,0)</f>
        <v>Missile (Land)</v>
      </c>
      <c r="J315" s="23">
        <f>VLOOKUP($G315,'Item Classification'!B:E,4,0)</f>
        <v>6</v>
      </c>
      <c r="K315" s="116" t="s">
        <v>189</v>
      </c>
      <c r="L315" s="116" t="s">
        <v>1221</v>
      </c>
      <c r="M315" s="116" t="str">
        <f>VLOOKUP(L315,'NATO Classifications'!$D$6:$E$647,2,0)</f>
        <v>Ammunition and Explosives (other)</v>
      </c>
      <c r="N315" s="4"/>
      <c r="O315" s="81"/>
      <c r="P315" s="81"/>
      <c r="Q315" s="4"/>
      <c r="R315" s="4"/>
      <c r="S315" s="4"/>
      <c r="T315" s="91" t="s">
        <v>132</v>
      </c>
      <c r="U315" s="104">
        <f>_xlfn.IFNA(S315/INDEX('Exchange Rates'!$C$7:$F$14,MATCH('MAIN DATA, Orders'!F315,'Exchange Rates'!$B$7:$B$14,0),MATCH('MAIN DATA, Orders'!T315,'Exchange Rates'!$C$6:$F$6,0)), "-")</f>
        <v>0</v>
      </c>
      <c r="V315" s="4" t="s">
        <v>682</v>
      </c>
      <c r="W315" s="4" t="s">
        <v>127</v>
      </c>
      <c r="X315" s="4" t="s">
        <v>128</v>
      </c>
      <c r="Y315" s="24">
        <f t="shared" si="20"/>
        <v>202501</v>
      </c>
      <c r="Z315" s="115">
        <v>1</v>
      </c>
      <c r="AA315" s="115">
        <v>0</v>
      </c>
      <c r="AB315" s="115">
        <v>0</v>
      </c>
      <c r="AC315" s="115">
        <v>1</v>
      </c>
      <c r="AD315" s="115">
        <v>0</v>
      </c>
      <c r="AE315" s="115">
        <v>0</v>
      </c>
      <c r="AF315" s="115">
        <v>0</v>
      </c>
      <c r="AG315" s="4" t="s">
        <v>1504</v>
      </c>
      <c r="AH315" s="4" t="s">
        <v>128</v>
      </c>
      <c r="AI315" s="4" t="s">
        <v>127</v>
      </c>
      <c r="AJ315" s="4" t="s">
        <v>127</v>
      </c>
      <c r="AK315" s="4" t="s">
        <v>127</v>
      </c>
      <c r="AL315" s="4" t="s">
        <v>127</v>
      </c>
      <c r="AM315" s="4" t="s">
        <v>127</v>
      </c>
      <c r="AN315" s="4" t="s">
        <v>127</v>
      </c>
      <c r="AO315" s="4" t="s">
        <v>127</v>
      </c>
      <c r="AP315" s="4" t="s">
        <v>127</v>
      </c>
      <c r="AQ315" s="4" t="s">
        <v>127</v>
      </c>
      <c r="AR315" s="4" t="s">
        <v>127</v>
      </c>
      <c r="AS315" s="4" t="s">
        <v>127</v>
      </c>
      <c r="AT315" s="4" t="s">
        <v>127</v>
      </c>
      <c r="AU315" s="4" t="s">
        <v>127</v>
      </c>
      <c r="AV315" s="4" t="s">
        <v>127</v>
      </c>
      <c r="AW315" s="4" t="s">
        <v>127</v>
      </c>
      <c r="AX315" s="4" t="s">
        <v>127</v>
      </c>
      <c r="AY315" s="96" t="s">
        <v>1593</v>
      </c>
      <c r="AZ315" s="96" t="s">
        <v>1594</v>
      </c>
      <c r="BA315" s="4" t="s">
        <v>127</v>
      </c>
      <c r="BB315" s="4" t="s">
        <v>1615</v>
      </c>
      <c r="BC315" s="4" t="s">
        <v>1616</v>
      </c>
      <c r="BD315" s="4" t="s">
        <v>127</v>
      </c>
      <c r="BE315" s="4" t="s">
        <v>127</v>
      </c>
      <c r="BF315" s="4" t="s">
        <v>200</v>
      </c>
      <c r="BG315" s="4"/>
      <c r="BH315" s="4" t="s">
        <v>200</v>
      </c>
      <c r="BI315" s="4" t="s">
        <v>200</v>
      </c>
      <c r="BJ315" s="4" t="s">
        <v>200</v>
      </c>
      <c r="BK315" s="4" t="s">
        <v>200</v>
      </c>
      <c r="BL315" s="4" t="s">
        <v>200</v>
      </c>
      <c r="BM315" s="4" t="s">
        <v>200</v>
      </c>
      <c r="BN315" s="4" t="s">
        <v>200</v>
      </c>
      <c r="BO315" s="4" t="s">
        <v>200</v>
      </c>
    </row>
    <row r="316" spans="1:67" ht="16" x14ac:dyDescent="0.4">
      <c r="A316" s="4" t="s">
        <v>1625</v>
      </c>
      <c r="B316" s="4" t="s">
        <v>1625</v>
      </c>
      <c r="C316" s="4" t="s">
        <v>127</v>
      </c>
      <c r="D316" s="4" t="s">
        <v>128</v>
      </c>
      <c r="E316" s="189">
        <v>45686</v>
      </c>
      <c r="F316" s="6">
        <f t="shared" si="17"/>
        <v>2025</v>
      </c>
      <c r="G316" s="4" t="s">
        <v>658</v>
      </c>
      <c r="H316" s="22" t="str">
        <f>VLOOKUP($G316,'Item Classification'!B:C,2,0)</f>
        <v>Clothing and personal equipment</v>
      </c>
      <c r="I316" s="6" t="str">
        <f>VLOOKUP($G316,'Item Classification'!B:D,3,0)</f>
        <v>Modernisation</v>
      </c>
      <c r="J316" s="23">
        <f>VLOOKUP($G316,'Item Classification'!B:E,4,0)</f>
        <v>13</v>
      </c>
      <c r="K316" s="116" t="s">
        <v>221</v>
      </c>
      <c r="L316" s="116" t="s">
        <v>222</v>
      </c>
      <c r="M316" s="116" t="str">
        <f>VLOOKUP(L316,'NATO Classifications'!$D$6:$E$647,2,0)</f>
        <v>Clothing, Special Purpose</v>
      </c>
      <c r="N316" s="4"/>
      <c r="O316" s="81"/>
      <c r="P316" s="81"/>
      <c r="Q316" s="4">
        <v>2025</v>
      </c>
      <c r="R316" s="4">
        <v>2027</v>
      </c>
      <c r="S316" s="112">
        <v>417700000</v>
      </c>
      <c r="T316" s="91" t="s">
        <v>132</v>
      </c>
      <c r="U316" s="104">
        <f>_xlfn.IFNA(S316/INDEX('Exchange Rates'!$C$7:$F$14,MATCH('MAIN DATA, Orders'!F316,'Exchange Rates'!$B$7:$B$14,0),MATCH('MAIN DATA, Orders'!T316,'Exchange Rates'!$C$6:$F$6,0)), "-")</f>
        <v>417700000</v>
      </c>
      <c r="V316" s="4" t="s">
        <v>682</v>
      </c>
      <c r="W316" s="4" t="s">
        <v>133</v>
      </c>
      <c r="X316" s="4" t="s">
        <v>128</v>
      </c>
      <c r="Y316" s="24">
        <f t="shared" si="20"/>
        <v>202501</v>
      </c>
      <c r="Z316" s="115">
        <v>1</v>
      </c>
      <c r="AA316" s="115">
        <v>0</v>
      </c>
      <c r="AB316" s="115">
        <v>0</v>
      </c>
      <c r="AC316" s="115">
        <v>1</v>
      </c>
      <c r="AD316" s="115">
        <v>0</v>
      </c>
      <c r="AE316" s="115">
        <v>0</v>
      </c>
      <c r="AF316" s="115">
        <v>0</v>
      </c>
      <c r="AG316" s="4" t="s">
        <v>1612</v>
      </c>
      <c r="AH316" s="4" t="s">
        <v>128</v>
      </c>
      <c r="AI316" s="4" t="s">
        <v>127</v>
      </c>
      <c r="AJ316" s="4" t="s">
        <v>127</v>
      </c>
      <c r="AK316" s="4" t="s">
        <v>127</v>
      </c>
      <c r="AL316" s="4" t="s">
        <v>127</v>
      </c>
      <c r="AM316" s="4" t="s">
        <v>127</v>
      </c>
      <c r="AN316" s="4" t="s">
        <v>127</v>
      </c>
      <c r="AO316" s="4" t="s">
        <v>127</v>
      </c>
      <c r="AP316" s="4" t="s">
        <v>127</v>
      </c>
      <c r="AQ316" s="4" t="s">
        <v>127</v>
      </c>
      <c r="AR316" s="4" t="s">
        <v>127</v>
      </c>
      <c r="AS316" s="4" t="s">
        <v>127</v>
      </c>
      <c r="AT316" s="4" t="s">
        <v>127</v>
      </c>
      <c r="AU316" s="4" t="s">
        <v>127</v>
      </c>
      <c r="AV316" s="4" t="s">
        <v>127</v>
      </c>
      <c r="AW316" s="4" t="s">
        <v>127</v>
      </c>
      <c r="AX316" s="4" t="s">
        <v>127</v>
      </c>
      <c r="AY316" s="99" t="s">
        <v>1593</v>
      </c>
      <c r="AZ316" s="99" t="s">
        <v>1594</v>
      </c>
      <c r="BA316" s="99" t="s">
        <v>1626</v>
      </c>
      <c r="BB316" s="4" t="s">
        <v>1627</v>
      </c>
      <c r="BC316" s="4" t="s">
        <v>1628</v>
      </c>
      <c r="BD316" s="4" t="s">
        <v>1629</v>
      </c>
      <c r="BE316" s="4" t="s">
        <v>127</v>
      </c>
      <c r="BF316" s="4"/>
      <c r="BG316" s="4"/>
      <c r="BH316" s="4"/>
      <c r="BI316" s="4"/>
      <c r="BJ316" s="4"/>
      <c r="BK316" s="4"/>
      <c r="BL316" s="4"/>
      <c r="BM316" s="4"/>
      <c r="BN316" s="4"/>
      <c r="BO316" s="4"/>
    </row>
    <row r="317" spans="1:67" s="4" customFormat="1" ht="16" x14ac:dyDescent="0.4">
      <c r="A317" s="4" t="s">
        <v>1630</v>
      </c>
      <c r="B317" s="4" t="s">
        <v>1630</v>
      </c>
      <c r="C317" s="4" t="s">
        <v>127</v>
      </c>
      <c r="D317" s="4" t="s">
        <v>128</v>
      </c>
      <c r="E317" s="190">
        <v>45812</v>
      </c>
      <c r="F317" s="4">
        <v>2025</v>
      </c>
      <c r="G317" s="4" t="s">
        <v>1631</v>
      </c>
      <c r="H317" s="22" t="str">
        <f>VLOOKUP($G317,'Item Classification'!B:C,2,0)</f>
        <v>Air-launched cruise missile</v>
      </c>
      <c r="I317" s="6" t="str">
        <f>VLOOKUP($G317,'Item Classification'!B:D,3,0)</f>
        <v>Missile (Air)</v>
      </c>
      <c r="J317" s="23">
        <f>VLOOKUP($G317,'Item Classification'!B:E,4,0)</f>
        <v>6</v>
      </c>
      <c r="K317" s="116" t="s">
        <v>211</v>
      </c>
      <c r="L317" s="116" t="s">
        <v>211</v>
      </c>
      <c r="M317" s="116" t="str">
        <f>VLOOKUP(L317,'NATO Classifications'!$D$6:$E$647,2,0)</f>
        <v>Guided Missiles</v>
      </c>
      <c r="S317" s="112">
        <v>564000000</v>
      </c>
      <c r="T317" s="91" t="s">
        <v>132</v>
      </c>
      <c r="U317" s="104">
        <f>_xlfn.IFNA(S317/INDEX('Exchange Rates'!$C$7:$F$14,MATCH('MAIN DATA, Orders'!F317,'Exchange Rates'!$B$7:$B$14,0),MATCH('MAIN DATA, Orders'!T317,'Exchange Rates'!$C$6:$F$6,0)), "-")</f>
        <v>564000000</v>
      </c>
      <c r="V317" s="4" t="s">
        <v>682</v>
      </c>
      <c r="W317" s="4" t="s">
        <v>127</v>
      </c>
      <c r="X317" s="4" t="s">
        <v>128</v>
      </c>
      <c r="Y317" s="24">
        <f t="shared" si="20"/>
        <v>202506</v>
      </c>
      <c r="Z317" s="115">
        <v>0</v>
      </c>
      <c r="AA317" s="115">
        <v>0</v>
      </c>
      <c r="AB317" s="115">
        <v>0</v>
      </c>
      <c r="AC317" s="115">
        <v>1</v>
      </c>
      <c r="AD317" s="115">
        <v>0</v>
      </c>
      <c r="AE317" s="115">
        <v>1</v>
      </c>
      <c r="AF317" s="115">
        <v>0</v>
      </c>
      <c r="AG317" s="4" t="s">
        <v>1632</v>
      </c>
      <c r="AH317" s="4" t="s">
        <v>468</v>
      </c>
      <c r="AI317" s="4" t="s">
        <v>468</v>
      </c>
      <c r="AJ317" s="4" t="s">
        <v>1633</v>
      </c>
      <c r="AK317" s="4" t="s">
        <v>127</v>
      </c>
      <c r="AL317" s="4" t="s">
        <v>127</v>
      </c>
      <c r="AM317" s="4" t="s">
        <v>127</v>
      </c>
      <c r="AN317" s="4" t="s">
        <v>196</v>
      </c>
      <c r="AO317" s="4" t="s">
        <v>127</v>
      </c>
      <c r="AP317" s="4" t="s">
        <v>127</v>
      </c>
      <c r="AQ317" s="4" t="s">
        <v>127</v>
      </c>
      <c r="AR317" s="4" t="s">
        <v>127</v>
      </c>
      <c r="AS317" s="4" t="s">
        <v>127</v>
      </c>
      <c r="AT317" s="4" t="s">
        <v>127</v>
      </c>
      <c r="AU317" s="4" t="s">
        <v>127</v>
      </c>
      <c r="AV317" s="4" t="s">
        <v>127</v>
      </c>
      <c r="AW317" s="4" t="s">
        <v>127</v>
      </c>
      <c r="AX317" s="4" t="s">
        <v>127</v>
      </c>
      <c r="AY317" s="111" t="s">
        <v>1634</v>
      </c>
      <c r="AZ317" s="111" t="s">
        <v>1635</v>
      </c>
      <c r="BA317" s="111" t="s">
        <v>1636</v>
      </c>
      <c r="BB317" s="4" t="s">
        <v>1637</v>
      </c>
      <c r="BC317" s="4" t="s">
        <v>1638</v>
      </c>
      <c r="BD317" s="4" t="s">
        <v>127</v>
      </c>
      <c r="BE317" s="4" t="s">
        <v>127</v>
      </c>
    </row>
    <row r="318" spans="1:67" s="4" customFormat="1" ht="16" x14ac:dyDescent="0.4">
      <c r="A318" s="4" t="s">
        <v>1639</v>
      </c>
      <c r="B318" s="4" t="s">
        <v>1639</v>
      </c>
      <c r="C318" s="4" t="s">
        <v>127</v>
      </c>
      <c r="D318" s="4" t="s">
        <v>128</v>
      </c>
      <c r="E318" s="190">
        <v>45812</v>
      </c>
      <c r="F318" s="4">
        <v>2025</v>
      </c>
      <c r="G318" s="4" t="s">
        <v>1640</v>
      </c>
      <c r="H318" s="22" t="str">
        <f>VLOOKUP($G318,'Item Classification'!B:C,2,0)</f>
        <v>Anti-missile countermeasure system</v>
      </c>
      <c r="I318" s="6" t="str">
        <f>VLOOKUP($G318,'Item Classification'!B:D,3,0)</f>
        <v>Aircraft</v>
      </c>
      <c r="J318" s="23">
        <f>VLOOKUP($G318,'Item Classification'!B:E,4,0)</f>
        <v>11</v>
      </c>
      <c r="K318" s="116" t="s">
        <v>158</v>
      </c>
      <c r="L318" s="116" t="s">
        <v>379</v>
      </c>
      <c r="M318" s="116" t="str">
        <f>VLOOKUP(L318,'NATO Classifications'!$D$6:$E$647,2,0)</f>
        <v>Communication, Detection, and Coherent Radiation Equipment (other)</v>
      </c>
      <c r="S318" s="112">
        <v>364000000</v>
      </c>
      <c r="T318" s="91" t="s">
        <v>132</v>
      </c>
      <c r="U318" s="104">
        <f>_xlfn.IFNA(S318/INDEX('Exchange Rates'!$C$7:$F$14,MATCH('MAIN DATA, Orders'!F318,'Exchange Rates'!$B$7:$B$14,0),MATCH('MAIN DATA, Orders'!T318,'Exchange Rates'!$C$6:$F$6,0)), "-")</f>
        <v>364000000</v>
      </c>
      <c r="V318" s="4" t="s">
        <v>682</v>
      </c>
      <c r="W318" s="4" t="s">
        <v>133</v>
      </c>
      <c r="X318" s="4" t="s">
        <v>128</v>
      </c>
      <c r="Y318" s="24">
        <f t="shared" si="20"/>
        <v>202506</v>
      </c>
      <c r="Z318" s="115">
        <v>0</v>
      </c>
      <c r="AA318" s="115">
        <v>0</v>
      </c>
      <c r="AB318" s="115">
        <v>0</v>
      </c>
      <c r="AC318" s="115" t="s">
        <v>127</v>
      </c>
      <c r="AD318" s="115" t="s">
        <v>127</v>
      </c>
      <c r="AE318" s="115" t="s">
        <v>127</v>
      </c>
      <c r="AF318" s="115" t="s">
        <v>127</v>
      </c>
      <c r="AG318" s="4" t="s">
        <v>127</v>
      </c>
      <c r="AH318" s="4" t="s">
        <v>127</v>
      </c>
      <c r="AI318" s="4" t="s">
        <v>127</v>
      </c>
      <c r="AJ318" s="4" t="s">
        <v>127</v>
      </c>
      <c r="AK318" s="4" t="s">
        <v>127</v>
      </c>
      <c r="AL318" s="4" t="s">
        <v>127</v>
      </c>
      <c r="AM318" s="4" t="s">
        <v>127</v>
      </c>
      <c r="AN318" s="4" t="s">
        <v>127</v>
      </c>
      <c r="AO318" s="4" t="s">
        <v>127</v>
      </c>
      <c r="AP318" s="4" t="s">
        <v>127</v>
      </c>
      <c r="AQ318" s="4" t="s">
        <v>127</v>
      </c>
      <c r="AR318" s="4" t="s">
        <v>127</v>
      </c>
      <c r="AS318" s="4" t="s">
        <v>127</v>
      </c>
      <c r="AT318" s="4" t="s">
        <v>127</v>
      </c>
      <c r="AU318" s="4" t="s">
        <v>127</v>
      </c>
      <c r="AV318" s="4" t="s">
        <v>127</v>
      </c>
      <c r="AW318" s="4" t="s">
        <v>127</v>
      </c>
      <c r="AX318" s="4" t="s">
        <v>127</v>
      </c>
      <c r="AY318" s="111" t="s">
        <v>1634</v>
      </c>
      <c r="AZ318" s="111" t="s">
        <v>1635</v>
      </c>
      <c r="BA318" s="4" t="s">
        <v>127</v>
      </c>
      <c r="BB318" s="4" t="s">
        <v>1641</v>
      </c>
      <c r="BC318" s="4" t="s">
        <v>127</v>
      </c>
      <c r="BD318" s="4" t="s">
        <v>127</v>
      </c>
      <c r="BE318" s="4" t="s">
        <v>127</v>
      </c>
    </row>
    <row r="319" spans="1:67" s="4" customFormat="1" ht="16" x14ac:dyDescent="0.4">
      <c r="A319" s="4" t="s">
        <v>1642</v>
      </c>
      <c r="B319" s="4" t="s">
        <v>1642</v>
      </c>
      <c r="C319" s="4" t="s">
        <v>127</v>
      </c>
      <c r="D319" s="4" t="s">
        <v>128</v>
      </c>
      <c r="E319" s="190">
        <v>45812</v>
      </c>
      <c r="F319" s="4">
        <v>2025</v>
      </c>
      <c r="G319" s="4" t="s">
        <v>1643</v>
      </c>
      <c r="H319" s="22" t="str">
        <f>VLOOKUP($G319,'Item Classification'!B:C,2,0)</f>
        <v>Anti-missile countermeasure system</v>
      </c>
      <c r="I319" s="6" t="str">
        <f>VLOOKUP($G319,'Item Classification'!B:D,3,0)</f>
        <v>Aircraft</v>
      </c>
      <c r="J319" s="23">
        <f>VLOOKUP($G319,'Item Classification'!B:E,4,0)</f>
        <v>11</v>
      </c>
      <c r="K319" s="116" t="s">
        <v>158</v>
      </c>
      <c r="L319" s="116" t="s">
        <v>379</v>
      </c>
      <c r="M319" s="116" t="str">
        <f>VLOOKUP(L319,'NATO Classifications'!$D$6:$E$647,2,0)</f>
        <v>Communication, Detection, and Coherent Radiation Equipment (other)</v>
      </c>
      <c r="N319" s="4">
        <v>23</v>
      </c>
      <c r="O319" s="81">
        <f t="shared" ref="O319:O320" si="21">S319/N319</f>
        <v>7478260.8695652178</v>
      </c>
      <c r="P319" s="81">
        <f t="shared" ref="P319:P320" si="22">U319/N319</f>
        <v>7478260.8695652178</v>
      </c>
      <c r="S319" s="112">
        <v>172000000</v>
      </c>
      <c r="T319" s="91" t="s">
        <v>132</v>
      </c>
      <c r="U319" s="104">
        <f>_xlfn.IFNA(S319/INDEX('Exchange Rates'!$C$7:$F$14,MATCH('MAIN DATA, Orders'!F319,'Exchange Rates'!$B$7:$B$14,0),MATCH('MAIN DATA, Orders'!T319,'Exchange Rates'!$C$6:$F$6,0)), "-")</f>
        <v>172000000</v>
      </c>
      <c r="V319" s="4" t="s">
        <v>682</v>
      </c>
      <c r="W319" s="4" t="s">
        <v>133</v>
      </c>
      <c r="X319" s="4" t="s">
        <v>128</v>
      </c>
      <c r="Y319" s="24">
        <f t="shared" si="20"/>
        <v>202506</v>
      </c>
      <c r="Z319" s="115">
        <v>0</v>
      </c>
      <c r="AA319" s="115">
        <v>1</v>
      </c>
      <c r="AB319" s="115">
        <v>0</v>
      </c>
      <c r="AC319" s="115">
        <v>1</v>
      </c>
      <c r="AD319" s="115">
        <v>1</v>
      </c>
      <c r="AE319" s="115">
        <v>0</v>
      </c>
      <c r="AF319" s="115">
        <v>1</v>
      </c>
      <c r="AG319" s="4" t="s">
        <v>160</v>
      </c>
      <c r="AH319" s="4" t="s">
        <v>127</v>
      </c>
      <c r="AI319" s="4" t="s">
        <v>127</v>
      </c>
      <c r="AJ319" s="4" t="s">
        <v>127</v>
      </c>
      <c r="AK319" s="4" t="s">
        <v>127</v>
      </c>
      <c r="AL319" s="4" t="s">
        <v>127</v>
      </c>
      <c r="AM319" s="4" t="s">
        <v>127</v>
      </c>
      <c r="AN319" s="4" t="s">
        <v>127</v>
      </c>
      <c r="AO319" s="4" t="s">
        <v>127</v>
      </c>
      <c r="AP319" s="4" t="s">
        <v>127</v>
      </c>
      <c r="AQ319" s="4" t="s">
        <v>127</v>
      </c>
      <c r="AR319" s="4" t="s">
        <v>127</v>
      </c>
      <c r="AS319" s="4" t="s">
        <v>127</v>
      </c>
      <c r="AT319" s="4" t="s">
        <v>127</v>
      </c>
      <c r="AU319" s="4" t="s">
        <v>127</v>
      </c>
      <c r="AV319" s="4" t="s">
        <v>127</v>
      </c>
      <c r="AW319" s="4" t="s">
        <v>127</v>
      </c>
      <c r="AX319" s="4" t="s">
        <v>127</v>
      </c>
      <c r="AY319" s="111" t="s">
        <v>1634</v>
      </c>
      <c r="AZ319" s="111" t="s">
        <v>1635</v>
      </c>
      <c r="BA319" s="111" t="s">
        <v>1644</v>
      </c>
      <c r="BB319" s="4" t="s">
        <v>1645</v>
      </c>
      <c r="BC319" s="4" t="s">
        <v>127</v>
      </c>
      <c r="BD319" s="4" t="s">
        <v>127</v>
      </c>
      <c r="BE319" s="4" t="s">
        <v>127</v>
      </c>
    </row>
    <row r="320" spans="1:67" s="4" customFormat="1" ht="16" x14ac:dyDescent="0.4">
      <c r="A320" s="4" t="s">
        <v>1646</v>
      </c>
      <c r="B320" s="4" t="s">
        <v>1646</v>
      </c>
      <c r="C320" s="4" t="s">
        <v>127</v>
      </c>
      <c r="D320" s="4" t="s">
        <v>128</v>
      </c>
      <c r="E320" s="190">
        <v>45812</v>
      </c>
      <c r="F320" s="4">
        <v>2025</v>
      </c>
      <c r="G320" s="4" t="s">
        <v>1647</v>
      </c>
      <c r="H320" s="22" t="str">
        <f>VLOOKUP($G320,'Item Classification'!B:C,2,0)</f>
        <v>Anti-missile countermeasure system</v>
      </c>
      <c r="I320" s="6" t="str">
        <f>VLOOKUP($G320,'Item Classification'!B:D,3,0)</f>
        <v>Aircraft</v>
      </c>
      <c r="J320" s="23">
        <f>VLOOKUP($G320,'Item Classification'!B:E,4,0)</f>
        <v>11</v>
      </c>
      <c r="K320" s="116" t="s">
        <v>158</v>
      </c>
      <c r="L320" s="116" t="s">
        <v>379</v>
      </c>
      <c r="M320" s="116" t="str">
        <f>VLOOKUP(L320,'NATO Classifications'!$D$6:$E$647,2,0)</f>
        <v>Communication, Detection, and Coherent Radiation Equipment (other)</v>
      </c>
      <c r="N320" s="4">
        <v>23</v>
      </c>
      <c r="O320" s="81">
        <f t="shared" si="21"/>
        <v>11304347.826086957</v>
      </c>
      <c r="P320" s="81">
        <f t="shared" si="22"/>
        <v>11304347.826086957</v>
      </c>
      <c r="Q320" s="4">
        <v>2025</v>
      </c>
      <c r="R320" s="4">
        <v>2032</v>
      </c>
      <c r="S320" s="112">
        <v>260000000</v>
      </c>
      <c r="T320" s="91" t="s">
        <v>132</v>
      </c>
      <c r="U320" s="104">
        <f>_xlfn.IFNA(S320/INDEX('Exchange Rates'!$C$7:$F$14,MATCH('MAIN DATA, Orders'!F320,'Exchange Rates'!$B$7:$B$14,0),MATCH('MAIN DATA, Orders'!T320,'Exchange Rates'!$C$6:$F$6,0)), "-")</f>
        <v>260000000</v>
      </c>
      <c r="V320" s="4" t="s">
        <v>682</v>
      </c>
      <c r="W320" s="4" t="s">
        <v>133</v>
      </c>
      <c r="X320" s="4" t="s">
        <v>128</v>
      </c>
      <c r="Y320" s="24">
        <f t="shared" si="20"/>
        <v>202506</v>
      </c>
      <c r="Z320" s="115">
        <v>0</v>
      </c>
      <c r="AA320" s="115">
        <v>0</v>
      </c>
      <c r="AB320" s="115">
        <v>0</v>
      </c>
      <c r="AC320" s="115">
        <v>0</v>
      </c>
      <c r="AD320" s="115">
        <v>0</v>
      </c>
      <c r="AE320" s="115">
        <v>0</v>
      </c>
      <c r="AF320" s="115">
        <v>0</v>
      </c>
      <c r="AG320" s="4" t="s">
        <v>748</v>
      </c>
      <c r="AH320" s="4" t="s">
        <v>135</v>
      </c>
      <c r="AI320" s="4" t="s">
        <v>135</v>
      </c>
      <c r="AJ320" s="4" t="s">
        <v>127</v>
      </c>
      <c r="AK320" s="4" t="s">
        <v>127</v>
      </c>
      <c r="AL320" s="4" t="s">
        <v>127</v>
      </c>
      <c r="AM320" s="4" t="s">
        <v>127</v>
      </c>
      <c r="AN320" s="4" t="s">
        <v>127</v>
      </c>
      <c r="AO320" s="4" t="s">
        <v>127</v>
      </c>
      <c r="AP320" s="4" t="s">
        <v>127</v>
      </c>
      <c r="AQ320" s="4" t="s">
        <v>127</v>
      </c>
      <c r="AR320" s="4" t="s">
        <v>127</v>
      </c>
      <c r="AS320" s="4" t="s">
        <v>127</v>
      </c>
      <c r="AT320" s="4" t="s">
        <v>127</v>
      </c>
      <c r="AU320" s="4" t="s">
        <v>127</v>
      </c>
      <c r="AV320" s="4" t="s">
        <v>127</v>
      </c>
      <c r="AW320" s="4" t="s">
        <v>127</v>
      </c>
      <c r="AX320" s="4" t="s">
        <v>127</v>
      </c>
      <c r="AY320" s="111" t="s">
        <v>1634</v>
      </c>
      <c r="AZ320" s="99" t="s">
        <v>1648</v>
      </c>
      <c r="BA320" s="99" t="s">
        <v>1649</v>
      </c>
      <c r="BB320" s="4" t="s">
        <v>1650</v>
      </c>
      <c r="BC320" s="4" t="s">
        <v>127</v>
      </c>
      <c r="BD320" s="4" t="s">
        <v>127</v>
      </c>
      <c r="BE320" s="4" t="s">
        <v>127</v>
      </c>
    </row>
    <row r="321" spans="1:72" s="4" customFormat="1" ht="16" x14ac:dyDescent="0.4">
      <c r="A321" s="167" t="s">
        <v>1651</v>
      </c>
      <c r="B321" s="4" t="s">
        <v>1651</v>
      </c>
      <c r="C321" s="4" t="s">
        <v>127</v>
      </c>
      <c r="D321" s="4" t="s">
        <v>128</v>
      </c>
      <c r="E321" s="190">
        <v>45812</v>
      </c>
      <c r="F321" s="4">
        <v>2025</v>
      </c>
      <c r="G321" s="4" t="s">
        <v>1652</v>
      </c>
      <c r="H321" s="22" t="str">
        <f>VLOOKUP($G321,'Item Classification'!B:C,2,0)</f>
        <v>Anti-missile countermeasure system</v>
      </c>
      <c r="I321" s="6" t="str">
        <f>VLOOKUP($G321,'Item Classification'!B:D,3,0)</f>
        <v>Aircraft</v>
      </c>
      <c r="J321" s="23">
        <f>VLOOKUP($G321,'Item Classification'!B:E,4,0)</f>
        <v>11</v>
      </c>
      <c r="K321" s="116" t="s">
        <v>189</v>
      </c>
      <c r="L321" s="116" t="s">
        <v>1097</v>
      </c>
      <c r="M321" s="116" t="str">
        <f>VLOOKUP(L321,'NATO Classifications'!$D$6:$E$647,2,0)</f>
        <v>Ammunition and Explosives (other)</v>
      </c>
      <c r="S321" s="112">
        <v>282000000</v>
      </c>
      <c r="T321" s="91" t="s">
        <v>132</v>
      </c>
      <c r="U321" s="104">
        <f>_xlfn.IFNA(S321/INDEX('Exchange Rates'!$C$7:$F$14,MATCH('MAIN DATA, Orders'!F321,'Exchange Rates'!$B$7:$B$14,0),MATCH('MAIN DATA, Orders'!T321,'Exchange Rates'!$C$6:$F$6,0)), "-")</f>
        <v>282000000</v>
      </c>
      <c r="V321" s="167" t="s">
        <v>682</v>
      </c>
      <c r="W321" s="4" t="s">
        <v>133</v>
      </c>
      <c r="X321" s="4" t="s">
        <v>128</v>
      </c>
      <c r="Y321" s="24">
        <f t="shared" si="20"/>
        <v>202506</v>
      </c>
      <c r="Z321" s="115">
        <v>1</v>
      </c>
      <c r="AA321" s="115">
        <v>0</v>
      </c>
      <c r="AB321" s="115">
        <v>0</v>
      </c>
      <c r="AC321" s="115" t="s">
        <v>127</v>
      </c>
      <c r="AD321" s="115" t="s">
        <v>127</v>
      </c>
      <c r="AE321" s="115" t="s">
        <v>127</v>
      </c>
      <c r="AF321" s="115" t="s">
        <v>127</v>
      </c>
      <c r="AG321" s="4" t="s">
        <v>127</v>
      </c>
      <c r="AH321" s="4" t="s">
        <v>127</v>
      </c>
      <c r="AI321" s="4" t="s">
        <v>127</v>
      </c>
      <c r="AJ321" s="4" t="s">
        <v>127</v>
      </c>
      <c r="AK321" s="4" t="s">
        <v>127</v>
      </c>
      <c r="AL321" s="4" t="s">
        <v>127</v>
      </c>
      <c r="AM321" s="4" t="s">
        <v>127</v>
      </c>
      <c r="AN321" s="4" t="s">
        <v>127</v>
      </c>
      <c r="AO321" s="4" t="s">
        <v>127</v>
      </c>
      <c r="AP321" s="4" t="s">
        <v>127</v>
      </c>
      <c r="AQ321" s="4" t="s">
        <v>127</v>
      </c>
      <c r="AR321" s="4" t="s">
        <v>127</v>
      </c>
      <c r="AS321" s="4" t="s">
        <v>127</v>
      </c>
      <c r="AT321" s="4" t="s">
        <v>127</v>
      </c>
      <c r="AU321" s="4" t="s">
        <v>127</v>
      </c>
      <c r="AV321" s="4" t="s">
        <v>127</v>
      </c>
      <c r="AW321" s="4" t="s">
        <v>127</v>
      </c>
      <c r="AX321" s="4" t="s">
        <v>127</v>
      </c>
      <c r="AY321" s="111" t="s">
        <v>1634</v>
      </c>
      <c r="AZ321" s="111" t="s">
        <v>1635</v>
      </c>
      <c r="BA321" s="4" t="s">
        <v>127</v>
      </c>
      <c r="BB321" s="4" t="s">
        <v>1653</v>
      </c>
      <c r="BC321" s="4" t="s">
        <v>1654</v>
      </c>
      <c r="BD321" s="4" t="s">
        <v>127</v>
      </c>
      <c r="BE321" s="4" t="s">
        <v>127</v>
      </c>
    </row>
    <row r="322" spans="1:72" s="4" customFormat="1" ht="16" x14ac:dyDescent="0.4">
      <c r="A322" s="167" t="s">
        <v>1655</v>
      </c>
      <c r="B322" s="4" t="s">
        <v>1655</v>
      </c>
      <c r="C322" s="4" t="s">
        <v>127</v>
      </c>
      <c r="D322" s="4" t="s">
        <v>128</v>
      </c>
      <c r="E322" s="190">
        <v>45812</v>
      </c>
      <c r="F322" s="4">
        <v>2025</v>
      </c>
      <c r="G322" s="4" t="s">
        <v>1534</v>
      </c>
      <c r="H322" s="22" t="str">
        <f>VLOOKUP($G322,'Item Classification'!B:C,2,0)</f>
        <v>Fighter jet development</v>
      </c>
      <c r="I322" s="6" t="str">
        <f>VLOOKUP($G322,'Item Classification'!B:D,3,0)</f>
        <v>Development - Aircraft</v>
      </c>
      <c r="J322" s="23">
        <f>VLOOKUP($G322,'Item Classification'!B:E,4,0)</f>
        <v>15</v>
      </c>
      <c r="K322" s="116" t="s">
        <v>130</v>
      </c>
      <c r="L322" s="116" t="s">
        <v>237</v>
      </c>
      <c r="M322" s="116" t="str">
        <f>VLOOKUP(L322,'NATO Classifications'!$D$6:$E$647,2,0)</f>
        <v>Aircraft, Fixed Wing</v>
      </c>
      <c r="S322" s="112">
        <v>60000000</v>
      </c>
      <c r="T322" s="91" t="s">
        <v>132</v>
      </c>
      <c r="U322" s="104">
        <f>_xlfn.IFNA(S322/INDEX('Exchange Rates'!$C$7:$F$14,MATCH('MAIN DATA, Orders'!F322,'Exchange Rates'!$B$7:$B$14,0),MATCH('MAIN DATA, Orders'!T322,'Exchange Rates'!$C$6:$F$6,0)), "-")</f>
        <v>60000000</v>
      </c>
      <c r="V322" s="4" t="s">
        <v>682</v>
      </c>
      <c r="W322" s="4" t="s">
        <v>127</v>
      </c>
      <c r="X322" s="4" t="s">
        <v>128</v>
      </c>
      <c r="Y322" s="24">
        <f t="shared" si="20"/>
        <v>202506</v>
      </c>
      <c r="Z322" s="115">
        <v>0</v>
      </c>
      <c r="AA322" s="115">
        <v>0</v>
      </c>
      <c r="AB322" s="115">
        <v>0</v>
      </c>
      <c r="AC322" s="115">
        <v>1</v>
      </c>
      <c r="AD322" s="115">
        <v>1</v>
      </c>
      <c r="AE322" s="115">
        <v>0</v>
      </c>
      <c r="AF322" s="115">
        <v>1</v>
      </c>
      <c r="AG322" s="4" t="s">
        <v>1656</v>
      </c>
      <c r="AH322" s="4" t="s">
        <v>128</v>
      </c>
      <c r="AI322" s="4" t="s">
        <v>127</v>
      </c>
      <c r="AJ322" s="4" t="s">
        <v>127</v>
      </c>
      <c r="AK322" s="4" t="s">
        <v>127</v>
      </c>
      <c r="AL322" s="4" t="s">
        <v>127</v>
      </c>
      <c r="AM322" s="4" t="s">
        <v>127</v>
      </c>
      <c r="AN322" s="4" t="s">
        <v>162</v>
      </c>
      <c r="AO322" s="4" t="s">
        <v>197</v>
      </c>
      <c r="AP322" s="4" t="s">
        <v>238</v>
      </c>
      <c r="AQ322" s="4" t="s">
        <v>127</v>
      </c>
      <c r="AR322" s="4" t="s">
        <v>127</v>
      </c>
      <c r="AS322" s="4" t="s">
        <v>127</v>
      </c>
      <c r="AT322" s="4" t="s">
        <v>127</v>
      </c>
      <c r="AU322" s="4" t="s">
        <v>127</v>
      </c>
      <c r="AV322" s="4" t="s">
        <v>127</v>
      </c>
      <c r="AW322" s="4" t="s">
        <v>127</v>
      </c>
      <c r="AX322" s="4" t="s">
        <v>127</v>
      </c>
      <c r="AY322" s="111" t="s">
        <v>1634</v>
      </c>
      <c r="AZ322" s="4" t="s">
        <v>127</v>
      </c>
      <c r="BA322" s="4" t="s">
        <v>127</v>
      </c>
      <c r="BB322" s="4" t="s">
        <v>1657</v>
      </c>
      <c r="BC322" s="4" t="s">
        <v>1658</v>
      </c>
      <c r="BD322" s="4" t="s">
        <v>1659</v>
      </c>
      <c r="BE322" s="4" t="s">
        <v>127</v>
      </c>
    </row>
    <row r="323" spans="1:72" ht="16" x14ac:dyDescent="0.4">
      <c r="A323" s="167" t="s">
        <v>1660</v>
      </c>
      <c r="B323" s="4" t="s">
        <v>1660</v>
      </c>
      <c r="C323" s="4" t="s">
        <v>127</v>
      </c>
      <c r="D323" s="4" t="s">
        <v>128</v>
      </c>
      <c r="E323" s="190">
        <v>45833</v>
      </c>
      <c r="F323" s="4">
        <v>2025</v>
      </c>
      <c r="G323" s="4" t="s">
        <v>1661</v>
      </c>
      <c r="H323" s="22" t="str">
        <f>VLOOKUP($G323,'Item Classification'!B:C,2,0)</f>
        <v>Figher aircraft target mechanism</v>
      </c>
      <c r="I323" s="6" t="str">
        <f>VLOOKUP($G323,'Item Classification'!B:D,3,0)</f>
        <v>Aircraft</v>
      </c>
      <c r="J323" s="23">
        <f>VLOOKUP($G323,'Item Classification'!B:E,4,0)</f>
        <v>11</v>
      </c>
      <c r="K323" s="116" t="s">
        <v>158</v>
      </c>
      <c r="L323" s="116" t="s">
        <v>369</v>
      </c>
      <c r="M323" s="116" t="str">
        <f>VLOOKUP(L323,'NATO Classifications'!$D$6:$E$647,2,0)</f>
        <v>Communication, Detection, and Coherent Radiation Equipment (other)</v>
      </c>
      <c r="N323" s="4">
        <v>90</v>
      </c>
      <c r="O323" s="81">
        <f t="shared" ref="O323" si="23">S323/N323</f>
        <v>3977777.777777778</v>
      </c>
      <c r="P323" s="81">
        <f t="shared" ref="P323" si="24">U323/N323</f>
        <v>3977777.777777778</v>
      </c>
      <c r="Q323" s="4"/>
      <c r="R323" s="4"/>
      <c r="S323" s="112">
        <v>358000000</v>
      </c>
      <c r="T323" s="91" t="s">
        <v>132</v>
      </c>
      <c r="U323" s="104">
        <f>_xlfn.IFNA(S323/INDEX('Exchange Rates'!$C$7:$F$14,MATCH('MAIN DATA, Orders'!F323,'Exchange Rates'!$B$7:$B$14,0),MATCH('MAIN DATA, Orders'!T323,'Exchange Rates'!$C$6:$F$6,0)), "-")</f>
        <v>358000000</v>
      </c>
      <c r="V323" s="4" t="s">
        <v>682</v>
      </c>
      <c r="W323" s="4" t="s">
        <v>133</v>
      </c>
      <c r="X323" s="4" t="s">
        <v>128</v>
      </c>
      <c r="Y323" s="24">
        <f t="shared" si="20"/>
        <v>202506</v>
      </c>
      <c r="Z323" s="115">
        <v>0</v>
      </c>
      <c r="AA323" s="115">
        <v>0</v>
      </c>
      <c r="AB323" s="115">
        <v>0</v>
      </c>
      <c r="AC323" s="115">
        <v>1</v>
      </c>
      <c r="AD323" s="115">
        <v>0</v>
      </c>
      <c r="AE323" s="115">
        <v>0</v>
      </c>
      <c r="AF323" s="115">
        <v>0</v>
      </c>
      <c r="AG323" s="4" t="s">
        <v>317</v>
      </c>
      <c r="AH323" s="4" t="s">
        <v>151</v>
      </c>
      <c r="AI323" s="4" t="s">
        <v>151</v>
      </c>
      <c r="AJ323" s="4" t="s">
        <v>127</v>
      </c>
      <c r="AK323" s="4" t="s">
        <v>127</v>
      </c>
      <c r="AL323" s="4" t="s">
        <v>127</v>
      </c>
      <c r="AM323" s="4" t="s">
        <v>127</v>
      </c>
      <c r="AN323" s="4" t="s">
        <v>127</v>
      </c>
      <c r="AO323" s="4" t="s">
        <v>127</v>
      </c>
      <c r="AP323" s="4" t="s">
        <v>127</v>
      </c>
      <c r="AQ323" s="4" t="s">
        <v>127</v>
      </c>
      <c r="AR323" s="4" t="s">
        <v>127</v>
      </c>
      <c r="AS323" s="4" t="s">
        <v>127</v>
      </c>
      <c r="AT323" s="4" t="s">
        <v>127</v>
      </c>
      <c r="AU323" s="4" t="s">
        <v>127</v>
      </c>
      <c r="AV323" s="4" t="s">
        <v>127</v>
      </c>
      <c r="AW323" s="4" t="s">
        <v>127</v>
      </c>
      <c r="AX323" s="4" t="s">
        <v>127</v>
      </c>
      <c r="AY323" s="111" t="s">
        <v>1662</v>
      </c>
      <c r="AZ323" s="113" t="s">
        <v>1663</v>
      </c>
      <c r="BA323" s="4" t="s">
        <v>127</v>
      </c>
      <c r="BB323" s="4" t="s">
        <v>1664</v>
      </c>
      <c r="BC323" s="4" t="s">
        <v>1665</v>
      </c>
      <c r="BD323" s="4" t="s">
        <v>1666</v>
      </c>
      <c r="BE323" s="4" t="s">
        <v>127</v>
      </c>
      <c r="BF323" s="4"/>
      <c r="BG323" s="4"/>
      <c r="BH323" s="4"/>
      <c r="BI323" s="4"/>
      <c r="BJ323" s="4"/>
      <c r="BK323" s="4"/>
      <c r="BL323" s="4"/>
      <c r="BM323" s="4"/>
      <c r="BN323" s="4"/>
      <c r="BO323" s="4"/>
      <c r="BP323" s="4"/>
      <c r="BQ323" s="4"/>
      <c r="BR323" s="4"/>
      <c r="BS323" s="4"/>
      <c r="BT323" s="4"/>
    </row>
    <row r="324" spans="1:72" ht="16" x14ac:dyDescent="0.4">
      <c r="A324" s="167" t="s">
        <v>1667</v>
      </c>
      <c r="B324" s="4" t="s">
        <v>1667</v>
      </c>
      <c r="C324" s="4" t="s">
        <v>127</v>
      </c>
      <c r="D324" s="4" t="s">
        <v>128</v>
      </c>
      <c r="E324" s="190">
        <v>45833</v>
      </c>
      <c r="F324" s="4">
        <v>2025</v>
      </c>
      <c r="G324" s="4" t="s">
        <v>1668</v>
      </c>
      <c r="H324" s="22" t="str">
        <f>VLOOKUP($G324,'Item Classification'!B:C,2,0)</f>
        <v>Equipment for Small Arms and Light Weapons (SALW)</v>
      </c>
      <c r="I324" s="6" t="str">
        <f>VLOOKUP($G324,'Item Classification'!B:D,3,0)</f>
        <v>Infantry</v>
      </c>
      <c r="J324" s="23">
        <f>VLOOKUP($G324,'Item Classification'!B:E,4,0)</f>
        <v>8</v>
      </c>
      <c r="K324" s="116" t="s">
        <v>158</v>
      </c>
      <c r="L324" s="116" t="s">
        <v>369</v>
      </c>
      <c r="M324" s="116" t="str">
        <f>VLOOKUP(L324,'NATO Classifications'!$D$6:$E$647,2,0)</f>
        <v>Communication, Detection, and Coherent Radiation Equipment (other)</v>
      </c>
      <c r="N324" s="4">
        <v>4375</v>
      </c>
      <c r="O324" s="81">
        <f t="shared" ref="O324:O327" si="25">S324/N324</f>
        <v>11200</v>
      </c>
      <c r="P324" s="81">
        <f t="shared" ref="P324:P327" si="26">U324/N324</f>
        <v>11200</v>
      </c>
      <c r="Q324" s="4">
        <v>2025</v>
      </c>
      <c r="R324" s="4">
        <v>2027</v>
      </c>
      <c r="S324" s="112">
        <v>49000000</v>
      </c>
      <c r="T324" s="91" t="s">
        <v>132</v>
      </c>
      <c r="U324" s="104">
        <f>_xlfn.IFNA(S324/INDEX('Exchange Rates'!$C$7:$F$14,MATCH('MAIN DATA, Orders'!F324,'Exchange Rates'!$B$7:$B$14,0),MATCH('MAIN DATA, Orders'!T324,'Exchange Rates'!$C$6:$F$6,0)), "-")</f>
        <v>49000000</v>
      </c>
      <c r="V324" s="4" t="s">
        <v>682</v>
      </c>
      <c r="W324" s="4" t="s">
        <v>127</v>
      </c>
      <c r="X324" s="4" t="s">
        <v>128</v>
      </c>
      <c r="Y324" s="24">
        <f t="shared" si="20"/>
        <v>202506</v>
      </c>
      <c r="Z324" s="115">
        <v>1</v>
      </c>
      <c r="AA324" s="115">
        <v>0</v>
      </c>
      <c r="AB324" s="115">
        <v>0</v>
      </c>
      <c r="AC324" s="115">
        <v>1</v>
      </c>
      <c r="AD324" s="115">
        <v>1</v>
      </c>
      <c r="AE324" s="115">
        <v>0</v>
      </c>
      <c r="AF324" s="115">
        <v>1</v>
      </c>
      <c r="AG324" s="4" t="s">
        <v>1669</v>
      </c>
      <c r="AH324" s="4" t="s">
        <v>372</v>
      </c>
      <c r="AI324" s="4" t="s">
        <v>372</v>
      </c>
      <c r="AJ324" s="4" t="s">
        <v>1670</v>
      </c>
      <c r="AK324" s="4" t="s">
        <v>127</v>
      </c>
      <c r="AL324" s="4" t="s">
        <v>127</v>
      </c>
      <c r="AM324" s="4" t="s">
        <v>127</v>
      </c>
      <c r="AN324" s="4" t="s">
        <v>128</v>
      </c>
      <c r="AO324" s="4" t="s">
        <v>127</v>
      </c>
      <c r="AP324" s="4" t="s">
        <v>127</v>
      </c>
      <c r="AQ324" s="4" t="s">
        <v>127</v>
      </c>
      <c r="AR324" s="4" t="s">
        <v>127</v>
      </c>
      <c r="AS324" s="4" t="s">
        <v>127</v>
      </c>
      <c r="AT324" s="4" t="s">
        <v>127</v>
      </c>
      <c r="AU324" s="4" t="s">
        <v>127</v>
      </c>
      <c r="AV324" s="4" t="s">
        <v>127</v>
      </c>
      <c r="AW324" s="4" t="s">
        <v>128</v>
      </c>
      <c r="AX324" s="4" t="s">
        <v>127</v>
      </c>
      <c r="AY324" s="111" t="s">
        <v>1662</v>
      </c>
      <c r="AZ324" s="111" t="s">
        <v>1671</v>
      </c>
      <c r="BA324" s="99" t="s">
        <v>1672</v>
      </c>
      <c r="BB324" s="4" t="s">
        <v>1673</v>
      </c>
      <c r="BC324" s="4" t="s">
        <v>1674</v>
      </c>
      <c r="BD324" s="4" t="s">
        <v>127</v>
      </c>
      <c r="BE324" s="4" t="s">
        <v>127</v>
      </c>
      <c r="BF324" s="4"/>
      <c r="BG324" s="4"/>
      <c r="BH324" s="4"/>
      <c r="BI324" s="4"/>
      <c r="BJ324" s="4"/>
      <c r="BK324" s="4"/>
      <c r="BL324" s="4"/>
      <c r="BM324" s="4"/>
      <c r="BN324" s="4"/>
      <c r="BO324" s="4"/>
      <c r="BP324" s="4"/>
      <c r="BQ324" s="4"/>
      <c r="BR324" s="4"/>
      <c r="BS324" s="4"/>
      <c r="BT324" s="4"/>
    </row>
    <row r="325" spans="1:72" ht="16" x14ac:dyDescent="0.4">
      <c r="A325" s="167" t="s">
        <v>1675</v>
      </c>
      <c r="B325" s="167" t="s">
        <v>1675</v>
      </c>
      <c r="C325" s="4" t="s">
        <v>127</v>
      </c>
      <c r="D325" s="4" t="s">
        <v>128</v>
      </c>
      <c r="E325" s="190">
        <v>45833</v>
      </c>
      <c r="F325" s="4">
        <v>2025</v>
      </c>
      <c r="G325" s="4" t="s">
        <v>1676</v>
      </c>
      <c r="H325" s="22" t="str">
        <f>VLOOKUP($G325,'Item Classification'!B:C,2,0)</f>
        <v>Submarine</v>
      </c>
      <c r="I325" s="6" t="str">
        <f>VLOOKUP($G325,'Item Classification'!B:D,3,0)</f>
        <v>Modernisation</v>
      </c>
      <c r="J325" s="23">
        <f>VLOOKUP($G325,'Item Classification'!B:E,4,0)</f>
        <v>13</v>
      </c>
      <c r="K325" s="116" t="s">
        <v>143</v>
      </c>
      <c r="L325" s="116" t="s">
        <v>144</v>
      </c>
      <c r="M325" s="116" t="str">
        <f>VLOOKUP(L325,'NATO Classifications'!$D$6:$E$647,2,0)</f>
        <v>Combat Ships and Landing Vessels</v>
      </c>
      <c r="N325" s="4">
        <v>6</v>
      </c>
      <c r="O325" s="81">
        <f t="shared" si="25"/>
        <v>166666666.66666666</v>
      </c>
      <c r="P325" s="81">
        <f t="shared" si="26"/>
        <v>166666666.66666666</v>
      </c>
      <c r="Q325" s="4">
        <v>2025</v>
      </c>
      <c r="R325" s="4">
        <v>2035</v>
      </c>
      <c r="S325" s="112">
        <v>1000000000</v>
      </c>
      <c r="T325" s="91" t="s">
        <v>132</v>
      </c>
      <c r="U325" s="104">
        <f>_xlfn.IFNA(S325/INDEX('Exchange Rates'!$C$7:$F$14,MATCH('MAIN DATA, Orders'!F325,'Exchange Rates'!$B$7:$B$14,0),MATCH('MAIN DATA, Orders'!T325,'Exchange Rates'!$C$6:$F$6,0)), "-")</f>
        <v>1000000000</v>
      </c>
      <c r="V325" s="4" t="s">
        <v>682</v>
      </c>
      <c r="W325" s="4" t="s">
        <v>133</v>
      </c>
      <c r="X325" s="4" t="s">
        <v>128</v>
      </c>
      <c r="Y325" s="24">
        <f t="shared" si="20"/>
        <v>202506</v>
      </c>
      <c r="Z325" s="115">
        <v>0</v>
      </c>
      <c r="AA325" s="115">
        <v>0</v>
      </c>
      <c r="AB325" s="115">
        <v>0</v>
      </c>
      <c r="AC325" s="115">
        <v>1</v>
      </c>
      <c r="AD325" s="115">
        <v>0</v>
      </c>
      <c r="AE325" s="115">
        <v>0</v>
      </c>
      <c r="AF325" s="115">
        <v>0</v>
      </c>
      <c r="AG325" s="4" t="s">
        <v>1677</v>
      </c>
      <c r="AH325" s="4" t="s">
        <v>128</v>
      </c>
      <c r="AI325" s="4" t="s">
        <v>128</v>
      </c>
      <c r="AJ325" s="4" t="s">
        <v>127</v>
      </c>
      <c r="AK325" s="4" t="s">
        <v>127</v>
      </c>
      <c r="AL325" s="4" t="s">
        <v>127</v>
      </c>
      <c r="AM325" s="4" t="s">
        <v>127</v>
      </c>
      <c r="AN325" s="4" t="s">
        <v>127</v>
      </c>
      <c r="AO325" s="4" t="s">
        <v>127</v>
      </c>
      <c r="AP325" s="4" t="s">
        <v>127</v>
      </c>
      <c r="AQ325" s="4" t="s">
        <v>127</v>
      </c>
      <c r="AR325" s="4" t="s">
        <v>127</v>
      </c>
      <c r="AS325" s="4" t="s">
        <v>127</v>
      </c>
      <c r="AT325" s="4" t="s">
        <v>127</v>
      </c>
      <c r="AU325" s="4" t="s">
        <v>127</v>
      </c>
      <c r="AV325" s="4" t="s">
        <v>127</v>
      </c>
      <c r="AW325" s="4" t="s">
        <v>127</v>
      </c>
      <c r="AX325" s="4" t="s">
        <v>127</v>
      </c>
      <c r="AY325" s="111" t="s">
        <v>1662</v>
      </c>
      <c r="AZ325" s="111" t="s">
        <v>1671</v>
      </c>
      <c r="BA325" s="113" t="s">
        <v>1678</v>
      </c>
      <c r="BB325" s="4" t="s">
        <v>1679</v>
      </c>
      <c r="BC325" s="4" t="s">
        <v>1680</v>
      </c>
      <c r="BD325" s="4" t="s">
        <v>127</v>
      </c>
      <c r="BE325" s="4" t="s">
        <v>1681</v>
      </c>
      <c r="BF325" s="4" t="s">
        <v>127</v>
      </c>
      <c r="BG325" s="4"/>
      <c r="BH325" s="4"/>
      <c r="BI325" s="4"/>
      <c r="BJ325" s="4"/>
      <c r="BK325" s="4"/>
      <c r="BL325" s="4"/>
      <c r="BM325" s="4"/>
      <c r="BN325" s="4"/>
      <c r="BO325" s="4"/>
      <c r="BP325" s="4"/>
      <c r="BQ325" s="4"/>
      <c r="BR325" s="4"/>
      <c r="BS325" s="4"/>
      <c r="BT325" s="4"/>
    </row>
    <row r="326" spans="1:72" ht="16" x14ac:dyDescent="0.4">
      <c r="A326" s="167" t="s">
        <v>1682</v>
      </c>
      <c r="B326" s="167" t="s">
        <v>1682</v>
      </c>
      <c r="C326" s="4" t="s">
        <v>127</v>
      </c>
      <c r="D326" s="4" t="s">
        <v>128</v>
      </c>
      <c r="E326" s="190">
        <v>45833</v>
      </c>
      <c r="F326" s="4">
        <v>2025</v>
      </c>
      <c r="G326" s="4" t="s">
        <v>1683</v>
      </c>
      <c r="H326" s="22" t="str">
        <f>VLOOKUP($G326,'Item Classification'!B:C,2,0)</f>
        <v>Various equipment</v>
      </c>
      <c r="I326" s="6" t="str">
        <f>VLOOKUP($G326,'Item Classification'!B:D,3,0)</f>
        <v>Other</v>
      </c>
      <c r="J326" s="23">
        <f>VLOOKUP($G326,'Item Classification'!B:E,4,0)</f>
        <v>16</v>
      </c>
      <c r="K326" s="116" t="s">
        <v>925</v>
      </c>
      <c r="L326" s="116" t="s">
        <v>1684</v>
      </c>
      <c r="M326" s="116" t="str">
        <f>VLOOKUP(L326,'NATO Classifications'!$D$6:$E$647,2,0)</f>
        <v>Decontaminating and Impregnating Equipment</v>
      </c>
      <c r="N326" s="4">
        <v>19</v>
      </c>
      <c r="O326" s="81">
        <f t="shared" si="25"/>
        <v>1578947.3684210526</v>
      </c>
      <c r="P326" s="81">
        <f t="shared" si="26"/>
        <v>1578947.3684210526</v>
      </c>
      <c r="Q326" s="4">
        <v>2025</v>
      </c>
      <c r="R326" s="4">
        <v>2025</v>
      </c>
      <c r="S326" s="112">
        <v>30000000</v>
      </c>
      <c r="T326" s="91" t="s">
        <v>132</v>
      </c>
      <c r="U326" s="104">
        <f>_xlfn.IFNA(S326/INDEX('Exchange Rates'!$C$7:$F$14,MATCH('MAIN DATA, Orders'!F326,'Exchange Rates'!$B$7:$B$14,0),MATCH('MAIN DATA, Orders'!T326,'Exchange Rates'!$C$6:$F$6,0)), "-")</f>
        <v>30000000</v>
      </c>
      <c r="V326" s="4" t="s">
        <v>682</v>
      </c>
      <c r="W326" s="4" t="s">
        <v>133</v>
      </c>
      <c r="X326" s="4" t="s">
        <v>128</v>
      </c>
      <c r="Y326" s="24">
        <f t="shared" si="20"/>
        <v>202506</v>
      </c>
      <c r="Z326" s="115">
        <v>1</v>
      </c>
      <c r="AA326" s="115">
        <v>0</v>
      </c>
      <c r="AB326" s="115">
        <v>0</v>
      </c>
      <c r="AC326" s="115" t="s">
        <v>127</v>
      </c>
      <c r="AD326" s="115" t="s">
        <v>127</v>
      </c>
      <c r="AE326" s="115" t="s">
        <v>127</v>
      </c>
      <c r="AF326" s="115" t="s">
        <v>127</v>
      </c>
      <c r="AG326" s="4" t="s">
        <v>127</v>
      </c>
      <c r="AH326" s="4" t="s">
        <v>127</v>
      </c>
      <c r="AI326" s="4" t="s">
        <v>127</v>
      </c>
      <c r="AJ326" s="4" t="s">
        <v>127</v>
      </c>
      <c r="AK326" s="4" t="s">
        <v>127</v>
      </c>
      <c r="AL326" s="4" t="s">
        <v>127</v>
      </c>
      <c r="AM326" s="4" t="s">
        <v>127</v>
      </c>
      <c r="AN326" s="4" t="s">
        <v>127</v>
      </c>
      <c r="AO326" s="4" t="s">
        <v>127</v>
      </c>
      <c r="AP326" s="4" t="s">
        <v>127</v>
      </c>
      <c r="AQ326" s="4" t="s">
        <v>127</v>
      </c>
      <c r="AR326" s="4" t="s">
        <v>127</v>
      </c>
      <c r="AS326" s="4" t="s">
        <v>127</v>
      </c>
      <c r="AT326" s="4" t="s">
        <v>127</v>
      </c>
      <c r="AU326" s="4" t="s">
        <v>127</v>
      </c>
      <c r="AV326" s="4" t="s">
        <v>127</v>
      </c>
      <c r="AW326" s="4" t="s">
        <v>127</v>
      </c>
      <c r="AX326" s="4" t="s">
        <v>127</v>
      </c>
      <c r="AY326" s="111" t="s">
        <v>1662</v>
      </c>
      <c r="AZ326" s="111" t="s">
        <v>1671</v>
      </c>
      <c r="BA326" s="4" t="s">
        <v>127</v>
      </c>
      <c r="BB326" s="4" t="s">
        <v>1685</v>
      </c>
      <c r="BC326" s="4" t="s">
        <v>1686</v>
      </c>
      <c r="BD326" s="4" t="s">
        <v>127</v>
      </c>
      <c r="BE326" s="4" t="s">
        <v>1687</v>
      </c>
      <c r="BF326" s="4" t="s">
        <v>127</v>
      </c>
      <c r="BG326" s="4"/>
      <c r="BH326" s="4"/>
      <c r="BI326" s="4"/>
      <c r="BJ326" s="4"/>
      <c r="BK326" s="4"/>
      <c r="BL326" s="4"/>
      <c r="BM326" s="4"/>
      <c r="BN326" s="4"/>
      <c r="BO326" s="4"/>
      <c r="BP326" s="4"/>
      <c r="BQ326" s="4"/>
      <c r="BR326" s="4"/>
      <c r="BS326" s="4"/>
      <c r="BT326" s="4"/>
    </row>
    <row r="327" spans="1:72" ht="16" x14ac:dyDescent="0.4">
      <c r="A327" s="167" t="s">
        <v>1688</v>
      </c>
      <c r="B327" s="4" t="s">
        <v>1688</v>
      </c>
      <c r="C327" s="4" t="s">
        <v>127</v>
      </c>
      <c r="D327" s="4" t="s">
        <v>128</v>
      </c>
      <c r="E327" s="190">
        <v>45833</v>
      </c>
      <c r="F327" s="4">
        <v>2025</v>
      </c>
      <c r="G327" s="4" t="s">
        <v>1689</v>
      </c>
      <c r="H327" s="22" t="str">
        <f>VLOOKUP($G327,'Item Classification'!B:C,2,0)</f>
        <v xml:space="preserve">Helicopter support and maintenance </v>
      </c>
      <c r="I327" s="6" t="str">
        <f>VLOOKUP($G327,'Item Classification'!B:D,3,0)</f>
        <v>Aircraft</v>
      </c>
      <c r="J327" s="23">
        <f>VLOOKUP($G327,'Item Classification'!B:E,4,0)</f>
        <v>11</v>
      </c>
      <c r="K327" s="116" t="s">
        <v>941</v>
      </c>
      <c r="L327" s="116" t="s">
        <v>942</v>
      </c>
      <c r="M327" s="116" t="str">
        <f>VLOOKUP(L327,'NATO Classifications'!$D$6:$E$647,2,0)</f>
        <v>Training Aids</v>
      </c>
      <c r="N327" s="4">
        <v>5</v>
      </c>
      <c r="O327" s="81">
        <f t="shared" si="25"/>
        <v>9300000</v>
      </c>
      <c r="P327" s="81">
        <f t="shared" si="26"/>
        <v>9300000</v>
      </c>
      <c r="Q327" s="4"/>
      <c r="R327" s="4"/>
      <c r="S327" s="112">
        <v>46500000</v>
      </c>
      <c r="T327" s="91" t="s">
        <v>132</v>
      </c>
      <c r="U327" s="104">
        <f>_xlfn.IFNA(S327/INDEX('Exchange Rates'!$C$7:$F$14,MATCH('MAIN DATA, Orders'!F327,'Exchange Rates'!$B$7:$B$14,0),MATCH('MAIN DATA, Orders'!T327,'Exchange Rates'!$C$6:$F$6,0)), "-")</f>
        <v>46500000</v>
      </c>
      <c r="V327" s="4" t="s">
        <v>682</v>
      </c>
      <c r="W327" s="4" t="s">
        <v>133</v>
      </c>
      <c r="X327" s="4" t="s">
        <v>128</v>
      </c>
      <c r="Y327" s="24">
        <f t="shared" si="20"/>
        <v>202506</v>
      </c>
      <c r="Z327" s="115">
        <v>0</v>
      </c>
      <c r="AA327" s="115">
        <v>1</v>
      </c>
      <c r="AB327" s="115">
        <v>0</v>
      </c>
      <c r="AC327" s="115">
        <v>1</v>
      </c>
      <c r="AD327" s="115">
        <v>1</v>
      </c>
      <c r="AE327" s="115">
        <v>0</v>
      </c>
      <c r="AF327" s="115">
        <v>1</v>
      </c>
      <c r="AG327" s="4" t="s">
        <v>1690</v>
      </c>
      <c r="AH327" s="4" t="s">
        <v>128</v>
      </c>
      <c r="AI327" s="4" t="s">
        <v>151</v>
      </c>
      <c r="AJ327" s="4" t="s">
        <v>160</v>
      </c>
      <c r="AK327" s="4" t="s">
        <v>127</v>
      </c>
      <c r="AL327" s="4" t="s">
        <v>127</v>
      </c>
      <c r="AM327" s="4" t="s">
        <v>127</v>
      </c>
      <c r="AN327" s="4" t="s">
        <v>128</v>
      </c>
      <c r="AO327" s="4" t="s">
        <v>197</v>
      </c>
      <c r="AP327" s="4" t="s">
        <v>146</v>
      </c>
      <c r="AQ327" s="4" t="s">
        <v>127</v>
      </c>
      <c r="AR327" s="4" t="s">
        <v>127</v>
      </c>
      <c r="AS327" s="4" t="s">
        <v>127</v>
      </c>
      <c r="AT327" s="4" t="s">
        <v>127</v>
      </c>
      <c r="AU327" s="4" t="s">
        <v>127</v>
      </c>
      <c r="AV327" s="4" t="s">
        <v>127</v>
      </c>
      <c r="AW327" s="4" t="s">
        <v>127</v>
      </c>
      <c r="AX327" s="4" t="s">
        <v>127</v>
      </c>
      <c r="AY327" s="111" t="s">
        <v>1662</v>
      </c>
      <c r="AZ327" s="111" t="s">
        <v>1671</v>
      </c>
      <c r="BA327" s="113"/>
      <c r="BB327" s="4" t="s">
        <v>1691</v>
      </c>
      <c r="BC327" s="4" t="s">
        <v>1692</v>
      </c>
      <c r="BD327" s="4" t="s">
        <v>127</v>
      </c>
      <c r="BE327" s="4" t="s">
        <v>127</v>
      </c>
      <c r="BF327" s="4"/>
      <c r="BG327" s="4"/>
      <c r="BH327" s="4"/>
      <c r="BI327" s="4"/>
      <c r="BJ327" s="4"/>
      <c r="BK327" s="4"/>
      <c r="BL327" s="4"/>
      <c r="BM327" s="4"/>
      <c r="BN327" s="4"/>
      <c r="BO327" s="4"/>
      <c r="BP327" s="4"/>
      <c r="BQ327" s="4"/>
      <c r="BR327" s="4"/>
      <c r="BS327" s="4"/>
      <c r="BT327" s="4"/>
    </row>
    <row r="328" spans="1:72" ht="16" x14ac:dyDescent="0.4">
      <c r="A328" s="167" t="s">
        <v>1693</v>
      </c>
      <c r="B328" s="4" t="s">
        <v>1693</v>
      </c>
      <c r="C328" s="4" t="s">
        <v>127</v>
      </c>
      <c r="D328" s="4" t="s">
        <v>128</v>
      </c>
      <c r="E328" s="190">
        <v>45833</v>
      </c>
      <c r="F328" s="4">
        <v>2025</v>
      </c>
      <c r="G328" s="4" t="s">
        <v>1026</v>
      </c>
      <c r="H328" s="22" t="str">
        <f>VLOOKUP($G328,'Item Classification'!B:C,2,0)</f>
        <v>Small Arms and Light Weapons (SALW) ammunition</v>
      </c>
      <c r="I328" s="6" t="str">
        <f>VLOOKUP($G328,'Item Classification'!B:D,3,0)</f>
        <v>Infantry</v>
      </c>
      <c r="J328" s="23">
        <f>VLOOKUP($G328,'Item Classification'!B:E,4,0)</f>
        <v>8</v>
      </c>
      <c r="K328" s="116" t="s">
        <v>189</v>
      </c>
      <c r="L328" s="116" t="s">
        <v>740</v>
      </c>
      <c r="M328" s="116" t="str">
        <f>VLOOKUP(L328,'NATO Classifications'!$D$6:$E$647,2,0)</f>
        <v>Ammunition below 75mm</v>
      </c>
      <c r="N328" s="4"/>
      <c r="O328" s="4"/>
      <c r="P328" s="4"/>
      <c r="Q328" s="4"/>
      <c r="R328" s="4"/>
      <c r="S328" s="112">
        <v>300000000</v>
      </c>
      <c r="T328" s="91" t="s">
        <v>132</v>
      </c>
      <c r="U328" s="104">
        <f>_xlfn.IFNA(S328/INDEX('Exchange Rates'!$C$7:$F$14,MATCH('MAIN DATA, Orders'!F328,'Exchange Rates'!$B$7:$B$14,0),MATCH('MAIN DATA, Orders'!T328,'Exchange Rates'!$C$6:$F$6,0)), "-")</f>
        <v>300000000</v>
      </c>
      <c r="V328" s="4" t="s">
        <v>682</v>
      </c>
      <c r="W328" s="4" t="s">
        <v>133</v>
      </c>
      <c r="X328" s="4" t="s">
        <v>128</v>
      </c>
      <c r="Y328" s="24">
        <f t="shared" si="20"/>
        <v>202506</v>
      </c>
      <c r="Z328" s="115">
        <v>1</v>
      </c>
      <c r="AA328" s="115">
        <v>0</v>
      </c>
      <c r="AB328" s="115">
        <v>0</v>
      </c>
      <c r="AC328" s="115" t="s">
        <v>127</v>
      </c>
      <c r="AD328" s="115" t="s">
        <v>127</v>
      </c>
      <c r="AE328" s="115" t="s">
        <v>127</v>
      </c>
      <c r="AF328" s="115" t="s">
        <v>127</v>
      </c>
      <c r="AG328" s="4" t="s">
        <v>127</v>
      </c>
      <c r="AH328" s="4" t="s">
        <v>127</v>
      </c>
      <c r="AI328" s="4" t="s">
        <v>127</v>
      </c>
      <c r="AJ328" s="4" t="s">
        <v>127</v>
      </c>
      <c r="AK328" s="4" t="s">
        <v>127</v>
      </c>
      <c r="AL328" s="4" t="s">
        <v>127</v>
      </c>
      <c r="AM328" s="4" t="s">
        <v>127</v>
      </c>
      <c r="AN328" s="4" t="s">
        <v>127</v>
      </c>
      <c r="AO328" s="4" t="s">
        <v>127</v>
      </c>
      <c r="AP328" s="4" t="s">
        <v>127</v>
      </c>
      <c r="AQ328" s="4" t="s">
        <v>127</v>
      </c>
      <c r="AR328" s="4" t="s">
        <v>127</v>
      </c>
      <c r="AS328" s="4" t="s">
        <v>127</v>
      </c>
      <c r="AT328" s="4" t="s">
        <v>127</v>
      </c>
      <c r="AU328" s="4" t="s">
        <v>127</v>
      </c>
      <c r="AV328" s="4" t="s">
        <v>127</v>
      </c>
      <c r="AW328" s="4" t="s">
        <v>127</v>
      </c>
      <c r="AX328" s="4" t="s">
        <v>127</v>
      </c>
      <c r="AY328" s="111" t="s">
        <v>1662</v>
      </c>
      <c r="AZ328" s="111" t="s">
        <v>1671</v>
      </c>
      <c r="BA328" s="4" t="s">
        <v>127</v>
      </c>
      <c r="BB328" s="4" t="s">
        <v>1694</v>
      </c>
      <c r="BC328" s="4" t="s">
        <v>1695</v>
      </c>
      <c r="BD328" s="4" t="s">
        <v>127</v>
      </c>
      <c r="BE328" s="4" t="s">
        <v>127</v>
      </c>
      <c r="BF328" s="4"/>
      <c r="BG328" s="4"/>
      <c r="BH328" s="4"/>
      <c r="BI328" s="4"/>
      <c r="BJ328" s="4"/>
      <c r="BK328" s="4"/>
      <c r="BL328" s="4"/>
      <c r="BM328" s="4"/>
      <c r="BN328" s="4"/>
      <c r="BO328" s="4"/>
      <c r="BP328" s="4"/>
      <c r="BQ328" s="4"/>
      <c r="BR328" s="4"/>
      <c r="BS328" s="4"/>
      <c r="BT328" s="4"/>
    </row>
    <row r="329" spans="1:72" ht="16" x14ac:dyDescent="0.4">
      <c r="A329" s="167" t="s">
        <v>1696</v>
      </c>
      <c r="B329" s="4" t="s">
        <v>1696</v>
      </c>
      <c r="C329" s="4" t="s">
        <v>166</v>
      </c>
      <c r="D329" s="4" t="s">
        <v>128</v>
      </c>
      <c r="E329" s="190">
        <v>45833</v>
      </c>
      <c r="F329" s="4">
        <v>2025</v>
      </c>
      <c r="G329" s="4" t="s">
        <v>1697</v>
      </c>
      <c r="H329" s="22" t="str">
        <f>VLOOKUP($G329,'Item Classification'!B:C,2,0)</f>
        <v xml:space="preserve">Communication and digitalisation </v>
      </c>
      <c r="I329" s="6" t="str">
        <f>VLOOKUP($G329,'Item Classification'!B:D,3,0)</f>
        <v>Modernisation</v>
      </c>
      <c r="J329" s="23">
        <f>VLOOKUP($G329,'Item Classification'!B:E,4,0)</f>
        <v>13</v>
      </c>
      <c r="K329" s="116" t="s">
        <v>168</v>
      </c>
      <c r="L329" s="116" t="s">
        <v>182</v>
      </c>
      <c r="M329" s="116" t="str">
        <f>VLOOKUP(L329,'NATO Classifications'!$D$6:$E$647,2,0)</f>
        <v>ADP Software</v>
      </c>
      <c r="N329" s="4"/>
      <c r="O329" s="4"/>
      <c r="P329" s="4"/>
      <c r="Q329" s="4">
        <v>2025</v>
      </c>
      <c r="R329" s="4">
        <v>2030</v>
      </c>
      <c r="S329" s="112">
        <v>1500000000</v>
      </c>
      <c r="T329" s="91" t="s">
        <v>132</v>
      </c>
      <c r="U329" s="104">
        <f>_xlfn.IFNA(S329/INDEX('Exchange Rates'!$C$7:$F$14,MATCH('MAIN DATA, Orders'!F329,'Exchange Rates'!$B$7:$B$14,0),MATCH('MAIN DATA, Orders'!T329,'Exchange Rates'!$C$6:$F$6,0)), "-")</f>
        <v>1500000000</v>
      </c>
      <c r="V329" s="4" t="s">
        <v>133</v>
      </c>
      <c r="W329" s="4" t="s">
        <v>127</v>
      </c>
      <c r="X329" s="4" t="s">
        <v>128</v>
      </c>
      <c r="Y329" s="24">
        <f t="shared" si="20"/>
        <v>202506</v>
      </c>
      <c r="Z329" s="115">
        <v>0</v>
      </c>
      <c r="AA329" s="115">
        <v>1</v>
      </c>
      <c r="AB329" s="115">
        <v>0</v>
      </c>
      <c r="AC329" s="115">
        <v>1</v>
      </c>
      <c r="AD329" s="115">
        <v>0</v>
      </c>
      <c r="AE329" s="115">
        <v>0</v>
      </c>
      <c r="AF329" s="115">
        <v>0</v>
      </c>
      <c r="AG329" s="4" t="s">
        <v>166</v>
      </c>
      <c r="AH329" s="4" t="s">
        <v>128</v>
      </c>
      <c r="AI329" s="4" t="s">
        <v>127</v>
      </c>
      <c r="AJ329" s="4" t="s">
        <v>127</v>
      </c>
      <c r="AK329" s="4" t="s">
        <v>127</v>
      </c>
      <c r="AL329" s="4" t="s">
        <v>127</v>
      </c>
      <c r="AM329" s="4" t="s">
        <v>127</v>
      </c>
      <c r="AN329" s="4" t="s">
        <v>127</v>
      </c>
      <c r="AO329" s="4" t="s">
        <v>127</v>
      </c>
      <c r="AP329" s="4" t="s">
        <v>127</v>
      </c>
      <c r="AQ329" s="4"/>
      <c r="AR329" s="4" t="s">
        <v>127</v>
      </c>
      <c r="AS329" s="4" t="s">
        <v>127</v>
      </c>
      <c r="AT329" s="4" t="s">
        <v>127</v>
      </c>
      <c r="AU329" s="4" t="s">
        <v>127</v>
      </c>
      <c r="AV329" s="4" t="s">
        <v>127</v>
      </c>
      <c r="AW329" s="4" t="s">
        <v>127</v>
      </c>
      <c r="AX329" s="4" t="s">
        <v>127</v>
      </c>
      <c r="AY329" s="111" t="s">
        <v>1662</v>
      </c>
      <c r="AZ329" s="111" t="s">
        <v>1671</v>
      </c>
      <c r="BA329" s="4" t="s">
        <v>127</v>
      </c>
      <c r="BB329" s="4" t="s">
        <v>1698</v>
      </c>
      <c r="BC329" s="4" t="s">
        <v>1699</v>
      </c>
      <c r="BD329" s="4" t="s">
        <v>1700</v>
      </c>
      <c r="BE329" s="4" t="s">
        <v>127</v>
      </c>
      <c r="BF329" s="4"/>
      <c r="BG329" s="4"/>
      <c r="BH329" s="4"/>
      <c r="BI329" s="4"/>
      <c r="BJ329" s="4"/>
      <c r="BK329" s="4"/>
      <c r="BL329" s="4"/>
      <c r="BM329" s="4"/>
      <c r="BN329" s="4"/>
      <c r="BO329" s="4"/>
      <c r="BP329" s="4"/>
      <c r="BQ329" s="4"/>
      <c r="BR329" s="4"/>
      <c r="BS329" s="4"/>
      <c r="BT329" s="4"/>
    </row>
    <row r="330" spans="1:72" ht="16" x14ac:dyDescent="0.4">
      <c r="A330" s="4" t="s">
        <v>1701</v>
      </c>
      <c r="B330" s="4" t="s">
        <v>1701</v>
      </c>
      <c r="C330" s="4" t="s">
        <v>127</v>
      </c>
      <c r="D330" s="4" t="s">
        <v>128</v>
      </c>
      <c r="E330" s="190">
        <v>45868</v>
      </c>
      <c r="F330" s="4">
        <v>2025</v>
      </c>
      <c r="G330" s="4" t="s">
        <v>1702</v>
      </c>
      <c r="H330" s="22" t="str">
        <f>VLOOKUP($G330,'Item Classification'!B:C,2,0)</f>
        <v xml:space="preserve">Non-combat military vehicle </v>
      </c>
      <c r="I330" s="6" t="str">
        <f>VLOOKUP($G330,'Item Classification'!B:D,3,0)</f>
        <v>Other</v>
      </c>
      <c r="J330" s="23">
        <f>VLOOKUP($G330,'Item Classification'!B:E,4,0)</f>
        <v>16</v>
      </c>
      <c r="K330" s="116" t="s">
        <v>274</v>
      </c>
      <c r="L330" s="116" t="s">
        <v>275</v>
      </c>
      <c r="M330" s="116" t="str">
        <f>VLOOKUP(L330,'NATO Classifications'!$D$6:$E$647,2,0)</f>
        <v>Trucks and Truck Tractors, Wheeled</v>
      </c>
      <c r="N330" s="4">
        <v>963</v>
      </c>
      <c r="O330" s="81">
        <f t="shared" ref="O330" si="27">S330/N330</f>
        <v>561786.08515057107</v>
      </c>
      <c r="P330" s="81">
        <f t="shared" ref="P330" si="28">U330/N330</f>
        <v>561786.08515057107</v>
      </c>
      <c r="Q330" s="4">
        <v>2025</v>
      </c>
      <c r="R330" s="4">
        <v>2025</v>
      </c>
      <c r="S330" s="112">
        <v>541000000</v>
      </c>
      <c r="T330" s="91" t="s">
        <v>132</v>
      </c>
      <c r="U330" s="104">
        <f>_xlfn.IFNA(S330/INDEX('Exchange Rates'!$C$7:$F$14,MATCH('MAIN DATA, Orders'!F330,'Exchange Rates'!$B$7:$B$14,0),MATCH('MAIN DATA, Orders'!T330,'Exchange Rates'!$C$6:$F$6,0)), "-")</f>
        <v>541000000</v>
      </c>
      <c r="V330" s="4" t="s">
        <v>682</v>
      </c>
      <c r="W330" s="4" t="s">
        <v>133</v>
      </c>
      <c r="X330" s="4" t="s">
        <v>128</v>
      </c>
      <c r="Y330" s="24">
        <f t="shared" si="20"/>
        <v>202507</v>
      </c>
      <c r="Z330" s="115">
        <v>1</v>
      </c>
      <c r="AA330" s="115">
        <v>0</v>
      </c>
      <c r="AB330" s="115">
        <v>0</v>
      </c>
      <c r="AC330" s="115">
        <v>1</v>
      </c>
      <c r="AD330" s="115">
        <v>0</v>
      </c>
      <c r="AE330" s="115">
        <v>0</v>
      </c>
      <c r="AF330" s="115">
        <v>0</v>
      </c>
      <c r="AG330" s="4" t="s">
        <v>1703</v>
      </c>
      <c r="AH330" s="4" t="s">
        <v>128</v>
      </c>
      <c r="AI330" s="4" t="s">
        <v>128</v>
      </c>
      <c r="AJ330" s="4" t="s">
        <v>127</v>
      </c>
      <c r="AK330" s="4" t="s">
        <v>127</v>
      </c>
      <c r="AL330" s="4" t="s">
        <v>127</v>
      </c>
      <c r="AM330" s="4" t="s">
        <v>127</v>
      </c>
      <c r="AN330" s="4" t="s">
        <v>127</v>
      </c>
      <c r="AO330" s="4" t="s">
        <v>127</v>
      </c>
      <c r="AP330" s="4" t="s">
        <v>127</v>
      </c>
      <c r="AQ330" s="4" t="s">
        <v>127</v>
      </c>
      <c r="AR330" s="4" t="s">
        <v>127</v>
      </c>
      <c r="AS330" s="4" t="s">
        <v>127</v>
      </c>
      <c r="AT330" s="4" t="s">
        <v>127</v>
      </c>
      <c r="AU330" s="4" t="s">
        <v>127</v>
      </c>
      <c r="AV330" s="4" t="s">
        <v>127</v>
      </c>
      <c r="AW330" s="4" t="s">
        <v>127</v>
      </c>
      <c r="AX330" s="4" t="s">
        <v>127</v>
      </c>
      <c r="AY330" s="111" t="s">
        <v>1704</v>
      </c>
      <c r="AZ330" s="111" t="s">
        <v>1705</v>
      </c>
      <c r="BA330" s="4" t="s">
        <v>127</v>
      </c>
      <c r="BB330" s="4" t="s">
        <v>1706</v>
      </c>
      <c r="BC330" s="4" t="s">
        <v>1707</v>
      </c>
      <c r="BD330" s="4" t="s">
        <v>127</v>
      </c>
      <c r="BE330" s="4" t="s">
        <v>1708</v>
      </c>
      <c r="BF330" s="4" t="s">
        <v>127</v>
      </c>
      <c r="BG330" s="4"/>
      <c r="BH330" s="4"/>
      <c r="BI330" s="4"/>
      <c r="BJ330" s="4"/>
      <c r="BK330" s="4"/>
      <c r="BL330" s="4"/>
      <c r="BM330" s="4"/>
      <c r="BN330" s="4"/>
      <c r="BO330" s="4"/>
      <c r="BP330" s="4"/>
      <c r="BQ330" s="4"/>
      <c r="BR330" s="4"/>
      <c r="BS330" s="4"/>
      <c r="BT330" s="4"/>
    </row>
    <row r="331" spans="1:72" ht="16" x14ac:dyDescent="0.4">
      <c r="A331" s="4" t="s">
        <v>1709</v>
      </c>
      <c r="B331" s="4" t="s">
        <v>1709</v>
      </c>
      <c r="C331" s="4" t="s">
        <v>127</v>
      </c>
      <c r="D331" s="4" t="s">
        <v>128</v>
      </c>
      <c r="E331" s="190">
        <v>45868</v>
      </c>
      <c r="F331" s="4">
        <v>2025</v>
      </c>
      <c r="G331" s="4" t="s">
        <v>1710</v>
      </c>
      <c r="H331" s="22" t="str">
        <f>VLOOKUP($G331,'Item Classification'!B:C,2,0)</f>
        <v xml:space="preserve">Non-combat military vehicle </v>
      </c>
      <c r="I331" s="6" t="str">
        <f>VLOOKUP($G331,'Item Classification'!B:D,3,0)</f>
        <v>Other</v>
      </c>
      <c r="J331" s="23">
        <f>VLOOKUP($G331,'Item Classification'!B:E,4,0)</f>
        <v>16</v>
      </c>
      <c r="K331" s="116" t="s">
        <v>274</v>
      </c>
      <c r="L331" s="116" t="s">
        <v>275</v>
      </c>
      <c r="M331" s="116" t="str">
        <f>VLOOKUP(L331,'NATO Classifications'!$D$6:$E$647,2,0)</f>
        <v>Trucks and Truck Tractors, Wheeled</v>
      </c>
      <c r="N331" s="4">
        <v>425</v>
      </c>
      <c r="O331" s="81">
        <f t="shared" ref="O331" si="29">S331/N331</f>
        <v>538823.5294117647</v>
      </c>
      <c r="P331" s="81">
        <f t="shared" ref="P331" si="30">U331/N331</f>
        <v>538823.5294117647</v>
      </c>
      <c r="Q331" s="4">
        <v>2025</v>
      </c>
      <c r="R331" s="4">
        <v>2025</v>
      </c>
      <c r="S331" s="112">
        <v>229000000</v>
      </c>
      <c r="T331" s="91" t="s">
        <v>132</v>
      </c>
      <c r="U331" s="104">
        <f>_xlfn.IFNA(S331/INDEX('Exchange Rates'!$C$7:$F$14,MATCH('MAIN DATA, Orders'!F331,'Exchange Rates'!$B$7:$B$14,0),MATCH('MAIN DATA, Orders'!T331,'Exchange Rates'!$C$6:$F$6,0)), "-")</f>
        <v>229000000</v>
      </c>
      <c r="V331" s="4" t="s">
        <v>682</v>
      </c>
      <c r="W331" s="4" t="s">
        <v>133</v>
      </c>
      <c r="X331" s="4" t="s">
        <v>128</v>
      </c>
      <c r="Y331" s="24">
        <f t="shared" si="20"/>
        <v>202507</v>
      </c>
      <c r="Z331" s="115">
        <v>1</v>
      </c>
      <c r="AA331" s="115">
        <v>0</v>
      </c>
      <c r="AB331" s="115">
        <v>0</v>
      </c>
      <c r="AC331" s="115">
        <v>1</v>
      </c>
      <c r="AD331" s="115">
        <v>0</v>
      </c>
      <c r="AE331" s="115">
        <v>0</v>
      </c>
      <c r="AF331" s="115">
        <v>0</v>
      </c>
      <c r="AG331" s="4" t="s">
        <v>1703</v>
      </c>
      <c r="AH331" s="4" t="s">
        <v>128</v>
      </c>
      <c r="AI331" s="4" t="s">
        <v>128</v>
      </c>
      <c r="AJ331" s="4" t="s">
        <v>127</v>
      </c>
      <c r="AK331" s="4" t="s">
        <v>127</v>
      </c>
      <c r="AL331" s="4" t="s">
        <v>127</v>
      </c>
      <c r="AM331" s="4" t="s">
        <v>127</v>
      </c>
      <c r="AN331" s="4" t="s">
        <v>127</v>
      </c>
      <c r="AO331" s="4" t="s">
        <v>127</v>
      </c>
      <c r="AP331" s="4" t="s">
        <v>127</v>
      </c>
      <c r="AQ331" s="4" t="s">
        <v>127</v>
      </c>
      <c r="AR331" s="4" t="s">
        <v>127</v>
      </c>
      <c r="AS331" s="4" t="s">
        <v>127</v>
      </c>
      <c r="AT331" s="4" t="s">
        <v>127</v>
      </c>
      <c r="AU331" s="4" t="s">
        <v>127</v>
      </c>
      <c r="AV331" s="4" t="s">
        <v>127</v>
      </c>
      <c r="AW331" s="4" t="s">
        <v>127</v>
      </c>
      <c r="AX331" s="4" t="s">
        <v>127</v>
      </c>
      <c r="AY331" s="111" t="s">
        <v>1704</v>
      </c>
      <c r="AZ331" s="111" t="s">
        <v>1705</v>
      </c>
      <c r="BA331" s="4" t="s">
        <v>127</v>
      </c>
      <c r="BB331" s="4" t="s">
        <v>1706</v>
      </c>
      <c r="BC331" s="4" t="s">
        <v>1707</v>
      </c>
      <c r="BD331" s="4" t="s">
        <v>1711</v>
      </c>
      <c r="BE331" s="4" t="s">
        <v>1708</v>
      </c>
      <c r="BF331" s="4" t="s">
        <v>127</v>
      </c>
      <c r="BG331" s="4"/>
      <c r="BH331" s="4"/>
      <c r="BI331" s="4"/>
      <c r="BJ331" s="4"/>
      <c r="BK331" s="4"/>
      <c r="BL331" s="4"/>
      <c r="BM331" s="4"/>
      <c r="BN331" s="4"/>
      <c r="BO331" s="4"/>
      <c r="BP331" s="4"/>
      <c r="BQ331" s="4"/>
      <c r="BR331" s="4"/>
      <c r="BS331" s="4"/>
      <c r="BT331" s="4"/>
    </row>
    <row r="332" spans="1:72" ht="16" x14ac:dyDescent="0.4">
      <c r="A332" s="4" t="s">
        <v>1712</v>
      </c>
      <c r="B332" s="4" t="s">
        <v>1712</v>
      </c>
      <c r="C332" s="4" t="s">
        <v>127</v>
      </c>
      <c r="D332" s="4" t="s">
        <v>128</v>
      </c>
      <c r="E332" s="190">
        <v>45910</v>
      </c>
      <c r="F332" s="4">
        <v>2025</v>
      </c>
      <c r="G332" s="4" t="s">
        <v>1713</v>
      </c>
      <c r="H332" s="22" t="str">
        <f>VLOOKUP($G332,'Item Classification'!B:C,2,0)</f>
        <v>Medium-altitude long-endurance (MALE) unmanned aerial vehicle (UAV)</v>
      </c>
      <c r="I332" s="6" t="str">
        <f>VLOOKUP($G332,'Item Classification'!B:D,3,0)</f>
        <v>Drone</v>
      </c>
      <c r="J332" s="23">
        <f>VLOOKUP($G332,'Item Classification'!B:E,4,0)</f>
        <v>7</v>
      </c>
      <c r="K332" s="116" t="s">
        <v>130</v>
      </c>
      <c r="L332" s="116" t="s">
        <v>131</v>
      </c>
      <c r="M332" s="116" t="str">
        <f>VLOOKUP(L332,'NATO Classifications'!$D$6:$E$647,2,0)</f>
        <v>Unmanned Aircraft</v>
      </c>
      <c r="N332" s="4"/>
      <c r="O332" s="4"/>
      <c r="P332" s="4"/>
      <c r="Q332" s="4">
        <v>2026</v>
      </c>
      <c r="R332" s="4">
        <v>2028</v>
      </c>
      <c r="S332" s="112">
        <v>630000000</v>
      </c>
      <c r="T332" s="91" t="s">
        <v>132</v>
      </c>
      <c r="U332" s="104">
        <f>_xlfn.IFNA(S332/INDEX('Exchange Rates'!$C$7:$F$14,MATCH('MAIN DATA, Orders'!F332,'Exchange Rates'!$B$7:$B$14,0),MATCH('MAIN DATA, Orders'!T332,'Exchange Rates'!$C$6:$F$6,0)), "-")</f>
        <v>630000000</v>
      </c>
      <c r="V332" s="4" t="s">
        <v>682</v>
      </c>
      <c r="W332" s="4" t="s">
        <v>133</v>
      </c>
      <c r="X332" s="4" t="s">
        <v>128</v>
      </c>
      <c r="Y332" s="24">
        <f t="shared" si="20"/>
        <v>202509</v>
      </c>
      <c r="Z332" s="115">
        <v>0</v>
      </c>
      <c r="AA332" s="115">
        <v>0</v>
      </c>
      <c r="AB332" s="115">
        <v>0</v>
      </c>
      <c r="AC332" s="115">
        <v>1</v>
      </c>
      <c r="AD332" s="115">
        <v>0</v>
      </c>
      <c r="AE332" s="115">
        <v>1</v>
      </c>
      <c r="AF332" s="115">
        <v>1</v>
      </c>
      <c r="AG332" s="4" t="s">
        <v>134</v>
      </c>
      <c r="AH332" s="4" t="s">
        <v>135</v>
      </c>
      <c r="AI332" s="4" t="s">
        <v>135</v>
      </c>
      <c r="AJ332" s="4" t="s">
        <v>160</v>
      </c>
      <c r="AK332" s="4" t="s">
        <v>127</v>
      </c>
      <c r="AL332" s="4" t="s">
        <v>127</v>
      </c>
      <c r="AM332" s="4" t="s">
        <v>127</v>
      </c>
      <c r="AN332" s="4" t="s">
        <v>128</v>
      </c>
      <c r="AO332" s="4" t="s">
        <v>127</v>
      </c>
      <c r="AP332" s="4" t="s">
        <v>127</v>
      </c>
      <c r="AQ332" s="4" t="s">
        <v>127</v>
      </c>
      <c r="AR332" s="4" t="s">
        <v>127</v>
      </c>
      <c r="AS332" s="4" t="s">
        <v>127</v>
      </c>
      <c r="AT332" s="4" t="s">
        <v>127</v>
      </c>
      <c r="AU332" s="4" t="s">
        <v>127</v>
      </c>
      <c r="AV332" s="4" t="s">
        <v>127</v>
      </c>
      <c r="AW332" s="4" t="s">
        <v>127</v>
      </c>
      <c r="AX332" s="4" t="s">
        <v>127</v>
      </c>
      <c r="AY332" s="111" t="s">
        <v>1714</v>
      </c>
      <c r="AZ332" s="111" t="s">
        <v>1715</v>
      </c>
      <c r="BA332" s="4" t="s">
        <v>127</v>
      </c>
      <c r="BB332" s="4" t="s">
        <v>1716</v>
      </c>
      <c r="BC332" s="4" t="s">
        <v>1717</v>
      </c>
      <c r="BD332" s="4" t="s">
        <v>127</v>
      </c>
      <c r="BE332" s="4" t="s">
        <v>127</v>
      </c>
      <c r="BF332" s="4"/>
      <c r="BG332" s="4"/>
      <c r="BH332" s="4"/>
      <c r="BI332" s="4"/>
      <c r="BJ332" s="4"/>
      <c r="BK332" s="4"/>
      <c r="BL332" s="4"/>
      <c r="BM332" s="4"/>
      <c r="BN332" s="4"/>
      <c r="BO332" s="4"/>
      <c r="BP332" s="4"/>
      <c r="BQ332" s="4"/>
      <c r="BR332" s="4"/>
      <c r="BS332" s="4"/>
      <c r="BT332" s="4"/>
    </row>
    <row r="333" spans="1:72" ht="16" x14ac:dyDescent="0.4">
      <c r="A333" s="167" t="s">
        <v>1718</v>
      </c>
      <c r="B333" s="4" t="s">
        <v>1718</v>
      </c>
      <c r="C333" s="4" t="s">
        <v>127</v>
      </c>
      <c r="D333" s="4" t="s">
        <v>128</v>
      </c>
      <c r="E333" s="190">
        <v>45910</v>
      </c>
      <c r="F333" s="4">
        <v>2025</v>
      </c>
      <c r="G333" s="4" t="s">
        <v>1719</v>
      </c>
      <c r="H333" s="22" t="str">
        <f>VLOOKUP($G333,'Item Classification'!B:C,2,0)</f>
        <v>Surface-to-air missile (SAM)</v>
      </c>
      <c r="I333" s="6" t="str">
        <f>VLOOKUP($G333,'Item Classification'!B:D,3,0)</f>
        <v>Missile (Land)</v>
      </c>
      <c r="J333" s="23">
        <f>VLOOKUP($G333,'Item Classification'!B:E,4,0)</f>
        <v>6</v>
      </c>
      <c r="K333" s="116" t="s">
        <v>211</v>
      </c>
      <c r="L333" s="116" t="s">
        <v>211</v>
      </c>
      <c r="M333" s="116" t="str">
        <f>VLOOKUP(L333,'NATO Classifications'!$D$6:$E$647,2,0)</f>
        <v>Guided Missiles</v>
      </c>
      <c r="N333" s="4">
        <v>100</v>
      </c>
      <c r="O333" s="81">
        <f t="shared" ref="O333:O334" si="31">S333/N333</f>
        <v>2570000</v>
      </c>
      <c r="P333" s="81">
        <f t="shared" ref="P333:P334" si="32">U333/N333</f>
        <v>2570000</v>
      </c>
      <c r="Q333" s="4"/>
      <c r="R333" s="4"/>
      <c r="S333" s="112">
        <v>257000000</v>
      </c>
      <c r="T333" s="91" t="s">
        <v>132</v>
      </c>
      <c r="U333" s="104">
        <f>_xlfn.IFNA(S333/INDEX('Exchange Rates'!$C$7:$F$14,MATCH('MAIN DATA, Orders'!F333,'Exchange Rates'!$B$7:$B$14,0),MATCH('MAIN DATA, Orders'!T333,'Exchange Rates'!$C$6:$F$6,0)), "-")</f>
        <v>257000000</v>
      </c>
      <c r="V333" s="4" t="s">
        <v>808</v>
      </c>
      <c r="W333" s="4" t="s">
        <v>127</v>
      </c>
      <c r="X333" s="4" t="s">
        <v>128</v>
      </c>
      <c r="Y333" s="24">
        <f t="shared" si="20"/>
        <v>202509</v>
      </c>
      <c r="Z333" s="115">
        <v>1</v>
      </c>
      <c r="AA333" s="115">
        <v>0</v>
      </c>
      <c r="AB333" s="115">
        <v>0</v>
      </c>
      <c r="AC333" s="115">
        <v>1</v>
      </c>
      <c r="AD333" s="115">
        <v>1</v>
      </c>
      <c r="AE333" s="115">
        <v>1</v>
      </c>
      <c r="AF333" s="115">
        <v>1</v>
      </c>
      <c r="AG333" s="4" t="s">
        <v>718</v>
      </c>
      <c r="AH333" s="4" t="s">
        <v>196</v>
      </c>
      <c r="AI333" s="4" t="s">
        <v>128</v>
      </c>
      <c r="AJ333" s="4" t="s">
        <v>475</v>
      </c>
      <c r="AK333" s="4" t="s">
        <v>127</v>
      </c>
      <c r="AL333" s="4" t="s">
        <v>127</v>
      </c>
      <c r="AM333" s="4" t="s">
        <v>127</v>
      </c>
      <c r="AN333" s="4" t="s">
        <v>151</v>
      </c>
      <c r="AO333" s="4" t="s">
        <v>238</v>
      </c>
      <c r="AP333" s="4" t="s">
        <v>197</v>
      </c>
      <c r="AQ333" s="4" t="s">
        <v>162</v>
      </c>
      <c r="AR333" s="4" t="s">
        <v>213</v>
      </c>
      <c r="AS333" s="4" t="s">
        <v>127</v>
      </c>
      <c r="AT333" s="4" t="s">
        <v>127</v>
      </c>
      <c r="AU333" s="4" t="s">
        <v>127</v>
      </c>
      <c r="AV333" s="4" t="s">
        <v>127</v>
      </c>
      <c r="AW333" s="4" t="s">
        <v>127</v>
      </c>
      <c r="AX333" s="4" t="s">
        <v>127</v>
      </c>
      <c r="AY333" s="111" t="s">
        <v>1714</v>
      </c>
      <c r="AZ333" s="111" t="s">
        <v>1720</v>
      </c>
      <c r="BA333" s="111" t="s">
        <v>1721</v>
      </c>
      <c r="BB333" s="4" t="s">
        <v>1722</v>
      </c>
      <c r="BC333" s="4" t="s">
        <v>1723</v>
      </c>
      <c r="BD333" s="4" t="s">
        <v>127</v>
      </c>
      <c r="BE333" s="4" t="s">
        <v>127</v>
      </c>
      <c r="BF333" s="4"/>
      <c r="BG333" s="4"/>
      <c r="BH333" s="4"/>
      <c r="BI333" s="4"/>
      <c r="BJ333" s="4"/>
      <c r="BK333" s="4"/>
      <c r="BL333" s="4"/>
      <c r="BM333" s="4"/>
      <c r="BN333" s="4"/>
      <c r="BO333" s="4"/>
      <c r="BP333" s="4"/>
      <c r="BQ333" s="4"/>
      <c r="BR333" s="4"/>
      <c r="BS333" s="4"/>
      <c r="BT333" s="4"/>
    </row>
    <row r="334" spans="1:72" ht="16" x14ac:dyDescent="0.4">
      <c r="A334" s="4" t="s">
        <v>1724</v>
      </c>
      <c r="B334" s="4" t="s">
        <v>1724</v>
      </c>
      <c r="C334" s="4" t="s">
        <v>127</v>
      </c>
      <c r="D334" s="4" t="s">
        <v>128</v>
      </c>
      <c r="E334" s="190">
        <v>45910</v>
      </c>
      <c r="F334" s="4">
        <v>2025</v>
      </c>
      <c r="G334" s="4" t="s">
        <v>1719</v>
      </c>
      <c r="H334" s="22" t="str">
        <f>VLOOKUP($G334,'Item Classification'!B:C,2,0)</f>
        <v>Surface-to-air missile (SAM)</v>
      </c>
      <c r="I334" s="6" t="str">
        <f>VLOOKUP($G334,'Item Classification'!B:D,3,0)</f>
        <v>Missile (Land)</v>
      </c>
      <c r="J334" s="23">
        <f>VLOOKUP($G334,'Item Classification'!B:E,4,0)</f>
        <v>6</v>
      </c>
      <c r="K334" s="116" t="s">
        <v>211</v>
      </c>
      <c r="L334" s="116" t="s">
        <v>211</v>
      </c>
      <c r="M334" s="116" t="str">
        <f>VLOOKUP(L334,'NATO Classifications'!$D$6:$E$647,2,0)</f>
        <v>Guided Missiles</v>
      </c>
      <c r="N334" s="4">
        <v>600</v>
      </c>
      <c r="O334" s="81">
        <f t="shared" si="31"/>
        <v>2166666.6666666665</v>
      </c>
      <c r="P334" s="81">
        <f t="shared" si="32"/>
        <v>2166666.6666666665</v>
      </c>
      <c r="Q334" s="4"/>
      <c r="R334" s="4"/>
      <c r="S334" s="112">
        <v>1300000000</v>
      </c>
      <c r="T334" s="91" t="s">
        <v>132</v>
      </c>
      <c r="U334" s="104">
        <f>_xlfn.IFNA(S334/INDEX('Exchange Rates'!$C$7:$F$14,MATCH('MAIN DATA, Orders'!F334,'Exchange Rates'!$B$7:$B$14,0),MATCH('MAIN DATA, Orders'!T334,'Exchange Rates'!$C$6:$F$6,0)), "-")</f>
        <v>1300000000</v>
      </c>
      <c r="V334" s="4" t="s">
        <v>133</v>
      </c>
      <c r="W334" s="4" t="s">
        <v>127</v>
      </c>
      <c r="X334" s="4" t="s">
        <v>128</v>
      </c>
      <c r="Y334" s="24">
        <f t="shared" si="20"/>
        <v>202509</v>
      </c>
      <c r="Z334" s="115">
        <v>1</v>
      </c>
      <c r="AA334" s="115">
        <v>0</v>
      </c>
      <c r="AB334" s="115">
        <v>0</v>
      </c>
      <c r="AC334" s="115">
        <v>1</v>
      </c>
      <c r="AD334" s="115">
        <v>1</v>
      </c>
      <c r="AE334" s="115">
        <v>1</v>
      </c>
      <c r="AF334" s="115">
        <v>1</v>
      </c>
      <c r="AG334" s="4" t="s">
        <v>718</v>
      </c>
      <c r="AH334" s="4" t="s">
        <v>196</v>
      </c>
      <c r="AI334" s="4" t="s">
        <v>128</v>
      </c>
      <c r="AJ334" s="4" t="s">
        <v>475</v>
      </c>
      <c r="AK334" s="4" t="s">
        <v>127</v>
      </c>
      <c r="AL334" s="4" t="s">
        <v>127</v>
      </c>
      <c r="AM334" s="4" t="s">
        <v>127</v>
      </c>
      <c r="AN334" s="4" t="s">
        <v>151</v>
      </c>
      <c r="AO334" s="4" t="s">
        <v>238</v>
      </c>
      <c r="AP334" s="4" t="s">
        <v>197</v>
      </c>
      <c r="AQ334" s="4" t="s">
        <v>162</v>
      </c>
      <c r="AR334" s="4" t="s">
        <v>213</v>
      </c>
      <c r="AS334" s="4" t="s">
        <v>127</v>
      </c>
      <c r="AT334" s="4" t="s">
        <v>127</v>
      </c>
      <c r="AU334" s="4" t="s">
        <v>127</v>
      </c>
      <c r="AV334" s="4" t="s">
        <v>127</v>
      </c>
      <c r="AW334" s="4" t="s">
        <v>127</v>
      </c>
      <c r="AX334" s="4" t="s">
        <v>127</v>
      </c>
      <c r="AY334" s="111" t="s">
        <v>1714</v>
      </c>
      <c r="AZ334" s="113" t="s">
        <v>1720</v>
      </c>
      <c r="BA334" s="111" t="s">
        <v>1721</v>
      </c>
      <c r="BB334" s="4" t="s">
        <v>1722</v>
      </c>
      <c r="BC334" s="4" t="s">
        <v>1723</v>
      </c>
      <c r="BD334" s="4" t="s">
        <v>127</v>
      </c>
      <c r="BE334" s="4" t="s">
        <v>127</v>
      </c>
      <c r="BF334" s="4"/>
      <c r="BG334" s="4"/>
      <c r="BH334" s="4"/>
      <c r="BI334" s="4"/>
      <c r="BJ334" s="4"/>
      <c r="BK334" s="4"/>
      <c r="BL334" s="4"/>
      <c r="BM334" s="4"/>
      <c r="BN334" s="4"/>
      <c r="BO334" s="4"/>
      <c r="BP334" s="4"/>
      <c r="BQ334" s="4"/>
      <c r="BR334" s="4"/>
      <c r="BS334" s="4"/>
      <c r="BT334" s="4"/>
    </row>
    <row r="335" spans="1:72" ht="16" x14ac:dyDescent="0.4">
      <c r="A335" s="4" t="s">
        <v>1725</v>
      </c>
      <c r="B335" s="4" t="s">
        <v>1725</v>
      </c>
      <c r="C335" s="4" t="s">
        <v>127</v>
      </c>
      <c r="D335" s="4" t="s">
        <v>128</v>
      </c>
      <c r="E335" s="190">
        <v>45910</v>
      </c>
      <c r="F335" s="4">
        <v>2025</v>
      </c>
      <c r="G335" s="4" t="s">
        <v>1726</v>
      </c>
      <c r="H335" s="22" t="str">
        <f>VLOOKUP($G335,'Item Classification'!B:C,2,0)</f>
        <v>Anti-aircraft surface-to-air missile (SAM) system (long-range)</v>
      </c>
      <c r="I335" s="6" t="str">
        <f>VLOOKUP($G335,'Item Classification'!B:D,3,0)</f>
        <v>Air defence system</v>
      </c>
      <c r="J335" s="23">
        <f>VLOOKUP($G335,'Item Classification'!B:E,4,0)</f>
        <v>5</v>
      </c>
      <c r="K335" s="116" t="s">
        <v>211</v>
      </c>
      <c r="L335" s="116" t="s">
        <v>1576</v>
      </c>
      <c r="M335" s="116" t="str">
        <f>VLOOKUP(L335,'NATO Classifications'!$D$6:$E$647,2,0)</f>
        <v>Launchers, Guided Missile</v>
      </c>
      <c r="N335" s="4"/>
      <c r="O335" s="4"/>
      <c r="P335" s="4"/>
      <c r="Q335" s="4"/>
      <c r="R335" s="4"/>
      <c r="S335" s="112">
        <v>114000000</v>
      </c>
      <c r="T335" s="91" t="s">
        <v>132</v>
      </c>
      <c r="U335" s="104">
        <f>_xlfn.IFNA(S335/INDEX('Exchange Rates'!$C$7:$F$14,MATCH('MAIN DATA, Orders'!F335,'Exchange Rates'!$B$7:$B$14,0),MATCH('MAIN DATA, Orders'!T335,'Exchange Rates'!$C$6:$F$6,0)), "-")</f>
        <v>114000000</v>
      </c>
      <c r="V335" s="4" t="s">
        <v>127</v>
      </c>
      <c r="W335" s="4" t="s">
        <v>127</v>
      </c>
      <c r="X335" s="4" t="s">
        <v>128</v>
      </c>
      <c r="Y335" s="24">
        <f t="shared" si="20"/>
        <v>202509</v>
      </c>
      <c r="Z335" s="115">
        <v>0</v>
      </c>
      <c r="AA335" s="115">
        <v>0</v>
      </c>
      <c r="AB335" s="115">
        <v>0</v>
      </c>
      <c r="AC335" s="115">
        <v>0</v>
      </c>
      <c r="AD335" s="115">
        <v>0</v>
      </c>
      <c r="AE335" s="115">
        <v>0</v>
      </c>
      <c r="AF335" s="115">
        <v>0</v>
      </c>
      <c r="AG335" s="4" t="s">
        <v>718</v>
      </c>
      <c r="AH335" s="4" t="s">
        <v>196</v>
      </c>
      <c r="AI335" s="4" t="s">
        <v>196</v>
      </c>
      <c r="AJ335" s="4" t="s">
        <v>127</v>
      </c>
      <c r="AK335" s="4" t="s">
        <v>127</v>
      </c>
      <c r="AL335" s="4" t="s">
        <v>127</v>
      </c>
      <c r="AM335" s="4" t="s">
        <v>127</v>
      </c>
      <c r="AN335" s="4" t="s">
        <v>127</v>
      </c>
      <c r="AO335" s="4" t="s">
        <v>127</v>
      </c>
      <c r="AP335" s="4" t="s">
        <v>127</v>
      </c>
      <c r="AQ335" s="4" t="s">
        <v>127</v>
      </c>
      <c r="AR335" s="4" t="s">
        <v>127</v>
      </c>
      <c r="AS335" s="4" t="s">
        <v>127</v>
      </c>
      <c r="AT335" s="4" t="s">
        <v>127</v>
      </c>
      <c r="AU335" s="4" t="s">
        <v>127</v>
      </c>
      <c r="AV335" s="4" t="s">
        <v>127</v>
      </c>
      <c r="AW335" s="4" t="s">
        <v>127</v>
      </c>
      <c r="AX335" s="4" t="s">
        <v>127</v>
      </c>
      <c r="AY335" s="111" t="s">
        <v>1714</v>
      </c>
      <c r="AZ335" s="113" t="s">
        <v>1720</v>
      </c>
      <c r="BA335" s="111" t="s">
        <v>1727</v>
      </c>
      <c r="BB335" s="4" t="s">
        <v>1728</v>
      </c>
      <c r="BC335" s="4" t="s">
        <v>1729</v>
      </c>
      <c r="BD335" s="4" t="s">
        <v>1730</v>
      </c>
      <c r="BE335" s="4" t="s">
        <v>127</v>
      </c>
      <c r="BF335" s="4"/>
      <c r="BG335" s="4"/>
      <c r="BH335" s="4"/>
      <c r="BI335" s="4"/>
      <c r="BJ335" s="4"/>
      <c r="BK335" s="4"/>
      <c r="BL335" s="4"/>
      <c r="BM335" s="4"/>
      <c r="BN335" s="4"/>
      <c r="BO335" s="4"/>
      <c r="BP335" s="4"/>
      <c r="BQ335" s="4"/>
      <c r="BR335" s="4"/>
      <c r="BS335" s="4"/>
      <c r="BT335" s="4"/>
    </row>
    <row r="336" spans="1:72" ht="16" x14ac:dyDescent="0.4">
      <c r="A336" s="4" t="s">
        <v>1731</v>
      </c>
      <c r="B336" s="4" t="s">
        <v>1731</v>
      </c>
      <c r="C336" s="4" t="s">
        <v>127</v>
      </c>
      <c r="D336" s="4" t="s">
        <v>128</v>
      </c>
      <c r="E336" s="190">
        <v>45910</v>
      </c>
      <c r="F336" s="4">
        <v>2025</v>
      </c>
      <c r="G336" s="4" t="s">
        <v>1732</v>
      </c>
      <c r="H336" s="22" t="str">
        <f>VLOOKUP($G336,'Item Classification'!B:C,2,0)</f>
        <v>Military equipment</v>
      </c>
      <c r="I336" s="6" t="str">
        <f>VLOOKUP($G336,'Item Classification'!B:D,3,0)</f>
        <v>Other</v>
      </c>
      <c r="J336" s="23">
        <f>VLOOKUP($G336,'Item Classification'!B:E,4,0)</f>
        <v>16</v>
      </c>
      <c r="K336" s="116" t="s">
        <v>274</v>
      </c>
      <c r="L336" s="116" t="s">
        <v>493</v>
      </c>
      <c r="M336" s="116" t="str">
        <f>VLOOKUP(L336,'NATO Classifications'!$D$6:$E$647,2,0)</f>
        <v>Combat, Assault, and Tactical Vehicles, Wheeled</v>
      </c>
      <c r="N336" s="4"/>
      <c r="O336" s="4"/>
      <c r="P336" s="4"/>
      <c r="Q336" s="4"/>
      <c r="R336" s="4"/>
      <c r="S336" s="112">
        <v>351000000</v>
      </c>
      <c r="T336" s="91" t="s">
        <v>132</v>
      </c>
      <c r="U336" s="104">
        <f>_xlfn.IFNA(S336/INDEX('Exchange Rates'!$C$7:$F$14,MATCH('MAIN DATA, Orders'!F336,'Exchange Rates'!$B$7:$B$14,0),MATCH('MAIN DATA, Orders'!T336,'Exchange Rates'!$C$6:$F$6,0)), "-")</f>
        <v>351000000</v>
      </c>
      <c r="V336" s="4" t="s">
        <v>682</v>
      </c>
      <c r="W336" s="4" t="s">
        <v>133</v>
      </c>
      <c r="X336" s="4" t="s">
        <v>128</v>
      </c>
      <c r="Y336" s="24">
        <f t="shared" si="20"/>
        <v>202509</v>
      </c>
      <c r="Z336" s="115">
        <v>1</v>
      </c>
      <c r="AA336" s="115">
        <v>0</v>
      </c>
      <c r="AB336" s="115">
        <v>0</v>
      </c>
      <c r="AC336" s="115" t="s">
        <v>127</v>
      </c>
      <c r="AD336" s="115" t="s">
        <v>127</v>
      </c>
      <c r="AE336" s="115" t="s">
        <v>127</v>
      </c>
      <c r="AF336" s="115" t="s">
        <v>127</v>
      </c>
      <c r="AG336" s="4" t="s">
        <v>127</v>
      </c>
      <c r="AH336" s="4" t="s">
        <v>127</v>
      </c>
      <c r="AI336" s="4" t="s">
        <v>127</v>
      </c>
      <c r="AJ336" s="4" t="s">
        <v>127</v>
      </c>
      <c r="AK336" s="4" t="s">
        <v>127</v>
      </c>
      <c r="AL336" s="4" t="s">
        <v>127</v>
      </c>
      <c r="AM336" s="4" t="s">
        <v>127</v>
      </c>
      <c r="AN336" s="4" t="s">
        <v>127</v>
      </c>
      <c r="AO336" s="4" t="s">
        <v>127</v>
      </c>
      <c r="AP336" s="4" t="s">
        <v>127</v>
      </c>
      <c r="AQ336" s="4" t="s">
        <v>127</v>
      </c>
      <c r="AR336" s="4" t="s">
        <v>127</v>
      </c>
      <c r="AS336" s="4" t="s">
        <v>127</v>
      </c>
      <c r="AT336" s="4" t="s">
        <v>127</v>
      </c>
      <c r="AU336" s="4" t="s">
        <v>127</v>
      </c>
      <c r="AV336" s="4" t="s">
        <v>127</v>
      </c>
      <c r="AW336" s="4" t="s">
        <v>127</v>
      </c>
      <c r="AX336" s="4" t="s">
        <v>127</v>
      </c>
      <c r="AY336" s="111" t="s">
        <v>1714</v>
      </c>
      <c r="AZ336" s="113"/>
      <c r="BA336" s="4" t="s">
        <v>127</v>
      </c>
      <c r="BB336" s="4" t="s">
        <v>1733</v>
      </c>
      <c r="BC336" s="4" t="s">
        <v>1734</v>
      </c>
      <c r="BD336" s="4" t="s">
        <v>127</v>
      </c>
      <c r="BE336" s="4" t="s">
        <v>1735</v>
      </c>
      <c r="BF336" s="4" t="s">
        <v>127</v>
      </c>
      <c r="BG336" s="4"/>
      <c r="BH336" s="4"/>
      <c r="BI336" s="4"/>
      <c r="BJ336" s="4"/>
      <c r="BK336" s="4"/>
      <c r="BL336" s="4"/>
      <c r="BM336" s="4"/>
      <c r="BN336" s="4"/>
      <c r="BO336" s="4"/>
      <c r="BP336" s="4"/>
      <c r="BQ336" s="4"/>
      <c r="BR336" s="4"/>
      <c r="BS336" s="4"/>
      <c r="BT336" s="4"/>
    </row>
    <row r="337" spans="1:72" ht="16" x14ac:dyDescent="0.4">
      <c r="A337" s="4" t="s">
        <v>1736</v>
      </c>
      <c r="B337" s="4" t="s">
        <v>1736</v>
      </c>
      <c r="C337" s="4" t="s">
        <v>127</v>
      </c>
      <c r="D337" s="4" t="s">
        <v>128</v>
      </c>
      <c r="E337" s="190">
        <v>45910</v>
      </c>
      <c r="F337" s="4">
        <v>2025</v>
      </c>
      <c r="G337" s="4" t="s">
        <v>1737</v>
      </c>
      <c r="H337" s="22" t="str">
        <f>VLOOKUP($G337,'Item Classification'!B:C,2,0)</f>
        <v>Medical support</v>
      </c>
      <c r="I337" s="6" t="str">
        <f>VLOOKUP($G337,'Item Classification'!B:D,3,0)</f>
        <v>Other</v>
      </c>
      <c r="J337" s="23">
        <f>VLOOKUP($G337,'Item Classification'!B:E,4,0)</f>
        <v>16</v>
      </c>
      <c r="K337" s="116" t="s">
        <v>386</v>
      </c>
      <c r="L337" s="116" t="s">
        <v>387</v>
      </c>
      <c r="M337" s="116" t="str">
        <f>VLOOKUP(L337,'NATO Classifications'!$D$6:$E$647,2,0)</f>
        <v>Prefabricated and Portable Buildings</v>
      </c>
      <c r="N337" s="4">
        <v>8</v>
      </c>
      <c r="O337" s="81">
        <f t="shared" ref="O337:O338" si="33">S337/N337</f>
        <v>49875000</v>
      </c>
      <c r="P337" s="81">
        <f t="shared" ref="P337:P338" si="34">U337/N337</f>
        <v>49875000</v>
      </c>
      <c r="Q337" s="4">
        <v>2027</v>
      </c>
      <c r="R337" s="4">
        <v>2033</v>
      </c>
      <c r="S337" s="112">
        <v>399000000</v>
      </c>
      <c r="T337" s="91" t="s">
        <v>132</v>
      </c>
      <c r="U337" s="104">
        <f>_xlfn.IFNA(S337/INDEX('Exchange Rates'!$C$7:$F$14,MATCH('MAIN DATA, Orders'!F337,'Exchange Rates'!$B$7:$B$14,0),MATCH('MAIN DATA, Orders'!T337,'Exchange Rates'!$C$6:$F$6,0)), "-")</f>
        <v>399000000</v>
      </c>
      <c r="V337" s="4" t="s">
        <v>133</v>
      </c>
      <c r="W337" s="4" t="s">
        <v>127</v>
      </c>
      <c r="X337" s="4" t="s">
        <v>128</v>
      </c>
      <c r="Y337" s="24">
        <f t="shared" si="20"/>
        <v>202509</v>
      </c>
      <c r="Z337" s="115">
        <v>1</v>
      </c>
      <c r="AA337" s="115">
        <v>0</v>
      </c>
      <c r="AB337" s="115">
        <v>0</v>
      </c>
      <c r="AC337" s="115">
        <v>1</v>
      </c>
      <c r="AD337" s="115">
        <v>0</v>
      </c>
      <c r="AE337" s="115">
        <v>0</v>
      </c>
      <c r="AF337" s="115">
        <v>0</v>
      </c>
      <c r="AG337" s="4" t="s">
        <v>1738</v>
      </c>
      <c r="AH337" s="4" t="s">
        <v>128</v>
      </c>
      <c r="AI337" s="4" t="s">
        <v>128</v>
      </c>
      <c r="AJ337" s="4" t="s">
        <v>127</v>
      </c>
      <c r="AK337" s="4" t="s">
        <v>127</v>
      </c>
      <c r="AL337" s="4" t="s">
        <v>127</v>
      </c>
      <c r="AM337" s="4" t="s">
        <v>127</v>
      </c>
      <c r="AN337" s="4" t="s">
        <v>127</v>
      </c>
      <c r="AO337" s="4" t="s">
        <v>127</v>
      </c>
      <c r="AP337" s="4" t="s">
        <v>127</v>
      </c>
      <c r="AQ337" s="4" t="s">
        <v>127</v>
      </c>
      <c r="AR337" s="4" t="s">
        <v>127</v>
      </c>
      <c r="AS337" s="4" t="s">
        <v>127</v>
      </c>
      <c r="AT337" s="4" t="s">
        <v>127</v>
      </c>
      <c r="AU337" s="4" t="s">
        <v>127</v>
      </c>
      <c r="AV337" s="4" t="s">
        <v>127</v>
      </c>
      <c r="AW337" s="4" t="s">
        <v>127</v>
      </c>
      <c r="AX337" s="4" t="s">
        <v>127</v>
      </c>
      <c r="AY337" s="111" t="s">
        <v>1714</v>
      </c>
      <c r="AZ337" s="99" t="s">
        <v>1739</v>
      </c>
      <c r="BA337" s="4" t="s">
        <v>127</v>
      </c>
      <c r="BB337" s="4" t="s">
        <v>1740</v>
      </c>
      <c r="BC337" s="4" t="s">
        <v>1741</v>
      </c>
      <c r="BD337" s="4" t="s">
        <v>127</v>
      </c>
      <c r="BE337" s="4" t="s">
        <v>127</v>
      </c>
      <c r="BF337" s="4"/>
      <c r="BG337" s="4"/>
      <c r="BH337" s="4"/>
      <c r="BI337" s="4"/>
      <c r="BJ337" s="4"/>
      <c r="BK337" s="4"/>
      <c r="BL337" s="4"/>
      <c r="BM337" s="4"/>
      <c r="BN337" s="4"/>
      <c r="BO337" s="4"/>
      <c r="BP337" s="4"/>
      <c r="BQ337" s="4"/>
      <c r="BR337" s="4"/>
      <c r="BS337" s="4"/>
      <c r="BT337" s="4"/>
    </row>
    <row r="338" spans="1:72" ht="16" x14ac:dyDescent="0.4">
      <c r="A338" s="4" t="s">
        <v>1742</v>
      </c>
      <c r="B338" s="4" t="s">
        <v>1742</v>
      </c>
      <c r="C338" s="4" t="s">
        <v>127</v>
      </c>
      <c r="D338" s="4" t="s">
        <v>128</v>
      </c>
      <c r="E338" s="190">
        <v>45910</v>
      </c>
      <c r="F338" s="4">
        <v>2025</v>
      </c>
      <c r="G338" s="4" t="s">
        <v>1743</v>
      </c>
      <c r="H338" s="22" t="str">
        <f>VLOOKUP($G338,'Item Classification'!B:C,2,0)</f>
        <v>Main Battle Tank (MBT) (training)</v>
      </c>
      <c r="I338" s="6" t="str">
        <f>VLOOKUP($G338,'Item Classification'!B:D,3,0)</f>
        <v>Modernisation</v>
      </c>
      <c r="J338" s="23">
        <f>VLOOKUP($G338,'Item Classification'!B:E,4,0)</f>
        <v>13</v>
      </c>
      <c r="K338" s="116" t="s">
        <v>941</v>
      </c>
      <c r="L338" s="116" t="s">
        <v>942</v>
      </c>
      <c r="M338" s="116" t="str">
        <f>VLOOKUP(L338,'NATO Classifications'!$D$6:$E$647,2,0)</f>
        <v>Training Aids</v>
      </c>
      <c r="N338" s="4">
        <v>1</v>
      </c>
      <c r="O338" s="81">
        <f t="shared" si="33"/>
        <v>40000000</v>
      </c>
      <c r="P338" s="81">
        <f t="shared" si="34"/>
        <v>40000000</v>
      </c>
      <c r="Q338" s="4"/>
      <c r="R338" s="4"/>
      <c r="S338" s="112">
        <v>40000000</v>
      </c>
      <c r="T338" s="91" t="s">
        <v>132</v>
      </c>
      <c r="U338" s="104">
        <f>_xlfn.IFNA(S338/INDEX('Exchange Rates'!$C$7:$F$14,MATCH('MAIN DATA, Orders'!F338,'Exchange Rates'!$B$7:$B$14,0),MATCH('MAIN DATA, Orders'!T338,'Exchange Rates'!$C$6:$F$6,0)), "-")</f>
        <v>40000000</v>
      </c>
      <c r="V338" s="4" t="s">
        <v>682</v>
      </c>
      <c r="W338" s="4" t="s">
        <v>133</v>
      </c>
      <c r="X338" s="4" t="s">
        <v>128</v>
      </c>
      <c r="Y338" s="24">
        <f t="shared" si="20"/>
        <v>202509</v>
      </c>
      <c r="Z338" s="115">
        <v>0</v>
      </c>
      <c r="AA338" s="115">
        <v>0</v>
      </c>
      <c r="AB338" s="115">
        <v>0</v>
      </c>
      <c r="AC338" s="115" t="s">
        <v>127</v>
      </c>
      <c r="AD338" s="115" t="s">
        <v>127</v>
      </c>
      <c r="AE338" s="115" t="s">
        <v>127</v>
      </c>
      <c r="AF338" s="115" t="s">
        <v>127</v>
      </c>
      <c r="AG338" s="4" t="s">
        <v>127</v>
      </c>
      <c r="AH338" s="4" t="s">
        <v>127</v>
      </c>
      <c r="AI338" s="4" t="s">
        <v>127</v>
      </c>
      <c r="AJ338" s="4" t="s">
        <v>127</v>
      </c>
      <c r="AK338" s="4" t="s">
        <v>127</v>
      </c>
      <c r="AL338" s="4" t="s">
        <v>127</v>
      </c>
      <c r="AM338" s="4" t="s">
        <v>127</v>
      </c>
      <c r="AN338" s="4" t="s">
        <v>127</v>
      </c>
      <c r="AO338" s="4" t="s">
        <v>127</v>
      </c>
      <c r="AP338" s="4" t="s">
        <v>127</v>
      </c>
      <c r="AQ338" s="4" t="s">
        <v>127</v>
      </c>
      <c r="AR338" s="4" t="s">
        <v>127</v>
      </c>
      <c r="AS338" s="4" t="s">
        <v>127</v>
      </c>
      <c r="AT338" s="4" t="s">
        <v>127</v>
      </c>
      <c r="AU338" s="4" t="s">
        <v>127</v>
      </c>
      <c r="AV338" s="4" t="s">
        <v>127</v>
      </c>
      <c r="AW338" s="4" t="s">
        <v>127</v>
      </c>
      <c r="AX338" s="4" t="s">
        <v>127</v>
      </c>
      <c r="AY338" s="111" t="s">
        <v>1714</v>
      </c>
      <c r="AZ338" s="113" t="s">
        <v>1720</v>
      </c>
      <c r="BA338" s="4" t="s">
        <v>127</v>
      </c>
      <c r="BB338" s="4" t="s">
        <v>1744</v>
      </c>
      <c r="BC338" s="4" t="s">
        <v>1745</v>
      </c>
      <c r="BD338" s="4" t="s">
        <v>127</v>
      </c>
      <c r="BE338" s="4"/>
      <c r="BF338" s="4"/>
      <c r="BG338" s="4"/>
      <c r="BH338" s="4"/>
      <c r="BI338" s="4"/>
      <c r="BJ338" s="4"/>
      <c r="BK338" s="4"/>
      <c r="BL338" s="4"/>
      <c r="BM338" s="4"/>
      <c r="BN338" s="4"/>
      <c r="BO338" s="4"/>
      <c r="BP338" s="4"/>
      <c r="BQ338" s="4"/>
      <c r="BR338" s="4"/>
      <c r="BS338" s="4"/>
      <c r="BT338" s="4"/>
    </row>
    <row r="339" spans="1:72" ht="16" x14ac:dyDescent="0.4">
      <c r="A339" s="4" t="s">
        <v>1746</v>
      </c>
      <c r="B339" s="4" t="s">
        <v>1746</v>
      </c>
      <c r="C339" s="4" t="s">
        <v>127</v>
      </c>
      <c r="D339" s="4" t="s">
        <v>128</v>
      </c>
      <c r="E339" s="190">
        <v>45910</v>
      </c>
      <c r="F339" s="4">
        <v>2025</v>
      </c>
      <c r="G339" s="4" t="s">
        <v>1747</v>
      </c>
      <c r="H339" s="22" t="str">
        <f>VLOOKUP($G339,'Item Classification'!B:C,2,0)</f>
        <v>Armoured vehicle development</v>
      </c>
      <c r="I339" s="6" t="str">
        <f>VLOOKUP($G339,'Item Classification'!B:D,3,0)</f>
        <v>Development - Armoured vehicle</v>
      </c>
      <c r="J339" s="23">
        <f>VLOOKUP($G339,'Item Classification'!B:E,4,0)</f>
        <v>15</v>
      </c>
      <c r="K339" s="116" t="s">
        <v>274</v>
      </c>
      <c r="L339" s="116" t="s">
        <v>493</v>
      </c>
      <c r="M339" s="116" t="str">
        <f>VLOOKUP(L339,'NATO Classifications'!$D$6:$E$647,2,0)</f>
        <v>Combat, Assault, and Tactical Vehicles, Wheeled</v>
      </c>
      <c r="N339" s="4">
        <v>1</v>
      </c>
      <c r="O339" s="81">
        <f t="shared" ref="O339:O344" si="35">S339/N339</f>
        <v>30900000</v>
      </c>
      <c r="P339" s="81">
        <f t="shared" ref="P339:P344" si="36">U339/N339</f>
        <v>30900000</v>
      </c>
      <c r="Q339" s="4">
        <v>2026</v>
      </c>
      <c r="R339" s="4">
        <v>2026</v>
      </c>
      <c r="S339" s="112">
        <v>30900000</v>
      </c>
      <c r="T339" s="91" t="s">
        <v>132</v>
      </c>
      <c r="U339" s="104">
        <f>_xlfn.IFNA(S339/INDEX('Exchange Rates'!$C$7:$F$14,MATCH('MAIN DATA, Orders'!F339,'Exchange Rates'!$B$7:$B$14,0),MATCH('MAIN DATA, Orders'!T339,'Exchange Rates'!$C$6:$F$6,0)), "-")</f>
        <v>30900000</v>
      </c>
      <c r="V339" s="4" t="s">
        <v>682</v>
      </c>
      <c r="W339" s="4" t="s">
        <v>127</v>
      </c>
      <c r="X339" s="4" t="s">
        <v>128</v>
      </c>
      <c r="Y339" s="24">
        <f t="shared" si="20"/>
        <v>202509</v>
      </c>
      <c r="Z339" s="115">
        <v>0</v>
      </c>
      <c r="AA339" s="115">
        <v>0</v>
      </c>
      <c r="AB339" s="115">
        <v>0</v>
      </c>
      <c r="AC339" s="115">
        <v>1</v>
      </c>
      <c r="AD339" s="115">
        <v>1</v>
      </c>
      <c r="AE339" s="115">
        <v>0</v>
      </c>
      <c r="AF339" s="115">
        <v>1</v>
      </c>
      <c r="AG339" s="4" t="s">
        <v>1748</v>
      </c>
      <c r="AH339" s="4" t="s">
        <v>684</v>
      </c>
      <c r="AI339" s="4" t="s">
        <v>684</v>
      </c>
      <c r="AJ339" s="4" t="s">
        <v>1749</v>
      </c>
      <c r="AK339" s="4" t="s">
        <v>127</v>
      </c>
      <c r="AL339" s="4" t="s">
        <v>127</v>
      </c>
      <c r="AM339" s="4" t="s">
        <v>127</v>
      </c>
      <c r="AN339" s="4" t="s">
        <v>1750</v>
      </c>
      <c r="AO339" s="4" t="s">
        <v>128</v>
      </c>
      <c r="AP339" s="4" t="s">
        <v>213</v>
      </c>
      <c r="AQ339" s="4" t="s">
        <v>854</v>
      </c>
      <c r="AR339" s="4" t="s">
        <v>127</v>
      </c>
      <c r="AS339" s="4" t="s">
        <v>127</v>
      </c>
      <c r="AT339" s="4" t="s">
        <v>127</v>
      </c>
      <c r="AU339" s="4" t="s">
        <v>127</v>
      </c>
      <c r="AV339" s="4" t="s">
        <v>127</v>
      </c>
      <c r="AW339" s="4" t="s">
        <v>127</v>
      </c>
      <c r="AX339" s="4" t="s">
        <v>127</v>
      </c>
      <c r="AY339" s="111" t="s">
        <v>1751</v>
      </c>
      <c r="AZ339" s="111" t="s">
        <v>1752</v>
      </c>
      <c r="BA339" s="4" t="s">
        <v>127</v>
      </c>
      <c r="BB339" s="4" t="s">
        <v>1753</v>
      </c>
      <c r="BC339" s="4" t="s">
        <v>1754</v>
      </c>
      <c r="BD339" s="4" t="s">
        <v>1755</v>
      </c>
      <c r="BE339" s="4" t="s">
        <v>127</v>
      </c>
      <c r="BF339" s="4"/>
      <c r="BG339" s="4"/>
      <c r="BH339" s="4"/>
      <c r="BI339" s="4"/>
      <c r="BJ339" s="4"/>
      <c r="BK339" s="4"/>
      <c r="BL339" s="4"/>
      <c r="BM339" s="4"/>
      <c r="BN339" s="4"/>
      <c r="BO339" s="4"/>
      <c r="BP339" s="4"/>
      <c r="BQ339" s="4"/>
      <c r="BR339" s="4"/>
      <c r="BS339" s="4"/>
      <c r="BT339" s="4"/>
    </row>
    <row r="340" spans="1:72" ht="16" x14ac:dyDescent="0.4">
      <c r="A340" s="4" t="s">
        <v>1756</v>
      </c>
      <c r="B340" s="4" t="s">
        <v>1756</v>
      </c>
      <c r="C340" s="4" t="s">
        <v>127</v>
      </c>
      <c r="D340" s="4" t="s">
        <v>128</v>
      </c>
      <c r="E340" s="190">
        <v>45938</v>
      </c>
      <c r="F340" s="4">
        <v>2025</v>
      </c>
      <c r="G340" s="4" t="s">
        <v>1757</v>
      </c>
      <c r="H340" s="22" t="str">
        <f>VLOOKUP($G340,'Item Classification'!B:C,2,0)</f>
        <v>Armoured Utility Vehicle (AUV)</v>
      </c>
      <c r="I340" s="6" t="str">
        <f>VLOOKUP($G340,'Item Classification'!B:D,3,0)</f>
        <v>Armoured vehicle</v>
      </c>
      <c r="J340" s="23">
        <f>VLOOKUP($G340,'Item Classification'!B:E,4,0)</f>
        <v>2</v>
      </c>
      <c r="K340" s="116" t="s">
        <v>274</v>
      </c>
      <c r="L340" s="116" t="s">
        <v>493</v>
      </c>
      <c r="M340" s="116" t="str">
        <f>VLOOKUP(L340,'NATO Classifications'!$D$6:$E$647,2,0)</f>
        <v>Combat, Assault, and Tactical Vehicles, Wheeled</v>
      </c>
      <c r="N340" s="4">
        <v>38</v>
      </c>
      <c r="O340" s="81">
        <f t="shared" si="35"/>
        <v>9236842.1052631587</v>
      </c>
      <c r="P340" s="81">
        <f t="shared" si="36"/>
        <v>9236842.1052631587</v>
      </c>
      <c r="Q340" s="4"/>
      <c r="R340" s="4"/>
      <c r="S340" s="112">
        <v>351000000</v>
      </c>
      <c r="T340" s="91" t="s">
        <v>132</v>
      </c>
      <c r="U340" s="104">
        <f>_xlfn.IFNA(S340/INDEX('Exchange Rates'!$C$7:$F$14,MATCH('MAIN DATA, Orders'!F340,'Exchange Rates'!$B$7:$B$14,0),MATCH('MAIN DATA, Orders'!T340,'Exchange Rates'!$C$6:$F$6,0)), "-")</f>
        <v>351000000</v>
      </c>
      <c r="V340" s="4" t="s">
        <v>127</v>
      </c>
      <c r="W340" s="4" t="s">
        <v>127</v>
      </c>
      <c r="X340" s="4" t="s">
        <v>128</v>
      </c>
      <c r="Y340" s="24">
        <f t="shared" si="20"/>
        <v>202510</v>
      </c>
      <c r="Z340" s="115">
        <v>0</v>
      </c>
      <c r="AA340" s="115">
        <v>0</v>
      </c>
      <c r="AB340" s="115">
        <v>0</v>
      </c>
      <c r="AC340" s="115">
        <v>1</v>
      </c>
      <c r="AD340" s="115">
        <v>1</v>
      </c>
      <c r="AE340" s="115">
        <v>0</v>
      </c>
      <c r="AF340" s="115">
        <v>1</v>
      </c>
      <c r="AG340" s="4" t="s">
        <v>1758</v>
      </c>
      <c r="AH340" s="4" t="s">
        <v>1758</v>
      </c>
      <c r="AI340" s="4" t="s">
        <v>128</v>
      </c>
      <c r="AJ340" s="4" t="s">
        <v>256</v>
      </c>
      <c r="AK340" s="4" t="s">
        <v>1759</v>
      </c>
      <c r="AL340" s="4" t="s">
        <v>127</v>
      </c>
      <c r="AM340" s="4" t="s">
        <v>127</v>
      </c>
      <c r="AN340" s="4" t="s">
        <v>146</v>
      </c>
      <c r="AO340" s="4" t="s">
        <v>238</v>
      </c>
      <c r="AP340" s="4" t="s">
        <v>127</v>
      </c>
      <c r="AQ340" s="4" t="s">
        <v>127</v>
      </c>
      <c r="AR340" s="4" t="s">
        <v>127</v>
      </c>
      <c r="AS340" s="4" t="s">
        <v>127</v>
      </c>
      <c r="AT340" s="4" t="s">
        <v>127</v>
      </c>
      <c r="AU340" s="4" t="s">
        <v>127</v>
      </c>
      <c r="AV340" s="4" t="s">
        <v>127</v>
      </c>
      <c r="AW340" s="4" t="s">
        <v>127</v>
      </c>
      <c r="AX340" s="4" t="s">
        <v>127</v>
      </c>
      <c r="AY340" s="111" t="s">
        <v>1760</v>
      </c>
      <c r="AZ340" s="113" t="s">
        <v>1761</v>
      </c>
      <c r="BA340" s="4" t="s">
        <v>127</v>
      </c>
      <c r="BB340" s="4" t="s">
        <v>1762</v>
      </c>
      <c r="BC340" s="4" t="s">
        <v>1763</v>
      </c>
      <c r="BD340" s="4" t="s">
        <v>127</v>
      </c>
      <c r="BE340" s="4"/>
      <c r="BF340" s="4"/>
      <c r="BG340" s="4"/>
      <c r="BH340" s="4"/>
      <c r="BI340" s="4"/>
      <c r="BJ340" s="4"/>
      <c r="BK340" s="4"/>
      <c r="BL340" s="4"/>
      <c r="BM340" s="4"/>
      <c r="BN340" s="4"/>
      <c r="BO340" s="4"/>
      <c r="BP340" s="4"/>
      <c r="BQ340" s="4"/>
      <c r="BR340" s="4"/>
      <c r="BS340" s="4"/>
      <c r="BT340" s="4"/>
    </row>
    <row r="341" spans="1:72" ht="16" x14ac:dyDescent="0.4">
      <c r="A341" s="4" t="s">
        <v>1764</v>
      </c>
      <c r="B341" s="4" t="s">
        <v>1764</v>
      </c>
      <c r="C341" s="4" t="s">
        <v>127</v>
      </c>
      <c r="D341" s="4" t="s">
        <v>128</v>
      </c>
      <c r="E341" s="190">
        <v>45938</v>
      </c>
      <c r="F341" s="4">
        <v>2025</v>
      </c>
      <c r="G341" s="4" t="s">
        <v>1765</v>
      </c>
      <c r="H341" s="22" t="str">
        <f>VLOOKUP($G341,'Item Classification'!B:C,2,0)</f>
        <v>Armoured Utility Vehicle (AUV)</v>
      </c>
      <c r="I341" s="6" t="str">
        <f>VLOOKUP($G341,'Item Classification'!B:D,3,0)</f>
        <v>Armoured vehicle</v>
      </c>
      <c r="J341" s="23">
        <f>VLOOKUP($G341,'Item Classification'!B:E,4,0)</f>
        <v>2</v>
      </c>
      <c r="K341" s="116" t="s">
        <v>274</v>
      </c>
      <c r="L341" s="116" t="s">
        <v>493</v>
      </c>
      <c r="M341" s="116" t="str">
        <f>VLOOKUP(L341,'NATO Classifications'!$D$6:$E$647,2,0)</f>
        <v>Combat, Assault, and Tactical Vehicles, Wheeled</v>
      </c>
      <c r="N341" s="4">
        <v>10</v>
      </c>
      <c r="O341" s="81">
        <f t="shared" si="35"/>
        <v>6700000</v>
      </c>
      <c r="P341" s="81">
        <f t="shared" si="36"/>
        <v>6700000</v>
      </c>
      <c r="Q341" s="4"/>
      <c r="R341" s="4"/>
      <c r="S341" s="112">
        <v>67000000</v>
      </c>
      <c r="T341" s="91" t="s">
        <v>132</v>
      </c>
      <c r="U341" s="104">
        <f>_xlfn.IFNA(S341/INDEX('Exchange Rates'!$C$7:$F$14,MATCH('MAIN DATA, Orders'!F341,'Exchange Rates'!$B$7:$B$14,0),MATCH('MAIN DATA, Orders'!T341,'Exchange Rates'!$C$6:$F$6,0)), "-")</f>
        <v>67000000</v>
      </c>
      <c r="V341" s="4" t="s">
        <v>127</v>
      </c>
      <c r="W341" s="4" t="s">
        <v>127</v>
      </c>
      <c r="X341" s="4" t="s">
        <v>128</v>
      </c>
      <c r="Y341" s="24">
        <f t="shared" si="20"/>
        <v>202510</v>
      </c>
      <c r="Z341" s="115">
        <v>0</v>
      </c>
      <c r="AA341" s="115">
        <v>0</v>
      </c>
      <c r="AB341" s="115">
        <v>0</v>
      </c>
      <c r="AC341" s="115">
        <v>1</v>
      </c>
      <c r="AD341" s="115">
        <v>1</v>
      </c>
      <c r="AE341" s="115">
        <v>0</v>
      </c>
      <c r="AF341" s="115">
        <v>1</v>
      </c>
      <c r="AG341" s="4" t="s">
        <v>1758</v>
      </c>
      <c r="AH341" s="4" t="s">
        <v>1758</v>
      </c>
      <c r="AI341" s="4" t="s">
        <v>128</v>
      </c>
      <c r="AJ341" s="4" t="s">
        <v>256</v>
      </c>
      <c r="AK341" s="4" t="s">
        <v>1759</v>
      </c>
      <c r="AL341" s="4" t="s">
        <v>127</v>
      </c>
      <c r="AM341" s="4" t="s">
        <v>127</v>
      </c>
      <c r="AN341" s="4" t="s">
        <v>146</v>
      </c>
      <c r="AO341" s="4" t="s">
        <v>238</v>
      </c>
      <c r="AP341" s="4" t="s">
        <v>127</v>
      </c>
      <c r="AQ341" s="4" t="s">
        <v>127</v>
      </c>
      <c r="AR341" s="4" t="s">
        <v>127</v>
      </c>
      <c r="AS341" s="4" t="s">
        <v>127</v>
      </c>
      <c r="AT341" s="4" t="s">
        <v>127</v>
      </c>
      <c r="AU341" s="4" t="s">
        <v>127</v>
      </c>
      <c r="AV341" s="4" t="s">
        <v>127</v>
      </c>
      <c r="AW341" s="4" t="s">
        <v>127</v>
      </c>
      <c r="AX341" s="4" t="s">
        <v>127</v>
      </c>
      <c r="AY341" s="113" t="s">
        <v>1760</v>
      </c>
      <c r="AZ341" s="113" t="s">
        <v>1761</v>
      </c>
      <c r="BA341" s="4" t="s">
        <v>127</v>
      </c>
      <c r="BB341" s="4" t="s">
        <v>1762</v>
      </c>
      <c r="BC341" s="4" t="s">
        <v>1763</v>
      </c>
      <c r="BD341" s="4" t="s">
        <v>127</v>
      </c>
      <c r="BE341" s="4"/>
      <c r="BF341" s="4"/>
      <c r="BG341" s="4"/>
      <c r="BH341" s="4"/>
      <c r="BI341" s="4"/>
      <c r="BJ341" s="4"/>
      <c r="BK341" s="4"/>
      <c r="BL341" s="4"/>
      <c r="BM341" s="4"/>
      <c r="BN341" s="4"/>
      <c r="BO341" s="4"/>
      <c r="BP341" s="4"/>
      <c r="BQ341" s="4"/>
      <c r="BR341" s="4"/>
      <c r="BS341" s="4"/>
      <c r="BT341" s="4"/>
    </row>
    <row r="342" spans="1:72" ht="16" x14ac:dyDescent="0.4">
      <c r="A342" s="4" t="s">
        <v>1766</v>
      </c>
      <c r="B342" s="4" t="s">
        <v>1766</v>
      </c>
      <c r="C342" s="4" t="s">
        <v>127</v>
      </c>
      <c r="D342" s="4" t="s">
        <v>128</v>
      </c>
      <c r="E342" s="190">
        <v>45938</v>
      </c>
      <c r="F342" s="4">
        <v>2025</v>
      </c>
      <c r="G342" s="4" t="s">
        <v>1757</v>
      </c>
      <c r="H342" s="22" t="str">
        <f>VLOOKUP($G342,'Item Classification'!B:C,2,0)</f>
        <v>Armoured Utility Vehicle (AUV)</v>
      </c>
      <c r="I342" s="6" t="str">
        <f>VLOOKUP($G342,'Item Classification'!B:D,3,0)</f>
        <v>Armoured vehicle</v>
      </c>
      <c r="J342" s="23">
        <f>VLOOKUP($G342,'Item Classification'!B:E,4,0)</f>
        <v>2</v>
      </c>
      <c r="K342" s="116" t="s">
        <v>274</v>
      </c>
      <c r="L342" s="116" t="s">
        <v>493</v>
      </c>
      <c r="M342" s="116" t="str">
        <f>VLOOKUP(L342,'NATO Classifications'!$D$6:$E$647,2,0)</f>
        <v>Combat, Assault, and Tactical Vehicles, Wheeled</v>
      </c>
      <c r="N342" s="4">
        <v>72</v>
      </c>
      <c r="O342" s="81">
        <f t="shared" si="35"/>
        <v>1930555.5555555555</v>
      </c>
      <c r="P342" s="81">
        <f t="shared" si="36"/>
        <v>1930555.5555555555</v>
      </c>
      <c r="Q342" s="4"/>
      <c r="R342" s="4"/>
      <c r="S342" s="112">
        <v>139000000</v>
      </c>
      <c r="T342" s="91" t="s">
        <v>132</v>
      </c>
      <c r="U342" s="104">
        <f>_xlfn.IFNA(S342/INDEX('Exchange Rates'!$C$7:$F$14,MATCH('MAIN DATA, Orders'!F342,'Exchange Rates'!$B$7:$B$14,0),MATCH('MAIN DATA, Orders'!T342,'Exchange Rates'!$C$6:$F$6,0)), "-")</f>
        <v>139000000</v>
      </c>
      <c r="V342" s="4" t="s">
        <v>127</v>
      </c>
      <c r="W342" s="4" t="s">
        <v>127</v>
      </c>
      <c r="X342" s="4" t="s">
        <v>128</v>
      </c>
      <c r="Y342" s="24">
        <f t="shared" si="20"/>
        <v>202510</v>
      </c>
      <c r="Z342" s="115">
        <v>0</v>
      </c>
      <c r="AA342" s="115">
        <v>0</v>
      </c>
      <c r="AB342" s="115">
        <v>0</v>
      </c>
      <c r="AC342" s="115">
        <v>1</v>
      </c>
      <c r="AD342" s="115">
        <v>1</v>
      </c>
      <c r="AE342" s="115">
        <v>0</v>
      </c>
      <c r="AF342" s="115">
        <v>1</v>
      </c>
      <c r="AG342" s="4" t="s">
        <v>1758</v>
      </c>
      <c r="AH342" s="4" t="s">
        <v>1758</v>
      </c>
      <c r="AI342" s="4" t="s">
        <v>128</v>
      </c>
      <c r="AJ342" s="4" t="s">
        <v>256</v>
      </c>
      <c r="AK342" s="4" t="s">
        <v>1759</v>
      </c>
      <c r="AL342" s="4" t="s">
        <v>127</v>
      </c>
      <c r="AM342" s="4" t="s">
        <v>127</v>
      </c>
      <c r="AN342" s="4" t="s">
        <v>146</v>
      </c>
      <c r="AO342" s="4" t="s">
        <v>238</v>
      </c>
      <c r="AP342" s="4" t="s">
        <v>127</v>
      </c>
      <c r="AQ342" s="4" t="s">
        <v>127</v>
      </c>
      <c r="AR342" s="4" t="s">
        <v>127</v>
      </c>
      <c r="AS342" s="4" t="s">
        <v>127</v>
      </c>
      <c r="AT342" s="4" t="s">
        <v>127</v>
      </c>
      <c r="AU342" s="4" t="s">
        <v>127</v>
      </c>
      <c r="AV342" s="4" t="s">
        <v>127</v>
      </c>
      <c r="AW342" s="4" t="s">
        <v>127</v>
      </c>
      <c r="AX342" s="4" t="s">
        <v>127</v>
      </c>
      <c r="AY342" s="113" t="s">
        <v>1760</v>
      </c>
      <c r="AZ342" s="113" t="s">
        <v>1761</v>
      </c>
      <c r="BA342" s="111" t="s">
        <v>1767</v>
      </c>
      <c r="BB342" s="4" t="s">
        <v>1768</v>
      </c>
      <c r="BC342" s="4" t="s">
        <v>1763</v>
      </c>
      <c r="BD342" s="4" t="s">
        <v>1769</v>
      </c>
      <c r="BE342" s="4" t="s">
        <v>127</v>
      </c>
      <c r="BF342" s="4"/>
      <c r="BG342" s="4"/>
      <c r="BH342" s="4"/>
      <c r="BI342" s="4"/>
      <c r="BJ342" s="4"/>
      <c r="BK342" s="4"/>
      <c r="BL342" s="4"/>
      <c r="BM342" s="4"/>
      <c r="BN342" s="4"/>
      <c r="BO342" s="4"/>
      <c r="BP342" s="4"/>
      <c r="BQ342" s="4"/>
      <c r="BR342" s="4"/>
      <c r="BS342" s="4"/>
      <c r="BT342" s="4"/>
    </row>
    <row r="343" spans="1:72" ht="16" x14ac:dyDescent="0.4">
      <c r="A343" s="4" t="s">
        <v>1770</v>
      </c>
      <c r="B343" s="4" t="s">
        <v>1770</v>
      </c>
      <c r="C343" s="4" t="s">
        <v>127</v>
      </c>
      <c r="D343" s="4" t="s">
        <v>128</v>
      </c>
      <c r="E343" s="190">
        <v>45938</v>
      </c>
      <c r="F343" s="4">
        <v>2025</v>
      </c>
      <c r="G343" s="4" t="s">
        <v>1771</v>
      </c>
      <c r="H343" s="22" t="str">
        <f>VLOOKUP($G343,'Item Classification'!B:C,2,0)</f>
        <v>Communication and digitalisation</v>
      </c>
      <c r="I343" s="6" t="str">
        <f>VLOOKUP($G343,'Item Classification'!B:D,3,0)</f>
        <v>Modernisation</v>
      </c>
      <c r="J343" s="23">
        <f>VLOOKUP($G343,'Item Classification'!B:E,4,0)</f>
        <v>13</v>
      </c>
      <c r="K343" s="116" t="s">
        <v>158</v>
      </c>
      <c r="L343" s="116" t="s">
        <v>567</v>
      </c>
      <c r="M343" s="116" t="str">
        <f>VLOOKUP(L343,'NATO Classifications'!$D$6:$E$647,2,0)</f>
        <v>Communication, Detection, and Coherent Radiation Equipment (other)</v>
      </c>
      <c r="N343" s="4">
        <v>1</v>
      </c>
      <c r="O343" s="81">
        <f t="shared" si="35"/>
        <v>60000000</v>
      </c>
      <c r="P343" s="81">
        <f t="shared" si="36"/>
        <v>60000000</v>
      </c>
      <c r="Q343" s="4"/>
      <c r="R343" s="4"/>
      <c r="S343" s="112">
        <v>60000000</v>
      </c>
      <c r="T343" s="91" t="s">
        <v>132</v>
      </c>
      <c r="U343" s="104">
        <f>_xlfn.IFNA(S343/INDEX('Exchange Rates'!$C$7:$F$14,MATCH('MAIN DATA, Orders'!F343,'Exchange Rates'!$B$7:$B$14,0),MATCH('MAIN DATA, Orders'!T343,'Exchange Rates'!$C$6:$F$6,0)), "-")</f>
        <v>60000000</v>
      </c>
      <c r="V343" s="4" t="s">
        <v>127</v>
      </c>
      <c r="W343" s="4" t="s">
        <v>127</v>
      </c>
      <c r="X343" s="4" t="s">
        <v>128</v>
      </c>
      <c r="Y343" s="24">
        <f t="shared" ref="Y343:Y406" si="37">_xlfn.NUMBERVALUE(_xlfn.CONCAT(YEAR(E343),TEXT(E343, "mm")))</f>
        <v>202510</v>
      </c>
      <c r="Z343" s="115">
        <v>0</v>
      </c>
      <c r="AA343" s="115">
        <v>0</v>
      </c>
      <c r="AB343" s="115">
        <v>0</v>
      </c>
      <c r="AC343" s="115">
        <v>1</v>
      </c>
      <c r="AD343" s="115">
        <v>0</v>
      </c>
      <c r="AE343" s="115">
        <v>0</v>
      </c>
      <c r="AF343" s="115">
        <v>0</v>
      </c>
      <c r="AG343" s="4" t="s">
        <v>256</v>
      </c>
      <c r="AH343" s="4" t="s">
        <v>128</v>
      </c>
      <c r="AI343" s="4" t="s">
        <v>127</v>
      </c>
      <c r="AJ343" s="4" t="s">
        <v>127</v>
      </c>
      <c r="AK343" s="4" t="s">
        <v>127</v>
      </c>
      <c r="AL343" s="4" t="s">
        <v>127</v>
      </c>
      <c r="AM343" s="4" t="s">
        <v>127</v>
      </c>
      <c r="AN343" s="4" t="s">
        <v>127</v>
      </c>
      <c r="AO343" s="4" t="s">
        <v>127</v>
      </c>
      <c r="AP343" s="4" t="s">
        <v>127</v>
      </c>
      <c r="AQ343" s="4" t="s">
        <v>127</v>
      </c>
      <c r="AR343" s="4" t="s">
        <v>127</v>
      </c>
      <c r="AS343" s="4" t="s">
        <v>127</v>
      </c>
      <c r="AT343" s="4" t="s">
        <v>127</v>
      </c>
      <c r="AU343" s="4" t="s">
        <v>127</v>
      </c>
      <c r="AV343" s="4" t="s">
        <v>127</v>
      </c>
      <c r="AW343" s="4" t="s">
        <v>127</v>
      </c>
      <c r="AX343" s="4" t="s">
        <v>127</v>
      </c>
      <c r="AY343" s="113" t="s">
        <v>1760</v>
      </c>
      <c r="AZ343" s="113" t="s">
        <v>1761</v>
      </c>
      <c r="BA343" s="111" t="s">
        <v>1772</v>
      </c>
      <c r="BB343" s="4" t="s">
        <v>1773</v>
      </c>
      <c r="BC343" s="4" t="s">
        <v>1774</v>
      </c>
      <c r="BD343" s="4" t="s">
        <v>127</v>
      </c>
      <c r="BE343" s="4"/>
      <c r="BF343" s="4"/>
      <c r="BG343" s="4"/>
      <c r="BH343" s="4"/>
      <c r="BI343" s="4"/>
      <c r="BJ343" s="4"/>
      <c r="BK343" s="4"/>
      <c r="BL343" s="4"/>
      <c r="BM343" s="4"/>
      <c r="BN343" s="4"/>
      <c r="BO343" s="4"/>
      <c r="BP343" s="4"/>
      <c r="BQ343" s="4"/>
      <c r="BR343" s="4"/>
      <c r="BS343" s="4"/>
      <c r="BT343" s="4"/>
    </row>
    <row r="344" spans="1:72" ht="16" x14ac:dyDescent="0.4">
      <c r="A344" s="4" t="s">
        <v>1775</v>
      </c>
      <c r="B344" s="4" t="s">
        <v>1775</v>
      </c>
      <c r="C344" s="4" t="s">
        <v>127</v>
      </c>
      <c r="D344" s="4" t="s">
        <v>128</v>
      </c>
      <c r="E344" s="190">
        <v>45938</v>
      </c>
      <c r="F344" s="4">
        <v>2025</v>
      </c>
      <c r="G344" s="4" t="s">
        <v>1776</v>
      </c>
      <c r="H344" s="22" t="str">
        <f>VLOOKUP($G344,'Item Classification'!B:C,2,0)</f>
        <v>Military equipment</v>
      </c>
      <c r="I344" s="6" t="str">
        <f>VLOOKUP($G344,'Item Classification'!B:D,3,0)</f>
        <v>Other</v>
      </c>
      <c r="J344" s="23">
        <f>VLOOKUP($G344,'Item Classification'!B:E,4,0)</f>
        <v>16</v>
      </c>
      <c r="K344" s="116" t="s">
        <v>386</v>
      </c>
      <c r="L344" s="116" t="s">
        <v>1777</v>
      </c>
      <c r="M344" s="116" t="str">
        <f>VLOOKUP(L344,'NATO Classifications'!$D$6:$E$647,2,0)</f>
        <v>Storage Tanks</v>
      </c>
      <c r="N344" s="4">
        <v>16</v>
      </c>
      <c r="O344" s="81">
        <f t="shared" si="35"/>
        <v>3750000</v>
      </c>
      <c r="P344" s="81">
        <f t="shared" si="36"/>
        <v>3750000</v>
      </c>
      <c r="Q344" s="4"/>
      <c r="R344" s="4"/>
      <c r="S344" s="112">
        <v>60000000</v>
      </c>
      <c r="T344" s="91" t="s">
        <v>132</v>
      </c>
      <c r="U344" s="104">
        <f>_xlfn.IFNA(S344/INDEX('Exchange Rates'!$C$7:$F$14,MATCH('MAIN DATA, Orders'!F344,'Exchange Rates'!$B$7:$B$14,0),MATCH('MAIN DATA, Orders'!T344,'Exchange Rates'!$C$6:$F$6,0)), "-")</f>
        <v>60000000</v>
      </c>
      <c r="V344" s="4" t="s">
        <v>127</v>
      </c>
      <c r="W344" s="4" t="s">
        <v>127</v>
      </c>
      <c r="X344" s="4" t="s">
        <v>128</v>
      </c>
      <c r="Y344" s="24">
        <f t="shared" si="37"/>
        <v>202510</v>
      </c>
      <c r="Z344" s="115">
        <v>1</v>
      </c>
      <c r="AA344" s="115">
        <v>0</v>
      </c>
      <c r="AB344" s="115">
        <v>0</v>
      </c>
      <c r="AC344" s="115" t="s">
        <v>127</v>
      </c>
      <c r="AD344" s="115" t="s">
        <v>127</v>
      </c>
      <c r="AE344" s="115" t="s">
        <v>127</v>
      </c>
      <c r="AF344" s="115" t="s">
        <v>127</v>
      </c>
      <c r="AG344" s="4" t="s">
        <v>127</v>
      </c>
      <c r="AH344" s="4" t="s">
        <v>127</v>
      </c>
      <c r="AI344" s="4" t="s">
        <v>127</v>
      </c>
      <c r="AJ344" s="4" t="s">
        <v>127</v>
      </c>
      <c r="AK344" s="4" t="s">
        <v>127</v>
      </c>
      <c r="AL344" s="4" t="s">
        <v>127</v>
      </c>
      <c r="AM344" s="4" t="s">
        <v>127</v>
      </c>
      <c r="AN344" s="4" t="s">
        <v>127</v>
      </c>
      <c r="AO344" s="4" t="s">
        <v>127</v>
      </c>
      <c r="AP344" s="4" t="s">
        <v>127</v>
      </c>
      <c r="AQ344" s="4" t="s">
        <v>127</v>
      </c>
      <c r="AR344" s="4" t="s">
        <v>127</v>
      </c>
      <c r="AS344" s="4" t="s">
        <v>127</v>
      </c>
      <c r="AT344" s="4" t="s">
        <v>127</v>
      </c>
      <c r="AU344" s="4" t="s">
        <v>127</v>
      </c>
      <c r="AV344" s="4" t="s">
        <v>127</v>
      </c>
      <c r="AW344" s="4" t="s">
        <v>127</v>
      </c>
      <c r="AX344" s="4" t="s">
        <v>127</v>
      </c>
      <c r="AY344" s="111" t="s">
        <v>1760</v>
      </c>
      <c r="AZ344" s="96" t="s">
        <v>1761</v>
      </c>
      <c r="BA344" s="4" t="s">
        <v>127</v>
      </c>
      <c r="BB344" s="4" t="s">
        <v>1778</v>
      </c>
      <c r="BC344" s="4" t="s">
        <v>1779</v>
      </c>
      <c r="BD344" s="4" t="s">
        <v>127</v>
      </c>
      <c r="BE344" s="4"/>
      <c r="BF344" s="4"/>
      <c r="BG344" s="4"/>
      <c r="BH344" s="4"/>
      <c r="BI344" s="4"/>
      <c r="BJ344" s="4"/>
      <c r="BK344" s="4"/>
      <c r="BL344" s="4"/>
      <c r="BM344" s="4"/>
      <c r="BN344" s="4"/>
      <c r="BO344" s="4"/>
      <c r="BP344" s="4"/>
      <c r="BQ344" s="4"/>
      <c r="BR344" s="4"/>
      <c r="BS344" s="4"/>
      <c r="BT344" s="4"/>
    </row>
    <row r="345" spans="1:72" ht="16" x14ac:dyDescent="0.4">
      <c r="A345" s="4" t="s">
        <v>1780</v>
      </c>
      <c r="B345" s="4" t="s">
        <v>1780</v>
      </c>
      <c r="C345" s="4" t="s">
        <v>127</v>
      </c>
      <c r="D345" s="4" t="s">
        <v>128</v>
      </c>
      <c r="E345" s="190">
        <v>45938</v>
      </c>
      <c r="F345" s="4">
        <v>2025</v>
      </c>
      <c r="G345" s="4" t="s">
        <v>1781</v>
      </c>
      <c r="H345" s="22" t="str">
        <f>VLOOKUP($G345,'Item Classification'!B:C,2,0)</f>
        <v>Special forces vehicle</v>
      </c>
      <c r="I345" s="6" t="str">
        <f>VLOOKUP($G345,'Item Classification'!B:D,3,0)</f>
        <v>Infantry</v>
      </c>
      <c r="J345" s="23">
        <f>VLOOKUP($G345,'Item Classification'!B:E,4,0)</f>
        <v>8</v>
      </c>
      <c r="K345" s="116" t="s">
        <v>274</v>
      </c>
      <c r="L345" s="116" t="s">
        <v>275</v>
      </c>
      <c r="M345" s="116" t="str">
        <f>VLOOKUP(L345,'NATO Classifications'!$D$6:$E$647,2,0)</f>
        <v>Trucks and Truck Tractors, Wheeled</v>
      </c>
      <c r="N345" s="4"/>
      <c r="O345" s="4"/>
      <c r="P345" s="4"/>
      <c r="Q345" s="4"/>
      <c r="R345" s="4"/>
      <c r="S345" s="112">
        <v>70000000</v>
      </c>
      <c r="T345" s="91" t="s">
        <v>132</v>
      </c>
      <c r="U345" s="104">
        <f>_xlfn.IFNA(S345/INDEX('Exchange Rates'!$C$7:$F$14,MATCH('MAIN DATA, Orders'!F345,'Exchange Rates'!$B$7:$B$14,0),MATCH('MAIN DATA, Orders'!T345,'Exchange Rates'!$C$6:$F$6,0)), "-")</f>
        <v>70000000</v>
      </c>
      <c r="V345" s="4" t="s">
        <v>682</v>
      </c>
      <c r="W345" s="4" t="s">
        <v>1782</v>
      </c>
      <c r="X345" s="4" t="s">
        <v>128</v>
      </c>
      <c r="Y345" s="24">
        <f t="shared" si="37"/>
        <v>202510</v>
      </c>
      <c r="Z345" s="115">
        <v>1</v>
      </c>
      <c r="AA345" s="115">
        <v>0</v>
      </c>
      <c r="AB345" s="115">
        <v>0</v>
      </c>
      <c r="AC345" s="115">
        <v>1</v>
      </c>
      <c r="AD345" s="115">
        <v>0</v>
      </c>
      <c r="AE345" s="115">
        <v>0</v>
      </c>
      <c r="AF345" s="115">
        <v>0</v>
      </c>
      <c r="AG345" s="4" t="s">
        <v>1783</v>
      </c>
      <c r="AH345" s="4" t="s">
        <v>128</v>
      </c>
      <c r="AI345" s="4" t="s">
        <v>128</v>
      </c>
      <c r="AJ345" s="4" t="s">
        <v>127</v>
      </c>
      <c r="AK345" s="4" t="s">
        <v>127</v>
      </c>
      <c r="AL345" s="4" t="s">
        <v>127</v>
      </c>
      <c r="AM345" s="4" t="s">
        <v>127</v>
      </c>
      <c r="AN345" s="4" t="s">
        <v>127</v>
      </c>
      <c r="AO345" s="4" t="s">
        <v>127</v>
      </c>
      <c r="AP345" s="4" t="s">
        <v>127</v>
      </c>
      <c r="AQ345" s="4" t="s">
        <v>127</v>
      </c>
      <c r="AR345" s="4" t="s">
        <v>127</v>
      </c>
      <c r="AS345" s="4" t="s">
        <v>127</v>
      </c>
      <c r="AT345" s="4" t="s">
        <v>127</v>
      </c>
      <c r="AU345" s="4" t="s">
        <v>127</v>
      </c>
      <c r="AV345" s="4" t="s">
        <v>127</v>
      </c>
      <c r="AW345" s="4" t="s">
        <v>127</v>
      </c>
      <c r="AX345" s="4" t="s">
        <v>127</v>
      </c>
      <c r="AY345" s="113" t="s">
        <v>1760</v>
      </c>
      <c r="AZ345" s="111" t="s">
        <v>1761</v>
      </c>
      <c r="BA345" s="111" t="s">
        <v>1784</v>
      </c>
      <c r="BB345" s="4" t="s">
        <v>1785</v>
      </c>
      <c r="BC345" s="4" t="s">
        <v>1786</v>
      </c>
      <c r="BD345" s="4" t="s">
        <v>1787</v>
      </c>
      <c r="BE345" s="4" t="s">
        <v>127</v>
      </c>
      <c r="BF345" s="4"/>
      <c r="BG345" s="4"/>
      <c r="BH345" s="4"/>
      <c r="BI345" s="4"/>
      <c r="BJ345" s="4"/>
      <c r="BK345" s="4"/>
      <c r="BL345" s="4"/>
      <c r="BM345" s="4"/>
      <c r="BN345" s="4"/>
      <c r="BO345" s="4"/>
      <c r="BP345" s="4"/>
      <c r="BQ345" s="4"/>
      <c r="BR345" s="4"/>
      <c r="BS345" s="4"/>
      <c r="BT345" s="4"/>
    </row>
    <row r="346" spans="1:72" s="99" customFormat="1" ht="16" x14ac:dyDescent="0.4">
      <c r="A346" s="4" t="s">
        <v>1788</v>
      </c>
      <c r="B346" s="4" t="s">
        <v>1788</v>
      </c>
      <c r="C346" s="4" t="s">
        <v>127</v>
      </c>
      <c r="D346" s="4" t="s">
        <v>128</v>
      </c>
      <c r="E346" s="190">
        <v>45938</v>
      </c>
      <c r="F346" s="4">
        <v>2025</v>
      </c>
      <c r="G346" s="4" t="s">
        <v>1789</v>
      </c>
      <c r="H346" s="22" t="str">
        <f>VLOOKUP($G346,'Item Classification'!B:C,2,0)</f>
        <v>Mobile bridge system</v>
      </c>
      <c r="I346" s="6" t="str">
        <f>VLOOKUP($G346,'Item Classification'!B:D,3,0)</f>
        <v>Other</v>
      </c>
      <c r="J346" s="23">
        <f>VLOOKUP($G346,'Item Classification'!B:E,4,0)</f>
        <v>16</v>
      </c>
      <c r="K346" s="116" t="s">
        <v>386</v>
      </c>
      <c r="L346" s="116" t="s">
        <v>1790</v>
      </c>
      <c r="M346" s="116" t="str">
        <f>VLOOKUP(L346,'NATO Classifications'!$D$6:$E$647,2,0)</f>
        <v>Bridges, Fixed and Floating</v>
      </c>
      <c r="N346" s="4">
        <v>3</v>
      </c>
      <c r="O346" s="81">
        <f t="shared" ref="O346" si="38">S346/N346</f>
        <v>17666666.666666668</v>
      </c>
      <c r="P346" s="81">
        <f t="shared" ref="P346" si="39">U346/N346</f>
        <v>17666666.666666668</v>
      </c>
      <c r="Q346" s="4">
        <v>2029</v>
      </c>
      <c r="R346" s="4">
        <v>2029</v>
      </c>
      <c r="S346" s="112">
        <v>53000000</v>
      </c>
      <c r="T346" s="91" t="s">
        <v>132</v>
      </c>
      <c r="U346" s="104">
        <f>_xlfn.IFNA(S346/INDEX('Exchange Rates'!$C$7:$F$14,MATCH('MAIN DATA, Orders'!F346,'Exchange Rates'!$B$7:$B$14,0),MATCH('MAIN DATA, Orders'!T346,'Exchange Rates'!$C$6:$F$6,0)), "-")</f>
        <v>53000000</v>
      </c>
      <c r="V346" s="4" t="s">
        <v>127</v>
      </c>
      <c r="W346" s="4" t="s">
        <v>127</v>
      </c>
      <c r="X346" s="4" t="s">
        <v>128</v>
      </c>
      <c r="Y346" s="24">
        <f t="shared" si="37"/>
        <v>202510</v>
      </c>
      <c r="Z346" s="115">
        <v>1</v>
      </c>
      <c r="AA346" s="115">
        <v>0</v>
      </c>
      <c r="AB346" s="115">
        <v>0</v>
      </c>
      <c r="AC346" s="115">
        <v>1</v>
      </c>
      <c r="AD346" s="115">
        <v>1</v>
      </c>
      <c r="AE346" s="115">
        <v>0</v>
      </c>
      <c r="AF346" s="115">
        <v>1</v>
      </c>
      <c r="AG346" s="4" t="s">
        <v>1791</v>
      </c>
      <c r="AH346" s="4" t="s">
        <v>213</v>
      </c>
      <c r="AI346" s="4" t="s">
        <v>128</v>
      </c>
      <c r="AJ346" s="4" t="s">
        <v>127</v>
      </c>
      <c r="AK346" s="4" t="s">
        <v>127</v>
      </c>
      <c r="AL346" s="4" t="s">
        <v>127</v>
      </c>
      <c r="AM346" s="4" t="s">
        <v>127</v>
      </c>
      <c r="AN346" s="4" t="s">
        <v>127</v>
      </c>
      <c r="AO346" s="4" t="s">
        <v>127</v>
      </c>
      <c r="AP346" s="4" t="s">
        <v>127</v>
      </c>
      <c r="AQ346" s="4" t="s">
        <v>127</v>
      </c>
      <c r="AR346" s="4" t="s">
        <v>127</v>
      </c>
      <c r="AS346" s="4" t="s">
        <v>127</v>
      </c>
      <c r="AT346" s="4" t="s">
        <v>127</v>
      </c>
      <c r="AU346" s="4" t="s">
        <v>127</v>
      </c>
      <c r="AV346" s="4" t="s">
        <v>127</v>
      </c>
      <c r="AW346" s="4" t="s">
        <v>127</v>
      </c>
      <c r="AX346" s="4" t="s">
        <v>127</v>
      </c>
      <c r="AY346" s="99" t="s">
        <v>1760</v>
      </c>
      <c r="AZ346" s="99" t="s">
        <v>1792</v>
      </c>
      <c r="BA346" s="4" t="s">
        <v>127</v>
      </c>
      <c r="BB346" s="4" t="s">
        <v>1793</v>
      </c>
      <c r="BC346" s="4" t="s">
        <v>1794</v>
      </c>
      <c r="BD346" s="4"/>
      <c r="BE346" s="4" t="s">
        <v>127</v>
      </c>
      <c r="BF346" s="4"/>
      <c r="BG346" s="4"/>
      <c r="BH346" s="113"/>
      <c r="BI346" s="113"/>
      <c r="BJ346" s="113"/>
      <c r="BK346" s="113"/>
      <c r="BL346" s="113"/>
      <c r="BM346" s="113"/>
      <c r="BN346" s="113"/>
      <c r="BO346" s="113"/>
      <c r="BP346" s="113"/>
      <c r="BQ346" s="113"/>
      <c r="BR346" s="113"/>
      <c r="BS346" s="113"/>
      <c r="BT346" s="113"/>
    </row>
    <row r="347" spans="1:72" ht="16" x14ac:dyDescent="0.4">
      <c r="A347" s="4" t="s">
        <v>1795</v>
      </c>
      <c r="B347" s="4" t="s">
        <v>1795</v>
      </c>
      <c r="C347" s="4" t="s">
        <v>127</v>
      </c>
      <c r="D347" s="4" t="s">
        <v>128</v>
      </c>
      <c r="E347" s="190">
        <v>45960</v>
      </c>
      <c r="F347" s="4">
        <v>2025</v>
      </c>
      <c r="G347" s="4" t="s">
        <v>1796</v>
      </c>
      <c r="H347" s="22" t="str">
        <f>VLOOKUP($G347,'Item Classification'!B:C,2,0)</f>
        <v>Mobile bridge system</v>
      </c>
      <c r="I347" s="6" t="str">
        <f>VLOOKUP($G347,'Item Classification'!B:D,3,0)</f>
        <v>Other</v>
      </c>
      <c r="J347" s="23">
        <f>VLOOKUP($G347,'Item Classification'!B:E,4,0)</f>
        <v>16</v>
      </c>
      <c r="K347" s="116" t="s">
        <v>386</v>
      </c>
      <c r="L347" s="116" t="s">
        <v>1790</v>
      </c>
      <c r="M347" s="116" t="str">
        <f>VLOOKUP(L347,'NATO Classifications'!$D$6:$E$647,2,0)</f>
        <v>Bridges, Fixed and Floating</v>
      </c>
      <c r="N347" s="4">
        <v>53</v>
      </c>
      <c r="O347" s="81">
        <f t="shared" ref="O347" si="40">S347/N347</f>
        <v>6245283.0188679248</v>
      </c>
      <c r="P347" s="81">
        <f t="shared" ref="P347" si="41">U347/N347</f>
        <v>6245283.0188679248</v>
      </c>
      <c r="Q347" s="4">
        <v>2030</v>
      </c>
      <c r="R347" s="4">
        <v>2036</v>
      </c>
      <c r="S347" s="112">
        <v>331000000</v>
      </c>
      <c r="T347" s="91" t="s">
        <v>132</v>
      </c>
      <c r="U347" s="104">
        <f>_xlfn.IFNA(S347/INDEX('Exchange Rates'!$C$7:$F$14,MATCH('MAIN DATA, Orders'!F347,'Exchange Rates'!$B$7:$B$14,0),MATCH('MAIN DATA, Orders'!T347,'Exchange Rates'!$C$6:$F$6,0)), "-")</f>
        <v>331000000</v>
      </c>
      <c r="V347" s="4" t="s">
        <v>127</v>
      </c>
      <c r="W347" s="4" t="s">
        <v>127</v>
      </c>
      <c r="X347" s="4" t="s">
        <v>128</v>
      </c>
      <c r="Y347" s="24">
        <f t="shared" si="37"/>
        <v>202510</v>
      </c>
      <c r="Z347" s="115">
        <v>1</v>
      </c>
      <c r="AA347" s="115">
        <v>0</v>
      </c>
      <c r="AB347" s="115">
        <v>0</v>
      </c>
      <c r="AC347" s="115">
        <v>1</v>
      </c>
      <c r="AD347" s="115">
        <v>1</v>
      </c>
      <c r="AE347" s="115">
        <v>0</v>
      </c>
      <c r="AF347" s="115">
        <v>1</v>
      </c>
      <c r="AG347" s="4" t="s">
        <v>1791</v>
      </c>
      <c r="AH347" s="4" t="s">
        <v>213</v>
      </c>
      <c r="AI347" s="4" t="s">
        <v>128</v>
      </c>
      <c r="AJ347" s="4" t="s">
        <v>127</v>
      </c>
      <c r="AK347" s="4" t="s">
        <v>127</v>
      </c>
      <c r="AL347" s="4" t="s">
        <v>127</v>
      </c>
      <c r="AM347" s="4" t="s">
        <v>127</v>
      </c>
      <c r="AN347" s="4" t="s">
        <v>127</v>
      </c>
      <c r="AO347" s="4" t="s">
        <v>127</v>
      </c>
      <c r="AP347" s="4" t="s">
        <v>127</v>
      </c>
      <c r="AQ347" s="4" t="s">
        <v>127</v>
      </c>
      <c r="AR347" s="4" t="s">
        <v>127</v>
      </c>
      <c r="AS347" s="4" t="s">
        <v>127</v>
      </c>
      <c r="AT347" s="4" t="s">
        <v>127</v>
      </c>
      <c r="AU347" s="4" t="s">
        <v>127</v>
      </c>
      <c r="AV347" s="4" t="s">
        <v>127</v>
      </c>
      <c r="AW347" s="4" t="s">
        <v>127</v>
      </c>
      <c r="AX347" s="4" t="s">
        <v>127</v>
      </c>
      <c r="AY347" s="113" t="s">
        <v>1760</v>
      </c>
      <c r="AZ347" s="113" t="s">
        <v>1792</v>
      </c>
      <c r="BA347" s="4" t="s">
        <v>127</v>
      </c>
      <c r="BB347" s="4" t="s">
        <v>1793</v>
      </c>
      <c r="BC347" s="4" t="s">
        <v>1794</v>
      </c>
      <c r="BD347" s="4"/>
      <c r="BE347" s="4" t="s">
        <v>127</v>
      </c>
      <c r="BF347" s="4"/>
      <c r="BG347" s="113"/>
      <c r="BH347" s="113"/>
      <c r="BI347" s="113"/>
      <c r="BJ347" s="113"/>
      <c r="BK347" s="113"/>
      <c r="BL347" s="113"/>
      <c r="BM347" s="113"/>
      <c r="BN347" s="113"/>
      <c r="BO347" s="113"/>
      <c r="BP347" s="113"/>
      <c r="BQ347" s="113"/>
      <c r="BR347" s="113"/>
      <c r="BS347" s="113"/>
      <c r="BT347" s="113"/>
    </row>
    <row r="348" spans="1:72" ht="16" x14ac:dyDescent="0.4">
      <c r="A348" s="4" t="s">
        <v>1797</v>
      </c>
      <c r="B348" s="4" t="s">
        <v>1797</v>
      </c>
      <c r="C348" s="4" t="s">
        <v>127</v>
      </c>
      <c r="D348" s="4" t="s">
        <v>128</v>
      </c>
      <c r="E348" s="190">
        <v>45960</v>
      </c>
      <c r="F348" s="4">
        <v>2025</v>
      </c>
      <c r="G348" s="4" t="s">
        <v>1798</v>
      </c>
      <c r="H348" s="22" t="str">
        <f>VLOOKUP($G348,'Item Classification'!B:C,2,0)</f>
        <v>Mobile bridge system</v>
      </c>
      <c r="I348" s="6" t="str">
        <f>VLOOKUP($G348,'Item Classification'!B:D,3,0)</f>
        <v>Other</v>
      </c>
      <c r="J348" s="23">
        <f>VLOOKUP($G348,'Item Classification'!B:E,4,0)</f>
        <v>16</v>
      </c>
      <c r="K348" s="116" t="s">
        <v>143</v>
      </c>
      <c r="L348" s="116" t="s">
        <v>681</v>
      </c>
      <c r="M348" s="116" t="str">
        <f>VLOOKUP(L348,'NATO Classifications'!$D$6:$E$647,2,0)</f>
        <v>Small Craft</v>
      </c>
      <c r="N348" s="4"/>
      <c r="O348" s="4"/>
      <c r="P348" s="4"/>
      <c r="Q348" s="4"/>
      <c r="R348" s="4"/>
      <c r="S348" s="112">
        <v>104000000</v>
      </c>
      <c r="T348" s="91" t="s">
        <v>132</v>
      </c>
      <c r="U348" s="104">
        <f>_xlfn.IFNA(S348/INDEX('Exchange Rates'!$C$7:$F$14,MATCH('MAIN DATA, Orders'!F348,'Exchange Rates'!$B$7:$B$14,0),MATCH('MAIN DATA, Orders'!T348,'Exchange Rates'!$C$6:$F$6,0)), "-")</f>
        <v>104000000</v>
      </c>
      <c r="V348" s="4" t="s">
        <v>127</v>
      </c>
      <c r="W348" s="4" t="s">
        <v>127</v>
      </c>
      <c r="X348" s="4" t="s">
        <v>128</v>
      </c>
      <c r="Y348" s="24">
        <f t="shared" si="37"/>
        <v>202510</v>
      </c>
      <c r="Z348" s="115">
        <v>0</v>
      </c>
      <c r="AA348" s="115">
        <v>0</v>
      </c>
      <c r="AB348" s="115">
        <v>0</v>
      </c>
      <c r="AC348" s="115" t="s">
        <v>127</v>
      </c>
      <c r="AD348" s="115" t="s">
        <v>127</v>
      </c>
      <c r="AE348" s="115" t="s">
        <v>127</v>
      </c>
      <c r="AF348" s="115" t="s">
        <v>127</v>
      </c>
      <c r="AG348" s="4" t="s">
        <v>127</v>
      </c>
      <c r="AH348" s="4" t="s">
        <v>127</v>
      </c>
      <c r="AI348" s="4" t="s">
        <v>127</v>
      </c>
      <c r="AJ348" s="4" t="s">
        <v>127</v>
      </c>
      <c r="AK348" s="4" t="s">
        <v>127</v>
      </c>
      <c r="AL348" s="4" t="s">
        <v>127</v>
      </c>
      <c r="AM348" s="4" t="s">
        <v>127</v>
      </c>
      <c r="AN348" s="4" t="s">
        <v>127</v>
      </c>
      <c r="AO348" s="4" t="s">
        <v>127</v>
      </c>
      <c r="AP348" s="4" t="s">
        <v>127</v>
      </c>
      <c r="AQ348" s="4" t="s">
        <v>127</v>
      </c>
      <c r="AR348" s="4" t="s">
        <v>127</v>
      </c>
      <c r="AS348" s="4" t="s">
        <v>127</v>
      </c>
      <c r="AT348" s="4" t="s">
        <v>127</v>
      </c>
      <c r="AU348" s="4" t="s">
        <v>127</v>
      </c>
      <c r="AV348" s="4" t="s">
        <v>127</v>
      </c>
      <c r="AW348" s="4" t="s">
        <v>127</v>
      </c>
      <c r="AX348" s="4" t="s">
        <v>127</v>
      </c>
      <c r="AY348" s="113" t="s">
        <v>1760</v>
      </c>
      <c r="AZ348" s="113" t="s">
        <v>1792</v>
      </c>
      <c r="BA348" s="4" t="s">
        <v>127</v>
      </c>
      <c r="BB348" s="4" t="s">
        <v>1793</v>
      </c>
      <c r="BC348" s="4" t="s">
        <v>1794</v>
      </c>
      <c r="BD348" s="4"/>
      <c r="BE348" s="4" t="s">
        <v>127</v>
      </c>
      <c r="BF348" s="4"/>
      <c r="BG348" s="4"/>
      <c r="BH348" s="113"/>
      <c r="BI348" s="113"/>
      <c r="BJ348" s="113"/>
      <c r="BK348" s="113"/>
      <c r="BL348" s="113"/>
      <c r="BM348" s="113"/>
      <c r="BN348" s="113"/>
      <c r="BO348" s="113"/>
      <c r="BP348" s="113"/>
      <c r="BQ348" s="113"/>
      <c r="BR348" s="113"/>
      <c r="BS348" s="113"/>
      <c r="BT348" s="113"/>
    </row>
    <row r="349" spans="1:72" ht="16" x14ac:dyDescent="0.4">
      <c r="A349" s="4" t="s">
        <v>1799</v>
      </c>
      <c r="B349" s="4" t="s">
        <v>1799</v>
      </c>
      <c r="C349" s="4" t="s">
        <v>127</v>
      </c>
      <c r="D349" s="4" t="s">
        <v>128</v>
      </c>
      <c r="E349" s="190">
        <v>45960</v>
      </c>
      <c r="F349" s="4">
        <v>2025</v>
      </c>
      <c r="G349" s="4" t="s">
        <v>1800</v>
      </c>
      <c r="H349" s="22" t="str">
        <f>VLOOKUP($G349,'Item Classification'!B:C,2,0)</f>
        <v>Communication equipment</v>
      </c>
      <c r="I349" s="6" t="str">
        <f>VLOOKUP($G349,'Item Classification'!B:D,3,0)</f>
        <v>Modernisation</v>
      </c>
      <c r="J349" s="23">
        <f>VLOOKUP($G349,'Item Classification'!B:E,4,0)</f>
        <v>13</v>
      </c>
      <c r="K349" s="116" t="s">
        <v>158</v>
      </c>
      <c r="L349" s="116" t="s">
        <v>567</v>
      </c>
      <c r="M349" s="116" t="str">
        <f>VLOOKUP(L349,'NATO Classifications'!$D$6:$E$647,2,0)</f>
        <v>Communication, Detection, and Coherent Radiation Equipment (other)</v>
      </c>
      <c r="N349" s="4"/>
      <c r="O349" s="4"/>
      <c r="P349" s="4"/>
      <c r="Q349" s="4"/>
      <c r="R349" s="4"/>
      <c r="S349" s="112">
        <v>100000000</v>
      </c>
      <c r="T349" s="91" t="s">
        <v>132</v>
      </c>
      <c r="U349" s="104">
        <f>_xlfn.IFNA(S349/INDEX('Exchange Rates'!$C$7:$F$14,MATCH('MAIN DATA, Orders'!F349,'Exchange Rates'!$B$7:$B$14,0),MATCH('MAIN DATA, Orders'!T349,'Exchange Rates'!$C$6:$F$6,0)), "-")</f>
        <v>100000000</v>
      </c>
      <c r="V349" s="4" t="s">
        <v>127</v>
      </c>
      <c r="W349" s="4" t="s">
        <v>127</v>
      </c>
      <c r="X349" s="4" t="s">
        <v>128</v>
      </c>
      <c r="Y349" s="24">
        <f t="shared" si="37"/>
        <v>202510</v>
      </c>
      <c r="Z349" s="115">
        <v>0</v>
      </c>
      <c r="AA349" s="115">
        <v>0</v>
      </c>
      <c r="AB349" s="115">
        <v>0</v>
      </c>
      <c r="AC349" s="115">
        <v>0</v>
      </c>
      <c r="AD349" s="115">
        <v>0</v>
      </c>
      <c r="AE349" s="115">
        <v>0</v>
      </c>
      <c r="AF349" s="115">
        <v>0</v>
      </c>
      <c r="AG349" s="4" t="s">
        <v>1421</v>
      </c>
      <c r="AH349" s="4" t="s">
        <v>196</v>
      </c>
      <c r="AI349" s="4" t="s">
        <v>196</v>
      </c>
      <c r="AJ349" s="4" t="s">
        <v>127</v>
      </c>
      <c r="AK349" s="4" t="s">
        <v>127</v>
      </c>
      <c r="AL349" s="4" t="s">
        <v>127</v>
      </c>
      <c r="AM349" s="4" t="s">
        <v>127</v>
      </c>
      <c r="AN349" s="4" t="s">
        <v>127</v>
      </c>
      <c r="AO349" s="4" t="s">
        <v>127</v>
      </c>
      <c r="AP349" s="4" t="s">
        <v>127</v>
      </c>
      <c r="AQ349" s="4" t="s">
        <v>127</v>
      </c>
      <c r="AR349" s="4" t="s">
        <v>127</v>
      </c>
      <c r="AS349" s="4" t="s">
        <v>127</v>
      </c>
      <c r="AT349" s="4" t="s">
        <v>127</v>
      </c>
      <c r="AU349" s="4" t="s">
        <v>127</v>
      </c>
      <c r="AV349" s="4" t="s">
        <v>127</v>
      </c>
      <c r="AW349" s="4" t="s">
        <v>127</v>
      </c>
      <c r="AX349" s="4" t="s">
        <v>127</v>
      </c>
      <c r="AY349" s="113" t="s">
        <v>1760</v>
      </c>
      <c r="AZ349" s="113" t="s">
        <v>1761</v>
      </c>
      <c r="BA349" s="4" t="s">
        <v>127</v>
      </c>
      <c r="BB349" s="4" t="s">
        <v>1801</v>
      </c>
      <c r="BC349" s="4" t="s">
        <v>1779</v>
      </c>
      <c r="BD349" s="4" t="s">
        <v>127</v>
      </c>
      <c r="BE349" s="4"/>
      <c r="BF349" s="4"/>
      <c r="BG349" s="4"/>
      <c r="BH349" s="113"/>
      <c r="BI349" s="113"/>
      <c r="BJ349" s="113"/>
      <c r="BK349" s="113"/>
      <c r="BL349" s="113"/>
      <c r="BM349" s="113"/>
      <c r="BN349" s="113"/>
      <c r="BO349" s="113"/>
      <c r="BP349" s="113"/>
      <c r="BQ349" s="113"/>
      <c r="BR349" s="113"/>
      <c r="BS349" s="113"/>
      <c r="BT349" s="113"/>
    </row>
    <row r="350" spans="1:72" ht="16" x14ac:dyDescent="0.4">
      <c r="A350" s="4" t="s">
        <v>1802</v>
      </c>
      <c r="B350" s="4" t="s">
        <v>1802</v>
      </c>
      <c r="C350" s="4" t="s">
        <v>127</v>
      </c>
      <c r="D350" s="4" t="s">
        <v>128</v>
      </c>
      <c r="E350" s="190">
        <v>45938</v>
      </c>
      <c r="F350" s="4">
        <v>2025</v>
      </c>
      <c r="G350" s="4" t="s">
        <v>1803</v>
      </c>
      <c r="H350" s="22" t="str">
        <f>VLOOKUP($G350,'Item Classification'!B:C,2,0)</f>
        <v>Fighter aircraft</v>
      </c>
      <c r="I350" s="6" t="str">
        <f>VLOOKUP($G350,'Item Classification'!B:D,3,0)</f>
        <v>Aircraft</v>
      </c>
      <c r="J350" s="23">
        <f>VLOOKUP($G350,'Item Classification'!B:E,4,0)</f>
        <v>11</v>
      </c>
      <c r="K350" s="116" t="s">
        <v>130</v>
      </c>
      <c r="L350" s="116" t="s">
        <v>237</v>
      </c>
      <c r="M350" s="116" t="str">
        <f>VLOOKUP(L350,'NATO Classifications'!$D$6:$E$647,2,0)</f>
        <v>Aircraft, Fixed Wing</v>
      </c>
      <c r="N350" s="4">
        <v>20</v>
      </c>
      <c r="O350" s="81">
        <f t="shared" ref="O350" si="42">S350/N350</f>
        <v>187500000</v>
      </c>
      <c r="P350" s="81">
        <f t="shared" ref="P350" si="43">U350/N350</f>
        <v>187500000</v>
      </c>
      <c r="Q350" s="4">
        <v>2031</v>
      </c>
      <c r="R350" s="4">
        <v>2034</v>
      </c>
      <c r="S350" s="112">
        <v>3750000000</v>
      </c>
      <c r="T350" s="91" t="s">
        <v>132</v>
      </c>
      <c r="U350" s="104">
        <f>_xlfn.IFNA(S350/INDEX('Exchange Rates'!$C$7:$F$14,MATCH('MAIN DATA, Orders'!F350,'Exchange Rates'!$B$7:$B$14,0),MATCH('MAIN DATA, Orders'!T350,'Exchange Rates'!$C$6:$F$6,0)), "-")</f>
        <v>3750000000</v>
      </c>
      <c r="V350" s="4" t="s">
        <v>133</v>
      </c>
      <c r="W350" s="4" t="s">
        <v>127</v>
      </c>
      <c r="X350" s="4" t="s">
        <v>128</v>
      </c>
      <c r="Y350" s="24">
        <f t="shared" si="37"/>
        <v>202510</v>
      </c>
      <c r="Z350" s="115">
        <v>1</v>
      </c>
      <c r="AA350" s="115">
        <v>0</v>
      </c>
      <c r="AB350" s="115">
        <v>0</v>
      </c>
      <c r="AC350" s="115">
        <v>1</v>
      </c>
      <c r="AD350" s="115">
        <v>1</v>
      </c>
      <c r="AE350" s="115">
        <v>0</v>
      </c>
      <c r="AF350" s="115">
        <v>1</v>
      </c>
      <c r="AG350" s="4" t="s">
        <v>1656</v>
      </c>
      <c r="AH350" s="4" t="s">
        <v>128</v>
      </c>
      <c r="AI350" s="4" t="s">
        <v>127</v>
      </c>
      <c r="AJ350" s="4" t="s">
        <v>127</v>
      </c>
      <c r="AK350" s="4" t="s">
        <v>127</v>
      </c>
      <c r="AL350" s="4" t="s">
        <v>127</v>
      </c>
      <c r="AM350" s="4" t="s">
        <v>127</v>
      </c>
      <c r="AN350" s="4" t="s">
        <v>162</v>
      </c>
      <c r="AO350" s="4" t="s">
        <v>197</v>
      </c>
      <c r="AP350" s="4" t="s">
        <v>238</v>
      </c>
      <c r="AQ350" s="4" t="s">
        <v>127</v>
      </c>
      <c r="AR350" s="4" t="s">
        <v>127</v>
      </c>
      <c r="AS350" s="4" t="s">
        <v>127</v>
      </c>
      <c r="AT350" s="4" t="s">
        <v>127</v>
      </c>
      <c r="AU350" s="4" t="s">
        <v>127</v>
      </c>
      <c r="AV350" s="4" t="s">
        <v>127</v>
      </c>
      <c r="AW350" s="4" t="s">
        <v>127</v>
      </c>
      <c r="AX350" s="4" t="s">
        <v>127</v>
      </c>
      <c r="AY350" s="111" t="s">
        <v>1804</v>
      </c>
      <c r="AZ350" s="113" t="s">
        <v>1805</v>
      </c>
      <c r="BA350" s="4" t="s">
        <v>127</v>
      </c>
      <c r="BB350" s="4" t="s">
        <v>1806</v>
      </c>
      <c r="BC350" s="4" t="s">
        <v>1807</v>
      </c>
      <c r="BD350" s="4" t="s">
        <v>1808</v>
      </c>
      <c r="BE350" s="4" t="s">
        <v>127</v>
      </c>
      <c r="BF350" s="4"/>
      <c r="BG350" s="4"/>
      <c r="BH350" s="4"/>
      <c r="BI350" s="4"/>
      <c r="BJ350" s="4"/>
      <c r="BK350" s="4"/>
      <c r="BL350" s="4"/>
      <c r="BM350" s="4"/>
      <c r="BN350" s="4"/>
      <c r="BO350" s="4"/>
      <c r="BP350" s="4"/>
      <c r="BQ350" s="4"/>
      <c r="BR350" s="4"/>
      <c r="BS350" s="4"/>
      <c r="BT350" s="4"/>
    </row>
    <row r="351" spans="1:72" ht="16" x14ac:dyDescent="0.4">
      <c r="A351" s="4" t="s">
        <v>1809</v>
      </c>
      <c r="B351" s="4" t="s">
        <v>1809</v>
      </c>
      <c r="C351" s="4" t="s">
        <v>127</v>
      </c>
      <c r="D351" s="4" t="s">
        <v>128</v>
      </c>
      <c r="E351" s="190">
        <v>45938</v>
      </c>
      <c r="F351" s="4">
        <v>2025</v>
      </c>
      <c r="G351" s="4" t="s">
        <v>1810</v>
      </c>
      <c r="H351" s="22" t="str">
        <f>VLOOKUP($G351,'Item Classification'!B:C,2,0)</f>
        <v>Fighter aircraft</v>
      </c>
      <c r="I351" s="6" t="str">
        <f>VLOOKUP($G351,'Item Classification'!B:D,3,0)</f>
        <v>Aircraft</v>
      </c>
      <c r="J351" s="23">
        <f>VLOOKUP($G351,'Item Classification'!B:E,4,0)</f>
        <v>11</v>
      </c>
      <c r="K351" s="116" t="s">
        <v>941</v>
      </c>
      <c r="L351" s="116" t="s">
        <v>942</v>
      </c>
      <c r="M351" s="116" t="str">
        <f>VLOOKUP(L351,'NATO Classifications'!$D$6:$E$647,2,0)</f>
        <v>Training Aids</v>
      </c>
      <c r="N351" s="4"/>
      <c r="O351" s="4"/>
      <c r="P351" s="4"/>
      <c r="Q351" s="4"/>
      <c r="R351" s="4"/>
      <c r="S351" s="112">
        <v>412000000</v>
      </c>
      <c r="T351" s="91" t="s">
        <v>132</v>
      </c>
      <c r="U351" s="104">
        <f>_xlfn.IFNA(S351/INDEX('Exchange Rates'!$C$7:$F$14,MATCH('MAIN DATA, Orders'!F351,'Exchange Rates'!$B$7:$B$14,0),MATCH('MAIN DATA, Orders'!T351,'Exchange Rates'!$C$6:$F$6,0)), "-")</f>
        <v>412000000</v>
      </c>
      <c r="V351" s="4" t="s">
        <v>682</v>
      </c>
      <c r="W351" s="4" t="s">
        <v>133</v>
      </c>
      <c r="X351" s="4" t="s">
        <v>128</v>
      </c>
      <c r="Y351" s="24">
        <f t="shared" si="37"/>
        <v>202510</v>
      </c>
      <c r="Z351" s="115">
        <v>1</v>
      </c>
      <c r="AA351" s="115">
        <v>0</v>
      </c>
      <c r="AB351" s="115">
        <v>0</v>
      </c>
      <c r="AC351" s="115">
        <v>1</v>
      </c>
      <c r="AD351" s="115">
        <v>1</v>
      </c>
      <c r="AE351" s="115">
        <v>0</v>
      </c>
      <c r="AF351" s="115">
        <v>1</v>
      </c>
      <c r="AG351" s="4" t="s">
        <v>1656</v>
      </c>
      <c r="AH351" s="4" t="s">
        <v>128</v>
      </c>
      <c r="AI351" s="4" t="s">
        <v>127</v>
      </c>
      <c r="AJ351" s="4" t="s">
        <v>127</v>
      </c>
      <c r="AK351" s="4" t="s">
        <v>127</v>
      </c>
      <c r="AL351" s="4" t="s">
        <v>127</v>
      </c>
      <c r="AM351" s="4" t="s">
        <v>127</v>
      </c>
      <c r="AN351" s="4" t="s">
        <v>162</v>
      </c>
      <c r="AO351" s="4" t="s">
        <v>197</v>
      </c>
      <c r="AP351" s="4" t="s">
        <v>238</v>
      </c>
      <c r="AQ351" s="4" t="s">
        <v>127</v>
      </c>
      <c r="AR351" s="4" t="s">
        <v>127</v>
      </c>
      <c r="AS351" s="4" t="s">
        <v>127</v>
      </c>
      <c r="AT351" s="4" t="s">
        <v>127</v>
      </c>
      <c r="AU351" s="4" t="s">
        <v>127</v>
      </c>
      <c r="AV351" s="4" t="s">
        <v>127</v>
      </c>
      <c r="AW351" s="4" t="s">
        <v>127</v>
      </c>
      <c r="AX351" s="4" t="s">
        <v>127</v>
      </c>
      <c r="AY351" s="111" t="s">
        <v>1804</v>
      </c>
      <c r="AZ351" s="113" t="s">
        <v>127</v>
      </c>
      <c r="BA351" s="4" t="s">
        <v>127</v>
      </c>
      <c r="BB351" s="4" t="s">
        <v>1811</v>
      </c>
      <c r="BC351" s="4" t="s">
        <v>127</v>
      </c>
      <c r="BD351" s="4" t="s">
        <v>127</v>
      </c>
      <c r="BE351" s="4" t="s">
        <v>127</v>
      </c>
      <c r="BF351" s="4"/>
      <c r="BG351" s="4"/>
      <c r="BH351" s="4"/>
      <c r="BI351" s="4"/>
      <c r="BJ351" s="4"/>
      <c r="BK351" s="4"/>
      <c r="BL351" s="4"/>
      <c r="BM351" s="4"/>
      <c r="BN351" s="4"/>
      <c r="BO351" s="4"/>
      <c r="BP351" s="4"/>
      <c r="BQ351" s="4"/>
      <c r="BR351" s="4"/>
      <c r="BS351" s="4"/>
      <c r="BT351" s="4"/>
    </row>
    <row r="352" spans="1:72" ht="16" x14ac:dyDescent="0.4">
      <c r="A352" s="4" t="s">
        <v>1812</v>
      </c>
      <c r="B352" s="4" t="s">
        <v>1812</v>
      </c>
      <c r="C352" s="4" t="s">
        <v>127</v>
      </c>
      <c r="D352" s="4" t="s">
        <v>128</v>
      </c>
      <c r="E352" s="190">
        <v>45938</v>
      </c>
      <c r="F352" s="4">
        <v>2025</v>
      </c>
      <c r="G352" s="4" t="s">
        <v>1813</v>
      </c>
      <c r="H352" s="22" t="str">
        <f>VLOOKUP($G352,'Item Classification'!B:C,2,0)</f>
        <v>Weapon modernisation programme</v>
      </c>
      <c r="I352" s="6" t="str">
        <f>VLOOKUP($G352,'Item Classification'!B:D,3,0)</f>
        <v>Modernisation</v>
      </c>
      <c r="J352" s="23">
        <f>VLOOKUP($G352,'Item Classification'!B:E,4,0)</f>
        <v>13</v>
      </c>
      <c r="K352" s="116" t="s">
        <v>158</v>
      </c>
      <c r="L352" s="116" t="s">
        <v>379</v>
      </c>
      <c r="M352" s="116" t="str">
        <f>VLOOKUP(L352,'NATO Classifications'!$D$6:$E$647,2,0)</f>
        <v>Communication, Detection, and Coherent Radiation Equipment (other)</v>
      </c>
      <c r="N352" s="4"/>
      <c r="O352" s="4"/>
      <c r="P352" s="4"/>
      <c r="Q352" s="4"/>
      <c r="R352" s="4"/>
      <c r="S352" s="112">
        <v>1210000000</v>
      </c>
      <c r="T352" s="91" t="s">
        <v>132</v>
      </c>
      <c r="U352" s="104">
        <f>_xlfn.IFNA(S352/INDEX('Exchange Rates'!$C$7:$F$14,MATCH('MAIN DATA, Orders'!F352,'Exchange Rates'!$B$7:$B$14,0),MATCH('MAIN DATA, Orders'!T352,'Exchange Rates'!$C$6:$F$6,0)), "-")</f>
        <v>1210000000</v>
      </c>
      <c r="V352" s="4" t="s">
        <v>682</v>
      </c>
      <c r="W352" s="4" t="s">
        <v>133</v>
      </c>
      <c r="X352" s="4" t="s">
        <v>128</v>
      </c>
      <c r="Y352" s="24">
        <f t="shared" si="37"/>
        <v>202510</v>
      </c>
      <c r="Z352" s="115">
        <v>1</v>
      </c>
      <c r="AA352" s="115">
        <v>0</v>
      </c>
      <c r="AB352" s="115">
        <v>0</v>
      </c>
      <c r="AC352" s="115">
        <v>1</v>
      </c>
      <c r="AD352" s="115">
        <v>1</v>
      </c>
      <c r="AE352" s="115">
        <v>0</v>
      </c>
      <c r="AF352" s="115">
        <v>1</v>
      </c>
      <c r="AG352" s="4" t="s">
        <v>1814</v>
      </c>
      <c r="AH352" s="4" t="s">
        <v>197</v>
      </c>
      <c r="AI352" s="4" t="s">
        <v>197</v>
      </c>
      <c r="AJ352" s="4" t="s">
        <v>127</v>
      </c>
      <c r="AK352" s="4" t="s">
        <v>127</v>
      </c>
      <c r="AL352" s="4" t="s">
        <v>127</v>
      </c>
      <c r="AM352" s="4" t="s">
        <v>127</v>
      </c>
      <c r="AN352" s="4" t="s">
        <v>162</v>
      </c>
      <c r="AO352" s="4" t="s">
        <v>128</v>
      </c>
      <c r="AP352" s="4" t="s">
        <v>213</v>
      </c>
      <c r="AQ352" s="4" t="s">
        <v>127</v>
      </c>
      <c r="AR352" s="4" t="s">
        <v>127</v>
      </c>
      <c r="AS352" s="4" t="s">
        <v>127</v>
      </c>
      <c r="AT352" s="4" t="s">
        <v>127</v>
      </c>
      <c r="AU352" s="4" t="s">
        <v>127</v>
      </c>
      <c r="AV352" s="4" t="s">
        <v>127</v>
      </c>
      <c r="AW352" s="4" t="s">
        <v>127</v>
      </c>
      <c r="AX352" s="4" t="s">
        <v>127</v>
      </c>
      <c r="AY352" s="111" t="s">
        <v>1804</v>
      </c>
      <c r="AZ352" s="113" t="s">
        <v>127</v>
      </c>
      <c r="BA352" s="4" t="s">
        <v>127</v>
      </c>
      <c r="BB352" s="4" t="s">
        <v>1815</v>
      </c>
      <c r="BC352" s="4" t="s">
        <v>1816</v>
      </c>
      <c r="BD352" s="4" t="s">
        <v>1817</v>
      </c>
      <c r="BE352" s="4" t="s">
        <v>127</v>
      </c>
      <c r="BF352" s="4"/>
      <c r="BG352" s="4"/>
      <c r="BH352" s="4"/>
      <c r="BI352" s="4"/>
      <c r="BJ352" s="4"/>
      <c r="BK352" s="4"/>
      <c r="BL352" s="4"/>
      <c r="BM352" s="4"/>
      <c r="BN352" s="4"/>
      <c r="BO352" s="4"/>
      <c r="BP352" s="4"/>
      <c r="BQ352" s="4"/>
      <c r="BR352" s="4"/>
      <c r="BS352" s="4"/>
      <c r="BT352" s="4"/>
    </row>
    <row r="353" spans="1:72" ht="16" x14ac:dyDescent="0.4">
      <c r="A353" s="4" t="s">
        <v>1818</v>
      </c>
      <c r="B353" s="4" t="s">
        <v>1818</v>
      </c>
      <c r="C353" s="4" t="s">
        <v>127</v>
      </c>
      <c r="D353" s="4" t="s">
        <v>128</v>
      </c>
      <c r="E353" s="190">
        <v>45938</v>
      </c>
      <c r="F353" s="4">
        <v>2025</v>
      </c>
      <c r="G353" s="4" t="s">
        <v>1819</v>
      </c>
      <c r="H353" s="22" t="str">
        <f>VLOOKUP($G353,'Item Classification'!B:C,2,0)</f>
        <v>Aircraft ammunition</v>
      </c>
      <c r="I353" s="6" t="str">
        <f>VLOOKUP($G353,'Item Classification'!B:D,3,0)</f>
        <v>Ammunition</v>
      </c>
      <c r="J353" s="23">
        <f>VLOOKUP($G353,'Item Classification'!B:E,4,0)</f>
        <v>4</v>
      </c>
      <c r="K353" s="116" t="s">
        <v>189</v>
      </c>
      <c r="L353" s="116" t="s">
        <v>740</v>
      </c>
      <c r="M353" s="116" t="str">
        <f>VLOOKUP(L353,'NATO Classifications'!$D$6:$E$647,2,0)</f>
        <v>Ammunition below 75mm</v>
      </c>
      <c r="N353" s="4"/>
      <c r="O353" s="4"/>
      <c r="P353" s="4"/>
      <c r="Q353" s="4"/>
      <c r="R353" s="4">
        <v>2027</v>
      </c>
      <c r="S353" s="112">
        <v>53000000</v>
      </c>
      <c r="T353" s="91" t="s">
        <v>132</v>
      </c>
      <c r="U353" s="104">
        <f>_xlfn.IFNA(S353/INDEX('Exchange Rates'!$C$7:$F$14,MATCH('MAIN DATA, Orders'!F353,'Exchange Rates'!$B$7:$B$14,0),MATCH('MAIN DATA, Orders'!T353,'Exchange Rates'!$C$6:$F$6,0)), "-")</f>
        <v>53000000</v>
      </c>
      <c r="V353" s="4" t="s">
        <v>682</v>
      </c>
      <c r="W353" s="4" t="s">
        <v>127</v>
      </c>
      <c r="X353" s="4" t="s">
        <v>128</v>
      </c>
      <c r="Y353" s="24">
        <f t="shared" si="37"/>
        <v>202510</v>
      </c>
      <c r="Z353" s="115">
        <v>0</v>
      </c>
      <c r="AA353" s="115">
        <v>0</v>
      </c>
      <c r="AB353" s="115">
        <v>0</v>
      </c>
      <c r="AC353" s="115">
        <v>1</v>
      </c>
      <c r="AD353" s="115">
        <v>0</v>
      </c>
      <c r="AE353" s="115">
        <v>0</v>
      </c>
      <c r="AF353" s="115">
        <v>0</v>
      </c>
      <c r="AG353" s="4" t="s">
        <v>256</v>
      </c>
      <c r="AH353" s="4" t="s">
        <v>128</v>
      </c>
      <c r="AI353" s="4" t="s">
        <v>128</v>
      </c>
      <c r="AJ353" s="4" t="s">
        <v>127</v>
      </c>
      <c r="AK353" s="4" t="s">
        <v>127</v>
      </c>
      <c r="AL353" s="4" t="s">
        <v>127</v>
      </c>
      <c r="AM353" s="4" t="s">
        <v>127</v>
      </c>
      <c r="AN353" s="4" t="s">
        <v>127</v>
      </c>
      <c r="AO353" s="4" t="s">
        <v>127</v>
      </c>
      <c r="AP353" s="4" t="s">
        <v>127</v>
      </c>
      <c r="AQ353" s="4" t="s">
        <v>127</v>
      </c>
      <c r="AR353" s="4" t="s">
        <v>127</v>
      </c>
      <c r="AS353" s="4" t="s">
        <v>127</v>
      </c>
      <c r="AT353" s="4" t="s">
        <v>127</v>
      </c>
      <c r="AU353" s="4" t="s">
        <v>127</v>
      </c>
      <c r="AV353" s="4" t="s">
        <v>127</v>
      </c>
      <c r="AW353" s="4" t="s">
        <v>127</v>
      </c>
      <c r="AX353" s="4" t="s">
        <v>127</v>
      </c>
      <c r="AY353" s="111" t="s">
        <v>1804</v>
      </c>
      <c r="AZ353" s="111" t="s">
        <v>1820</v>
      </c>
      <c r="BA353" s="4" t="s">
        <v>127</v>
      </c>
      <c r="BB353" s="4" t="s">
        <v>1821</v>
      </c>
      <c r="BC353" s="4" t="s">
        <v>1822</v>
      </c>
      <c r="BD353" s="4" t="s">
        <v>127</v>
      </c>
      <c r="BE353" s="4" t="s">
        <v>1823</v>
      </c>
      <c r="BF353" s="4" t="s">
        <v>127</v>
      </c>
      <c r="BG353" s="4"/>
      <c r="BH353" s="4"/>
      <c r="BI353" s="4"/>
      <c r="BJ353" s="4"/>
      <c r="BK353" s="4"/>
      <c r="BL353" s="4"/>
      <c r="BM353" s="4"/>
      <c r="BN353" s="4"/>
      <c r="BO353" s="4"/>
      <c r="BP353" s="4"/>
      <c r="BQ353" s="4"/>
      <c r="BR353" s="4"/>
      <c r="BS353" s="4"/>
      <c r="BT353" s="4"/>
    </row>
    <row r="354" spans="1:72" ht="16" x14ac:dyDescent="0.4">
      <c r="A354" s="4" t="s">
        <v>1824</v>
      </c>
      <c r="B354" s="4" t="s">
        <v>1824</v>
      </c>
      <c r="C354" s="4" t="s">
        <v>127</v>
      </c>
      <c r="D354" s="4" t="s">
        <v>128</v>
      </c>
      <c r="E354" s="190">
        <v>45938</v>
      </c>
      <c r="F354" s="4">
        <v>2025</v>
      </c>
      <c r="G354" s="4" t="s">
        <v>1825</v>
      </c>
      <c r="H354" s="22" t="str">
        <f>VLOOKUP($G354,'Item Classification'!B:C,2,0)</f>
        <v>Special force vehicle</v>
      </c>
      <c r="I354" s="6" t="str">
        <f>VLOOKUP($G354,'Item Classification'!B:D,3,0)</f>
        <v>Other</v>
      </c>
      <c r="J354" s="23">
        <f>VLOOKUP($G354,'Item Classification'!B:E,4,0)</f>
        <v>16</v>
      </c>
      <c r="K354" s="116" t="s">
        <v>143</v>
      </c>
      <c r="L354" s="116" t="s">
        <v>681</v>
      </c>
      <c r="M354" s="116" t="str">
        <f>VLOOKUP(L354,'NATO Classifications'!$D$6:$E$647,2,0)</f>
        <v>Small Craft</v>
      </c>
      <c r="N354" s="4">
        <v>9</v>
      </c>
      <c r="O354" s="81">
        <f t="shared" ref="O354" si="44">S354/N354</f>
        <v>13333333.333333334</v>
      </c>
      <c r="P354" s="81">
        <f t="shared" ref="P354" si="45">U354/N354</f>
        <v>13333333.333333334</v>
      </c>
      <c r="Q354" s="4">
        <v>2027</v>
      </c>
      <c r="R354" s="4">
        <v>2030</v>
      </c>
      <c r="S354" s="112">
        <v>120000000</v>
      </c>
      <c r="T354" s="91" t="s">
        <v>132</v>
      </c>
      <c r="U354" s="104">
        <f>_xlfn.IFNA(S354/INDEX('Exchange Rates'!$C$7:$F$14,MATCH('MAIN DATA, Orders'!F354,'Exchange Rates'!$B$7:$B$14,0),MATCH('MAIN DATA, Orders'!T354,'Exchange Rates'!$C$6:$F$6,0)), "-")</f>
        <v>120000000</v>
      </c>
      <c r="V354" s="4" t="s">
        <v>682</v>
      </c>
      <c r="W354" s="4" t="s">
        <v>127</v>
      </c>
      <c r="X354" s="4" t="s">
        <v>128</v>
      </c>
      <c r="Y354" s="24">
        <f t="shared" si="37"/>
        <v>202510</v>
      </c>
      <c r="Z354" s="115">
        <v>1</v>
      </c>
      <c r="AA354" s="115">
        <v>0</v>
      </c>
      <c r="AB354" s="115">
        <v>0</v>
      </c>
      <c r="AC354" s="115" t="s">
        <v>127</v>
      </c>
      <c r="AD354" s="115" t="s">
        <v>127</v>
      </c>
      <c r="AE354" s="115" t="s">
        <v>127</v>
      </c>
      <c r="AF354" s="115" t="s">
        <v>127</v>
      </c>
      <c r="AG354" s="4" t="s">
        <v>127</v>
      </c>
      <c r="AH354" s="4" t="s">
        <v>127</v>
      </c>
      <c r="AI354" s="4" t="s">
        <v>127</v>
      </c>
      <c r="AJ354" s="4" t="s">
        <v>127</v>
      </c>
      <c r="AK354" s="4" t="s">
        <v>127</v>
      </c>
      <c r="AL354" s="4" t="s">
        <v>127</v>
      </c>
      <c r="AM354" s="4" t="s">
        <v>127</v>
      </c>
      <c r="AN354" s="4" t="s">
        <v>127</v>
      </c>
      <c r="AO354" s="4" t="s">
        <v>127</v>
      </c>
      <c r="AP354" s="4" t="s">
        <v>127</v>
      </c>
      <c r="AQ354" s="4" t="s">
        <v>127</v>
      </c>
      <c r="AR354" s="4" t="s">
        <v>127</v>
      </c>
      <c r="AS354" s="4" t="s">
        <v>127</v>
      </c>
      <c r="AT354" s="4" t="s">
        <v>127</v>
      </c>
      <c r="AU354" s="4" t="s">
        <v>127</v>
      </c>
      <c r="AV354" s="4" t="s">
        <v>127</v>
      </c>
      <c r="AW354" s="4" t="s">
        <v>127</v>
      </c>
      <c r="AX354" s="4" t="s">
        <v>127</v>
      </c>
      <c r="AY354" s="111" t="s">
        <v>1804</v>
      </c>
      <c r="AZ354" s="111" t="s">
        <v>1826</v>
      </c>
      <c r="BA354" s="4" t="s">
        <v>127</v>
      </c>
      <c r="BB354" s="4" t="s">
        <v>1827</v>
      </c>
      <c r="BC354" s="4" t="s">
        <v>1828</v>
      </c>
      <c r="BD354" s="4" t="s">
        <v>127</v>
      </c>
      <c r="BE354" s="4" t="s">
        <v>127</v>
      </c>
      <c r="BF354" s="4"/>
      <c r="BG354" s="4"/>
      <c r="BH354" s="4"/>
      <c r="BI354" s="4"/>
      <c r="BJ354" s="4"/>
      <c r="BK354" s="4"/>
      <c r="BL354" s="4"/>
      <c r="BM354" s="4"/>
      <c r="BN354" s="4"/>
      <c r="BO354" s="4"/>
      <c r="BP354" s="4"/>
      <c r="BQ354" s="4"/>
      <c r="BR354" s="4"/>
      <c r="BS354" s="4"/>
      <c r="BT354" s="4"/>
    </row>
    <row r="355" spans="1:72" ht="16" x14ac:dyDescent="0.4">
      <c r="A355" s="4" t="s">
        <v>1829</v>
      </c>
      <c r="B355" s="4" t="s">
        <v>1829</v>
      </c>
      <c r="C355" s="4" t="s">
        <v>127</v>
      </c>
      <c r="D355" s="4" t="s">
        <v>128</v>
      </c>
      <c r="E355" s="190">
        <v>45938</v>
      </c>
      <c r="F355" s="4">
        <v>2025</v>
      </c>
      <c r="G355" s="4" t="s">
        <v>1830</v>
      </c>
      <c r="H355" s="22" t="str">
        <f>VLOOKUP($G355,'Item Classification'!B:C,2,0)</f>
        <v>Communication and digitalisation</v>
      </c>
      <c r="I355" s="6" t="str">
        <f>VLOOKUP($G355,'Item Classification'!B:D,3,0)</f>
        <v>Modernisation</v>
      </c>
      <c r="J355" s="23">
        <f>VLOOKUP($G355,'Item Classification'!B:E,4,0)</f>
        <v>13</v>
      </c>
      <c r="K355" s="116" t="s">
        <v>158</v>
      </c>
      <c r="L355" s="116" t="s">
        <v>354</v>
      </c>
      <c r="M355" s="116" t="str">
        <f>VLOOKUP(L355,'NATO Classifications'!$D$6:$E$647,2,0)</f>
        <v>Communication, Detection, and Coherent Radiation Equipment (other)</v>
      </c>
      <c r="N355" s="4"/>
      <c r="O355" s="4"/>
      <c r="P355" s="4"/>
      <c r="Q355" s="4">
        <v>2025</v>
      </c>
      <c r="R355" s="4"/>
      <c r="S355" s="112">
        <v>212700000</v>
      </c>
      <c r="T355" s="91" t="s">
        <v>132</v>
      </c>
      <c r="U355" s="104">
        <f>_xlfn.IFNA(S355/INDEX('Exchange Rates'!$C$7:$F$14,MATCH('MAIN DATA, Orders'!F355,'Exchange Rates'!$B$7:$B$14,0),MATCH('MAIN DATA, Orders'!T355,'Exchange Rates'!$C$6:$F$6,0)), "-")</f>
        <v>212700000</v>
      </c>
      <c r="V355" s="4" t="s">
        <v>133</v>
      </c>
      <c r="W355" s="4" t="s">
        <v>127</v>
      </c>
      <c r="X355" s="4" t="s">
        <v>128</v>
      </c>
      <c r="Y355" s="24">
        <f t="shared" si="37"/>
        <v>202510</v>
      </c>
      <c r="Z355" s="115">
        <v>0</v>
      </c>
      <c r="AA355" s="115">
        <v>0</v>
      </c>
      <c r="AB355" s="115">
        <v>0</v>
      </c>
      <c r="AC355" s="115" t="s">
        <v>127</v>
      </c>
      <c r="AD355" s="115" t="s">
        <v>127</v>
      </c>
      <c r="AE355" s="115" t="s">
        <v>127</v>
      </c>
      <c r="AF355" s="115" t="s">
        <v>127</v>
      </c>
      <c r="AG355" s="4" t="s">
        <v>127</v>
      </c>
      <c r="AH355" s="4" t="s">
        <v>127</v>
      </c>
      <c r="AI355" s="4" t="s">
        <v>127</v>
      </c>
      <c r="AJ355" s="4" t="s">
        <v>127</v>
      </c>
      <c r="AK355" s="4" t="s">
        <v>127</v>
      </c>
      <c r="AL355" s="4" t="s">
        <v>127</v>
      </c>
      <c r="AM355" s="4" t="s">
        <v>127</v>
      </c>
      <c r="AN355" s="4" t="s">
        <v>127</v>
      </c>
      <c r="AO355" s="4" t="s">
        <v>127</v>
      </c>
      <c r="AP355" s="4" t="s">
        <v>127</v>
      </c>
      <c r="AQ355" s="4" t="s">
        <v>127</v>
      </c>
      <c r="AR355" s="4" t="s">
        <v>127</v>
      </c>
      <c r="AS355" s="4" t="s">
        <v>127</v>
      </c>
      <c r="AT355" s="4" t="s">
        <v>127</v>
      </c>
      <c r="AU355" s="4" t="s">
        <v>127</v>
      </c>
      <c r="AV355" s="4" t="s">
        <v>127</v>
      </c>
      <c r="AW355" s="4" t="s">
        <v>127</v>
      </c>
      <c r="AX355" s="4" t="s">
        <v>127</v>
      </c>
      <c r="AY355" s="111" t="s">
        <v>1804</v>
      </c>
      <c r="AZ355" s="113" t="s">
        <v>1826</v>
      </c>
      <c r="BA355" s="4" t="s">
        <v>127</v>
      </c>
      <c r="BB355" s="4" t="s">
        <v>1831</v>
      </c>
      <c r="BC355" s="4" t="s">
        <v>1832</v>
      </c>
      <c r="BD355" s="4" t="s">
        <v>127</v>
      </c>
      <c r="BE355" s="4" t="s">
        <v>127</v>
      </c>
      <c r="BF355" s="4"/>
      <c r="BG355" s="4"/>
      <c r="BH355" s="4"/>
      <c r="BI355" s="4"/>
      <c r="BJ355" s="4"/>
      <c r="BK355" s="4"/>
      <c r="BL355" s="4"/>
      <c r="BM355" s="4"/>
      <c r="BN355" s="4"/>
      <c r="BO355" s="4"/>
      <c r="BP355" s="4"/>
      <c r="BQ355" s="4"/>
      <c r="BR355" s="4"/>
      <c r="BS355" s="4"/>
      <c r="BT355" s="4"/>
    </row>
    <row r="356" spans="1:72" ht="16" x14ac:dyDescent="0.4">
      <c r="A356" s="4" t="s">
        <v>1833</v>
      </c>
      <c r="B356" s="4" t="s">
        <v>1833</v>
      </c>
      <c r="C356" s="4" t="s">
        <v>127</v>
      </c>
      <c r="D356" s="4" t="s">
        <v>128</v>
      </c>
      <c r="E356" s="190">
        <v>45938</v>
      </c>
      <c r="F356" s="4">
        <v>2025</v>
      </c>
      <c r="G356" s="4" t="s">
        <v>1834</v>
      </c>
      <c r="H356" s="22" t="str">
        <f>VLOOKUP($G356,'Item Classification'!B:C,2,0)</f>
        <v>Sonar and sensor equipment</v>
      </c>
      <c r="I356" s="6" t="str">
        <f>VLOOKUP($G356,'Item Classification'!B:D,3,0)</f>
        <v>Naval</v>
      </c>
      <c r="J356" s="23">
        <f>VLOOKUP($G356,'Item Classification'!B:E,4,0)</f>
        <v>12</v>
      </c>
      <c r="K356" s="116" t="s">
        <v>158</v>
      </c>
      <c r="L356" s="116" t="s">
        <v>1135</v>
      </c>
      <c r="M356" s="116" t="str">
        <f>VLOOKUP(L356,'NATO Classifications'!$D$6:$E$647,2,0)</f>
        <v>Radar and Sensor</v>
      </c>
      <c r="N356" s="4"/>
      <c r="O356" s="4"/>
      <c r="P356" s="4"/>
      <c r="Q356" s="4"/>
      <c r="R356" s="4"/>
      <c r="S356" s="112">
        <v>60000000</v>
      </c>
      <c r="T356" s="91" t="s">
        <v>132</v>
      </c>
      <c r="U356" s="104">
        <f>_xlfn.IFNA(S356/INDEX('Exchange Rates'!$C$7:$F$14,MATCH('MAIN DATA, Orders'!F356,'Exchange Rates'!$B$7:$B$14,0),MATCH('MAIN DATA, Orders'!T356,'Exchange Rates'!$C$6:$F$6,0)), "-")</f>
        <v>60000000</v>
      </c>
      <c r="V356" s="4" t="s">
        <v>133</v>
      </c>
      <c r="W356" s="4" t="s">
        <v>127</v>
      </c>
      <c r="X356" s="4" t="s">
        <v>128</v>
      </c>
      <c r="Y356" s="24">
        <f t="shared" si="37"/>
        <v>202510</v>
      </c>
      <c r="Z356" s="115">
        <v>0</v>
      </c>
      <c r="AA356" s="115">
        <v>0</v>
      </c>
      <c r="AB356" s="115">
        <v>0</v>
      </c>
      <c r="AC356" s="115">
        <v>1</v>
      </c>
      <c r="AD356" s="115">
        <v>0</v>
      </c>
      <c r="AE356" s="115">
        <v>0</v>
      </c>
      <c r="AF356" s="115">
        <v>0</v>
      </c>
      <c r="AG356" s="4" t="s">
        <v>1835</v>
      </c>
      <c r="AH356" s="4" t="s">
        <v>128</v>
      </c>
      <c r="AI356" s="4" t="s">
        <v>128</v>
      </c>
      <c r="AJ356" s="4" t="s">
        <v>127</v>
      </c>
      <c r="AK356" s="4" t="s">
        <v>127</v>
      </c>
      <c r="AL356" s="4" t="s">
        <v>127</v>
      </c>
      <c r="AM356" s="4" t="s">
        <v>127</v>
      </c>
      <c r="AN356" s="4" t="s">
        <v>127</v>
      </c>
      <c r="AO356" s="4" t="s">
        <v>127</v>
      </c>
      <c r="AP356" s="4" t="s">
        <v>127</v>
      </c>
      <c r="AQ356" s="4" t="s">
        <v>127</v>
      </c>
      <c r="AR356" s="4" t="s">
        <v>127</v>
      </c>
      <c r="AS356" s="4" t="s">
        <v>127</v>
      </c>
      <c r="AT356" s="4" t="s">
        <v>127</v>
      </c>
      <c r="AU356" s="4" t="s">
        <v>127</v>
      </c>
      <c r="AV356" s="4" t="s">
        <v>127</v>
      </c>
      <c r="AW356" s="4" t="s">
        <v>127</v>
      </c>
      <c r="AX356" s="4" t="s">
        <v>127</v>
      </c>
      <c r="AY356" s="111" t="s">
        <v>1804</v>
      </c>
      <c r="AZ356" s="113" t="s">
        <v>1836</v>
      </c>
      <c r="BA356" s="4" t="s">
        <v>127</v>
      </c>
      <c r="BB356" s="4" t="s">
        <v>1837</v>
      </c>
      <c r="BC356" s="4" t="s">
        <v>1838</v>
      </c>
      <c r="BD356" s="4" t="s">
        <v>127</v>
      </c>
      <c r="BE356" s="4" t="s">
        <v>127</v>
      </c>
      <c r="BF356" s="4"/>
      <c r="BG356" s="4"/>
      <c r="BH356" s="4"/>
      <c r="BI356" s="4"/>
      <c r="BJ356" s="4"/>
      <c r="BK356" s="4"/>
      <c r="BL356" s="4"/>
      <c r="BM356" s="4"/>
      <c r="BN356" s="4"/>
      <c r="BO356" s="4"/>
      <c r="BP356" s="4"/>
      <c r="BQ356" s="4"/>
      <c r="BR356" s="4"/>
      <c r="BS356" s="4"/>
      <c r="BT356" s="4"/>
    </row>
    <row r="357" spans="1:72" ht="16" x14ac:dyDescent="0.4">
      <c r="A357" s="4" t="s">
        <v>1839</v>
      </c>
      <c r="B357" s="4" t="s">
        <v>1839</v>
      </c>
      <c r="C357" s="4" t="s">
        <v>127</v>
      </c>
      <c r="D357" s="4" t="s">
        <v>128</v>
      </c>
      <c r="E357" s="190">
        <v>45938</v>
      </c>
      <c r="F357" s="4">
        <v>2025</v>
      </c>
      <c r="G357" s="4" t="s">
        <v>1571</v>
      </c>
      <c r="H357" s="22" t="str">
        <f>VLOOKUP($G357,'Item Classification'!B:C,2,0)</f>
        <v>Naval surface-to-air missile (SAM) missile (medium-range)</v>
      </c>
      <c r="I357" s="6" t="str">
        <f>VLOOKUP($G357,'Item Classification'!B:D,3,0)</f>
        <v>Missile (Naval)</v>
      </c>
      <c r="J357" s="23">
        <f>VLOOKUP($G357,'Item Classification'!B:E,4,0)</f>
        <v>6</v>
      </c>
      <c r="K357" s="116" t="s">
        <v>211</v>
      </c>
      <c r="L357" s="116" t="s">
        <v>211</v>
      </c>
      <c r="M357" s="116" t="str">
        <f>VLOOKUP(L357,'NATO Classifications'!$D$6:$E$647,2,0)</f>
        <v>Guided Missiles</v>
      </c>
      <c r="N357" s="4"/>
      <c r="O357" s="4"/>
      <c r="P357" s="4"/>
      <c r="Q357" s="4"/>
      <c r="R357" s="4"/>
      <c r="S357" s="112">
        <v>385910000</v>
      </c>
      <c r="T357" s="91" t="s">
        <v>132</v>
      </c>
      <c r="U357" s="104">
        <f>_xlfn.IFNA(S357/INDEX('Exchange Rates'!$C$7:$F$14,MATCH('MAIN DATA, Orders'!F357,'Exchange Rates'!$B$7:$B$14,0),MATCH('MAIN DATA, Orders'!T357,'Exchange Rates'!$C$6:$F$6,0)), "-")</f>
        <v>385910000</v>
      </c>
      <c r="V357" s="4" t="s">
        <v>133</v>
      </c>
      <c r="W357" s="4" t="s">
        <v>127</v>
      </c>
      <c r="X357" s="4" t="s">
        <v>128</v>
      </c>
      <c r="Y357" s="24">
        <f t="shared" si="37"/>
        <v>202510</v>
      </c>
      <c r="Z357" s="115">
        <v>0</v>
      </c>
      <c r="AA357" s="115">
        <v>0</v>
      </c>
      <c r="AB357" s="115">
        <v>0</v>
      </c>
      <c r="AC357" s="115">
        <v>0</v>
      </c>
      <c r="AD357" s="115">
        <v>0</v>
      </c>
      <c r="AE357" s="115">
        <v>0</v>
      </c>
      <c r="AF357" s="115">
        <v>0</v>
      </c>
      <c r="AG357" s="4" t="s">
        <v>718</v>
      </c>
      <c r="AH357" s="4" t="s">
        <v>196</v>
      </c>
      <c r="AI357" s="4" t="s">
        <v>196</v>
      </c>
      <c r="AJ357" s="4" t="s">
        <v>127</v>
      </c>
      <c r="AK357" s="4" t="s">
        <v>127</v>
      </c>
      <c r="AL357" s="4" t="s">
        <v>127</v>
      </c>
      <c r="AM357" s="4" t="s">
        <v>127</v>
      </c>
      <c r="AN357" s="4" t="s">
        <v>127</v>
      </c>
      <c r="AO357" s="4" t="s">
        <v>127</v>
      </c>
      <c r="AP357" s="4" t="s">
        <v>127</v>
      </c>
      <c r="AQ357" s="4" t="s">
        <v>127</v>
      </c>
      <c r="AR357" s="4" t="s">
        <v>127</v>
      </c>
      <c r="AS357" s="4" t="s">
        <v>127</v>
      </c>
      <c r="AT357" s="4" t="s">
        <v>127</v>
      </c>
      <c r="AU357" s="4" t="s">
        <v>127</v>
      </c>
      <c r="AV357" s="4" t="s">
        <v>127</v>
      </c>
      <c r="AW357" s="4" t="s">
        <v>127</v>
      </c>
      <c r="AX357" s="4" t="s">
        <v>127</v>
      </c>
      <c r="AY357" s="111" t="s">
        <v>1840</v>
      </c>
      <c r="AZ357" s="113" t="s">
        <v>1841</v>
      </c>
      <c r="BA357" s="111" t="s">
        <v>1842</v>
      </c>
      <c r="BB357" s="4" t="s">
        <v>1843</v>
      </c>
      <c r="BC357" s="4" t="s">
        <v>127</v>
      </c>
      <c r="BD357" s="4" t="s">
        <v>127</v>
      </c>
      <c r="BE357" s="4" t="s">
        <v>127</v>
      </c>
      <c r="BF357" s="4"/>
      <c r="BG357" s="4"/>
      <c r="BH357" s="4"/>
      <c r="BI357" s="4"/>
      <c r="BJ357" s="4"/>
      <c r="BK357" s="4"/>
      <c r="BL357" s="4"/>
      <c r="BM357" s="4"/>
      <c r="BN357" s="4"/>
      <c r="BO357" s="4"/>
      <c r="BP357" s="4"/>
      <c r="BQ357" s="4"/>
      <c r="BR357" s="4"/>
      <c r="BS357" s="4"/>
      <c r="BT357" s="4"/>
    </row>
    <row r="358" spans="1:72" ht="16" x14ac:dyDescent="0.4">
      <c r="A358" s="4" t="s">
        <v>1844</v>
      </c>
      <c r="B358" s="4" t="s">
        <v>1844</v>
      </c>
      <c r="C358" s="4" t="s">
        <v>127</v>
      </c>
      <c r="D358" s="4" t="s">
        <v>128</v>
      </c>
      <c r="E358" s="190">
        <v>45938</v>
      </c>
      <c r="F358" s="4">
        <v>2025</v>
      </c>
      <c r="G358" s="4" t="s">
        <v>1845</v>
      </c>
      <c r="H358" s="22" t="str">
        <f>VLOOKUP($G358,'Item Classification'!B:C,2,0)</f>
        <v>Armoured vehicle development</v>
      </c>
      <c r="I358" s="6" t="str">
        <f>VLOOKUP($G358,'Item Classification'!B:D,3,0)</f>
        <v>Development - Armoured vehicle</v>
      </c>
      <c r="J358" s="23">
        <f>VLOOKUP($G358,'Item Classification'!B:E,4,0)</f>
        <v>15</v>
      </c>
      <c r="K358" s="116" t="s">
        <v>274</v>
      </c>
      <c r="L358" s="116" t="s">
        <v>493</v>
      </c>
      <c r="M358" s="116" t="str">
        <f>VLOOKUP(L358,'NATO Classifications'!$D$6:$E$647,2,0)</f>
        <v>Combat, Assault, and Tactical Vehicles, Wheeled</v>
      </c>
      <c r="N358" s="4">
        <v>274</v>
      </c>
      <c r="O358" s="81">
        <f t="shared" ref="O358:O360" si="46">S358/N358</f>
        <v>12919708.02919708</v>
      </c>
      <c r="P358" s="81">
        <f t="shared" ref="P358:P360" si="47">U358/N358</f>
        <v>12919708.02919708</v>
      </c>
      <c r="Q358" s="4">
        <v>2028</v>
      </c>
      <c r="R358" s="4"/>
      <c r="S358" s="112">
        <v>3540000000</v>
      </c>
      <c r="T358" s="91" t="s">
        <v>132</v>
      </c>
      <c r="U358" s="104">
        <f>_xlfn.IFNA(S358/INDEX('Exchange Rates'!$C$7:$F$14,MATCH('MAIN DATA, Orders'!F358,'Exchange Rates'!$B$7:$B$14,0),MATCH('MAIN DATA, Orders'!T358,'Exchange Rates'!$C$6:$F$6,0)), "-")</f>
        <v>3540000000</v>
      </c>
      <c r="V358" s="4" t="s">
        <v>682</v>
      </c>
      <c r="W358" s="4" t="s">
        <v>127</v>
      </c>
      <c r="X358" s="4" t="s">
        <v>128</v>
      </c>
      <c r="Y358" s="24">
        <f t="shared" si="37"/>
        <v>202510</v>
      </c>
      <c r="Z358" s="115">
        <v>1</v>
      </c>
      <c r="AA358" s="115">
        <v>0</v>
      </c>
      <c r="AB358" s="115">
        <v>0</v>
      </c>
      <c r="AC358" s="115">
        <v>1</v>
      </c>
      <c r="AD358" s="115">
        <v>1</v>
      </c>
      <c r="AE358" s="115">
        <v>0</v>
      </c>
      <c r="AF358" s="115">
        <v>1</v>
      </c>
      <c r="AG358" s="4" t="s">
        <v>1846</v>
      </c>
      <c r="AH358" s="4" t="s">
        <v>162</v>
      </c>
      <c r="AI358" s="4" t="s">
        <v>128</v>
      </c>
      <c r="AJ358" s="4" t="s">
        <v>127</v>
      </c>
      <c r="AK358" s="4" t="s">
        <v>127</v>
      </c>
      <c r="AL358" s="4" t="s">
        <v>127</v>
      </c>
      <c r="AM358" s="4" t="s">
        <v>127</v>
      </c>
      <c r="AN358" s="4" t="s">
        <v>854</v>
      </c>
      <c r="AO358" s="4" t="s">
        <v>830</v>
      </c>
      <c r="AP358" s="4" t="s">
        <v>1847</v>
      </c>
      <c r="AQ358" s="4" t="s">
        <v>1848</v>
      </c>
      <c r="AR358" s="4" t="s">
        <v>1849</v>
      </c>
      <c r="AS358" s="4" t="s">
        <v>127</v>
      </c>
      <c r="AT358" s="4" t="s">
        <v>127</v>
      </c>
      <c r="AU358" s="4" t="s">
        <v>127</v>
      </c>
      <c r="AV358" s="4" t="s">
        <v>127</v>
      </c>
      <c r="AW358" s="4" t="s">
        <v>127</v>
      </c>
      <c r="AX358" s="4" t="s">
        <v>127</v>
      </c>
      <c r="AY358" s="111" t="s">
        <v>1840</v>
      </c>
      <c r="AZ358" s="113" t="s">
        <v>1850</v>
      </c>
      <c r="BA358" s="113"/>
      <c r="BB358" s="4" t="s">
        <v>1851</v>
      </c>
      <c r="BC358" s="4" t="s">
        <v>1852</v>
      </c>
      <c r="BD358" s="4" t="s">
        <v>127</v>
      </c>
      <c r="BE358" s="4"/>
      <c r="BF358" s="4"/>
      <c r="BG358" s="4"/>
      <c r="BH358" s="4"/>
      <c r="BI358" s="4"/>
      <c r="BJ358" s="4"/>
      <c r="BK358" s="4"/>
      <c r="BL358" s="4"/>
      <c r="BM358" s="4"/>
      <c r="BN358" s="4"/>
      <c r="BO358" s="4"/>
      <c r="BP358" s="4"/>
      <c r="BQ358" s="4"/>
      <c r="BR358" s="4"/>
      <c r="BS358" s="4"/>
      <c r="BT358" s="4"/>
    </row>
    <row r="359" spans="1:72" ht="16" x14ac:dyDescent="0.4">
      <c r="A359" s="4" t="s">
        <v>1853</v>
      </c>
      <c r="B359" s="4" t="s">
        <v>1853</v>
      </c>
      <c r="C359" s="4" t="s">
        <v>127</v>
      </c>
      <c r="D359" s="4" t="s">
        <v>128</v>
      </c>
      <c r="E359" s="190">
        <v>45938</v>
      </c>
      <c r="F359" s="4">
        <v>2025</v>
      </c>
      <c r="G359" s="4" t="s">
        <v>1854</v>
      </c>
      <c r="H359" s="22" t="str">
        <f>VLOOKUP($G359,'Item Classification'!B:C,2,0)</f>
        <v>Reconnaissance armoured vehicle</v>
      </c>
      <c r="I359" s="6" t="str">
        <f>VLOOKUP($G359,'Item Classification'!B:D,3,0)</f>
        <v>Armoured vehicle</v>
      </c>
      <c r="J359" s="23">
        <f>VLOOKUP($G359,'Item Classification'!B:E,4,0)</f>
        <v>2</v>
      </c>
      <c r="K359" s="116" t="s">
        <v>763</v>
      </c>
      <c r="L359" s="116" t="s">
        <v>764</v>
      </c>
      <c r="M359" s="116" t="str">
        <f>VLOOKUP(L359,'NATO Classifications'!$D$6:$E$647,2,0)</f>
        <v>Guns below 75mm</v>
      </c>
      <c r="N359" s="4">
        <v>274</v>
      </c>
      <c r="O359" s="81">
        <f t="shared" si="46"/>
        <v>503649.63503649633</v>
      </c>
      <c r="P359" s="81">
        <f t="shared" si="47"/>
        <v>503649.63503649633</v>
      </c>
      <c r="Q359" s="4"/>
      <c r="R359" s="4"/>
      <c r="S359" s="112">
        <v>138000000</v>
      </c>
      <c r="T359" s="91" t="s">
        <v>132</v>
      </c>
      <c r="U359" s="104">
        <f>_xlfn.IFNA(S359/INDEX('Exchange Rates'!$C$7:$F$14,MATCH('MAIN DATA, Orders'!F359,'Exchange Rates'!$B$7:$B$14,0),MATCH('MAIN DATA, Orders'!T359,'Exchange Rates'!$C$6:$F$6,0)), "-")</f>
        <v>138000000</v>
      </c>
      <c r="V359" s="4" t="s">
        <v>682</v>
      </c>
      <c r="W359" s="4" t="s">
        <v>133</v>
      </c>
      <c r="X359" s="4" t="s">
        <v>128</v>
      </c>
      <c r="Y359" s="24">
        <f t="shared" si="37"/>
        <v>202510</v>
      </c>
      <c r="Z359" s="115">
        <v>1</v>
      </c>
      <c r="AA359" s="115">
        <v>0</v>
      </c>
      <c r="AB359" s="115">
        <v>0</v>
      </c>
      <c r="AC359" s="115">
        <v>1</v>
      </c>
      <c r="AD359" s="115">
        <v>1</v>
      </c>
      <c r="AE359" s="115">
        <v>0</v>
      </c>
      <c r="AF359" s="115">
        <v>1</v>
      </c>
      <c r="AG359" s="4" t="s">
        <v>256</v>
      </c>
      <c r="AH359" s="4" t="s">
        <v>1849</v>
      </c>
      <c r="AI359" s="4" t="s">
        <v>197</v>
      </c>
      <c r="AJ359" s="4" t="s">
        <v>127</v>
      </c>
      <c r="AK359" s="4" t="s">
        <v>127</v>
      </c>
      <c r="AL359" s="4" t="s">
        <v>127</v>
      </c>
      <c r="AM359" s="4" t="s">
        <v>127</v>
      </c>
      <c r="AN359" s="4" t="s">
        <v>128</v>
      </c>
      <c r="AO359" s="4" t="s">
        <v>127</v>
      </c>
      <c r="AP359" s="4" t="s">
        <v>127</v>
      </c>
      <c r="AQ359" s="4" t="s">
        <v>127</v>
      </c>
      <c r="AR359" s="4" t="s">
        <v>127</v>
      </c>
      <c r="AS359" s="4" t="s">
        <v>127</v>
      </c>
      <c r="AT359" s="4" t="s">
        <v>127</v>
      </c>
      <c r="AU359" s="4" t="s">
        <v>127</v>
      </c>
      <c r="AV359" s="4" t="s">
        <v>127</v>
      </c>
      <c r="AW359" s="4" t="s">
        <v>127</v>
      </c>
      <c r="AX359" s="4" t="s">
        <v>127</v>
      </c>
      <c r="AY359" s="111" t="s">
        <v>1840</v>
      </c>
      <c r="AZ359" s="111" t="s">
        <v>1855</v>
      </c>
      <c r="BA359" s="111" t="s">
        <v>5617</v>
      </c>
      <c r="BB359" s="4" t="s">
        <v>1856</v>
      </c>
      <c r="BC359" s="4" t="s">
        <v>127</v>
      </c>
      <c r="BD359" s="4" t="s">
        <v>127</v>
      </c>
      <c r="BE359" s="4" t="s">
        <v>1857</v>
      </c>
      <c r="BF359" s="4" t="s">
        <v>127</v>
      </c>
      <c r="BG359" s="4"/>
      <c r="BH359" s="4"/>
      <c r="BI359" s="4"/>
      <c r="BJ359" s="4"/>
      <c r="BK359" s="4"/>
      <c r="BL359" s="4"/>
      <c r="BM359" s="4"/>
      <c r="BN359" s="4"/>
      <c r="BO359" s="4"/>
      <c r="BP359" s="4"/>
      <c r="BQ359" s="4"/>
      <c r="BR359" s="4"/>
      <c r="BS359" s="4"/>
      <c r="BT359" s="4"/>
    </row>
    <row r="360" spans="1:72" ht="16" x14ac:dyDescent="0.4">
      <c r="A360" s="4" t="s">
        <v>1858</v>
      </c>
      <c r="B360" s="4" t="s">
        <v>1858</v>
      </c>
      <c r="C360" s="4" t="s">
        <v>127</v>
      </c>
      <c r="D360" s="4" t="s">
        <v>128</v>
      </c>
      <c r="E360" s="190">
        <v>45938</v>
      </c>
      <c r="F360" s="4">
        <v>2025</v>
      </c>
      <c r="G360" s="4" t="s">
        <v>1859</v>
      </c>
      <c r="H360" s="22" t="str">
        <f>VLOOKUP($G360,'Item Classification'!B:C,2,0)</f>
        <v>Armoured personnel carrier (APC)</v>
      </c>
      <c r="I360" s="6" t="str">
        <f>VLOOKUP($G360,'Item Classification'!B:D,3,0)</f>
        <v>Armoured vehicle</v>
      </c>
      <c r="J360" s="23">
        <f>VLOOKUP($G360,'Item Classification'!B:E,4,0)</f>
        <v>2</v>
      </c>
      <c r="K360" s="116" t="s">
        <v>274</v>
      </c>
      <c r="L360" s="116" t="s">
        <v>493</v>
      </c>
      <c r="M360" s="116" t="str">
        <f>VLOOKUP(L360,'NATO Classifications'!$D$6:$E$647,2,0)</f>
        <v>Combat, Assault, and Tactical Vehicles, Wheeled</v>
      </c>
      <c r="N360" s="4">
        <v>222</v>
      </c>
      <c r="O360" s="81">
        <f t="shared" si="46"/>
        <v>15315315.315315315</v>
      </c>
      <c r="P360" s="81">
        <f t="shared" si="47"/>
        <v>15315315.315315315</v>
      </c>
      <c r="Q360" s="4">
        <v>2027</v>
      </c>
      <c r="R360" s="4">
        <v>2031</v>
      </c>
      <c r="S360" s="112">
        <v>3400000000</v>
      </c>
      <c r="T360" s="91" t="s">
        <v>132</v>
      </c>
      <c r="U360" s="104">
        <f>_xlfn.IFNA(S360/INDEX('Exchange Rates'!$C$7:$F$14,MATCH('MAIN DATA, Orders'!F360,'Exchange Rates'!$B$7:$B$14,0),MATCH('MAIN DATA, Orders'!T360,'Exchange Rates'!$C$6:$F$6,0)), "-")</f>
        <v>3400000000</v>
      </c>
      <c r="V360" s="4" t="s">
        <v>133</v>
      </c>
      <c r="W360" s="4" t="s">
        <v>127</v>
      </c>
      <c r="X360" s="4" t="s">
        <v>128</v>
      </c>
      <c r="Y360" s="24">
        <f t="shared" si="37"/>
        <v>202510</v>
      </c>
      <c r="Z360" s="115">
        <v>0</v>
      </c>
      <c r="AA360" s="115">
        <v>0</v>
      </c>
      <c r="AB360" s="115">
        <v>0</v>
      </c>
      <c r="AC360" s="115">
        <v>1</v>
      </c>
      <c r="AD360" s="115">
        <v>0</v>
      </c>
      <c r="AE360" s="115">
        <v>0</v>
      </c>
      <c r="AF360" s="115">
        <v>0</v>
      </c>
      <c r="AG360" s="4" t="s">
        <v>256</v>
      </c>
      <c r="AH360" s="4" t="s">
        <v>128</v>
      </c>
      <c r="AI360" s="4" t="s">
        <v>128</v>
      </c>
      <c r="AJ360" s="4" t="s">
        <v>1213</v>
      </c>
      <c r="AK360" s="4" t="s">
        <v>127</v>
      </c>
      <c r="AL360" s="4" t="s">
        <v>127</v>
      </c>
      <c r="AM360" s="4" t="s">
        <v>127</v>
      </c>
      <c r="AN360" s="4" t="s">
        <v>127</v>
      </c>
      <c r="AO360" s="4" t="s">
        <v>127</v>
      </c>
      <c r="AP360" s="4" t="s">
        <v>127</v>
      </c>
      <c r="AQ360" s="4" t="s">
        <v>127</v>
      </c>
      <c r="AR360" s="4" t="s">
        <v>127</v>
      </c>
      <c r="AS360" s="4" t="s">
        <v>127</v>
      </c>
      <c r="AT360" s="4" t="s">
        <v>127</v>
      </c>
      <c r="AU360" s="4" t="s">
        <v>127</v>
      </c>
      <c r="AV360" s="4" t="s">
        <v>127</v>
      </c>
      <c r="AW360" s="4" t="s">
        <v>127</v>
      </c>
      <c r="AX360" s="4" t="s">
        <v>127</v>
      </c>
      <c r="AY360" s="111" t="s">
        <v>1840</v>
      </c>
      <c r="AZ360" s="113" t="s">
        <v>1860</v>
      </c>
      <c r="BA360" s="111" t="s">
        <v>1861</v>
      </c>
      <c r="BB360" s="4" t="s">
        <v>1862</v>
      </c>
      <c r="BC360" s="4" t="s">
        <v>1863</v>
      </c>
      <c r="BD360" s="4" t="s">
        <v>1864</v>
      </c>
      <c r="BE360" s="4" t="s">
        <v>127</v>
      </c>
      <c r="BF360" s="4"/>
      <c r="BG360" s="4"/>
      <c r="BH360" s="4"/>
      <c r="BI360" s="4"/>
      <c r="BJ360" s="4"/>
      <c r="BK360" s="4"/>
      <c r="BL360" s="4"/>
      <c r="BM360" s="4"/>
      <c r="BN360" s="4"/>
      <c r="BO360" s="4"/>
      <c r="BP360" s="4"/>
      <c r="BQ360" s="4"/>
      <c r="BR360" s="4"/>
      <c r="BS360" s="4"/>
      <c r="BT360" s="4"/>
    </row>
    <row r="361" spans="1:72" ht="16" x14ac:dyDescent="0.4">
      <c r="A361" s="4" t="s">
        <v>1865</v>
      </c>
      <c r="B361" s="4" t="s">
        <v>1865</v>
      </c>
      <c r="C361" s="4" t="s">
        <v>127</v>
      </c>
      <c r="D361" s="4" t="s">
        <v>128</v>
      </c>
      <c r="E361" s="190">
        <v>45966</v>
      </c>
      <c r="F361" s="4">
        <v>2025</v>
      </c>
      <c r="G361" s="4" t="s">
        <v>1866</v>
      </c>
      <c r="H361" s="22" t="str">
        <f>VLOOKUP($G361,'Item Classification'!B:C,2,0)</f>
        <v>Small Arms and Light Weapons (SALW)</v>
      </c>
      <c r="I361" s="6" t="str">
        <f>VLOOKUP($G361,'Item Classification'!B:D,3,0)</f>
        <v>Infantry</v>
      </c>
      <c r="J361" s="23">
        <f>VLOOKUP($G361,'Item Classification'!B:E,4,0)</f>
        <v>8</v>
      </c>
      <c r="K361" s="116" t="s">
        <v>763</v>
      </c>
      <c r="L361" s="116" t="s">
        <v>764</v>
      </c>
      <c r="M361" s="116" t="str">
        <f>VLOOKUP(L361,'NATO Classifications'!$D$6:$E$647,2,0)</f>
        <v>Guns below 75mm</v>
      </c>
      <c r="N361" s="4"/>
      <c r="O361" s="4"/>
      <c r="P361" s="4"/>
      <c r="Q361" s="4"/>
      <c r="R361" s="4"/>
      <c r="S361" s="112">
        <v>70000000</v>
      </c>
      <c r="T361" s="91" t="s">
        <v>132</v>
      </c>
      <c r="U361" s="104">
        <f>_xlfn.IFNA(S361/INDEX('Exchange Rates'!$C$7:$F$14,MATCH('MAIN DATA, Orders'!F361,'Exchange Rates'!$B$7:$B$14,0),MATCH('MAIN DATA, Orders'!T361,'Exchange Rates'!$C$6:$F$6,0)), "-")</f>
        <v>70000000</v>
      </c>
      <c r="V361" s="4" t="s">
        <v>682</v>
      </c>
      <c r="W361" s="4" t="s">
        <v>133</v>
      </c>
      <c r="X361" s="4" t="s">
        <v>128</v>
      </c>
      <c r="Y361" s="24">
        <f t="shared" si="37"/>
        <v>202511</v>
      </c>
      <c r="Z361" s="115">
        <v>1</v>
      </c>
      <c r="AA361" s="115">
        <v>0</v>
      </c>
      <c r="AB361" s="115">
        <v>0</v>
      </c>
      <c r="AC361" s="115">
        <v>1</v>
      </c>
      <c r="AD361" s="115">
        <v>1</v>
      </c>
      <c r="AE361" s="115">
        <v>0</v>
      </c>
      <c r="AF361" s="115">
        <v>0</v>
      </c>
      <c r="AG361" s="4" t="s">
        <v>1867</v>
      </c>
      <c r="AH361" s="4" t="s">
        <v>1847</v>
      </c>
      <c r="AI361" s="4" t="s">
        <v>1847</v>
      </c>
      <c r="AJ361" s="4" t="s">
        <v>1868</v>
      </c>
      <c r="AK361" s="4" t="s">
        <v>127</v>
      </c>
      <c r="AL361" s="4" t="s">
        <v>127</v>
      </c>
      <c r="AM361" s="4" t="s">
        <v>127</v>
      </c>
      <c r="AN361" s="4" t="s">
        <v>197</v>
      </c>
      <c r="AO361" s="4" t="s">
        <v>127</v>
      </c>
      <c r="AP361" s="4" t="s">
        <v>127</v>
      </c>
      <c r="AQ361" s="4" t="s">
        <v>127</v>
      </c>
      <c r="AR361" s="4" t="s">
        <v>127</v>
      </c>
      <c r="AS361" s="4" t="s">
        <v>127</v>
      </c>
      <c r="AT361" s="4" t="s">
        <v>127</v>
      </c>
      <c r="AU361" s="4" t="s">
        <v>127</v>
      </c>
      <c r="AV361" s="4" t="s">
        <v>127</v>
      </c>
      <c r="AW361" s="4" t="s">
        <v>127</v>
      </c>
      <c r="AX361" s="4" t="s">
        <v>127</v>
      </c>
      <c r="AY361" s="111" t="s">
        <v>1869</v>
      </c>
      <c r="AZ361" s="113" t="s">
        <v>1870</v>
      </c>
      <c r="BA361" s="111" t="s">
        <v>1871</v>
      </c>
      <c r="BB361" s="4" t="s">
        <v>1872</v>
      </c>
      <c r="BC361" s="4" t="s">
        <v>1873</v>
      </c>
      <c r="BD361" s="4" t="s">
        <v>1874</v>
      </c>
      <c r="BE361" s="4" t="s">
        <v>1875</v>
      </c>
      <c r="BF361" s="4" t="s">
        <v>127</v>
      </c>
      <c r="BG361" s="4"/>
      <c r="BH361" s="4"/>
      <c r="BI361" s="4"/>
      <c r="BJ361" s="4"/>
      <c r="BK361" s="4"/>
      <c r="BL361" s="4"/>
      <c r="BM361" s="4"/>
      <c r="BN361" s="4"/>
      <c r="BO361" s="4"/>
      <c r="BP361" s="4"/>
      <c r="BQ361" s="4"/>
      <c r="BR361" s="4"/>
      <c r="BS361" s="4"/>
      <c r="BT361" s="4"/>
    </row>
    <row r="362" spans="1:72" ht="16" x14ac:dyDescent="0.4">
      <c r="A362" s="4" t="s">
        <v>1876</v>
      </c>
      <c r="B362" s="4" t="s">
        <v>1876</v>
      </c>
      <c r="C362" s="4" t="s">
        <v>127</v>
      </c>
      <c r="D362" s="4" t="s">
        <v>128</v>
      </c>
      <c r="E362" s="190">
        <v>45966</v>
      </c>
      <c r="F362" s="4">
        <v>2025</v>
      </c>
      <c r="G362" s="4" t="s">
        <v>1877</v>
      </c>
      <c r="H362" s="22" t="str">
        <f>VLOOKUP($G362,'Item Classification'!B:C,2,0)</f>
        <v>Anti-drone surface-to-air missile (SAM) system (short-range)</v>
      </c>
      <c r="I362" s="6" t="str">
        <f>VLOOKUP($G362,'Item Classification'!B:D,3,0)</f>
        <v>Development - Missile (Air)</v>
      </c>
      <c r="J362" s="23">
        <f>VLOOKUP($G362,'Item Classification'!B:E,4,0)</f>
        <v>15</v>
      </c>
      <c r="K362" s="116" t="s">
        <v>211</v>
      </c>
      <c r="L362" s="116" t="s">
        <v>326</v>
      </c>
      <c r="M362" s="116" t="str">
        <f>VLOOKUP(L362,'NATO Classifications'!$D$6:$E$647,2,0)</f>
        <v>Guided Missile Systems, Complete</v>
      </c>
      <c r="N362" s="4"/>
      <c r="O362" s="4"/>
      <c r="P362" s="4"/>
      <c r="Q362" s="4"/>
      <c r="R362" s="4"/>
      <c r="S362" s="112">
        <v>490000000</v>
      </c>
      <c r="T362" s="91" t="s">
        <v>132</v>
      </c>
      <c r="U362" s="104">
        <f>_xlfn.IFNA(S362/INDEX('Exchange Rates'!$C$7:$F$14,MATCH('MAIN DATA, Orders'!F362,'Exchange Rates'!$B$7:$B$14,0),MATCH('MAIN DATA, Orders'!T362,'Exchange Rates'!$C$6:$F$6,0)), "-")</f>
        <v>490000000</v>
      </c>
      <c r="V362" s="4" t="s">
        <v>682</v>
      </c>
      <c r="W362" s="4" t="s">
        <v>133</v>
      </c>
      <c r="X362" s="4" t="s">
        <v>128</v>
      </c>
      <c r="Y362" s="24">
        <f t="shared" si="37"/>
        <v>202511</v>
      </c>
      <c r="Z362" s="115">
        <v>1</v>
      </c>
      <c r="AA362" s="115">
        <v>0</v>
      </c>
      <c r="AB362" s="115">
        <v>0</v>
      </c>
      <c r="AC362" s="115">
        <v>1</v>
      </c>
      <c r="AD362" s="115">
        <v>1</v>
      </c>
      <c r="AE362" s="115">
        <v>0</v>
      </c>
      <c r="AF362" s="115">
        <v>1</v>
      </c>
      <c r="AG362" s="4" t="s">
        <v>475</v>
      </c>
      <c r="AH362" s="4" t="s">
        <v>128</v>
      </c>
      <c r="AI362" s="4" t="s">
        <v>128</v>
      </c>
      <c r="AJ362" s="4" t="s">
        <v>127</v>
      </c>
      <c r="AK362" s="4" t="s">
        <v>127</v>
      </c>
      <c r="AL362" s="4" t="s">
        <v>127</v>
      </c>
      <c r="AM362" s="4" t="s">
        <v>127</v>
      </c>
      <c r="AN362" s="4" t="s">
        <v>151</v>
      </c>
      <c r="AO362" s="4" t="s">
        <v>238</v>
      </c>
      <c r="AP362" s="4" t="s">
        <v>197</v>
      </c>
      <c r="AQ362" s="4" t="s">
        <v>162</v>
      </c>
      <c r="AR362" s="4" t="s">
        <v>213</v>
      </c>
      <c r="AS362" s="4" t="s">
        <v>127</v>
      </c>
      <c r="AT362" s="4" t="s">
        <v>127</v>
      </c>
      <c r="AU362" s="4" t="s">
        <v>127</v>
      </c>
      <c r="AV362" s="4" t="s">
        <v>127</v>
      </c>
      <c r="AW362" s="4" t="s">
        <v>127</v>
      </c>
      <c r="AX362" s="4" t="s">
        <v>127</v>
      </c>
      <c r="AY362" s="111" t="s">
        <v>1869</v>
      </c>
      <c r="AZ362" s="113" t="s">
        <v>1878</v>
      </c>
      <c r="BA362" s="111" t="s">
        <v>1879</v>
      </c>
      <c r="BB362" s="4" t="s">
        <v>1880</v>
      </c>
      <c r="BC362" s="4" t="s">
        <v>1881</v>
      </c>
      <c r="BD362" s="4" t="s">
        <v>127</v>
      </c>
      <c r="BE362" s="4" t="s">
        <v>127</v>
      </c>
      <c r="BF362" s="4"/>
      <c r="BG362" s="4"/>
      <c r="BH362" s="4"/>
      <c r="BI362" s="4"/>
      <c r="BJ362" s="4"/>
      <c r="BK362" s="4"/>
      <c r="BL362" s="4"/>
      <c r="BM362" s="4"/>
      <c r="BN362" s="4"/>
      <c r="BO362" s="4"/>
      <c r="BP362" s="4"/>
      <c r="BQ362" s="4"/>
      <c r="BR362" s="4"/>
      <c r="BS362" s="4"/>
      <c r="BT362" s="4"/>
    </row>
    <row r="363" spans="1:72" ht="16" x14ac:dyDescent="0.4">
      <c r="A363" s="4" t="s">
        <v>1882</v>
      </c>
      <c r="B363" s="4" t="s">
        <v>1882</v>
      </c>
      <c r="C363" s="4" t="s">
        <v>127</v>
      </c>
      <c r="D363" s="4" t="s">
        <v>128</v>
      </c>
      <c r="E363" s="190">
        <v>45966</v>
      </c>
      <c r="F363" s="4">
        <v>2025</v>
      </c>
      <c r="G363" s="4" t="s">
        <v>1883</v>
      </c>
      <c r="H363" s="22" t="str">
        <f>VLOOKUP($G363,'Item Classification'!B:C,2,0)</f>
        <v>Medical support</v>
      </c>
      <c r="I363" s="6" t="str">
        <f>VLOOKUP($G363,'Item Classification'!B:D,3,0)</f>
        <v>Aircraft</v>
      </c>
      <c r="J363" s="23">
        <f>VLOOKUP($G363,'Item Classification'!B:E,4,0)</f>
        <v>11</v>
      </c>
      <c r="K363" s="116" t="s">
        <v>843</v>
      </c>
      <c r="L363" s="116" t="s">
        <v>1884</v>
      </c>
      <c r="M363" s="116" t="str">
        <f>VLOOKUP(L363,'NATO Classifications'!$D$6:$E$647,2,0)</f>
        <v>Medical and Surgical Instruments, Equipment, and Supplies</v>
      </c>
      <c r="N363" s="4"/>
      <c r="O363" s="4"/>
      <c r="P363" s="4"/>
      <c r="Q363" s="4"/>
      <c r="R363" s="4">
        <v>2029</v>
      </c>
      <c r="S363" s="112">
        <v>48000000</v>
      </c>
      <c r="T363" s="91" t="s">
        <v>132</v>
      </c>
      <c r="U363" s="104">
        <f>_xlfn.IFNA(S363/INDEX('Exchange Rates'!$C$7:$F$14,MATCH('MAIN DATA, Orders'!F363,'Exchange Rates'!$B$7:$B$14,0),MATCH('MAIN DATA, Orders'!T363,'Exchange Rates'!$C$6:$F$6,0)), "-")</f>
        <v>48000000</v>
      </c>
      <c r="V363" s="4" t="s">
        <v>682</v>
      </c>
      <c r="W363" s="4" t="s">
        <v>133</v>
      </c>
      <c r="X363" s="4" t="s">
        <v>128</v>
      </c>
      <c r="Y363" s="24">
        <f t="shared" si="37"/>
        <v>202511</v>
      </c>
      <c r="Z363" s="115">
        <v>0</v>
      </c>
      <c r="AA363" s="115">
        <v>0</v>
      </c>
      <c r="AB363" s="115">
        <v>0</v>
      </c>
      <c r="AC363" s="115" t="s">
        <v>127</v>
      </c>
      <c r="AD363" s="115" t="s">
        <v>127</v>
      </c>
      <c r="AE363" s="115" t="s">
        <v>127</v>
      </c>
      <c r="AF363" s="115" t="s">
        <v>127</v>
      </c>
      <c r="AG363" s="4" t="s">
        <v>127</v>
      </c>
      <c r="AH363" s="4" t="s">
        <v>127</v>
      </c>
      <c r="AI363" s="4" t="s">
        <v>127</v>
      </c>
      <c r="AJ363" s="4" t="s">
        <v>127</v>
      </c>
      <c r="AK363" s="4" t="s">
        <v>127</v>
      </c>
      <c r="AL363" s="4" t="s">
        <v>127</v>
      </c>
      <c r="AM363" s="4" t="s">
        <v>127</v>
      </c>
      <c r="AN363" s="4" t="s">
        <v>127</v>
      </c>
      <c r="AO363" s="4" t="s">
        <v>127</v>
      </c>
      <c r="AP363" s="4" t="s">
        <v>127</v>
      </c>
      <c r="AQ363" s="4" t="s">
        <v>127</v>
      </c>
      <c r="AR363" s="4" t="s">
        <v>127</v>
      </c>
      <c r="AS363" s="4" t="s">
        <v>127</v>
      </c>
      <c r="AT363" s="4" t="s">
        <v>127</v>
      </c>
      <c r="AU363" s="4" t="s">
        <v>127</v>
      </c>
      <c r="AV363" s="4" t="s">
        <v>127</v>
      </c>
      <c r="AW363" s="4" t="s">
        <v>127</v>
      </c>
      <c r="AX363" s="4" t="s">
        <v>127</v>
      </c>
      <c r="AY363" s="111" t="s">
        <v>1869</v>
      </c>
      <c r="AZ363" s="113" t="s">
        <v>1885</v>
      </c>
      <c r="BA363" s="4" t="s">
        <v>127</v>
      </c>
      <c r="BB363" s="4" t="s">
        <v>1886</v>
      </c>
      <c r="BC363" s="4" t="s">
        <v>1887</v>
      </c>
      <c r="BD363" s="4" t="s">
        <v>1888</v>
      </c>
      <c r="BE363" s="4" t="s">
        <v>127</v>
      </c>
      <c r="BF363" s="4"/>
      <c r="BG363" s="4"/>
      <c r="BH363" s="4"/>
      <c r="BI363" s="4"/>
      <c r="BJ363" s="4"/>
      <c r="BK363" s="4"/>
      <c r="BL363" s="4"/>
      <c r="BM363" s="4"/>
      <c r="BN363" s="4"/>
      <c r="BO363" s="4"/>
      <c r="BP363" s="4"/>
      <c r="BQ363" s="4"/>
      <c r="BR363" s="4"/>
      <c r="BS363" s="4"/>
      <c r="BT363" s="4"/>
    </row>
    <row r="364" spans="1:72" ht="16" x14ac:dyDescent="0.4">
      <c r="A364" s="4" t="s">
        <v>1889</v>
      </c>
      <c r="B364" s="4" t="s">
        <v>1889</v>
      </c>
      <c r="C364" s="4" t="s">
        <v>127</v>
      </c>
      <c r="D364" s="4" t="s">
        <v>128</v>
      </c>
      <c r="E364" s="190">
        <v>45966</v>
      </c>
      <c r="F364" s="4">
        <v>2025</v>
      </c>
      <c r="G364" s="4" t="s">
        <v>127</v>
      </c>
      <c r="H364" s="4" t="s">
        <v>1890</v>
      </c>
      <c r="I364" s="4" t="s">
        <v>1891</v>
      </c>
      <c r="J364" s="23">
        <v>6</v>
      </c>
      <c r="K364" s="116" t="s">
        <v>211</v>
      </c>
      <c r="L364" s="116" t="s">
        <v>211</v>
      </c>
      <c r="M364" s="116" t="str">
        <f>VLOOKUP(L364,'NATO Classifications'!$D$6:$E$647,2,0)</f>
        <v>Guided Missiles</v>
      </c>
      <c r="N364" s="4"/>
      <c r="O364" s="4"/>
      <c r="P364" s="4"/>
      <c r="Q364" s="4"/>
      <c r="R364" s="4"/>
      <c r="S364" s="112">
        <v>500000000</v>
      </c>
      <c r="T364" s="91" t="s">
        <v>132</v>
      </c>
      <c r="U364" s="104">
        <f>_xlfn.IFNA(S364/INDEX('Exchange Rates'!$C$7:$F$14,MATCH('MAIN DATA, Orders'!F364,'Exchange Rates'!$B$7:$B$14,0),MATCH('MAIN DATA, Orders'!T364,'Exchange Rates'!$C$6:$F$6,0)), "-")</f>
        <v>500000000</v>
      </c>
      <c r="V364" s="4" t="s">
        <v>133</v>
      </c>
      <c r="W364" s="4" t="s">
        <v>127</v>
      </c>
      <c r="X364" s="4" t="s">
        <v>128</v>
      </c>
      <c r="Y364" s="24">
        <f t="shared" si="37"/>
        <v>202511</v>
      </c>
      <c r="Z364" s="115">
        <v>0</v>
      </c>
      <c r="AA364" s="115">
        <v>0</v>
      </c>
      <c r="AB364" s="115">
        <v>0</v>
      </c>
      <c r="AC364" s="115">
        <v>1</v>
      </c>
      <c r="AD364" s="115">
        <v>0</v>
      </c>
      <c r="AE364" s="115">
        <v>1</v>
      </c>
      <c r="AF364" s="115">
        <v>1</v>
      </c>
      <c r="AG364" s="4" t="s">
        <v>715</v>
      </c>
      <c r="AH364" s="4" t="s">
        <v>128</v>
      </c>
      <c r="AI364" s="4" t="s">
        <v>127</v>
      </c>
      <c r="AJ364" s="4" t="s">
        <v>716</v>
      </c>
      <c r="AK364" s="4" t="s">
        <v>717</v>
      </c>
      <c r="AL364" s="4" t="s">
        <v>718</v>
      </c>
      <c r="AM364" s="4" t="s">
        <v>127</v>
      </c>
      <c r="AN364" s="4" t="s">
        <v>196</v>
      </c>
      <c r="AO364" s="4" t="s">
        <v>127</v>
      </c>
      <c r="AP364" s="4" t="s">
        <v>127</v>
      </c>
      <c r="AQ364" s="4" t="s">
        <v>127</v>
      </c>
      <c r="AR364" s="4" t="s">
        <v>127</v>
      </c>
      <c r="AS364" s="4" t="s">
        <v>127</v>
      </c>
      <c r="AT364" s="4" t="s">
        <v>127</v>
      </c>
      <c r="AU364" s="4" t="s">
        <v>127</v>
      </c>
      <c r="AV364" s="4" t="s">
        <v>127</v>
      </c>
      <c r="AW364" s="4" t="s">
        <v>127</v>
      </c>
      <c r="AX364" s="4" t="s">
        <v>127</v>
      </c>
      <c r="AY364" s="111" t="s">
        <v>1869</v>
      </c>
      <c r="AZ364" s="96" t="s">
        <v>1885</v>
      </c>
      <c r="BA364" s="4" t="s">
        <v>127</v>
      </c>
      <c r="BB364" s="4" t="s">
        <v>1892</v>
      </c>
      <c r="BC364" s="4" t="s">
        <v>1893</v>
      </c>
      <c r="BD364" s="4" t="s">
        <v>1894</v>
      </c>
      <c r="BE364" s="4" t="s">
        <v>127</v>
      </c>
      <c r="BF364" s="113"/>
      <c r="BG364" s="4"/>
      <c r="BH364" s="4"/>
      <c r="BI364" s="4"/>
      <c r="BJ364" s="4"/>
      <c r="BK364" s="4"/>
      <c r="BL364" s="4"/>
      <c r="BM364" s="4"/>
      <c r="BN364" s="4"/>
      <c r="BO364" s="4"/>
      <c r="BP364" s="4"/>
      <c r="BQ364" s="4"/>
      <c r="BR364" s="4"/>
      <c r="BS364" s="4"/>
      <c r="BT364" s="4"/>
    </row>
    <row r="365" spans="1:72" ht="16" x14ac:dyDescent="0.4">
      <c r="A365" s="4" t="s">
        <v>1889</v>
      </c>
      <c r="B365" s="4" t="s">
        <v>1895</v>
      </c>
      <c r="C365" s="4" t="s">
        <v>127</v>
      </c>
      <c r="D365" s="4" t="s">
        <v>128</v>
      </c>
      <c r="E365" s="190">
        <v>45966</v>
      </c>
      <c r="F365" s="4">
        <v>2025</v>
      </c>
      <c r="G365" s="4" t="s">
        <v>714</v>
      </c>
      <c r="H365" s="22" t="str">
        <f>VLOOKUP($G365,'Item Classification'!B:C,2,0)</f>
        <v>Naval guided surface-to-air missile (SAM)</v>
      </c>
      <c r="I365" s="6" t="str">
        <f>VLOOKUP($G365,'Item Classification'!B:D,3,0)</f>
        <v>Missile (Naval)</v>
      </c>
      <c r="J365" s="23">
        <f>VLOOKUP($G365,'Item Classification'!B:E,4,0)</f>
        <v>6</v>
      </c>
      <c r="K365" s="116" t="s">
        <v>211</v>
      </c>
      <c r="L365" s="116" t="s">
        <v>211</v>
      </c>
      <c r="M365" s="116" t="str">
        <f>VLOOKUP(L365,'NATO Classifications'!$D$6:$E$647,2,0)</f>
        <v>Guided Missiles</v>
      </c>
      <c r="N365" s="4"/>
      <c r="O365" s="4"/>
      <c r="P365" s="4"/>
      <c r="Q365" s="4"/>
      <c r="R365" s="4"/>
      <c r="S365" s="112"/>
      <c r="T365" s="91" t="s">
        <v>132</v>
      </c>
      <c r="U365" s="104">
        <f>_xlfn.IFNA(S365/INDEX('Exchange Rates'!$C$7:$F$14,MATCH('MAIN DATA, Orders'!F365,'Exchange Rates'!$B$7:$B$14,0),MATCH('MAIN DATA, Orders'!T365,'Exchange Rates'!$C$6:$F$6,0)), "-")</f>
        <v>0</v>
      </c>
      <c r="V365" s="4" t="s">
        <v>133</v>
      </c>
      <c r="W365" s="4" t="s">
        <v>127</v>
      </c>
      <c r="X365" s="4" t="s">
        <v>128</v>
      </c>
      <c r="Y365" s="24">
        <f t="shared" si="37"/>
        <v>202511</v>
      </c>
      <c r="Z365" s="115">
        <v>0</v>
      </c>
      <c r="AA365" s="115">
        <v>0</v>
      </c>
      <c r="AB365" s="115">
        <v>0</v>
      </c>
      <c r="AC365" s="115">
        <v>1</v>
      </c>
      <c r="AD365" s="115">
        <v>0</v>
      </c>
      <c r="AE365" s="115">
        <v>1</v>
      </c>
      <c r="AF365" s="115">
        <v>1</v>
      </c>
      <c r="AG365" s="4" t="s">
        <v>715</v>
      </c>
      <c r="AH365" s="4" t="s">
        <v>128</v>
      </c>
      <c r="AI365" s="4" t="s">
        <v>127</v>
      </c>
      <c r="AJ365" s="4" t="s">
        <v>716</v>
      </c>
      <c r="AK365" s="4" t="s">
        <v>717</v>
      </c>
      <c r="AL365" s="4" t="s">
        <v>718</v>
      </c>
      <c r="AM365" s="4" t="s">
        <v>127</v>
      </c>
      <c r="AN365" s="4" t="s">
        <v>196</v>
      </c>
      <c r="AO365" s="4" t="s">
        <v>127</v>
      </c>
      <c r="AP365" s="4" t="s">
        <v>127</v>
      </c>
      <c r="AQ365" s="4" t="s">
        <v>127</v>
      </c>
      <c r="AR365" s="4" t="s">
        <v>127</v>
      </c>
      <c r="AS365" s="4" t="s">
        <v>127</v>
      </c>
      <c r="AT365" s="4" t="s">
        <v>127</v>
      </c>
      <c r="AU365" s="4" t="s">
        <v>127</v>
      </c>
      <c r="AV365" s="4" t="s">
        <v>127</v>
      </c>
      <c r="AW365" s="4" t="s">
        <v>127</v>
      </c>
      <c r="AX365" s="4" t="s">
        <v>127</v>
      </c>
      <c r="AY365" s="111" t="s">
        <v>1869</v>
      </c>
      <c r="AZ365" s="96" t="s">
        <v>1885</v>
      </c>
      <c r="BA365" s="4" t="s">
        <v>127</v>
      </c>
      <c r="BB365" s="4" t="s">
        <v>1892</v>
      </c>
      <c r="BC365" s="4" t="s">
        <v>1893</v>
      </c>
      <c r="BD365" s="4" t="s">
        <v>1894</v>
      </c>
      <c r="BE365" s="4" t="s">
        <v>127</v>
      </c>
      <c r="BF365" s="113"/>
      <c r="BG365" s="4"/>
      <c r="BH365" s="4"/>
      <c r="BI365" s="4"/>
      <c r="BJ365" s="4"/>
      <c r="BK365" s="4"/>
      <c r="BL365" s="4"/>
      <c r="BM365" s="4"/>
      <c r="BN365" s="4"/>
      <c r="BO365" s="4"/>
      <c r="BP365" s="4"/>
      <c r="BQ365" s="4"/>
      <c r="BR365" s="4"/>
      <c r="BS365" s="4"/>
      <c r="BT365" s="4"/>
    </row>
    <row r="366" spans="1:72" ht="16" x14ac:dyDescent="0.4">
      <c r="A366" s="4" t="s">
        <v>1889</v>
      </c>
      <c r="B366" s="4" t="s">
        <v>1896</v>
      </c>
      <c r="C366" s="4" t="s">
        <v>127</v>
      </c>
      <c r="D366" s="4" t="s">
        <v>128</v>
      </c>
      <c r="E366" s="190">
        <v>45966</v>
      </c>
      <c r="F366" s="4">
        <v>2025</v>
      </c>
      <c r="G366" s="4" t="s">
        <v>1897</v>
      </c>
      <c r="H366" s="22" t="str">
        <f>VLOOKUP($G366,'Item Classification'!B:C,2,0)</f>
        <v>Naval guided surface-to-air missile system development</v>
      </c>
      <c r="I366" s="6" t="str">
        <f>VLOOKUP($G366,'Item Classification'!B:D,3,0)</f>
        <v>Development - Missile (Naval)</v>
      </c>
      <c r="J366" s="23">
        <f>VLOOKUP($G366,'Item Classification'!B:E,4,0)</f>
        <v>15</v>
      </c>
      <c r="K366" s="116" t="s">
        <v>211</v>
      </c>
      <c r="L366" s="116" t="s">
        <v>211</v>
      </c>
      <c r="M366" s="116" t="str">
        <f>VLOOKUP(L366,'NATO Classifications'!$D$6:$E$647,2,0)</f>
        <v>Guided Missiles</v>
      </c>
      <c r="N366" s="4"/>
      <c r="O366" s="4"/>
      <c r="P366" s="4"/>
      <c r="Q366" s="4"/>
      <c r="R366" s="4"/>
      <c r="S366" s="112"/>
      <c r="T366" s="91" t="s">
        <v>132</v>
      </c>
      <c r="U366" s="104">
        <f>_xlfn.IFNA(S366/INDEX('Exchange Rates'!$C$7:$F$14,MATCH('MAIN DATA, Orders'!F366,'Exchange Rates'!$B$7:$B$14,0),MATCH('MAIN DATA, Orders'!T366,'Exchange Rates'!$C$6:$F$6,0)), "-")</f>
        <v>0</v>
      </c>
      <c r="V366" s="4" t="s">
        <v>133</v>
      </c>
      <c r="W366" s="4" t="s">
        <v>127</v>
      </c>
      <c r="X366" s="4" t="s">
        <v>128</v>
      </c>
      <c r="Y366" s="24">
        <f t="shared" si="37"/>
        <v>202511</v>
      </c>
      <c r="Z366" s="115">
        <v>0</v>
      </c>
      <c r="AA366" s="115">
        <v>0</v>
      </c>
      <c r="AB366" s="115">
        <v>0</v>
      </c>
      <c r="AC366" s="115">
        <v>1</v>
      </c>
      <c r="AD366" s="115">
        <v>0</v>
      </c>
      <c r="AE366" s="115">
        <v>1</v>
      </c>
      <c r="AF366" s="115">
        <v>1</v>
      </c>
      <c r="AG366" s="4" t="s">
        <v>715</v>
      </c>
      <c r="AH366" s="4" t="s">
        <v>128</v>
      </c>
      <c r="AI366" s="4" t="s">
        <v>127</v>
      </c>
      <c r="AJ366" s="4" t="s">
        <v>716</v>
      </c>
      <c r="AK366" s="4" t="s">
        <v>717</v>
      </c>
      <c r="AL366" s="4" t="s">
        <v>718</v>
      </c>
      <c r="AM366" s="4" t="s">
        <v>127</v>
      </c>
      <c r="AN366" s="4" t="s">
        <v>196</v>
      </c>
      <c r="AO366" s="4" t="s">
        <v>127</v>
      </c>
      <c r="AP366" s="4" t="s">
        <v>127</v>
      </c>
      <c r="AQ366" s="4" t="s">
        <v>127</v>
      </c>
      <c r="AR366" s="4" t="s">
        <v>127</v>
      </c>
      <c r="AS366" s="4" t="s">
        <v>127</v>
      </c>
      <c r="AT366" s="4" t="s">
        <v>127</v>
      </c>
      <c r="AU366" s="4" t="s">
        <v>127</v>
      </c>
      <c r="AV366" s="4" t="s">
        <v>127</v>
      </c>
      <c r="AW366" s="4" t="s">
        <v>127</v>
      </c>
      <c r="AX366" s="4" t="s">
        <v>127</v>
      </c>
      <c r="AY366" s="111" t="s">
        <v>1869</v>
      </c>
      <c r="AZ366" s="96" t="s">
        <v>1885</v>
      </c>
      <c r="BA366" s="4" t="s">
        <v>127</v>
      </c>
      <c r="BB366" s="4" t="s">
        <v>1892</v>
      </c>
      <c r="BC366" s="4" t="s">
        <v>1893</v>
      </c>
      <c r="BD366" s="4" t="s">
        <v>1894</v>
      </c>
      <c r="BE366" s="4" t="s">
        <v>127</v>
      </c>
      <c r="BF366" s="113"/>
      <c r="BG366" s="4"/>
      <c r="BH366" s="4"/>
      <c r="BI366" s="4"/>
      <c r="BJ366" s="4"/>
      <c r="BK366" s="4"/>
      <c r="BL366" s="4"/>
      <c r="BM366" s="4"/>
      <c r="BN366" s="4"/>
      <c r="BO366" s="4"/>
      <c r="BP366" s="4"/>
      <c r="BQ366" s="4"/>
      <c r="BR366" s="4"/>
      <c r="BS366" s="4"/>
      <c r="BT366" s="4"/>
    </row>
    <row r="367" spans="1:72" ht="16" x14ac:dyDescent="0.4">
      <c r="A367" s="4" t="s">
        <v>1898</v>
      </c>
      <c r="B367" s="4" t="s">
        <v>1898</v>
      </c>
      <c r="C367" s="4" t="s">
        <v>166</v>
      </c>
      <c r="D367" s="4" t="s">
        <v>128</v>
      </c>
      <c r="E367" s="190">
        <v>45966</v>
      </c>
      <c r="F367" s="4">
        <v>2025</v>
      </c>
      <c r="G367" s="22" t="s">
        <v>1416</v>
      </c>
      <c r="H367" s="22" t="str">
        <f>VLOOKUP($G367,'Item Classification'!B:C,2,0)</f>
        <v>Communication and digitalisation</v>
      </c>
      <c r="I367" s="6" t="str">
        <f>VLOOKUP($G367,'Item Classification'!B:D,3,0)</f>
        <v>Modernisation</v>
      </c>
      <c r="J367" s="23">
        <f>VLOOKUP($G367,'Item Classification'!B:E,4,0)</f>
        <v>13</v>
      </c>
      <c r="K367" s="22" t="s">
        <v>168</v>
      </c>
      <c r="L367" s="22" t="s">
        <v>182</v>
      </c>
      <c r="M367" s="116" t="str">
        <f>VLOOKUP(L367,'NATO Classifications'!$D$6:$E$647,2,0)</f>
        <v>ADP Software</v>
      </c>
      <c r="N367" s="4"/>
      <c r="O367" s="4"/>
      <c r="P367" s="4"/>
      <c r="Q367" s="4"/>
      <c r="R367" s="4"/>
      <c r="S367" s="112">
        <v>68000000</v>
      </c>
      <c r="T367" s="91" t="s">
        <v>132</v>
      </c>
      <c r="U367" s="104">
        <f>_xlfn.IFNA(S367/INDEX('Exchange Rates'!$C$7:$F$14,MATCH('MAIN DATA, Orders'!F367,'Exchange Rates'!$B$7:$B$14,0),MATCH('MAIN DATA, Orders'!T367,'Exchange Rates'!$C$6:$F$6,0)), "-")</f>
        <v>68000000</v>
      </c>
      <c r="V367" s="4" t="s">
        <v>127</v>
      </c>
      <c r="W367" s="4" t="s">
        <v>127</v>
      </c>
      <c r="X367" s="4" t="s">
        <v>128</v>
      </c>
      <c r="Y367" s="24">
        <f t="shared" si="37"/>
        <v>202511</v>
      </c>
      <c r="Z367" s="115">
        <v>1</v>
      </c>
      <c r="AA367" s="115">
        <v>1</v>
      </c>
      <c r="AB367" s="115">
        <v>0</v>
      </c>
      <c r="AC367" s="115">
        <v>1</v>
      </c>
      <c r="AD367" s="115">
        <v>0</v>
      </c>
      <c r="AE367" s="115">
        <v>0</v>
      </c>
      <c r="AF367" s="115">
        <v>0</v>
      </c>
      <c r="AG367" s="4" t="s">
        <v>166</v>
      </c>
      <c r="AH367" s="4" t="s">
        <v>128</v>
      </c>
      <c r="AI367" s="4" t="s">
        <v>127</v>
      </c>
      <c r="AJ367" s="4" t="s">
        <v>127</v>
      </c>
      <c r="AK367" s="4" t="s">
        <v>127</v>
      </c>
      <c r="AL367" s="4" t="s">
        <v>127</v>
      </c>
      <c r="AM367" s="4" t="s">
        <v>127</v>
      </c>
      <c r="AN367" s="4" t="s">
        <v>127</v>
      </c>
      <c r="AO367" s="4" t="s">
        <v>127</v>
      </c>
      <c r="AP367" s="4" t="s">
        <v>127</v>
      </c>
      <c r="AQ367" s="4" t="s">
        <v>127</v>
      </c>
      <c r="AR367" s="4" t="s">
        <v>127</v>
      </c>
      <c r="AS367" s="4" t="s">
        <v>127</v>
      </c>
      <c r="AT367" s="4" t="s">
        <v>127</v>
      </c>
      <c r="AU367" s="4" t="s">
        <v>127</v>
      </c>
      <c r="AV367" s="4" t="s">
        <v>127</v>
      </c>
      <c r="AW367" s="4" t="s">
        <v>127</v>
      </c>
      <c r="AX367" s="4" t="s">
        <v>127</v>
      </c>
      <c r="AY367" s="111" t="s">
        <v>1869</v>
      </c>
      <c r="AZ367" s="96" t="s">
        <v>1885</v>
      </c>
      <c r="BA367" s="4" t="s">
        <v>127</v>
      </c>
      <c r="BB367" s="4" t="s">
        <v>1899</v>
      </c>
      <c r="BC367" s="4" t="s">
        <v>1900</v>
      </c>
      <c r="BD367" s="4" t="s">
        <v>127</v>
      </c>
      <c r="BE367" s="113"/>
      <c r="BF367" s="113"/>
      <c r="BG367" s="4"/>
      <c r="BH367" s="4"/>
      <c r="BI367" s="4"/>
      <c r="BJ367" s="4"/>
      <c r="BK367" s="4"/>
      <c r="BL367" s="4"/>
      <c r="BM367" s="4"/>
      <c r="BN367" s="4"/>
      <c r="BO367" s="4"/>
      <c r="BP367" s="4"/>
      <c r="BQ367" s="4"/>
      <c r="BR367" s="4"/>
      <c r="BS367" s="4"/>
      <c r="BT367" s="4"/>
    </row>
    <row r="368" spans="1:72" ht="16" x14ac:dyDescent="0.4">
      <c r="A368" s="4" t="s">
        <v>1901</v>
      </c>
      <c r="B368" s="4" t="s">
        <v>1901</v>
      </c>
      <c r="C368" s="4" t="s">
        <v>127</v>
      </c>
      <c r="D368" s="4" t="s">
        <v>128</v>
      </c>
      <c r="E368" s="190">
        <v>45966</v>
      </c>
      <c r="F368" s="4">
        <v>2025</v>
      </c>
      <c r="G368" s="4" t="s">
        <v>1902</v>
      </c>
      <c r="H368" s="22" t="str">
        <f>VLOOKUP($G368,'Item Classification'!B:C,2,0)</f>
        <v>Military equipment</v>
      </c>
      <c r="I368" s="6" t="str">
        <f>VLOOKUP($G368,'Item Classification'!B:D,3,0)</f>
        <v>Other</v>
      </c>
      <c r="J368" s="23">
        <f>VLOOKUP($G368,'Item Classification'!B:E,4,0)</f>
        <v>16</v>
      </c>
      <c r="K368" s="116" t="s">
        <v>1903</v>
      </c>
      <c r="L368" s="116" t="s">
        <v>1904</v>
      </c>
      <c r="M368" s="116" t="str">
        <f>VLOOKUP(L368,'NATO Classifications'!$D$6:$E$647,2,0)</f>
        <v>Food Cooking, Baking, and Serving Equipment</v>
      </c>
      <c r="N368" s="4">
        <v>115</v>
      </c>
      <c r="O368" s="81">
        <f t="shared" ref="O368" si="48">S368/N368</f>
        <v>1252173.9130434783</v>
      </c>
      <c r="P368" s="81">
        <f t="shared" ref="P368" si="49">U368/N368</f>
        <v>1252173.9130434783</v>
      </c>
      <c r="Q368" s="4"/>
      <c r="R368" s="4"/>
      <c r="S368" s="112">
        <v>144000000</v>
      </c>
      <c r="T368" s="91" t="s">
        <v>132</v>
      </c>
      <c r="U368" s="104">
        <f>_xlfn.IFNA(S368/INDEX('Exchange Rates'!$C$7:$F$14,MATCH('MAIN DATA, Orders'!F368,'Exchange Rates'!$B$7:$B$14,0),MATCH('MAIN DATA, Orders'!T368,'Exchange Rates'!$C$6:$F$6,0)), "-")</f>
        <v>144000000</v>
      </c>
      <c r="V368" s="4" t="s">
        <v>127</v>
      </c>
      <c r="W368" s="4" t="s">
        <v>127</v>
      </c>
      <c r="X368" s="4" t="s">
        <v>128</v>
      </c>
      <c r="Y368" s="24">
        <f t="shared" si="37"/>
        <v>202511</v>
      </c>
      <c r="Z368" s="115">
        <v>1</v>
      </c>
      <c r="AA368" s="115">
        <v>0</v>
      </c>
      <c r="AB368" s="115">
        <v>0</v>
      </c>
      <c r="AC368" s="115">
        <v>1</v>
      </c>
      <c r="AD368" s="115">
        <v>0</v>
      </c>
      <c r="AE368" s="115">
        <v>0</v>
      </c>
      <c r="AF368" s="115">
        <v>0</v>
      </c>
      <c r="AG368" s="4" t="s">
        <v>1905</v>
      </c>
      <c r="AH368" s="4" t="s">
        <v>128</v>
      </c>
      <c r="AI368" s="4" t="s">
        <v>128</v>
      </c>
      <c r="AJ368" s="4" t="s">
        <v>127</v>
      </c>
      <c r="AK368" s="4" t="s">
        <v>127</v>
      </c>
      <c r="AL368" s="4" t="s">
        <v>127</v>
      </c>
      <c r="AM368" s="4" t="s">
        <v>127</v>
      </c>
      <c r="AN368" s="4" t="s">
        <v>127</v>
      </c>
      <c r="AO368" s="4" t="s">
        <v>127</v>
      </c>
      <c r="AP368" s="4" t="s">
        <v>127</v>
      </c>
      <c r="AQ368" s="4" t="s">
        <v>127</v>
      </c>
      <c r="AR368" s="4" t="s">
        <v>127</v>
      </c>
      <c r="AS368" s="4" t="s">
        <v>127</v>
      </c>
      <c r="AT368" s="4" t="s">
        <v>127</v>
      </c>
      <c r="AU368" s="4" t="s">
        <v>127</v>
      </c>
      <c r="AV368" s="4" t="s">
        <v>127</v>
      </c>
      <c r="AW368" s="4" t="s">
        <v>127</v>
      </c>
      <c r="AX368" s="4" t="s">
        <v>127</v>
      </c>
      <c r="AY368" s="111" t="s">
        <v>1869</v>
      </c>
      <c r="AZ368" s="96" t="s">
        <v>1885</v>
      </c>
      <c r="BA368" s="4" t="s">
        <v>127</v>
      </c>
      <c r="BB368" s="4" t="s">
        <v>1906</v>
      </c>
      <c r="BC368" s="4" t="s">
        <v>1907</v>
      </c>
      <c r="BD368" s="4" t="s">
        <v>127</v>
      </c>
      <c r="BE368" s="113"/>
      <c r="BF368" s="113"/>
      <c r="BG368" s="4"/>
      <c r="BH368" s="4"/>
      <c r="BI368" s="4"/>
      <c r="BJ368" s="4"/>
      <c r="BK368" s="4"/>
      <c r="BL368" s="4"/>
      <c r="BM368" s="4"/>
      <c r="BN368" s="4"/>
      <c r="BO368" s="4"/>
      <c r="BP368" s="4"/>
      <c r="BQ368" s="4"/>
      <c r="BR368" s="4"/>
      <c r="BS368" s="4"/>
      <c r="BT368" s="4"/>
    </row>
    <row r="369" spans="1:72" ht="16" x14ac:dyDescent="0.4">
      <c r="A369" s="4" t="s">
        <v>1908</v>
      </c>
      <c r="B369" s="4" t="s">
        <v>1908</v>
      </c>
      <c r="C369" s="4" t="s">
        <v>127</v>
      </c>
      <c r="D369" s="4" t="s">
        <v>128</v>
      </c>
      <c r="E369" s="190">
        <v>45966</v>
      </c>
      <c r="F369" s="4">
        <v>2025</v>
      </c>
      <c r="G369" s="4" t="s">
        <v>1909</v>
      </c>
      <c r="H369" s="22" t="str">
        <f>VLOOKUP($G369,'Item Classification'!B:C,2,0)</f>
        <v>Naval communication system</v>
      </c>
      <c r="I369" s="6" t="str">
        <f>VLOOKUP($G369,'Item Classification'!B:D,3,0)</f>
        <v>Naval</v>
      </c>
      <c r="J369" s="23">
        <f>VLOOKUP($G369,'Item Classification'!B:E,4,0)</f>
        <v>12</v>
      </c>
      <c r="K369" s="194" t="s">
        <v>158</v>
      </c>
      <c r="L369" s="116" t="s">
        <v>399</v>
      </c>
      <c r="M369" s="116" t="str">
        <f>VLOOKUP(L369,'NATO Classifications'!$D$6:$E$647,2,0)</f>
        <v>Radar and Sensor</v>
      </c>
      <c r="N369" s="4"/>
      <c r="O369" s="4"/>
      <c r="P369" s="4"/>
      <c r="Q369" s="4">
        <v>2027</v>
      </c>
      <c r="R369" s="4"/>
      <c r="S369" s="112">
        <v>162000000</v>
      </c>
      <c r="T369" s="91" t="s">
        <v>132</v>
      </c>
      <c r="U369" s="104">
        <f>_xlfn.IFNA(S369/INDEX('Exchange Rates'!$C$7:$F$14,MATCH('MAIN DATA, Orders'!F369,'Exchange Rates'!$B$7:$B$14,0),MATCH('MAIN DATA, Orders'!T369,'Exchange Rates'!$C$6:$F$6,0)), "-")</f>
        <v>162000000</v>
      </c>
      <c r="V369" s="4" t="s">
        <v>127</v>
      </c>
      <c r="W369" s="4" t="s">
        <v>127</v>
      </c>
      <c r="X369" s="4" t="s">
        <v>128</v>
      </c>
      <c r="Y369" s="24">
        <f t="shared" si="37"/>
        <v>202511</v>
      </c>
      <c r="Z369" s="115">
        <v>0</v>
      </c>
      <c r="AA369" s="115">
        <v>0</v>
      </c>
      <c r="AB369" s="115">
        <v>0</v>
      </c>
      <c r="AC369" s="115">
        <v>0</v>
      </c>
      <c r="AD369" s="115">
        <v>0</v>
      </c>
      <c r="AE369" s="115">
        <v>0</v>
      </c>
      <c r="AF369" s="115">
        <v>0</v>
      </c>
      <c r="AG369" s="4" t="s">
        <v>1910</v>
      </c>
      <c r="AH369" s="4" t="s">
        <v>431</v>
      </c>
      <c r="AI369" s="4" t="s">
        <v>431</v>
      </c>
      <c r="AJ369" s="4" t="s">
        <v>127</v>
      </c>
      <c r="AK369" s="4" t="s">
        <v>127</v>
      </c>
      <c r="AL369" s="4" t="s">
        <v>127</v>
      </c>
      <c r="AM369" s="4" t="s">
        <v>127</v>
      </c>
      <c r="AN369" s="4" t="s">
        <v>127</v>
      </c>
      <c r="AO369" s="4" t="s">
        <v>127</v>
      </c>
      <c r="AP369" s="4" t="s">
        <v>127</v>
      </c>
      <c r="AQ369" s="4" t="s">
        <v>127</v>
      </c>
      <c r="AR369" s="4" t="s">
        <v>127</v>
      </c>
      <c r="AS369" s="4" t="s">
        <v>127</v>
      </c>
      <c r="AT369" s="4" t="s">
        <v>127</v>
      </c>
      <c r="AU369" s="4" t="s">
        <v>127</v>
      </c>
      <c r="AV369" s="4" t="s">
        <v>127</v>
      </c>
      <c r="AW369" s="4" t="s">
        <v>127</v>
      </c>
      <c r="AX369" s="4" t="s">
        <v>127</v>
      </c>
      <c r="AY369" s="111" t="s">
        <v>1869</v>
      </c>
      <c r="AZ369" s="111" t="s">
        <v>1911</v>
      </c>
      <c r="BA369" s="4" t="s">
        <v>127</v>
      </c>
      <c r="BB369" s="6" t="s">
        <v>1912</v>
      </c>
      <c r="BC369" s="4" t="s">
        <v>1913</v>
      </c>
      <c r="BD369" s="4" t="s">
        <v>1914</v>
      </c>
      <c r="BE369" s="4" t="s">
        <v>127</v>
      </c>
      <c r="BF369" s="113"/>
      <c r="BG369" s="4"/>
      <c r="BH369" s="4"/>
      <c r="BI369" s="4"/>
      <c r="BJ369" s="4"/>
      <c r="BK369" s="4"/>
      <c r="BL369" s="4"/>
      <c r="BM369" s="4"/>
      <c r="BN369" s="4"/>
      <c r="BO369" s="4"/>
      <c r="BP369" s="4"/>
      <c r="BQ369" s="4"/>
      <c r="BR369" s="4"/>
      <c r="BS369" s="4"/>
      <c r="BT369" s="4"/>
    </row>
    <row r="370" spans="1:72" ht="16" x14ac:dyDescent="0.4">
      <c r="A370" s="4" t="s">
        <v>1915</v>
      </c>
      <c r="B370" s="4" t="s">
        <v>1915</v>
      </c>
      <c r="C370" s="4" t="s">
        <v>127</v>
      </c>
      <c r="D370" s="4" t="s">
        <v>128</v>
      </c>
      <c r="E370" s="190">
        <v>45966</v>
      </c>
      <c r="F370" s="4">
        <v>2025</v>
      </c>
      <c r="G370" s="4" t="s">
        <v>1916</v>
      </c>
      <c r="H370" s="22" t="str">
        <f>VLOOKUP($G370,'Item Classification'!B:C,2,0)</f>
        <v>Equipment for Small Arms and Light Weapons (SALW)</v>
      </c>
      <c r="I370" s="6" t="str">
        <f>VLOOKUP($G370,'Item Classification'!B:D,3,0)</f>
        <v>Infantry</v>
      </c>
      <c r="J370" s="23">
        <f>VLOOKUP($G370,'Item Classification'!B:E,4,0)</f>
        <v>8</v>
      </c>
      <c r="K370" s="194" t="s">
        <v>158</v>
      </c>
      <c r="L370" s="116" t="s">
        <v>369</v>
      </c>
      <c r="M370" s="116" t="str">
        <f>VLOOKUP(L370,'NATO Classifications'!$D$6:$E$647,2,0)</f>
        <v>Communication, Detection, and Coherent Radiation Equipment (other)</v>
      </c>
      <c r="N370" s="4">
        <v>6000</v>
      </c>
      <c r="O370" s="81">
        <f t="shared" ref="O370" si="50">S370/N370</f>
        <v>16666.666666666668</v>
      </c>
      <c r="P370" s="81">
        <f t="shared" ref="P370" si="51">U370/N370</f>
        <v>16666.666666666668</v>
      </c>
      <c r="Q370" s="4"/>
      <c r="R370" s="4"/>
      <c r="S370" s="112">
        <v>100000000</v>
      </c>
      <c r="T370" s="91" t="s">
        <v>132</v>
      </c>
      <c r="U370" s="104">
        <f>_xlfn.IFNA(S370/INDEX('Exchange Rates'!$C$7:$F$14,MATCH('MAIN DATA, Orders'!F370,'Exchange Rates'!$B$7:$B$14,0),MATCH('MAIN DATA, Orders'!T370,'Exchange Rates'!$C$6:$F$6,0)), "-")</f>
        <v>100000000</v>
      </c>
      <c r="V370" s="4" t="s">
        <v>682</v>
      </c>
      <c r="W370" s="4" t="s">
        <v>133</v>
      </c>
      <c r="X370" s="4" t="s">
        <v>128</v>
      </c>
      <c r="Y370" s="24">
        <f t="shared" si="37"/>
        <v>202511</v>
      </c>
      <c r="Z370" s="115">
        <v>1</v>
      </c>
      <c r="AA370" s="115">
        <v>0</v>
      </c>
      <c r="AB370" s="115">
        <v>0</v>
      </c>
      <c r="AC370" s="115">
        <v>1</v>
      </c>
      <c r="AD370" s="115">
        <v>1</v>
      </c>
      <c r="AE370" s="115">
        <v>0</v>
      </c>
      <c r="AF370" s="115">
        <v>1</v>
      </c>
      <c r="AG370" s="4" t="s">
        <v>1669</v>
      </c>
      <c r="AH370" s="4" t="s">
        <v>372</v>
      </c>
      <c r="AI370" s="4" t="s">
        <v>128</v>
      </c>
      <c r="AJ370" s="4" t="s">
        <v>127</v>
      </c>
      <c r="AK370" s="4" t="s">
        <v>127</v>
      </c>
      <c r="AL370" s="4" t="s">
        <v>127</v>
      </c>
      <c r="AM370" s="4" t="s">
        <v>127</v>
      </c>
      <c r="AN370" s="4" t="s">
        <v>127</v>
      </c>
      <c r="AO370" s="4" t="s">
        <v>127</v>
      </c>
      <c r="AP370" s="4" t="s">
        <v>127</v>
      </c>
      <c r="AQ370" s="4" t="s">
        <v>127</v>
      </c>
      <c r="AR370" s="4" t="s">
        <v>127</v>
      </c>
      <c r="AS370" s="4" t="s">
        <v>127</v>
      </c>
      <c r="AT370" s="4" t="s">
        <v>127</v>
      </c>
      <c r="AU370" s="4" t="s">
        <v>127</v>
      </c>
      <c r="AV370" s="4" t="s">
        <v>127</v>
      </c>
      <c r="AW370" s="4" t="s">
        <v>127</v>
      </c>
      <c r="AX370" s="4" t="s">
        <v>127</v>
      </c>
      <c r="AY370" s="111" t="s">
        <v>1869</v>
      </c>
      <c r="AZ370" s="96" t="s">
        <v>1917</v>
      </c>
      <c r="BA370" s="4" t="s">
        <v>127</v>
      </c>
      <c r="BB370" s="4" t="s">
        <v>1918</v>
      </c>
      <c r="BC370" s="4" t="s">
        <v>1919</v>
      </c>
      <c r="BD370" s="4" t="s">
        <v>1920</v>
      </c>
      <c r="BE370" s="4" t="s">
        <v>127</v>
      </c>
      <c r="BF370" s="113"/>
      <c r="BG370" s="4"/>
      <c r="BH370" s="4"/>
      <c r="BI370" s="4"/>
      <c r="BJ370" s="4"/>
      <c r="BK370" s="4"/>
      <c r="BL370" s="4"/>
      <c r="BM370" s="4"/>
      <c r="BN370" s="4"/>
      <c r="BO370" s="4"/>
      <c r="BP370" s="4"/>
      <c r="BQ370" s="4"/>
      <c r="BR370" s="4"/>
      <c r="BS370" s="4"/>
      <c r="BT370" s="4"/>
    </row>
    <row r="371" spans="1:72" ht="16" x14ac:dyDescent="0.4">
      <c r="A371" s="6" t="s">
        <v>1921</v>
      </c>
      <c r="B371" s="6" t="s">
        <v>1921</v>
      </c>
      <c r="C371" s="6" t="s">
        <v>127</v>
      </c>
      <c r="D371" s="6" t="s">
        <v>128</v>
      </c>
      <c r="E371" s="190">
        <v>45966</v>
      </c>
      <c r="F371" s="6">
        <v>2025</v>
      </c>
      <c r="G371" s="4" t="s">
        <v>127</v>
      </c>
      <c r="H371" s="22" t="s">
        <v>1487</v>
      </c>
      <c r="I371" s="6" t="s">
        <v>287</v>
      </c>
      <c r="J371" s="23">
        <v>16</v>
      </c>
      <c r="K371" s="116" t="s">
        <v>229</v>
      </c>
      <c r="L371" s="116" t="s">
        <v>230</v>
      </c>
      <c r="M371" s="116" t="str">
        <f>VLOOKUP(L371,'NATO Classifications'!$D$6:$E$647,2,0)</f>
        <v>Miscellaneous Items</v>
      </c>
      <c r="N371" s="4"/>
      <c r="O371" s="4"/>
      <c r="P371" s="4"/>
      <c r="Q371" s="4"/>
      <c r="R371" s="4"/>
      <c r="S371" s="112">
        <v>318000000</v>
      </c>
      <c r="T371" s="91" t="s">
        <v>132</v>
      </c>
      <c r="U371" s="104">
        <f>_xlfn.IFNA(S371/INDEX('Exchange Rates'!$C$7:$F$14,MATCH('MAIN DATA, Orders'!F371,'Exchange Rates'!$B$7:$B$14,0),MATCH('MAIN DATA, Orders'!T371,'Exchange Rates'!$C$6:$F$6,0)), "-")</f>
        <v>318000000</v>
      </c>
      <c r="V371" s="4" t="s">
        <v>682</v>
      </c>
      <c r="W371" s="4" t="s">
        <v>133</v>
      </c>
      <c r="X371" s="4" t="s">
        <v>128</v>
      </c>
      <c r="Y371" s="24">
        <f t="shared" si="37"/>
        <v>202511</v>
      </c>
      <c r="Z371" s="115" t="s">
        <v>127</v>
      </c>
      <c r="AA371" s="115" t="s">
        <v>127</v>
      </c>
      <c r="AB371" s="115">
        <v>0</v>
      </c>
      <c r="AC371" s="115" t="s">
        <v>127</v>
      </c>
      <c r="AD371" s="115" t="s">
        <v>127</v>
      </c>
      <c r="AE371" s="115" t="s">
        <v>127</v>
      </c>
      <c r="AF371" s="115" t="s">
        <v>127</v>
      </c>
      <c r="AG371" s="4" t="s">
        <v>127</v>
      </c>
      <c r="AH371" s="4" t="s">
        <v>127</v>
      </c>
      <c r="AI371" s="4" t="s">
        <v>127</v>
      </c>
      <c r="AJ371" s="4" t="s">
        <v>127</v>
      </c>
      <c r="AK371" s="4" t="s">
        <v>127</v>
      </c>
      <c r="AL371" s="4" t="s">
        <v>127</v>
      </c>
      <c r="AM371" s="4" t="s">
        <v>127</v>
      </c>
      <c r="AN371" s="4" t="s">
        <v>127</v>
      </c>
      <c r="AO371" s="4" t="s">
        <v>127</v>
      </c>
      <c r="AP371" s="4" t="s">
        <v>127</v>
      </c>
      <c r="AQ371" s="4" t="s">
        <v>127</v>
      </c>
      <c r="AR371" s="4" t="s">
        <v>127</v>
      </c>
      <c r="AS371" s="4" t="s">
        <v>127</v>
      </c>
      <c r="AT371" s="4" t="s">
        <v>127</v>
      </c>
      <c r="AU371" s="4" t="s">
        <v>127</v>
      </c>
      <c r="AV371" s="4" t="s">
        <v>127</v>
      </c>
      <c r="AW371" s="4" t="s">
        <v>127</v>
      </c>
      <c r="AX371" s="4" t="s">
        <v>127</v>
      </c>
      <c r="AY371" s="111" t="s">
        <v>1869</v>
      </c>
      <c r="AZ371" s="96" t="s">
        <v>1885</v>
      </c>
      <c r="BA371" s="4" t="s">
        <v>127</v>
      </c>
      <c r="BB371" s="4" t="s">
        <v>1922</v>
      </c>
      <c r="BC371" s="4" t="s">
        <v>127</v>
      </c>
      <c r="BD371" s="4" t="s">
        <v>127</v>
      </c>
      <c r="BE371" s="4" t="s">
        <v>1923</v>
      </c>
      <c r="BF371" s="4" t="s">
        <v>127</v>
      </c>
      <c r="BG371" s="4"/>
      <c r="BH371" s="4"/>
      <c r="BI371" s="4"/>
      <c r="BJ371" s="4"/>
      <c r="BK371" s="4"/>
      <c r="BL371" s="4"/>
      <c r="BM371" s="4"/>
      <c r="BN371" s="4"/>
      <c r="BO371" s="4"/>
      <c r="BP371" s="4"/>
      <c r="BQ371" s="4"/>
      <c r="BR371" s="4"/>
      <c r="BS371" s="4"/>
      <c r="BT371" s="4"/>
    </row>
    <row r="372" spans="1:72" ht="16" x14ac:dyDescent="0.4">
      <c r="A372" s="4" t="s">
        <v>1921</v>
      </c>
      <c r="B372" s="4" t="s">
        <v>1924</v>
      </c>
      <c r="C372" s="4" t="s">
        <v>127</v>
      </c>
      <c r="D372" s="4" t="s">
        <v>128</v>
      </c>
      <c r="E372" s="190">
        <v>45966</v>
      </c>
      <c r="F372" s="4">
        <v>2025</v>
      </c>
      <c r="G372" s="4" t="s">
        <v>1925</v>
      </c>
      <c r="H372" s="22" t="str">
        <f>VLOOKUP($G372,'Item Classification'!B:C,2,0)</f>
        <v>Communication equipment</v>
      </c>
      <c r="I372" s="6" t="str">
        <f>VLOOKUP($G372,'Item Classification'!B:D,3,0)</f>
        <v>Modernisation</v>
      </c>
      <c r="J372" s="23">
        <f>VLOOKUP($G372,'Item Classification'!B:E,4,0)</f>
        <v>13</v>
      </c>
      <c r="K372" s="116" t="s">
        <v>158</v>
      </c>
      <c r="L372" s="116" t="s">
        <v>567</v>
      </c>
      <c r="M372" s="116" t="str">
        <f>VLOOKUP(L372,'NATO Classifications'!$D$6:$E$647,2,0)</f>
        <v>Communication, Detection, and Coherent Radiation Equipment (other)</v>
      </c>
      <c r="N372" s="4"/>
      <c r="O372" s="4"/>
      <c r="P372" s="4"/>
      <c r="Q372" s="4"/>
      <c r="R372" s="4"/>
      <c r="S372" s="112"/>
      <c r="T372" s="91" t="s">
        <v>132</v>
      </c>
      <c r="U372" s="104">
        <f>_xlfn.IFNA(S372/INDEX('Exchange Rates'!$C$7:$F$14,MATCH('MAIN DATA, Orders'!F372,'Exchange Rates'!$B$7:$B$14,0),MATCH('MAIN DATA, Orders'!T372,'Exchange Rates'!$C$6:$F$6,0)), "-")</f>
        <v>0</v>
      </c>
      <c r="V372" s="4" t="s">
        <v>682</v>
      </c>
      <c r="W372" s="6" t="s">
        <v>127</v>
      </c>
      <c r="X372" s="4" t="s">
        <v>128</v>
      </c>
      <c r="Y372" s="24">
        <f t="shared" si="37"/>
        <v>202511</v>
      </c>
      <c r="Z372" s="115">
        <v>0</v>
      </c>
      <c r="AA372" s="115">
        <v>0</v>
      </c>
      <c r="AB372" s="115">
        <v>0</v>
      </c>
      <c r="AC372" s="115">
        <v>0</v>
      </c>
      <c r="AD372" s="115">
        <v>0</v>
      </c>
      <c r="AE372" s="115">
        <v>0</v>
      </c>
      <c r="AF372" s="115">
        <v>0</v>
      </c>
      <c r="AG372" s="4" t="s">
        <v>1421</v>
      </c>
      <c r="AH372" s="4" t="s">
        <v>196</v>
      </c>
      <c r="AI372" s="4" t="s">
        <v>196</v>
      </c>
      <c r="AJ372" s="4" t="s">
        <v>127</v>
      </c>
      <c r="AK372" s="4" t="s">
        <v>127</v>
      </c>
      <c r="AL372" s="4" t="s">
        <v>127</v>
      </c>
      <c r="AM372" s="4" t="s">
        <v>127</v>
      </c>
      <c r="AN372" s="4" t="s">
        <v>127</v>
      </c>
      <c r="AO372" s="4" t="s">
        <v>127</v>
      </c>
      <c r="AP372" s="4" t="s">
        <v>127</v>
      </c>
      <c r="AQ372" s="4" t="s">
        <v>127</v>
      </c>
      <c r="AR372" s="4" t="s">
        <v>127</v>
      </c>
      <c r="AS372" s="4" t="s">
        <v>127</v>
      </c>
      <c r="AT372" s="4" t="s">
        <v>127</v>
      </c>
      <c r="AU372" s="4" t="s">
        <v>127</v>
      </c>
      <c r="AV372" s="4" t="s">
        <v>127</v>
      </c>
      <c r="AW372" s="4" t="s">
        <v>127</v>
      </c>
      <c r="AX372" s="4" t="s">
        <v>127</v>
      </c>
      <c r="AY372" s="111" t="s">
        <v>1869</v>
      </c>
      <c r="AZ372" s="4" t="s">
        <v>127</v>
      </c>
      <c r="BA372" s="4" t="s">
        <v>127</v>
      </c>
      <c r="BB372" s="4" t="s">
        <v>1926</v>
      </c>
      <c r="BC372" s="4" t="s">
        <v>127</v>
      </c>
      <c r="BD372" s="4" t="s">
        <v>127</v>
      </c>
      <c r="BE372" s="4" t="s">
        <v>127</v>
      </c>
      <c r="BF372" s="113"/>
      <c r="BG372" s="4"/>
      <c r="BH372" s="4"/>
      <c r="BI372" s="4"/>
      <c r="BJ372" s="4"/>
      <c r="BK372" s="4"/>
      <c r="BL372" s="4"/>
      <c r="BM372" s="4"/>
      <c r="BN372" s="4"/>
      <c r="BO372" s="4"/>
      <c r="BP372" s="4"/>
      <c r="BQ372" s="4"/>
      <c r="BR372" s="4"/>
      <c r="BS372" s="4"/>
      <c r="BT372" s="4"/>
    </row>
    <row r="373" spans="1:72" ht="16" x14ac:dyDescent="0.4">
      <c r="A373" s="4" t="s">
        <v>1921</v>
      </c>
      <c r="B373" s="4" t="s">
        <v>1927</v>
      </c>
      <c r="C373" s="4" t="s">
        <v>127</v>
      </c>
      <c r="D373" s="4" t="s">
        <v>128</v>
      </c>
      <c r="E373" s="190">
        <v>45966</v>
      </c>
      <c r="F373" s="4">
        <v>2025</v>
      </c>
      <c r="G373" s="4" t="s">
        <v>1928</v>
      </c>
      <c r="H373" s="22" t="str">
        <f>VLOOKUP($G373,'Item Classification'!B:C,2,0)</f>
        <v>Mixed equipment and services</v>
      </c>
      <c r="I373" s="6" t="str">
        <f>VLOOKUP($G373,'Item Classification'!B:D,3,0)</f>
        <v>Other</v>
      </c>
      <c r="J373" s="23">
        <f>VLOOKUP($G373,'Item Classification'!B:E,4,0)</f>
        <v>16</v>
      </c>
      <c r="K373" s="116" t="s">
        <v>925</v>
      </c>
      <c r="L373" s="116" t="s">
        <v>926</v>
      </c>
      <c r="M373" s="116" t="str">
        <f>VLOOKUP(L373,'NATO Classifications'!$D$6:$E$647,2,0)</f>
        <v>Fire Fighting Equipment</v>
      </c>
      <c r="N373" s="4"/>
      <c r="O373" s="4"/>
      <c r="P373" s="4"/>
      <c r="Q373" s="4">
        <v>2027</v>
      </c>
      <c r="R373" s="4">
        <v>2031</v>
      </c>
      <c r="S373" s="112"/>
      <c r="T373" s="91" t="s">
        <v>132</v>
      </c>
      <c r="U373" s="104">
        <f>_xlfn.IFNA(S373/INDEX('Exchange Rates'!$C$7:$F$14,MATCH('MAIN DATA, Orders'!F373,'Exchange Rates'!$B$7:$B$14,0),MATCH('MAIN DATA, Orders'!T373,'Exchange Rates'!$C$6:$F$6,0)), "-")</f>
        <v>0</v>
      </c>
      <c r="V373" s="4" t="s">
        <v>127</v>
      </c>
      <c r="W373" s="4" t="s">
        <v>127</v>
      </c>
      <c r="X373" s="4" t="s">
        <v>128</v>
      </c>
      <c r="Y373" s="24">
        <f t="shared" si="37"/>
        <v>202511</v>
      </c>
      <c r="Z373" s="115">
        <v>1</v>
      </c>
      <c r="AA373" s="115">
        <v>0</v>
      </c>
      <c r="AB373" s="115">
        <v>0</v>
      </c>
      <c r="AC373" s="115" t="s">
        <v>127</v>
      </c>
      <c r="AD373" s="115" t="s">
        <v>127</v>
      </c>
      <c r="AE373" s="115" t="s">
        <v>127</v>
      </c>
      <c r="AF373" s="115" t="s">
        <v>127</v>
      </c>
      <c r="AG373" s="4" t="s">
        <v>127</v>
      </c>
      <c r="AH373" s="4" t="s">
        <v>127</v>
      </c>
      <c r="AI373" s="4" t="s">
        <v>127</v>
      </c>
      <c r="AJ373" s="4" t="s">
        <v>127</v>
      </c>
      <c r="AK373" s="4" t="s">
        <v>127</v>
      </c>
      <c r="AL373" s="4" t="s">
        <v>127</v>
      </c>
      <c r="AM373" s="4" t="s">
        <v>127</v>
      </c>
      <c r="AN373" s="4" t="s">
        <v>127</v>
      </c>
      <c r="AO373" s="4" t="s">
        <v>127</v>
      </c>
      <c r="AP373" s="4" t="s">
        <v>127</v>
      </c>
      <c r="AQ373" s="4" t="s">
        <v>127</v>
      </c>
      <c r="AR373" s="4" t="s">
        <v>127</v>
      </c>
      <c r="AS373" s="4" t="s">
        <v>127</v>
      </c>
      <c r="AT373" s="4" t="s">
        <v>127</v>
      </c>
      <c r="AU373" s="4" t="s">
        <v>127</v>
      </c>
      <c r="AV373" s="4" t="s">
        <v>127</v>
      </c>
      <c r="AW373" s="4" t="s">
        <v>127</v>
      </c>
      <c r="AX373" s="4" t="s">
        <v>127</v>
      </c>
      <c r="AY373" s="111" t="s">
        <v>1869</v>
      </c>
      <c r="AZ373" s="4" t="s">
        <v>127</v>
      </c>
      <c r="BA373" s="4" t="s">
        <v>127</v>
      </c>
      <c r="BB373" s="4" t="s">
        <v>1929</v>
      </c>
      <c r="BC373" s="4" t="s">
        <v>127</v>
      </c>
      <c r="BD373" s="4" t="s">
        <v>127</v>
      </c>
      <c r="BE373" s="4" t="s">
        <v>127</v>
      </c>
      <c r="BF373" s="113"/>
      <c r="BG373" s="4"/>
      <c r="BH373" s="4"/>
      <c r="BI373" s="4"/>
      <c r="BJ373" s="4"/>
      <c r="BK373" s="4"/>
      <c r="BL373" s="4"/>
      <c r="BM373" s="4"/>
      <c r="BN373" s="4"/>
      <c r="BO373" s="4"/>
      <c r="BP373" s="4"/>
      <c r="BQ373" s="4"/>
      <c r="BR373" s="4"/>
      <c r="BS373" s="4"/>
      <c r="BT373" s="4"/>
    </row>
    <row r="374" spans="1:72" ht="16" x14ac:dyDescent="0.4">
      <c r="A374" s="4" t="s">
        <v>1921</v>
      </c>
      <c r="B374" s="4" t="s">
        <v>1930</v>
      </c>
      <c r="C374" s="4" t="s">
        <v>127</v>
      </c>
      <c r="D374" s="4" t="s">
        <v>128</v>
      </c>
      <c r="E374" s="190">
        <v>45966</v>
      </c>
      <c r="F374" s="4">
        <v>2025</v>
      </c>
      <c r="G374" s="4" t="s">
        <v>1931</v>
      </c>
      <c r="H374" s="22" t="str">
        <f>VLOOKUP($G374,'Item Classification'!B:C,2,0)</f>
        <v>Communication and digitalisation</v>
      </c>
      <c r="I374" s="6" t="str">
        <f>VLOOKUP($G374,'Item Classification'!B:D,3,0)</f>
        <v>Modernisation</v>
      </c>
      <c r="J374" s="23">
        <f>VLOOKUP($G374,'Item Classification'!B:E,4,0)</f>
        <v>13</v>
      </c>
      <c r="K374" s="116" t="s">
        <v>158</v>
      </c>
      <c r="L374" s="116" t="s">
        <v>174</v>
      </c>
      <c r="M374" s="116" t="str">
        <f>VLOOKUP(L374,'NATO Classifications'!$D$6:$E$647,2,0)</f>
        <v>Communication, Detection, and Coherent Radiation Equipment (other)</v>
      </c>
      <c r="N374" s="4"/>
      <c r="O374" s="4"/>
      <c r="P374" s="4"/>
      <c r="Q374" s="4"/>
      <c r="R374" s="4"/>
      <c r="S374" s="112"/>
      <c r="T374" s="91" t="s">
        <v>132</v>
      </c>
      <c r="U374" s="104">
        <f>_xlfn.IFNA(S374/INDEX('Exchange Rates'!$C$7:$F$14,MATCH('MAIN DATA, Orders'!F374,'Exchange Rates'!$B$7:$B$14,0),MATCH('MAIN DATA, Orders'!T374,'Exchange Rates'!$C$6:$F$6,0)), "-")</f>
        <v>0</v>
      </c>
      <c r="V374" s="4" t="s">
        <v>127</v>
      </c>
      <c r="W374" s="4" t="s">
        <v>127</v>
      </c>
      <c r="X374" s="4" t="s">
        <v>128</v>
      </c>
      <c r="Y374" s="24">
        <f t="shared" si="37"/>
        <v>202511</v>
      </c>
      <c r="Z374" s="115">
        <v>1</v>
      </c>
      <c r="AA374" s="115">
        <v>1</v>
      </c>
      <c r="AB374" s="115">
        <v>0</v>
      </c>
      <c r="AC374" s="115">
        <v>1</v>
      </c>
      <c r="AD374" s="115">
        <v>0</v>
      </c>
      <c r="AE374" s="115">
        <v>0</v>
      </c>
      <c r="AF374" s="115">
        <v>0</v>
      </c>
      <c r="AG374" s="4" t="s">
        <v>507</v>
      </c>
      <c r="AH374" s="4" t="s">
        <v>128</v>
      </c>
      <c r="AI374" s="4" t="s">
        <v>127</v>
      </c>
      <c r="AJ374" s="4" t="s">
        <v>127</v>
      </c>
      <c r="AK374" s="4" t="s">
        <v>127</v>
      </c>
      <c r="AL374" s="4" t="s">
        <v>127</v>
      </c>
      <c r="AM374" s="4" t="s">
        <v>127</v>
      </c>
      <c r="AN374" s="4" t="s">
        <v>127</v>
      </c>
      <c r="AO374" s="4" t="s">
        <v>127</v>
      </c>
      <c r="AP374" s="4" t="s">
        <v>127</v>
      </c>
      <c r="AQ374" s="4" t="s">
        <v>127</v>
      </c>
      <c r="AR374" s="4" t="s">
        <v>127</v>
      </c>
      <c r="AS374" s="4" t="s">
        <v>127</v>
      </c>
      <c r="AT374" s="4" t="s">
        <v>127</v>
      </c>
      <c r="AU374" s="4" t="s">
        <v>127</v>
      </c>
      <c r="AV374" s="4" t="s">
        <v>127</v>
      </c>
      <c r="AW374" s="4" t="s">
        <v>127</v>
      </c>
      <c r="AX374" s="4" t="s">
        <v>127</v>
      </c>
      <c r="AY374" s="111" t="s">
        <v>1869</v>
      </c>
      <c r="AZ374" s="4" t="s">
        <v>127</v>
      </c>
      <c r="BA374" s="4" t="s">
        <v>127</v>
      </c>
      <c r="BB374" s="4" t="s">
        <v>1932</v>
      </c>
      <c r="BC374" s="4" t="s">
        <v>127</v>
      </c>
      <c r="BD374" s="4" t="s">
        <v>127</v>
      </c>
      <c r="BE374" s="4" t="s">
        <v>127</v>
      </c>
      <c r="BF374" s="113"/>
      <c r="BG374" s="4"/>
      <c r="BH374" s="4"/>
      <c r="BI374" s="4"/>
      <c r="BJ374" s="4"/>
      <c r="BK374" s="4"/>
      <c r="BL374" s="4"/>
      <c r="BM374" s="4"/>
      <c r="BN374" s="4"/>
      <c r="BO374" s="4"/>
      <c r="BP374" s="4"/>
      <c r="BQ374" s="4"/>
      <c r="BR374" s="4"/>
      <c r="BS374" s="4"/>
      <c r="BT374" s="4"/>
    </row>
    <row r="375" spans="1:72" ht="16" x14ac:dyDescent="0.4">
      <c r="A375" s="4" t="s">
        <v>1921</v>
      </c>
      <c r="B375" s="4" t="s">
        <v>1933</v>
      </c>
      <c r="C375" s="4" t="s">
        <v>127</v>
      </c>
      <c r="D375" s="4" t="s">
        <v>128</v>
      </c>
      <c r="E375" s="190">
        <v>45966</v>
      </c>
      <c r="F375" s="4">
        <v>2025</v>
      </c>
      <c r="G375" s="4" t="s">
        <v>1934</v>
      </c>
      <c r="H375" s="22" t="str">
        <f>VLOOKUP($G375,'Item Classification'!B:C,2,0)</f>
        <v>Communication and digitalisation</v>
      </c>
      <c r="I375" s="6" t="str">
        <f>VLOOKUP($G375,'Item Classification'!B:D,3,0)</f>
        <v>Modernisation</v>
      </c>
      <c r="J375" s="23">
        <f>VLOOKUP($G375,'Item Classification'!B:E,4,0)</f>
        <v>13</v>
      </c>
      <c r="K375" s="194" t="s">
        <v>158</v>
      </c>
      <c r="L375" s="116" t="s">
        <v>567</v>
      </c>
      <c r="M375" s="116" t="str">
        <f>VLOOKUP(L375,'NATO Classifications'!$D$6:$E$647,2,0)</f>
        <v>Communication, Detection, and Coherent Radiation Equipment (other)</v>
      </c>
      <c r="N375" s="4"/>
      <c r="O375" s="4"/>
      <c r="P375" s="4"/>
      <c r="Q375" s="4"/>
      <c r="R375" s="4"/>
      <c r="S375" s="112"/>
      <c r="T375" s="91" t="s">
        <v>132</v>
      </c>
      <c r="U375" s="104">
        <f>_xlfn.IFNA(S375/INDEX('Exchange Rates'!$C$7:$F$14,MATCH('MAIN DATA, Orders'!F375,'Exchange Rates'!$B$7:$B$14,0),MATCH('MAIN DATA, Orders'!T375,'Exchange Rates'!$C$6:$F$6,0)), "-")</f>
        <v>0</v>
      </c>
      <c r="V375" s="4" t="s">
        <v>133</v>
      </c>
      <c r="W375" s="4" t="s">
        <v>127</v>
      </c>
      <c r="X375" s="4" t="s">
        <v>128</v>
      </c>
      <c r="Y375" s="24">
        <f t="shared" si="37"/>
        <v>202511</v>
      </c>
      <c r="Z375" s="115">
        <v>0</v>
      </c>
      <c r="AA375" s="115">
        <v>1</v>
      </c>
      <c r="AB375" s="115">
        <v>0</v>
      </c>
      <c r="AC375" s="115">
        <v>1</v>
      </c>
      <c r="AD375" s="115">
        <v>0</v>
      </c>
      <c r="AE375" s="115">
        <v>0</v>
      </c>
      <c r="AF375" s="115">
        <v>0</v>
      </c>
      <c r="AG375" s="4" t="s">
        <v>1935</v>
      </c>
      <c r="AH375" s="4" t="s">
        <v>128</v>
      </c>
      <c r="AI375" s="4" t="s">
        <v>128</v>
      </c>
      <c r="AJ375" s="4" t="s">
        <v>127</v>
      </c>
      <c r="AK375" s="4" t="s">
        <v>127</v>
      </c>
      <c r="AL375" s="4" t="s">
        <v>127</v>
      </c>
      <c r="AM375" s="4" t="s">
        <v>127</v>
      </c>
      <c r="AN375" s="4" t="s">
        <v>127</v>
      </c>
      <c r="AO375" s="4" t="s">
        <v>127</v>
      </c>
      <c r="AP375" s="4" t="s">
        <v>127</v>
      </c>
      <c r="AQ375" s="4" t="s">
        <v>127</v>
      </c>
      <c r="AR375" s="4" t="s">
        <v>127</v>
      </c>
      <c r="AS375" s="4" t="s">
        <v>127</v>
      </c>
      <c r="AT375" s="4" t="s">
        <v>127</v>
      </c>
      <c r="AU375" s="4" t="s">
        <v>127</v>
      </c>
      <c r="AV375" s="4" t="s">
        <v>127</v>
      </c>
      <c r="AW375" s="4" t="s">
        <v>127</v>
      </c>
      <c r="AX375" s="4" t="s">
        <v>127</v>
      </c>
      <c r="AY375" s="111" t="s">
        <v>1869</v>
      </c>
      <c r="AZ375" s="96" t="s">
        <v>1885</v>
      </c>
      <c r="BA375" s="4" t="s">
        <v>127</v>
      </c>
      <c r="BB375" s="4" t="s">
        <v>1936</v>
      </c>
      <c r="BC375" s="4" t="s">
        <v>127</v>
      </c>
      <c r="BD375" s="4" t="s">
        <v>127</v>
      </c>
      <c r="BE375" s="4" t="s">
        <v>127</v>
      </c>
      <c r="BF375" s="113"/>
      <c r="BG375" s="4"/>
      <c r="BH375" s="4"/>
      <c r="BI375" s="4"/>
      <c r="BJ375" s="4"/>
      <c r="BK375" s="4"/>
      <c r="BL375" s="4"/>
      <c r="BM375" s="4"/>
      <c r="BN375" s="4"/>
      <c r="BO375" s="4"/>
      <c r="BP375" s="4"/>
      <c r="BQ375" s="4"/>
      <c r="BR375" s="4"/>
      <c r="BS375" s="4"/>
      <c r="BT375" s="4"/>
    </row>
    <row r="376" spans="1:72" ht="16" x14ac:dyDescent="0.4">
      <c r="A376" s="4" t="s">
        <v>1937</v>
      </c>
      <c r="B376" s="4" t="s">
        <v>1937</v>
      </c>
      <c r="C376" s="4" t="s">
        <v>127</v>
      </c>
      <c r="D376" s="4" t="s">
        <v>128</v>
      </c>
      <c r="E376" s="190">
        <v>45974</v>
      </c>
      <c r="F376" s="4">
        <v>2025</v>
      </c>
      <c r="G376" s="4" t="s">
        <v>1121</v>
      </c>
      <c r="H376" s="22" t="str">
        <f>VLOOKUP($G376,'Item Classification'!B:C,2,0)</f>
        <v>Light attack helicopter</v>
      </c>
      <c r="I376" s="6" t="str">
        <f>VLOOKUP($G376,'Item Classification'!B:D,3,0)</f>
        <v>Helicopter</v>
      </c>
      <c r="J376" s="23">
        <f>VLOOKUP($G376,'Item Classification'!B:E,4,0)</f>
        <v>10</v>
      </c>
      <c r="K376" s="116" t="s">
        <v>130</v>
      </c>
      <c r="L376" s="116" t="s">
        <v>266</v>
      </c>
      <c r="M376" s="116" t="str">
        <f>VLOOKUP(L376,'NATO Classifications'!$D$6:$E$647,2,0)</f>
        <v>Aircraft, Rotary Wing</v>
      </c>
      <c r="N376" s="4">
        <v>20</v>
      </c>
      <c r="O376" s="81">
        <f t="shared" ref="O376" si="52">S376/N376</f>
        <v>50000000</v>
      </c>
      <c r="P376" s="81">
        <f t="shared" ref="P376" si="53">U376/N376</f>
        <v>50000000</v>
      </c>
      <c r="Q376" s="4">
        <v>2027</v>
      </c>
      <c r="R376" s="4">
        <v>2029</v>
      </c>
      <c r="S376" s="112">
        <v>1000000000</v>
      </c>
      <c r="T376" s="91" t="s">
        <v>132</v>
      </c>
      <c r="U376" s="104">
        <f>_xlfn.IFNA(S376/INDEX('Exchange Rates'!$C$7:$F$14,MATCH('MAIN DATA, Orders'!F376,'Exchange Rates'!$B$7:$B$14,0),MATCH('MAIN DATA, Orders'!T376,'Exchange Rates'!$C$6:$F$6,0)), "-")</f>
        <v>1000000000</v>
      </c>
      <c r="V376" s="4" t="s">
        <v>127</v>
      </c>
      <c r="W376" s="4" t="s">
        <v>127</v>
      </c>
      <c r="X376" s="4" t="s">
        <v>128</v>
      </c>
      <c r="Y376" s="24">
        <f t="shared" si="37"/>
        <v>202511</v>
      </c>
      <c r="Z376" s="115">
        <v>1</v>
      </c>
      <c r="AA376" s="115">
        <v>0</v>
      </c>
      <c r="AB376" s="115">
        <v>0</v>
      </c>
      <c r="AC376" s="115">
        <v>1</v>
      </c>
      <c r="AD376" s="115">
        <v>1</v>
      </c>
      <c r="AE376" s="115">
        <v>0</v>
      </c>
      <c r="AF376" s="115">
        <v>1</v>
      </c>
      <c r="AG376" s="4" t="s">
        <v>267</v>
      </c>
      <c r="AH376" s="4" t="s">
        <v>128</v>
      </c>
      <c r="AI376" s="4" t="s">
        <v>127</v>
      </c>
      <c r="AJ376" s="4" t="s">
        <v>127</v>
      </c>
      <c r="AK376" s="4" t="s">
        <v>127</v>
      </c>
      <c r="AL376" s="4" t="s">
        <v>127</v>
      </c>
      <c r="AM376" s="4" t="s">
        <v>127</v>
      </c>
      <c r="AN376" s="4" t="s">
        <v>151</v>
      </c>
      <c r="AO376" s="4" t="s">
        <v>127</v>
      </c>
      <c r="AP376" s="4" t="s">
        <v>127</v>
      </c>
      <c r="AQ376" s="4" t="s">
        <v>127</v>
      </c>
      <c r="AR376" s="4" t="s">
        <v>127</v>
      </c>
      <c r="AS376" s="4" t="s">
        <v>127</v>
      </c>
      <c r="AT376" s="4" t="s">
        <v>127</v>
      </c>
      <c r="AU376" s="4" t="s">
        <v>127</v>
      </c>
      <c r="AV376" s="4" t="s">
        <v>127</v>
      </c>
      <c r="AW376" s="4" t="s">
        <v>127</v>
      </c>
      <c r="AX376" s="4" t="s">
        <v>127</v>
      </c>
      <c r="AY376" s="111" t="s">
        <v>1938</v>
      </c>
      <c r="AZ376" s="96" t="s">
        <v>1939</v>
      </c>
      <c r="BA376" s="4" t="s">
        <v>127</v>
      </c>
      <c r="BB376" s="4" t="s">
        <v>1940</v>
      </c>
      <c r="BC376" s="4" t="s">
        <v>127</v>
      </c>
      <c r="BD376" s="4" t="s">
        <v>127</v>
      </c>
      <c r="BE376" s="113"/>
      <c r="BF376" s="113"/>
      <c r="BG376" s="4"/>
      <c r="BH376" s="4"/>
      <c r="BI376" s="4"/>
      <c r="BJ376" s="4"/>
      <c r="BK376" s="4"/>
      <c r="BL376" s="4"/>
      <c r="BM376" s="4"/>
      <c r="BN376" s="4"/>
      <c r="BO376" s="4"/>
      <c r="BP376" s="4"/>
      <c r="BQ376" s="4"/>
      <c r="BR376" s="4"/>
      <c r="BS376" s="4"/>
      <c r="BT376" s="4"/>
    </row>
    <row r="377" spans="1:72" ht="16" x14ac:dyDescent="0.4">
      <c r="A377" s="4" t="s">
        <v>1941</v>
      </c>
      <c r="B377" s="4" t="s">
        <v>1941</v>
      </c>
      <c r="C377" s="4" t="s">
        <v>127</v>
      </c>
      <c r="D377" s="4" t="s">
        <v>128</v>
      </c>
      <c r="E377" s="190">
        <v>45974</v>
      </c>
      <c r="F377" s="4">
        <v>2025</v>
      </c>
      <c r="G377" s="4" t="s">
        <v>1942</v>
      </c>
      <c r="H377" s="22" t="str">
        <f>VLOOKUP($G377,'Item Classification'!B:C,2,0)</f>
        <v>Surface-to-air missile (SAM)</v>
      </c>
      <c r="I377" s="6" t="str">
        <f>VLOOKUP($G377,'Item Classification'!B:D,3,0)</f>
        <v>Missile (Land)</v>
      </c>
      <c r="J377" s="23">
        <f>VLOOKUP($G377,'Item Classification'!B:E,4,0)</f>
        <v>6</v>
      </c>
      <c r="K377" s="116" t="s">
        <v>211</v>
      </c>
      <c r="L377" s="116" t="s">
        <v>326</v>
      </c>
      <c r="M377" s="116" t="str">
        <f>VLOOKUP(L377,'NATO Classifications'!$D$6:$E$647,2,0)</f>
        <v>Guided Missile Systems, Complete</v>
      </c>
      <c r="N377" s="4"/>
      <c r="O377" s="4"/>
      <c r="P377" s="4"/>
      <c r="Q377" s="4"/>
      <c r="R377" s="4"/>
      <c r="S377" s="112">
        <v>2000000000</v>
      </c>
      <c r="T377" s="91" t="s">
        <v>132</v>
      </c>
      <c r="U377" s="104">
        <f>_xlfn.IFNA(S377/INDEX('Exchange Rates'!$C$7:$F$14,MATCH('MAIN DATA, Orders'!F377,'Exchange Rates'!$B$7:$B$14,0),MATCH('MAIN DATA, Orders'!T377,'Exchange Rates'!$C$6:$F$6,0)), "-")</f>
        <v>2000000000</v>
      </c>
      <c r="V377" s="4" t="s">
        <v>127</v>
      </c>
      <c r="W377" s="4" t="s">
        <v>127</v>
      </c>
      <c r="X377" s="4" t="s">
        <v>128</v>
      </c>
      <c r="Y377" s="24">
        <f t="shared" si="37"/>
        <v>202511</v>
      </c>
      <c r="Z377" s="115">
        <v>1</v>
      </c>
      <c r="AA377" s="115">
        <v>0</v>
      </c>
      <c r="AB377" s="115">
        <v>0</v>
      </c>
      <c r="AC377" s="115">
        <v>1</v>
      </c>
      <c r="AD377" s="115">
        <v>1</v>
      </c>
      <c r="AE377" s="115">
        <v>0</v>
      </c>
      <c r="AF377" s="115">
        <v>1</v>
      </c>
      <c r="AG377" s="4" t="s">
        <v>191</v>
      </c>
      <c r="AH377" s="4" t="s">
        <v>128</v>
      </c>
      <c r="AI377" s="4" t="s">
        <v>127</v>
      </c>
      <c r="AJ377" s="4" t="s">
        <v>127</v>
      </c>
      <c r="AK377" s="4" t="s">
        <v>127</v>
      </c>
      <c r="AL377" s="4" t="s">
        <v>127</v>
      </c>
      <c r="AM377" s="4" t="s">
        <v>127</v>
      </c>
      <c r="AN377" s="4" t="s">
        <v>372</v>
      </c>
      <c r="AO377" s="4" t="s">
        <v>197</v>
      </c>
      <c r="AP377" s="4" t="s">
        <v>468</v>
      </c>
      <c r="AQ377" s="4" t="s">
        <v>830</v>
      </c>
      <c r="AR377" s="4" t="s">
        <v>213</v>
      </c>
      <c r="AS377" s="4" t="s">
        <v>162</v>
      </c>
      <c r="AT377" s="4" t="s">
        <v>127</v>
      </c>
      <c r="AU377" s="4" t="s">
        <v>127</v>
      </c>
      <c r="AV377" s="4" t="s">
        <v>127</v>
      </c>
      <c r="AW377" s="4" t="s">
        <v>127</v>
      </c>
      <c r="AX377" s="4" t="s">
        <v>127</v>
      </c>
      <c r="AY377" s="111" t="s">
        <v>1938</v>
      </c>
      <c r="AZ377" s="96" t="s">
        <v>1939</v>
      </c>
      <c r="BA377" s="4" t="s">
        <v>127</v>
      </c>
      <c r="BB377" s="4" t="s">
        <v>1943</v>
      </c>
      <c r="BC377" s="4" t="s">
        <v>127</v>
      </c>
      <c r="BD377" s="4" t="s">
        <v>127</v>
      </c>
      <c r="BE377" s="113"/>
      <c r="BF377" s="113"/>
      <c r="BG377" s="4"/>
      <c r="BH377" s="4"/>
      <c r="BI377" s="4"/>
      <c r="BJ377" s="4"/>
      <c r="BK377" s="4"/>
      <c r="BL377" s="4"/>
      <c r="BM377" s="4"/>
      <c r="BN377" s="4"/>
      <c r="BO377" s="4"/>
      <c r="BP377" s="4"/>
      <c r="BQ377" s="4"/>
      <c r="BR377" s="4"/>
      <c r="BS377" s="4"/>
      <c r="BT377" s="4"/>
    </row>
    <row r="378" spans="1:72" ht="16" x14ac:dyDescent="0.4">
      <c r="A378" s="4" t="s">
        <v>1944</v>
      </c>
      <c r="B378" s="4" t="s">
        <v>1944</v>
      </c>
      <c r="C378" s="4" t="s">
        <v>127</v>
      </c>
      <c r="D378" s="4" t="s">
        <v>128</v>
      </c>
      <c r="E378" s="190">
        <v>45974</v>
      </c>
      <c r="F378" s="4">
        <v>2025</v>
      </c>
      <c r="G378" s="4" t="s">
        <v>1945</v>
      </c>
      <c r="H378" s="22" t="str">
        <f>VLOOKUP($G378,'Item Classification'!B:C,2,0)</f>
        <v>Fighter jet development</v>
      </c>
      <c r="I378" s="6" t="str">
        <f>VLOOKUP($G378,'Item Classification'!B:D,3,0)</f>
        <v>Development - Aircraft</v>
      </c>
      <c r="J378" s="23">
        <f>VLOOKUP($G378,'Item Classification'!B:E,4,0)</f>
        <v>16</v>
      </c>
      <c r="K378" s="116" t="s">
        <v>130</v>
      </c>
      <c r="L378" s="116" t="s">
        <v>237</v>
      </c>
      <c r="M378" s="116" t="str">
        <f>VLOOKUP(L378,'NATO Classifications'!$D$6:$E$647,2,0)</f>
        <v>Aircraft, Fixed Wing</v>
      </c>
      <c r="N378" s="4"/>
      <c r="O378" s="4"/>
      <c r="P378" s="4"/>
      <c r="Q378" s="4"/>
      <c r="R378" s="4"/>
      <c r="S378" s="112">
        <v>140000000</v>
      </c>
      <c r="T378" s="91" t="s">
        <v>132</v>
      </c>
      <c r="U378" s="104">
        <f>_xlfn.IFNA(S378/INDEX('Exchange Rates'!$C$7:$F$14,MATCH('MAIN DATA, Orders'!F378,'Exchange Rates'!$B$7:$B$14,0),MATCH('MAIN DATA, Orders'!T378,'Exchange Rates'!$C$6:$F$6,0)), "-")</f>
        <v>140000000</v>
      </c>
      <c r="V378" s="4" t="s">
        <v>127</v>
      </c>
      <c r="W378" s="4" t="s">
        <v>127</v>
      </c>
      <c r="X378" s="4" t="s">
        <v>128</v>
      </c>
      <c r="Y378" s="24">
        <f t="shared" si="37"/>
        <v>202511</v>
      </c>
      <c r="Z378" s="115">
        <v>0</v>
      </c>
      <c r="AA378" s="115">
        <v>0</v>
      </c>
      <c r="AB378" s="115">
        <v>0</v>
      </c>
      <c r="AC378" s="115">
        <v>1</v>
      </c>
      <c r="AD378" s="115">
        <v>1</v>
      </c>
      <c r="AE378" s="115">
        <v>0</v>
      </c>
      <c r="AF378" s="115">
        <v>1</v>
      </c>
      <c r="AG378" s="4" t="s">
        <v>1656</v>
      </c>
      <c r="AH378" s="4" t="s">
        <v>128</v>
      </c>
      <c r="AI378" s="4" t="s">
        <v>127</v>
      </c>
      <c r="AJ378" s="4" t="s">
        <v>127</v>
      </c>
      <c r="AK378" s="4" t="s">
        <v>127</v>
      </c>
      <c r="AL378" s="4" t="s">
        <v>127</v>
      </c>
      <c r="AM378" s="4" t="s">
        <v>127</v>
      </c>
      <c r="AN378" s="4" t="s">
        <v>162</v>
      </c>
      <c r="AO378" s="4" t="s">
        <v>127</v>
      </c>
      <c r="AP378" s="4" t="s">
        <v>127</v>
      </c>
      <c r="AQ378" s="4" t="s">
        <v>127</v>
      </c>
      <c r="AR378" s="4" t="s">
        <v>127</v>
      </c>
      <c r="AS378" s="4" t="s">
        <v>127</v>
      </c>
      <c r="AT378" s="4" t="s">
        <v>127</v>
      </c>
      <c r="AU378" s="4" t="s">
        <v>127</v>
      </c>
      <c r="AV378" s="4" t="s">
        <v>127</v>
      </c>
      <c r="AW378" s="4" t="s">
        <v>127</v>
      </c>
      <c r="AX378" s="4" t="s">
        <v>127</v>
      </c>
      <c r="AY378" s="111" t="s">
        <v>1938</v>
      </c>
      <c r="AZ378" s="96" t="s">
        <v>1939</v>
      </c>
      <c r="BA378" s="4" t="s">
        <v>127</v>
      </c>
      <c r="BB378" s="4" t="s">
        <v>1946</v>
      </c>
      <c r="BC378" s="4" t="s">
        <v>127</v>
      </c>
      <c r="BD378" s="4" t="s">
        <v>127</v>
      </c>
      <c r="BE378" s="113"/>
      <c r="BF378" s="113"/>
      <c r="BG378" s="4"/>
      <c r="BH378" s="4"/>
      <c r="BI378" s="4"/>
      <c r="BJ378" s="4"/>
      <c r="BK378" s="4"/>
      <c r="BL378" s="4"/>
      <c r="BM378" s="4"/>
      <c r="BN378" s="4"/>
      <c r="BO378" s="4"/>
      <c r="BP378" s="4"/>
      <c r="BQ378" s="4"/>
      <c r="BR378" s="4"/>
      <c r="BS378" s="4"/>
      <c r="BT378" s="4"/>
    </row>
    <row r="379" spans="1:72" ht="16" x14ac:dyDescent="0.4">
      <c r="A379" s="4" t="s">
        <v>1947</v>
      </c>
      <c r="B379" s="4" t="s">
        <v>1947</v>
      </c>
      <c r="C379" s="4" t="s">
        <v>127</v>
      </c>
      <c r="D379" s="4" t="s">
        <v>128</v>
      </c>
      <c r="E379" s="190">
        <v>45974</v>
      </c>
      <c r="F379" s="4">
        <v>2025</v>
      </c>
      <c r="G379" s="4" t="s">
        <v>1948</v>
      </c>
      <c r="H379" s="22" t="str">
        <f>VLOOKUP($G379,'Item Classification'!B:C,2,0)</f>
        <v>Military equipment</v>
      </c>
      <c r="I379" s="6" t="str">
        <f>VLOOKUP($G379,'Item Classification'!B:D,3,0)</f>
        <v>Other</v>
      </c>
      <c r="J379" s="23">
        <f>VLOOKUP($G379,'Item Classification'!B:E,4,0)</f>
        <v>16</v>
      </c>
      <c r="K379" s="116" t="s">
        <v>763</v>
      </c>
      <c r="L379" s="116" t="s">
        <v>1949</v>
      </c>
      <c r="M379" s="116" t="str">
        <f>VLOOKUP(L379,'NATO Classifications'!$D$6:$E$647,2,0)</f>
        <v>Weapons (other)</v>
      </c>
      <c r="N379" s="4"/>
      <c r="O379" s="4"/>
      <c r="P379" s="4"/>
      <c r="Q379" s="4"/>
      <c r="R379" s="4"/>
      <c r="S379" s="112">
        <v>170000000</v>
      </c>
      <c r="T379" s="91" t="s">
        <v>132</v>
      </c>
      <c r="U379" s="104">
        <f>_xlfn.IFNA(S379/INDEX('Exchange Rates'!$C$7:$F$14,MATCH('MAIN DATA, Orders'!F379,'Exchange Rates'!$B$7:$B$14,0),MATCH('MAIN DATA, Orders'!T379,'Exchange Rates'!$C$6:$F$6,0)), "-")</f>
        <v>170000000</v>
      </c>
      <c r="V379" s="4" t="s">
        <v>127</v>
      </c>
      <c r="W379" s="4" t="s">
        <v>127</v>
      </c>
      <c r="X379" s="4" t="s">
        <v>128</v>
      </c>
      <c r="Y379" s="24">
        <f t="shared" si="37"/>
        <v>202511</v>
      </c>
      <c r="Z379" s="115">
        <v>1</v>
      </c>
      <c r="AA379" s="115">
        <v>0</v>
      </c>
      <c r="AB379" s="115">
        <v>0</v>
      </c>
      <c r="AC379" s="115">
        <v>1</v>
      </c>
      <c r="AD379" s="115">
        <v>0</v>
      </c>
      <c r="AE379" s="115">
        <v>0</v>
      </c>
      <c r="AF379" s="115">
        <v>0</v>
      </c>
      <c r="AG379" s="4" t="s">
        <v>1950</v>
      </c>
      <c r="AH379" s="4" t="s">
        <v>1222</v>
      </c>
      <c r="AI379" s="4" t="s">
        <v>1222</v>
      </c>
      <c r="AJ379" s="4" t="s">
        <v>127</v>
      </c>
      <c r="AK379" s="4" t="s">
        <v>127</v>
      </c>
      <c r="AL379" s="4" t="s">
        <v>127</v>
      </c>
      <c r="AM379" s="4" t="s">
        <v>127</v>
      </c>
      <c r="AN379" s="4" t="s">
        <v>127</v>
      </c>
      <c r="AO379" s="4" t="s">
        <v>127</v>
      </c>
      <c r="AP379" s="4" t="s">
        <v>127</v>
      </c>
      <c r="AQ379" s="4" t="s">
        <v>127</v>
      </c>
      <c r="AR379" s="4" t="s">
        <v>127</v>
      </c>
      <c r="AS379" s="4" t="s">
        <v>127</v>
      </c>
      <c r="AT379" s="4" t="s">
        <v>127</v>
      </c>
      <c r="AU379" s="4" t="s">
        <v>127</v>
      </c>
      <c r="AV379" s="4" t="s">
        <v>127</v>
      </c>
      <c r="AW379" s="4" t="s">
        <v>127</v>
      </c>
      <c r="AX379" s="4" t="s">
        <v>127</v>
      </c>
      <c r="AY379" s="111" t="s">
        <v>1938</v>
      </c>
      <c r="AZ379" s="96" t="s">
        <v>1939</v>
      </c>
      <c r="BA379" s="96" t="s">
        <v>1951</v>
      </c>
      <c r="BB379" s="6" t="s">
        <v>1952</v>
      </c>
      <c r="BC379" s="4" t="s">
        <v>1953</v>
      </c>
      <c r="BD379" s="4" t="s">
        <v>1954</v>
      </c>
      <c r="BE379" s="4" t="s">
        <v>127</v>
      </c>
      <c r="BF379" s="113"/>
      <c r="BG379" s="4"/>
      <c r="BH379" s="4"/>
      <c r="BI379" s="4"/>
      <c r="BJ379" s="4"/>
      <c r="BK379" s="4"/>
      <c r="BL379" s="4"/>
      <c r="BM379" s="4"/>
      <c r="BN379" s="4"/>
      <c r="BO379" s="4"/>
      <c r="BP379" s="4"/>
      <c r="BQ379" s="4"/>
      <c r="BR379" s="4"/>
      <c r="BS379" s="4"/>
      <c r="BT379" s="4"/>
    </row>
    <row r="380" spans="1:72" ht="16" x14ac:dyDescent="0.4">
      <c r="A380" s="4" t="s">
        <v>1955</v>
      </c>
      <c r="B380" s="4" t="s">
        <v>1955</v>
      </c>
      <c r="C380" s="4" t="s">
        <v>127</v>
      </c>
      <c r="D380" s="4" t="s">
        <v>128</v>
      </c>
      <c r="E380" s="190">
        <v>45974</v>
      </c>
      <c r="F380" s="4">
        <v>2025</v>
      </c>
      <c r="G380" s="4" t="s">
        <v>368</v>
      </c>
      <c r="H380" s="22" t="str">
        <f>VLOOKUP($G380,'Item Classification'!B:C,2,0)</f>
        <v>Military equipment</v>
      </c>
      <c r="I380" s="6" t="str">
        <f>VLOOKUP($G380,'Item Classification'!B:D,3,0)</f>
        <v>Other</v>
      </c>
      <c r="J380" s="23">
        <f>VLOOKUP($G380,'Item Classification'!B:E,4,0)</f>
        <v>16</v>
      </c>
      <c r="K380" s="116" t="s">
        <v>158</v>
      </c>
      <c r="L380" s="116" t="s">
        <v>369</v>
      </c>
      <c r="M380" s="116" t="str">
        <f>VLOOKUP(L380,'NATO Classifications'!$D$6:$E$647,2,0)</f>
        <v>Communication, Detection, and Coherent Radiation Equipment (other)</v>
      </c>
      <c r="N380" s="4">
        <v>100000</v>
      </c>
      <c r="O380" s="81">
        <f t="shared" ref="O380" si="54">S380/N380</f>
        <v>9500</v>
      </c>
      <c r="P380" s="81">
        <f t="shared" ref="P380" si="55">U380/N380</f>
        <v>9500</v>
      </c>
      <c r="Q380" s="4"/>
      <c r="R380" s="4"/>
      <c r="S380" s="112">
        <v>950000000</v>
      </c>
      <c r="T380" s="91" t="s">
        <v>132</v>
      </c>
      <c r="U380" s="104">
        <f>_xlfn.IFNA(S380/INDEX('Exchange Rates'!$C$7:$F$14,MATCH('MAIN DATA, Orders'!F380,'Exchange Rates'!$B$7:$B$14,0),MATCH('MAIN DATA, Orders'!T380,'Exchange Rates'!$C$6:$F$6,0)), "-")</f>
        <v>950000000</v>
      </c>
      <c r="V380" s="4" t="s">
        <v>127</v>
      </c>
      <c r="W380" s="4" t="s">
        <v>127</v>
      </c>
      <c r="X380" s="4" t="s">
        <v>128</v>
      </c>
      <c r="Y380" s="24">
        <f t="shared" si="37"/>
        <v>202511</v>
      </c>
      <c r="Z380" s="115">
        <v>1</v>
      </c>
      <c r="AA380" s="115">
        <v>0</v>
      </c>
      <c r="AB380" s="115">
        <v>0</v>
      </c>
      <c r="AC380" s="115">
        <v>1</v>
      </c>
      <c r="AD380" s="115">
        <v>1</v>
      </c>
      <c r="AE380" s="115">
        <v>0</v>
      </c>
      <c r="AF380" s="115">
        <v>1</v>
      </c>
      <c r="AG380" s="4" t="s">
        <v>370</v>
      </c>
      <c r="AH380" s="4" t="s">
        <v>128</v>
      </c>
      <c r="AI380" s="4" t="s">
        <v>127</v>
      </c>
      <c r="AJ380" s="4" t="s">
        <v>371</v>
      </c>
      <c r="AK380" s="4" t="s">
        <v>127</v>
      </c>
      <c r="AL380" s="4" t="s">
        <v>127</v>
      </c>
      <c r="AM380" s="4" t="s">
        <v>127</v>
      </c>
      <c r="AN380" s="4" t="s">
        <v>372</v>
      </c>
      <c r="AO380" s="4" t="s">
        <v>127</v>
      </c>
      <c r="AP380" s="4" t="s">
        <v>127</v>
      </c>
      <c r="AQ380" s="4" t="s">
        <v>127</v>
      </c>
      <c r="AR380" s="4" t="s">
        <v>127</v>
      </c>
      <c r="AS380" s="4" t="s">
        <v>127</v>
      </c>
      <c r="AT380" s="4" t="s">
        <v>127</v>
      </c>
      <c r="AU380" s="4" t="s">
        <v>127</v>
      </c>
      <c r="AV380" s="4" t="s">
        <v>127</v>
      </c>
      <c r="AW380" s="4" t="s">
        <v>127</v>
      </c>
      <c r="AX380" s="4" t="s">
        <v>127</v>
      </c>
      <c r="AY380" s="111" t="s">
        <v>1938</v>
      </c>
      <c r="AZ380" s="96" t="s">
        <v>1956</v>
      </c>
      <c r="BA380" s="96" t="s">
        <v>1957</v>
      </c>
      <c r="BB380" s="4" t="s">
        <v>1958</v>
      </c>
      <c r="BC380" s="4" t="s">
        <v>127</v>
      </c>
      <c r="BD380" s="4" t="s">
        <v>127</v>
      </c>
      <c r="BE380" s="4" t="s">
        <v>1959</v>
      </c>
      <c r="BF380" s="4" t="s">
        <v>127</v>
      </c>
      <c r="BG380" s="4"/>
      <c r="BH380" s="4"/>
      <c r="BI380" s="4"/>
      <c r="BJ380" s="4"/>
      <c r="BK380" s="4"/>
      <c r="BL380" s="4"/>
      <c r="BM380" s="4"/>
      <c r="BN380" s="4"/>
      <c r="BO380" s="4"/>
      <c r="BP380" s="4"/>
      <c r="BQ380" s="4"/>
      <c r="BR380" s="4"/>
      <c r="BS380" s="4"/>
      <c r="BT380" s="4"/>
    </row>
    <row r="381" spans="1:72" ht="16" x14ac:dyDescent="0.4">
      <c r="A381" s="4" t="s">
        <v>1960</v>
      </c>
      <c r="B381" s="4" t="s">
        <v>1960</v>
      </c>
      <c r="C381" s="4" t="s">
        <v>127</v>
      </c>
      <c r="D381" s="4" t="s">
        <v>128</v>
      </c>
      <c r="E381" s="190">
        <v>45994</v>
      </c>
      <c r="F381" s="4">
        <v>2025</v>
      </c>
      <c r="G381" s="4" t="s">
        <v>1631</v>
      </c>
      <c r="H381" s="22" t="str">
        <f>VLOOKUP($G381,'Item Classification'!B:C,2,0)</f>
        <v>Air-launched cruise missile</v>
      </c>
      <c r="I381" s="6" t="str">
        <f>VLOOKUP($G381,'Item Classification'!B:D,3,0)</f>
        <v>Missile (Air)</v>
      </c>
      <c r="J381" s="23">
        <f>VLOOKUP($G381,'Item Classification'!B:E,4,0)</f>
        <v>6</v>
      </c>
      <c r="K381" s="116" t="s">
        <v>211</v>
      </c>
      <c r="L381" s="116" t="s">
        <v>211</v>
      </c>
      <c r="M381" s="116" t="str">
        <f>VLOOKUP(L381,'NATO Classifications'!$D$6:$E$647,2,0)</f>
        <v>Guided Missiles</v>
      </c>
      <c r="N381" s="4"/>
      <c r="O381" s="4"/>
      <c r="P381" s="4"/>
      <c r="Q381" s="4"/>
      <c r="R381" s="4"/>
      <c r="S381" s="112">
        <v>445000000</v>
      </c>
      <c r="T381" s="91" t="s">
        <v>132</v>
      </c>
      <c r="U381" s="104">
        <f>_xlfn.IFNA(S381/INDEX('Exchange Rates'!$C$7:$F$14,MATCH('MAIN DATA, Orders'!F381,'Exchange Rates'!$B$7:$B$14,0),MATCH('MAIN DATA, Orders'!T381,'Exchange Rates'!$C$6:$F$6,0)), "-")</f>
        <v>445000000</v>
      </c>
      <c r="V381" s="4" t="s">
        <v>127</v>
      </c>
      <c r="W381" s="4" t="s">
        <v>127</v>
      </c>
      <c r="X381" s="4" t="s">
        <v>128</v>
      </c>
      <c r="Y381" s="24">
        <f t="shared" si="37"/>
        <v>202512</v>
      </c>
      <c r="Z381" s="115">
        <v>0</v>
      </c>
      <c r="AA381" s="115">
        <v>0</v>
      </c>
      <c r="AB381" s="115">
        <v>0</v>
      </c>
      <c r="AC381" s="115">
        <v>1</v>
      </c>
      <c r="AD381" s="115">
        <v>0</v>
      </c>
      <c r="AE381" s="115">
        <v>1</v>
      </c>
      <c r="AF381" s="115">
        <v>0</v>
      </c>
      <c r="AG381" s="4" t="s">
        <v>1632</v>
      </c>
      <c r="AH381" s="4" t="s">
        <v>468</v>
      </c>
      <c r="AI381" s="4" t="s">
        <v>468</v>
      </c>
      <c r="AJ381" s="4" t="s">
        <v>1633</v>
      </c>
      <c r="AK381" s="4" t="s">
        <v>127</v>
      </c>
      <c r="AL381" s="4" t="s">
        <v>127</v>
      </c>
      <c r="AM381" s="4" t="s">
        <v>127</v>
      </c>
      <c r="AN381" s="4" t="s">
        <v>196</v>
      </c>
      <c r="AO381" s="4" t="s">
        <v>127</v>
      </c>
      <c r="AP381" s="4" t="s">
        <v>127</v>
      </c>
      <c r="AQ381" s="4" t="s">
        <v>127</v>
      </c>
      <c r="AR381" s="4" t="s">
        <v>127</v>
      </c>
      <c r="AS381" s="4" t="s">
        <v>127</v>
      </c>
      <c r="AT381" s="4" t="s">
        <v>127</v>
      </c>
      <c r="AU381" s="4" t="s">
        <v>127</v>
      </c>
      <c r="AV381" s="4" t="s">
        <v>127</v>
      </c>
      <c r="AW381" s="4" t="s">
        <v>127</v>
      </c>
      <c r="AX381" s="4" t="s">
        <v>127</v>
      </c>
      <c r="AY381" s="111" t="s">
        <v>1961</v>
      </c>
      <c r="AZ381" s="96" t="s">
        <v>1962</v>
      </c>
      <c r="BA381" s="96" t="s">
        <v>1963</v>
      </c>
      <c r="BB381" s="4" t="s">
        <v>1964</v>
      </c>
      <c r="BC381" s="4" t="s">
        <v>1965</v>
      </c>
      <c r="BD381" s="4" t="s">
        <v>1966</v>
      </c>
      <c r="BE381" s="4" t="s">
        <v>127</v>
      </c>
      <c r="BF381" s="113"/>
      <c r="BG381" s="4"/>
      <c r="BH381" s="4"/>
      <c r="BI381" s="4"/>
      <c r="BJ381" s="4"/>
      <c r="BK381" s="4"/>
      <c r="BL381" s="4"/>
      <c r="BM381" s="4"/>
      <c r="BN381" s="4"/>
      <c r="BO381" s="4"/>
      <c r="BP381" s="4"/>
      <c r="BQ381" s="4"/>
      <c r="BR381" s="4"/>
      <c r="BS381" s="4"/>
      <c r="BT381" s="4"/>
    </row>
    <row r="382" spans="1:72" ht="16" x14ac:dyDescent="0.4">
      <c r="A382" s="4" t="s">
        <v>1967</v>
      </c>
      <c r="B382" s="4" t="s">
        <v>1967</v>
      </c>
      <c r="C382" s="4" t="s">
        <v>127</v>
      </c>
      <c r="D382" s="4" t="s">
        <v>128</v>
      </c>
      <c r="E382" s="190">
        <v>45994</v>
      </c>
      <c r="F382" s="4">
        <v>2025</v>
      </c>
      <c r="G382" s="4" t="s">
        <v>1968</v>
      </c>
      <c r="H382" s="22" t="str">
        <f>VLOOKUP($G382,'Item Classification'!B:C,2,0)</f>
        <v>Helicopter development</v>
      </c>
      <c r="I382" s="6" t="str">
        <f>VLOOKUP($G382,'Item Classification'!B:D,3,0)</f>
        <v>Development - Aircraft</v>
      </c>
      <c r="J382" s="23">
        <f>VLOOKUP($G382,'Item Classification'!B:E,4,0)</f>
        <v>16</v>
      </c>
      <c r="K382" s="116" t="s">
        <v>158</v>
      </c>
      <c r="L382" s="116" t="s">
        <v>159</v>
      </c>
      <c r="M382" s="116" t="str">
        <f>VLOOKUP(L382,'NATO Classifications'!$D$6:$E$647,2,0)</f>
        <v>Radar and Sensor</v>
      </c>
      <c r="N382" s="4"/>
      <c r="O382" s="4"/>
      <c r="P382" s="4"/>
      <c r="Q382" s="4"/>
      <c r="R382" s="4"/>
      <c r="S382" s="112">
        <v>30000000</v>
      </c>
      <c r="T382" s="91" t="s">
        <v>132</v>
      </c>
      <c r="U382" s="104">
        <f>_xlfn.IFNA(S382/INDEX('Exchange Rates'!$C$7:$F$14,MATCH('MAIN DATA, Orders'!F382,'Exchange Rates'!$B$7:$B$14,0),MATCH('MAIN DATA, Orders'!T382,'Exchange Rates'!$C$6:$F$6,0)), "-")</f>
        <v>30000000</v>
      </c>
      <c r="V382" s="4" t="s">
        <v>127</v>
      </c>
      <c r="W382" s="4" t="s">
        <v>127</v>
      </c>
      <c r="X382" s="4" t="s">
        <v>128</v>
      </c>
      <c r="Y382" s="24">
        <f t="shared" si="37"/>
        <v>202512</v>
      </c>
      <c r="Z382" s="115">
        <v>0</v>
      </c>
      <c r="AA382" s="115">
        <v>0</v>
      </c>
      <c r="AB382" s="115">
        <v>0</v>
      </c>
      <c r="AC382" s="115">
        <v>1</v>
      </c>
      <c r="AD382" s="115">
        <v>1</v>
      </c>
      <c r="AE382" s="115">
        <v>0</v>
      </c>
      <c r="AF382" s="115">
        <v>1</v>
      </c>
      <c r="AG382" s="4" t="s">
        <v>267</v>
      </c>
      <c r="AH382" s="4" t="s">
        <v>128</v>
      </c>
      <c r="AI382" s="4" t="s">
        <v>127</v>
      </c>
      <c r="AJ382" s="4" t="s">
        <v>127</v>
      </c>
      <c r="AK382" s="4" t="s">
        <v>127</v>
      </c>
      <c r="AL382" s="4" t="s">
        <v>127</v>
      </c>
      <c r="AM382" s="4" t="s">
        <v>127</v>
      </c>
      <c r="AN382" s="4" t="s">
        <v>1222</v>
      </c>
      <c r="AO382" s="4" t="s">
        <v>197</v>
      </c>
      <c r="AP382" s="4" t="s">
        <v>146</v>
      </c>
      <c r="AQ382" s="4" t="s">
        <v>127</v>
      </c>
      <c r="AR382" s="4" t="s">
        <v>127</v>
      </c>
      <c r="AS382" s="4" t="s">
        <v>127</v>
      </c>
      <c r="AT382" s="4" t="s">
        <v>127</v>
      </c>
      <c r="AU382" s="4" t="s">
        <v>127</v>
      </c>
      <c r="AV382" s="4" t="s">
        <v>127</v>
      </c>
      <c r="AW382" s="4" t="s">
        <v>127</v>
      </c>
      <c r="AX382" s="4" t="s">
        <v>127</v>
      </c>
      <c r="AY382" s="111" t="s">
        <v>1961</v>
      </c>
      <c r="AZ382" s="96" t="s">
        <v>1962</v>
      </c>
      <c r="BA382" s="4" t="s">
        <v>127</v>
      </c>
      <c r="BB382" s="4" t="s">
        <v>1969</v>
      </c>
      <c r="BC382" s="4" t="s">
        <v>1970</v>
      </c>
      <c r="BD382" s="4" t="s">
        <v>127</v>
      </c>
      <c r="BE382" s="113"/>
      <c r="BF382" s="113"/>
      <c r="BG382" s="4"/>
      <c r="BH382" s="4"/>
      <c r="BI382" s="4"/>
      <c r="BJ382" s="4"/>
      <c r="BK382" s="4"/>
      <c r="BL382" s="4"/>
      <c r="BM382" s="4"/>
      <c r="BN382" s="4"/>
      <c r="BO382" s="4"/>
      <c r="BP382" s="4"/>
      <c r="BQ382" s="4"/>
      <c r="BR382" s="4"/>
      <c r="BS382" s="4"/>
      <c r="BT382" s="4"/>
    </row>
    <row r="383" spans="1:72" ht="16" x14ac:dyDescent="0.4">
      <c r="A383" s="4" t="s">
        <v>1971</v>
      </c>
      <c r="B383" s="4" t="s">
        <v>1971</v>
      </c>
      <c r="C383" s="4" t="s">
        <v>127</v>
      </c>
      <c r="D383" s="4" t="s">
        <v>128</v>
      </c>
      <c r="E383" s="190">
        <v>45994</v>
      </c>
      <c r="F383" s="4">
        <v>2025</v>
      </c>
      <c r="G383" s="4" t="s">
        <v>1972</v>
      </c>
      <c r="H383" s="22" t="str">
        <f>VLOOKUP($G383,'Item Classification'!B:C,2,0)</f>
        <v>Fighter jet development</v>
      </c>
      <c r="I383" s="6" t="str">
        <f>VLOOKUP($G383,'Item Classification'!B:D,3,0)</f>
        <v>Development - Aircraft</v>
      </c>
      <c r="J383" s="23">
        <f>VLOOKUP($G383,'Item Classification'!B:E,4,0)</f>
        <v>16</v>
      </c>
      <c r="K383" s="116" t="s">
        <v>539</v>
      </c>
      <c r="L383" s="116" t="s">
        <v>1973</v>
      </c>
      <c r="M383" s="116" t="str">
        <f>VLOOKUP(L383,'NATO Classifications'!$D$6:$E$647,2,0)</f>
        <v>Aircraft Maintenance and Repair Shop Specialized Equipment</v>
      </c>
      <c r="N383" s="4"/>
      <c r="O383" s="4"/>
      <c r="P383" s="4"/>
      <c r="Q383" s="4"/>
      <c r="R383" s="4"/>
      <c r="S383" s="112">
        <v>65000000</v>
      </c>
      <c r="T383" s="91" t="s">
        <v>132</v>
      </c>
      <c r="U383" s="104">
        <f>_xlfn.IFNA(S383/INDEX('Exchange Rates'!$C$7:$F$14,MATCH('MAIN DATA, Orders'!F383,'Exchange Rates'!$B$7:$B$14,0),MATCH('MAIN DATA, Orders'!T383,'Exchange Rates'!$C$6:$F$6,0)), "-")</f>
        <v>65000000</v>
      </c>
      <c r="V383" s="4" t="s">
        <v>127</v>
      </c>
      <c r="W383" s="4" t="s">
        <v>127</v>
      </c>
      <c r="X383" s="4" t="s">
        <v>128</v>
      </c>
      <c r="Y383" s="24">
        <f t="shared" si="37"/>
        <v>202512</v>
      </c>
      <c r="Z383" s="115">
        <v>0</v>
      </c>
      <c r="AA383" s="115">
        <v>0</v>
      </c>
      <c r="AB383" s="115">
        <v>0</v>
      </c>
      <c r="AC383" s="115">
        <v>1</v>
      </c>
      <c r="AD383" s="115">
        <v>1</v>
      </c>
      <c r="AE383" s="115">
        <v>0</v>
      </c>
      <c r="AF383" s="115">
        <v>1</v>
      </c>
      <c r="AG383" s="4" t="s">
        <v>136</v>
      </c>
      <c r="AH383" s="4" t="s">
        <v>128</v>
      </c>
      <c r="AI383" s="4" t="s">
        <v>127</v>
      </c>
      <c r="AJ383" s="4" t="s">
        <v>127</v>
      </c>
      <c r="AK383" s="4" t="s">
        <v>127</v>
      </c>
      <c r="AL383" s="4" t="s">
        <v>127</v>
      </c>
      <c r="AM383" s="4" t="s">
        <v>127</v>
      </c>
      <c r="AN383" s="4" t="s">
        <v>238</v>
      </c>
      <c r="AO383" s="4" t="s">
        <v>162</v>
      </c>
      <c r="AP383" s="4" t="s">
        <v>197</v>
      </c>
      <c r="AQ383" s="4" t="s">
        <v>127</v>
      </c>
      <c r="AR383" s="4" t="s">
        <v>127</v>
      </c>
      <c r="AS383" s="4" t="s">
        <v>127</v>
      </c>
      <c r="AT383" s="4" t="s">
        <v>127</v>
      </c>
      <c r="AU383" s="4" t="s">
        <v>127</v>
      </c>
      <c r="AV383" s="4" t="s">
        <v>127</v>
      </c>
      <c r="AW383" s="4" t="s">
        <v>127</v>
      </c>
      <c r="AX383" s="4" t="s">
        <v>127</v>
      </c>
      <c r="AY383" s="111" t="s">
        <v>1961</v>
      </c>
      <c r="AZ383" s="96" t="s">
        <v>1962</v>
      </c>
      <c r="BA383" s="4" t="s">
        <v>127</v>
      </c>
      <c r="BB383" s="4" t="s">
        <v>1974</v>
      </c>
      <c r="BC383" s="4" t="s">
        <v>1975</v>
      </c>
      <c r="BD383" s="4" t="s">
        <v>127</v>
      </c>
      <c r="BE383" s="113"/>
      <c r="BF383" s="113"/>
      <c r="BG383" s="4"/>
      <c r="BH383" s="4"/>
      <c r="BI383" s="4"/>
      <c r="BJ383" s="4"/>
      <c r="BK383" s="4"/>
      <c r="BL383" s="4"/>
      <c r="BM383" s="4"/>
      <c r="BN383" s="4"/>
      <c r="BO383" s="4"/>
      <c r="BP383" s="4"/>
      <c r="BQ383" s="4"/>
      <c r="BR383" s="4"/>
      <c r="BS383" s="4"/>
      <c r="BT383" s="4"/>
    </row>
    <row r="384" spans="1:72" ht="16" x14ac:dyDescent="0.4">
      <c r="A384" s="4" t="s">
        <v>1976</v>
      </c>
      <c r="B384" s="4" t="s">
        <v>1976</v>
      </c>
      <c r="C384" s="4" t="s">
        <v>127</v>
      </c>
      <c r="D384" s="4" t="s">
        <v>128</v>
      </c>
      <c r="E384" s="190">
        <v>45994</v>
      </c>
      <c r="F384" s="4">
        <v>2025</v>
      </c>
      <c r="G384" s="6" t="s">
        <v>1977</v>
      </c>
      <c r="H384" s="22" t="str">
        <f>VLOOKUP($G384,'Item Classification'!B:C,2,0)</f>
        <v>Medium-altitude long-endurance (MALE) drone</v>
      </c>
      <c r="I384" s="6" t="str">
        <f>VLOOKUP($G384,'Item Classification'!B:D,3,0)</f>
        <v>Drone</v>
      </c>
      <c r="J384" s="23">
        <f>VLOOKUP($G384,'Item Classification'!B:E,4,0)</f>
        <v>7</v>
      </c>
      <c r="K384" s="116" t="s">
        <v>130</v>
      </c>
      <c r="L384" s="116" t="s">
        <v>131</v>
      </c>
      <c r="M384" s="116" t="str">
        <f>VLOOKUP(L384,'NATO Classifications'!$D$6:$E$647,2,0)</f>
        <v>Unmanned Aircraft</v>
      </c>
      <c r="N384" s="4"/>
      <c r="O384" s="4"/>
      <c r="P384" s="4"/>
      <c r="Q384" s="4"/>
      <c r="R384" s="4"/>
      <c r="S384" s="112">
        <v>630000000</v>
      </c>
      <c r="T384" s="91" t="s">
        <v>132</v>
      </c>
      <c r="U384" s="104">
        <f>_xlfn.IFNA(S384/INDEX('Exchange Rates'!$C$7:$F$14,MATCH('MAIN DATA, Orders'!F384,'Exchange Rates'!$B$7:$B$14,0),MATCH('MAIN DATA, Orders'!T384,'Exchange Rates'!$C$6:$F$6,0)), "-")</f>
        <v>630000000</v>
      </c>
      <c r="V384" s="4" t="s">
        <v>127</v>
      </c>
      <c r="W384" s="4" t="s">
        <v>127</v>
      </c>
      <c r="X384" s="4" t="s">
        <v>128</v>
      </c>
      <c r="Y384" s="24">
        <f t="shared" si="37"/>
        <v>202512</v>
      </c>
      <c r="Z384" s="115">
        <v>0</v>
      </c>
      <c r="AA384" s="115">
        <v>1</v>
      </c>
      <c r="AB384" s="115">
        <v>0</v>
      </c>
      <c r="AC384" s="115">
        <v>1</v>
      </c>
      <c r="AD384" s="115">
        <v>0</v>
      </c>
      <c r="AE384" s="115">
        <v>0</v>
      </c>
      <c r="AF384" s="115">
        <v>0</v>
      </c>
      <c r="AG384" s="4" t="s">
        <v>1075</v>
      </c>
      <c r="AH384" s="4" t="s">
        <v>128</v>
      </c>
      <c r="AI384" s="4" t="s">
        <v>127</v>
      </c>
      <c r="AJ384" s="4" t="s">
        <v>127</v>
      </c>
      <c r="AK384" s="4" t="s">
        <v>127</v>
      </c>
      <c r="AL384" s="4" t="s">
        <v>127</v>
      </c>
      <c r="AM384" s="4" t="s">
        <v>127</v>
      </c>
      <c r="AN384" s="4" t="s">
        <v>127</v>
      </c>
      <c r="AO384" s="4" t="s">
        <v>127</v>
      </c>
      <c r="AP384" s="4" t="s">
        <v>127</v>
      </c>
      <c r="AQ384" s="4" t="s">
        <v>127</v>
      </c>
      <c r="AR384" s="4" t="s">
        <v>127</v>
      </c>
      <c r="AS384" s="4" t="s">
        <v>127</v>
      </c>
      <c r="AT384" s="4" t="s">
        <v>127</v>
      </c>
      <c r="AU384" s="4" t="s">
        <v>127</v>
      </c>
      <c r="AV384" s="4" t="s">
        <v>127</v>
      </c>
      <c r="AW384" s="4" t="s">
        <v>127</v>
      </c>
      <c r="AX384" s="4" t="s">
        <v>127</v>
      </c>
      <c r="AY384" s="111" t="s">
        <v>1961</v>
      </c>
      <c r="AZ384" s="96" t="s">
        <v>1962</v>
      </c>
      <c r="BA384" s="4" t="s">
        <v>127</v>
      </c>
      <c r="BB384" s="4" t="s">
        <v>1978</v>
      </c>
      <c r="BC384" s="4" t="s">
        <v>1979</v>
      </c>
      <c r="BD384" s="4" t="s">
        <v>127</v>
      </c>
      <c r="BE384" s="113"/>
      <c r="BF384" s="113"/>
      <c r="BG384" s="4"/>
      <c r="BH384" s="4"/>
      <c r="BI384" s="4"/>
      <c r="BJ384" s="4"/>
      <c r="BK384" s="4"/>
      <c r="BL384" s="4"/>
      <c r="BM384" s="4"/>
      <c r="BN384" s="4"/>
      <c r="BO384" s="4"/>
      <c r="BP384" s="4"/>
      <c r="BQ384" s="4"/>
      <c r="BR384" s="4"/>
      <c r="BS384" s="4"/>
      <c r="BT384" s="4"/>
    </row>
    <row r="385" spans="1:72" ht="16" x14ac:dyDescent="0.4">
      <c r="A385" s="4" t="s">
        <v>1980</v>
      </c>
      <c r="B385" s="4" t="s">
        <v>1980</v>
      </c>
      <c r="C385" s="4" t="s">
        <v>127</v>
      </c>
      <c r="D385" s="4" t="s">
        <v>128</v>
      </c>
      <c r="E385" s="190">
        <v>45994</v>
      </c>
      <c r="F385" s="4">
        <v>2025</v>
      </c>
      <c r="G385" s="4" t="s">
        <v>1981</v>
      </c>
      <c r="H385" s="22" t="str">
        <f>VLOOKUP($G385,'Item Classification'!B:C,2,0)</f>
        <v>Reconnaissance mobile unmanned vehicle</v>
      </c>
      <c r="I385" s="6" t="str">
        <f>VLOOKUP($G385,'Item Classification'!B:D,3,0)</f>
        <v>Drone</v>
      </c>
      <c r="J385" s="23">
        <f>VLOOKUP($G385,'Item Classification'!B:E,4,0)</f>
        <v>7</v>
      </c>
      <c r="K385" s="116" t="s">
        <v>130</v>
      </c>
      <c r="L385" s="116" t="s">
        <v>131</v>
      </c>
      <c r="M385" s="116" t="str">
        <f>VLOOKUP(L385,'NATO Classifications'!$D$6:$E$647,2,0)</f>
        <v>Unmanned Aircraft</v>
      </c>
      <c r="N385" s="4">
        <v>8</v>
      </c>
      <c r="O385" s="81">
        <f t="shared" ref="O385" si="56">S385/N385</f>
        <v>8500000</v>
      </c>
      <c r="P385" s="81">
        <f t="shared" ref="P385" si="57">U385/N385</f>
        <v>8500000</v>
      </c>
      <c r="Q385" s="4">
        <v>2026</v>
      </c>
      <c r="R385" s="4">
        <v>2028</v>
      </c>
      <c r="S385" s="112">
        <v>68000000</v>
      </c>
      <c r="T385" s="91" t="s">
        <v>132</v>
      </c>
      <c r="U385" s="104">
        <f>_xlfn.IFNA(S385/INDEX('Exchange Rates'!$C$7:$F$14,MATCH('MAIN DATA, Orders'!F385,'Exchange Rates'!$B$7:$B$14,0),MATCH('MAIN DATA, Orders'!T385,'Exchange Rates'!$C$6:$F$6,0)), "-")</f>
        <v>68000000</v>
      </c>
      <c r="V385" s="4" t="s">
        <v>127</v>
      </c>
      <c r="W385" s="4" t="s">
        <v>127</v>
      </c>
      <c r="X385" s="4" t="s">
        <v>128</v>
      </c>
      <c r="Y385" s="24">
        <f t="shared" si="37"/>
        <v>202512</v>
      </c>
      <c r="Z385" s="115">
        <v>0</v>
      </c>
      <c r="AA385" s="115">
        <v>0</v>
      </c>
      <c r="AB385" s="115">
        <v>0</v>
      </c>
      <c r="AC385" s="115">
        <v>1</v>
      </c>
      <c r="AD385" s="115">
        <v>0</v>
      </c>
      <c r="AE385" s="115">
        <v>0</v>
      </c>
      <c r="AF385" s="115">
        <v>0</v>
      </c>
      <c r="AG385" s="4" t="s">
        <v>136</v>
      </c>
      <c r="AH385" s="4" t="s">
        <v>128</v>
      </c>
      <c r="AI385" s="4" t="s">
        <v>128</v>
      </c>
      <c r="AJ385" s="4" t="s">
        <v>1982</v>
      </c>
      <c r="AK385" s="4" t="s">
        <v>1983</v>
      </c>
      <c r="AL385" s="4" t="s">
        <v>1984</v>
      </c>
      <c r="AM385" s="4" t="s">
        <v>1985</v>
      </c>
      <c r="AN385" s="4" t="s">
        <v>127</v>
      </c>
      <c r="AO385" s="4" t="s">
        <v>127</v>
      </c>
      <c r="AP385" s="4" t="s">
        <v>127</v>
      </c>
      <c r="AQ385" s="4" t="s">
        <v>127</v>
      </c>
      <c r="AR385" s="4" t="s">
        <v>127</v>
      </c>
      <c r="AS385" s="4" t="s">
        <v>127</v>
      </c>
      <c r="AT385" s="4" t="s">
        <v>127</v>
      </c>
      <c r="AU385" s="4" t="s">
        <v>127</v>
      </c>
      <c r="AV385" s="4" t="s">
        <v>127</v>
      </c>
      <c r="AW385" s="4" t="s">
        <v>127</v>
      </c>
      <c r="AX385" s="4" t="s">
        <v>127</v>
      </c>
      <c r="AY385" s="111" t="s">
        <v>1961</v>
      </c>
      <c r="AZ385" s="96" t="s">
        <v>1986</v>
      </c>
      <c r="BA385" s="96" t="s">
        <v>1963</v>
      </c>
      <c r="BB385" s="4" t="s">
        <v>1987</v>
      </c>
      <c r="BC385" s="4" t="s">
        <v>1988</v>
      </c>
      <c r="BD385" s="4" t="s">
        <v>1989</v>
      </c>
      <c r="BE385" s="4" t="s">
        <v>127</v>
      </c>
      <c r="BF385" s="113"/>
      <c r="BG385" s="4"/>
      <c r="BH385" s="4"/>
      <c r="BI385" s="4"/>
      <c r="BJ385" s="4"/>
      <c r="BK385" s="4"/>
      <c r="BL385" s="4"/>
      <c r="BM385" s="4"/>
      <c r="BN385" s="4"/>
      <c r="BO385" s="4"/>
      <c r="BP385" s="4"/>
      <c r="BQ385" s="4"/>
      <c r="BR385" s="4"/>
      <c r="BS385" s="4"/>
      <c r="BT385" s="4"/>
    </row>
    <row r="386" spans="1:72" ht="16" x14ac:dyDescent="0.4">
      <c r="A386" s="4" t="s">
        <v>1990</v>
      </c>
      <c r="B386" s="4" t="s">
        <v>1990</v>
      </c>
      <c r="C386" s="4" t="s">
        <v>127</v>
      </c>
      <c r="D386" s="4" t="s">
        <v>128</v>
      </c>
      <c r="E386" s="190">
        <v>45994</v>
      </c>
      <c r="F386" s="4">
        <v>2025</v>
      </c>
      <c r="G386" s="4" t="s">
        <v>1991</v>
      </c>
      <c r="H386" s="22" t="str">
        <f>VLOOKUP($G386,'Item Classification'!B:C,2,0)</f>
        <v>Reconnaissance drone</v>
      </c>
      <c r="I386" s="6" t="str">
        <f>VLOOKUP($G386,'Item Classification'!B:D,3,0)</f>
        <v>Drone</v>
      </c>
      <c r="J386" s="23">
        <f>VLOOKUP($G386,'Item Classification'!B:E,4,0)</f>
        <v>7</v>
      </c>
      <c r="K386" s="116" t="s">
        <v>130</v>
      </c>
      <c r="L386" s="116" t="s">
        <v>131</v>
      </c>
      <c r="M386" s="116" t="str">
        <f>VLOOKUP(L386,'NATO Classifications'!$D$6:$E$647,2,0)</f>
        <v>Unmanned Aircraft</v>
      </c>
      <c r="N386" s="4">
        <v>147</v>
      </c>
      <c r="O386" s="81">
        <f t="shared" ref="O386:O391" si="58">S386/N386</f>
        <v>578231.29251700675</v>
      </c>
      <c r="P386" s="81">
        <f t="shared" ref="P386:P391" si="59">U386/N386</f>
        <v>578231.29251700675</v>
      </c>
      <c r="Q386" s="4">
        <v>2026</v>
      </c>
      <c r="R386" s="4">
        <v>2029</v>
      </c>
      <c r="S386" s="112">
        <v>85000000</v>
      </c>
      <c r="T386" s="91" t="s">
        <v>132</v>
      </c>
      <c r="U386" s="104">
        <f>_xlfn.IFNA(S386/INDEX('Exchange Rates'!$C$7:$F$14,MATCH('MAIN DATA, Orders'!F386,'Exchange Rates'!$B$7:$B$14,0),MATCH('MAIN DATA, Orders'!T386,'Exchange Rates'!$C$6:$F$6,0)), "-")</f>
        <v>85000000</v>
      </c>
      <c r="V386" s="4" t="s">
        <v>127</v>
      </c>
      <c r="W386" s="4" t="s">
        <v>127</v>
      </c>
      <c r="X386" s="4" t="s">
        <v>128</v>
      </c>
      <c r="Y386" s="24">
        <f t="shared" si="37"/>
        <v>202512</v>
      </c>
      <c r="Z386" s="115">
        <v>1</v>
      </c>
      <c r="AA386" s="115">
        <v>0</v>
      </c>
      <c r="AB386" s="115">
        <v>0</v>
      </c>
      <c r="AC386" s="115">
        <v>1</v>
      </c>
      <c r="AD386" s="115">
        <v>0</v>
      </c>
      <c r="AE386" s="115">
        <v>0</v>
      </c>
      <c r="AF386" s="115">
        <v>0</v>
      </c>
      <c r="AG386" s="4" t="s">
        <v>1982</v>
      </c>
      <c r="AH386" s="4" t="s">
        <v>128</v>
      </c>
      <c r="AI386" s="4" t="s">
        <v>128</v>
      </c>
      <c r="AJ386" s="4" t="s">
        <v>127</v>
      </c>
      <c r="AK386" s="4" t="s">
        <v>127</v>
      </c>
      <c r="AL386" s="4" t="s">
        <v>127</v>
      </c>
      <c r="AM386" s="4" t="s">
        <v>127</v>
      </c>
      <c r="AN386" s="4" t="s">
        <v>127</v>
      </c>
      <c r="AO386" s="4" t="s">
        <v>127</v>
      </c>
      <c r="AP386" s="4" t="s">
        <v>127</v>
      </c>
      <c r="AQ386" s="4" t="s">
        <v>127</v>
      </c>
      <c r="AR386" s="4" t="s">
        <v>127</v>
      </c>
      <c r="AS386" s="4" t="s">
        <v>127</v>
      </c>
      <c r="AT386" s="4" t="s">
        <v>127</v>
      </c>
      <c r="AU386" s="4" t="s">
        <v>127</v>
      </c>
      <c r="AV386" s="4" t="s">
        <v>127</v>
      </c>
      <c r="AW386" s="4" t="s">
        <v>127</v>
      </c>
      <c r="AX386" s="4" t="s">
        <v>127</v>
      </c>
      <c r="AY386" s="111" t="s">
        <v>1961</v>
      </c>
      <c r="AZ386" s="96" t="s">
        <v>1992</v>
      </c>
      <c r="BA386" s="4" t="s">
        <v>127</v>
      </c>
      <c r="BB386" s="4" t="s">
        <v>1993</v>
      </c>
      <c r="BC386" s="4" t="s">
        <v>1994</v>
      </c>
      <c r="BD386" s="4" t="s">
        <v>127</v>
      </c>
      <c r="BE386" s="113"/>
      <c r="BF386" s="113"/>
      <c r="BG386" s="4"/>
      <c r="BH386" s="4"/>
      <c r="BI386" s="4"/>
      <c r="BJ386" s="4"/>
      <c r="BK386" s="4"/>
      <c r="BL386" s="4"/>
      <c r="BM386" s="4"/>
      <c r="BN386" s="4"/>
      <c r="BO386" s="4"/>
      <c r="BP386" s="4"/>
      <c r="BQ386" s="4"/>
      <c r="BR386" s="4"/>
      <c r="BS386" s="4"/>
      <c r="BT386" s="4"/>
    </row>
    <row r="387" spans="1:72" ht="16" x14ac:dyDescent="0.4">
      <c r="A387" s="4" t="s">
        <v>1995</v>
      </c>
      <c r="B387" s="4" t="s">
        <v>1995</v>
      </c>
      <c r="C387" s="4" t="s">
        <v>127</v>
      </c>
      <c r="D387" s="4" t="s">
        <v>128</v>
      </c>
      <c r="E387" s="190">
        <v>45994</v>
      </c>
      <c r="F387" s="4">
        <v>2025</v>
      </c>
      <c r="G387" s="4" t="s">
        <v>762</v>
      </c>
      <c r="H387" s="22" t="str">
        <f>VLOOKUP($G387,'Item Classification'!B:C,2,0)</f>
        <v>Small Arms and Light Weapons (SALW)</v>
      </c>
      <c r="I387" s="6" t="str">
        <f>VLOOKUP($G387,'Item Classification'!B:D,3,0)</f>
        <v>Infantry</v>
      </c>
      <c r="J387" s="23">
        <f>VLOOKUP($G387,'Item Classification'!B:E,4,0)</f>
        <v>8</v>
      </c>
      <c r="K387" s="116" t="s">
        <v>763</v>
      </c>
      <c r="L387" s="116" t="s">
        <v>764</v>
      </c>
      <c r="M387" s="116" t="str">
        <f>VLOOKUP(L387,'NATO Classifications'!$D$6:$E$647,2,0)</f>
        <v>Guns below 75mm</v>
      </c>
      <c r="N387" s="4">
        <v>246875</v>
      </c>
      <c r="O387" s="81">
        <f t="shared" si="58"/>
        <v>3098.7341772151899</v>
      </c>
      <c r="P387" s="81">
        <f t="shared" si="59"/>
        <v>3098.7341772151899</v>
      </c>
      <c r="Q387" s="4">
        <v>2026</v>
      </c>
      <c r="R387" s="4">
        <v>2032</v>
      </c>
      <c r="S387" s="112">
        <v>765000000</v>
      </c>
      <c r="T387" s="91" t="s">
        <v>132</v>
      </c>
      <c r="U387" s="104">
        <f>_xlfn.IFNA(S387/INDEX('Exchange Rates'!$C$7:$F$14,MATCH('MAIN DATA, Orders'!F387,'Exchange Rates'!$B$7:$B$14,0),MATCH('MAIN DATA, Orders'!T387,'Exchange Rates'!$C$6:$F$6,0)), "-")</f>
        <v>765000000</v>
      </c>
      <c r="V387" s="4" t="s">
        <v>127</v>
      </c>
      <c r="W387" s="4" t="s">
        <v>127</v>
      </c>
      <c r="X387" s="4" t="s">
        <v>128</v>
      </c>
      <c r="Y387" s="24">
        <f t="shared" si="37"/>
        <v>202512</v>
      </c>
      <c r="Z387" s="115">
        <v>1</v>
      </c>
      <c r="AA387" s="115">
        <v>0</v>
      </c>
      <c r="AB387" s="115">
        <v>0</v>
      </c>
      <c r="AC387" s="115">
        <v>1</v>
      </c>
      <c r="AD387" s="115">
        <v>0</v>
      </c>
      <c r="AE387" s="115">
        <v>0</v>
      </c>
      <c r="AF387" s="115">
        <v>0</v>
      </c>
      <c r="AG387" s="4" t="s">
        <v>765</v>
      </c>
      <c r="AH387" s="4" t="s">
        <v>128</v>
      </c>
      <c r="AI387" s="4" t="s">
        <v>128</v>
      </c>
      <c r="AJ387" s="4" t="s">
        <v>127</v>
      </c>
      <c r="AK387" s="4" t="s">
        <v>127</v>
      </c>
      <c r="AL387" s="4" t="s">
        <v>127</v>
      </c>
      <c r="AM387" s="4" t="s">
        <v>127</v>
      </c>
      <c r="AN387" s="4" t="s">
        <v>127</v>
      </c>
      <c r="AO387" s="4" t="s">
        <v>127</v>
      </c>
      <c r="AP387" s="4" t="s">
        <v>127</v>
      </c>
      <c r="AQ387" s="4" t="s">
        <v>127</v>
      </c>
      <c r="AR387" s="4" t="s">
        <v>127</v>
      </c>
      <c r="AS387" s="4" t="s">
        <v>127</v>
      </c>
      <c r="AT387" s="4" t="s">
        <v>127</v>
      </c>
      <c r="AU387" s="4" t="s">
        <v>127</v>
      </c>
      <c r="AV387" s="4" t="s">
        <v>127</v>
      </c>
      <c r="AW387" s="4" t="s">
        <v>127</v>
      </c>
      <c r="AX387" s="4" t="s">
        <v>127</v>
      </c>
      <c r="AY387" s="111" t="s">
        <v>1996</v>
      </c>
      <c r="AZ387" s="111" t="s">
        <v>1997</v>
      </c>
      <c r="BA387" s="4" t="s">
        <v>127</v>
      </c>
      <c r="BB387" s="4" t="s">
        <v>1998</v>
      </c>
      <c r="BC387" s="4" t="s">
        <v>1999</v>
      </c>
      <c r="BD387" s="4" t="s">
        <v>127</v>
      </c>
      <c r="BE387" s="113"/>
      <c r="BF387" s="113"/>
      <c r="BG387" s="4"/>
      <c r="BH387" s="4"/>
      <c r="BI387" s="4"/>
      <c r="BJ387" s="4"/>
      <c r="BK387" s="4"/>
      <c r="BL387" s="4"/>
      <c r="BM387" s="4"/>
      <c r="BN387" s="4"/>
      <c r="BO387" s="4"/>
      <c r="BP387" s="4"/>
      <c r="BQ387" s="4"/>
      <c r="BR387" s="4"/>
      <c r="BS387" s="4"/>
      <c r="BT387" s="4"/>
    </row>
    <row r="388" spans="1:72" ht="16" x14ac:dyDescent="0.4">
      <c r="A388" s="4" t="s">
        <v>2000</v>
      </c>
      <c r="B388" s="4" t="s">
        <v>2000</v>
      </c>
      <c r="C388" s="4" t="s">
        <v>127</v>
      </c>
      <c r="D388" s="4" t="s">
        <v>128</v>
      </c>
      <c r="E388" s="190">
        <v>45994</v>
      </c>
      <c r="F388" s="4">
        <v>2025</v>
      </c>
      <c r="G388" s="4" t="s">
        <v>589</v>
      </c>
      <c r="H388" s="22" t="str">
        <f>VLOOKUP($G388,'Item Classification'!B:C,2,0)</f>
        <v>Equipment for Small Arms and Light Weapons (SALW)</v>
      </c>
      <c r="I388" s="6" t="str">
        <f>VLOOKUP($G388,'Item Classification'!B:D,3,0)</f>
        <v>Infantry</v>
      </c>
      <c r="J388" s="23">
        <f>VLOOKUP($G388,'Item Classification'!B:E,4,0)</f>
        <v>8</v>
      </c>
      <c r="K388" s="116" t="s">
        <v>580</v>
      </c>
      <c r="L388" s="116" t="s">
        <v>581</v>
      </c>
      <c r="M388" s="116" t="str">
        <f>VLOOKUP(L388,'NATO Classifications'!$D$6:$E$647,2,0)</f>
        <v>Optical Sighting and Ranging Equipment</v>
      </c>
      <c r="N388" s="4">
        <v>130000</v>
      </c>
      <c r="O388" s="81">
        <f t="shared" si="58"/>
        <v>1966.8322384615385</v>
      </c>
      <c r="P388" s="81">
        <f t="shared" si="59"/>
        <v>1966.8322384615385</v>
      </c>
      <c r="Q388" s="4">
        <v>2026</v>
      </c>
      <c r="R388" s="4">
        <v>2032</v>
      </c>
      <c r="S388" s="112">
        <v>255688191</v>
      </c>
      <c r="T388" s="91" t="s">
        <v>132</v>
      </c>
      <c r="U388" s="104">
        <f>_xlfn.IFNA(S388/INDEX('Exchange Rates'!$C$7:$F$14,MATCH('MAIN DATA, Orders'!F388,'Exchange Rates'!$B$7:$B$14,0),MATCH('MAIN DATA, Orders'!T388,'Exchange Rates'!$C$6:$F$6,0)), "-")</f>
        <v>255688191</v>
      </c>
      <c r="V388" s="4" t="s">
        <v>127</v>
      </c>
      <c r="W388" s="4" t="s">
        <v>127</v>
      </c>
      <c r="X388" s="4" t="s">
        <v>128</v>
      </c>
      <c r="Y388" s="24">
        <f t="shared" si="37"/>
        <v>202512</v>
      </c>
      <c r="Z388" s="115">
        <v>1</v>
      </c>
      <c r="AA388" s="115">
        <v>0</v>
      </c>
      <c r="AB388" s="115">
        <v>0</v>
      </c>
      <c r="AC388" s="115">
        <v>1</v>
      </c>
      <c r="AD388" s="115">
        <v>0</v>
      </c>
      <c r="AE388" s="115">
        <v>0</v>
      </c>
      <c r="AF388" s="115">
        <v>0</v>
      </c>
      <c r="AG388" s="4" t="s">
        <v>256</v>
      </c>
      <c r="AH388" s="4" t="s">
        <v>128</v>
      </c>
      <c r="AI388" s="4" t="s">
        <v>128</v>
      </c>
      <c r="AJ388" s="4" t="s">
        <v>127</v>
      </c>
      <c r="AK388" s="4" t="s">
        <v>127</v>
      </c>
      <c r="AL388" s="4" t="s">
        <v>127</v>
      </c>
      <c r="AM388" s="4" t="s">
        <v>127</v>
      </c>
      <c r="AN388" s="4" t="s">
        <v>127</v>
      </c>
      <c r="AO388" s="4" t="s">
        <v>127</v>
      </c>
      <c r="AP388" s="4" t="s">
        <v>127</v>
      </c>
      <c r="AQ388" s="4" t="s">
        <v>127</v>
      </c>
      <c r="AR388" s="4" t="s">
        <v>127</v>
      </c>
      <c r="AS388" s="4" t="s">
        <v>127</v>
      </c>
      <c r="AT388" s="4" t="s">
        <v>127</v>
      </c>
      <c r="AU388" s="4" t="s">
        <v>127</v>
      </c>
      <c r="AV388" s="4" t="s">
        <v>127</v>
      </c>
      <c r="AW388" s="4" t="s">
        <v>127</v>
      </c>
      <c r="AX388" s="4" t="s">
        <v>127</v>
      </c>
      <c r="AY388" s="111" t="s">
        <v>1996</v>
      </c>
      <c r="AZ388" s="111" t="s">
        <v>1997</v>
      </c>
      <c r="BA388" s="4" t="s">
        <v>127</v>
      </c>
      <c r="BB388" s="4" t="s">
        <v>1998</v>
      </c>
      <c r="BC388" s="4" t="s">
        <v>2001</v>
      </c>
      <c r="BD388" s="4" t="s">
        <v>127</v>
      </c>
      <c r="BE388" s="113"/>
      <c r="BF388" s="113"/>
      <c r="BG388" s="4"/>
      <c r="BH388" s="4"/>
      <c r="BI388" s="4"/>
      <c r="BJ388" s="4"/>
      <c r="BK388" s="4"/>
      <c r="BL388" s="4"/>
      <c r="BM388" s="4"/>
      <c r="BN388" s="4"/>
      <c r="BO388" s="4"/>
      <c r="BP388" s="4"/>
      <c r="BQ388" s="4"/>
      <c r="BR388" s="4"/>
      <c r="BS388" s="4"/>
      <c r="BT388" s="4"/>
    </row>
    <row r="389" spans="1:72" ht="16" x14ac:dyDescent="0.4">
      <c r="A389" s="4" t="s">
        <v>2002</v>
      </c>
      <c r="B389" s="4" t="s">
        <v>2002</v>
      </c>
      <c r="C389" s="4" t="s">
        <v>127</v>
      </c>
      <c r="D389" s="4" t="s">
        <v>128</v>
      </c>
      <c r="E389" s="190">
        <v>45994</v>
      </c>
      <c r="F389" s="4">
        <v>2025</v>
      </c>
      <c r="G389" s="4" t="s">
        <v>579</v>
      </c>
      <c r="H389" s="22" t="str">
        <f>VLOOKUP($G389,'Item Classification'!B:C,2,0)</f>
        <v>Equipment for Small Arms and Light Weapons (SALW)</v>
      </c>
      <c r="I389" s="6" t="str">
        <f>VLOOKUP($G389,'Item Classification'!B:D,3,0)</f>
        <v>Infantry</v>
      </c>
      <c r="J389" s="23">
        <f>VLOOKUP($G389,'Item Classification'!B:E,4,0)</f>
        <v>8</v>
      </c>
      <c r="K389" s="116" t="s">
        <v>580</v>
      </c>
      <c r="L389" s="116" t="s">
        <v>581</v>
      </c>
      <c r="M389" s="116" t="str">
        <f>VLOOKUP(L389,'NATO Classifications'!$D$6:$E$647,2,0)</f>
        <v>Optical Sighting and Ranging Equipment</v>
      </c>
      <c r="N389" s="4">
        <v>50000</v>
      </c>
      <c r="O389" s="81">
        <f t="shared" si="58"/>
        <v>2880</v>
      </c>
      <c r="P389" s="81">
        <f t="shared" si="59"/>
        <v>2880</v>
      </c>
      <c r="Q389" s="4"/>
      <c r="R389" s="4"/>
      <c r="S389" s="112">
        <v>144000000</v>
      </c>
      <c r="T389" s="91" t="s">
        <v>132</v>
      </c>
      <c r="U389" s="104">
        <f>_xlfn.IFNA(S389/INDEX('Exchange Rates'!$C$7:$F$14,MATCH('MAIN DATA, Orders'!F389,'Exchange Rates'!$B$7:$B$14,0),MATCH('MAIN DATA, Orders'!T389,'Exchange Rates'!$C$6:$F$6,0)), "-")</f>
        <v>144000000</v>
      </c>
      <c r="V389" s="4" t="s">
        <v>127</v>
      </c>
      <c r="W389" s="4" t="s">
        <v>127</v>
      </c>
      <c r="X389" s="4" t="s">
        <v>128</v>
      </c>
      <c r="Y389" s="24">
        <f t="shared" si="37"/>
        <v>202512</v>
      </c>
      <c r="Z389" s="115">
        <v>1</v>
      </c>
      <c r="AA389" s="115">
        <v>0</v>
      </c>
      <c r="AB389" s="115">
        <v>0</v>
      </c>
      <c r="AC389" s="115">
        <v>1</v>
      </c>
      <c r="AD389" s="115">
        <v>1</v>
      </c>
      <c r="AE389" s="115">
        <v>1</v>
      </c>
      <c r="AF389" s="115">
        <v>1</v>
      </c>
      <c r="AG389" s="4" t="s">
        <v>582</v>
      </c>
      <c r="AH389" s="4" t="s">
        <v>128</v>
      </c>
      <c r="AI389" s="4" t="s">
        <v>431</v>
      </c>
      <c r="AJ389" s="4" t="s">
        <v>583</v>
      </c>
      <c r="AK389" s="4" t="s">
        <v>127</v>
      </c>
      <c r="AL389" s="4" t="s">
        <v>127</v>
      </c>
      <c r="AM389" s="4" t="s">
        <v>127</v>
      </c>
      <c r="AN389" s="4" t="s">
        <v>197</v>
      </c>
      <c r="AO389" s="4" t="s">
        <v>127</v>
      </c>
      <c r="AP389" s="4" t="s">
        <v>127</v>
      </c>
      <c r="AQ389" s="4" t="s">
        <v>127</v>
      </c>
      <c r="AR389" s="4" t="s">
        <v>127</v>
      </c>
      <c r="AS389" s="4" t="s">
        <v>127</v>
      </c>
      <c r="AT389" s="4" t="s">
        <v>127</v>
      </c>
      <c r="AU389" s="4" t="s">
        <v>127</v>
      </c>
      <c r="AV389" s="4" t="s">
        <v>127</v>
      </c>
      <c r="AW389" s="4" t="s">
        <v>127</v>
      </c>
      <c r="AX389" s="4" t="s">
        <v>127</v>
      </c>
      <c r="AY389" s="111" t="s">
        <v>1996</v>
      </c>
      <c r="AZ389" s="111" t="s">
        <v>1997</v>
      </c>
      <c r="BA389" s="111" t="s">
        <v>2003</v>
      </c>
      <c r="BB389" s="4" t="s">
        <v>1998</v>
      </c>
      <c r="BC389" s="4" t="s">
        <v>2004</v>
      </c>
      <c r="BD389" s="4" t="s">
        <v>2005</v>
      </c>
      <c r="BE389" s="4" t="s">
        <v>127</v>
      </c>
      <c r="BF389" s="113"/>
      <c r="BG389" s="4"/>
      <c r="BH389" s="4"/>
      <c r="BI389" s="4"/>
      <c r="BJ389" s="4"/>
      <c r="BK389" s="4"/>
      <c r="BL389" s="4"/>
      <c r="BM389" s="4"/>
      <c r="BN389" s="4"/>
      <c r="BO389" s="4"/>
      <c r="BP389" s="4"/>
      <c r="BQ389" s="4"/>
      <c r="BR389" s="4"/>
      <c r="BS389" s="4"/>
      <c r="BT389" s="4"/>
    </row>
    <row r="390" spans="1:72" ht="16" x14ac:dyDescent="0.4">
      <c r="A390" s="4" t="s">
        <v>2006</v>
      </c>
      <c r="B390" s="4" t="s">
        <v>2006</v>
      </c>
      <c r="C390" s="4" t="s">
        <v>127</v>
      </c>
      <c r="D390" s="4" t="s">
        <v>128</v>
      </c>
      <c r="E390" s="190">
        <v>45994</v>
      </c>
      <c r="F390" s="4">
        <v>2025</v>
      </c>
      <c r="G390" s="4" t="s">
        <v>726</v>
      </c>
      <c r="H390" s="22" t="str">
        <f>VLOOKUP($G390,'Item Classification'!B:C,2,0)</f>
        <v>Communication equipment</v>
      </c>
      <c r="I390" s="6" t="str">
        <f>VLOOKUP($G390,'Item Classification'!B:D,3,0)</f>
        <v>Modernisation</v>
      </c>
      <c r="J390" s="23">
        <f>VLOOKUP($G390,'Item Classification'!B:E,4,0)</f>
        <v>13</v>
      </c>
      <c r="K390" s="116" t="s">
        <v>158</v>
      </c>
      <c r="L390" s="116" t="s">
        <v>2007</v>
      </c>
      <c r="M390" s="116" t="str">
        <f>VLOOKUP(L390,'NATO Classifications'!$D$6:$E$647,2,0)</f>
        <v>Communication, Detection, and Coherent Radiation Equipment (other)</v>
      </c>
      <c r="N390" s="4">
        <v>60000</v>
      </c>
      <c r="O390" s="81">
        <f t="shared" si="58"/>
        <v>2333.3333333333335</v>
      </c>
      <c r="P390" s="81">
        <f t="shared" si="59"/>
        <v>2333.3333333333335</v>
      </c>
      <c r="Q390" s="4"/>
      <c r="R390" s="4"/>
      <c r="S390" s="112">
        <v>140000000</v>
      </c>
      <c r="T390" s="91" t="s">
        <v>132</v>
      </c>
      <c r="U390" s="104">
        <f>_xlfn.IFNA(S390/INDEX('Exchange Rates'!$C$7:$F$14,MATCH('MAIN DATA, Orders'!F390,'Exchange Rates'!$B$7:$B$14,0),MATCH('MAIN DATA, Orders'!T390,'Exchange Rates'!$C$6:$F$6,0)), "-")</f>
        <v>140000000</v>
      </c>
      <c r="V390" s="4" t="s">
        <v>127</v>
      </c>
      <c r="W390" s="4" t="s">
        <v>127</v>
      </c>
      <c r="X390" s="4" t="s">
        <v>128</v>
      </c>
      <c r="Y390" s="24">
        <f t="shared" si="37"/>
        <v>202512</v>
      </c>
      <c r="Z390" s="115">
        <v>1</v>
      </c>
      <c r="AA390" s="115">
        <v>0</v>
      </c>
      <c r="AB390" s="115">
        <v>0</v>
      </c>
      <c r="AC390" s="115">
        <v>1</v>
      </c>
      <c r="AD390" s="115">
        <v>0</v>
      </c>
      <c r="AE390" s="115">
        <v>0</v>
      </c>
      <c r="AF390" s="115">
        <v>0</v>
      </c>
      <c r="AG390" s="4" t="s">
        <v>256</v>
      </c>
      <c r="AH390" s="4" t="s">
        <v>128</v>
      </c>
      <c r="AI390" s="4" t="s">
        <v>127</v>
      </c>
      <c r="AJ390" s="4" t="s">
        <v>127</v>
      </c>
      <c r="AK390" s="4" t="s">
        <v>127</v>
      </c>
      <c r="AL390" s="4" t="s">
        <v>127</v>
      </c>
      <c r="AM390" s="4" t="s">
        <v>127</v>
      </c>
      <c r="AN390" s="4" t="s">
        <v>127</v>
      </c>
      <c r="AO390" s="4" t="s">
        <v>127</v>
      </c>
      <c r="AP390" s="4" t="s">
        <v>127</v>
      </c>
      <c r="AQ390" s="4" t="s">
        <v>127</v>
      </c>
      <c r="AR390" s="4" t="s">
        <v>127</v>
      </c>
      <c r="AS390" s="4" t="s">
        <v>127</v>
      </c>
      <c r="AT390" s="4" t="s">
        <v>127</v>
      </c>
      <c r="AU390" s="4" t="s">
        <v>127</v>
      </c>
      <c r="AV390" s="4" t="s">
        <v>127</v>
      </c>
      <c r="AW390" s="4" t="s">
        <v>127</v>
      </c>
      <c r="AX390" s="4" t="s">
        <v>127</v>
      </c>
      <c r="AY390" s="111" t="s">
        <v>1996</v>
      </c>
      <c r="AZ390" s="111" t="s">
        <v>1962</v>
      </c>
      <c r="BA390" s="4" t="s">
        <v>127</v>
      </c>
      <c r="BB390" s="4" t="s">
        <v>2008</v>
      </c>
      <c r="BC390" s="4" t="s">
        <v>2009</v>
      </c>
      <c r="BD390" s="4" t="s">
        <v>127</v>
      </c>
      <c r="BE390" s="113"/>
      <c r="BF390" s="113"/>
      <c r="BG390" s="4"/>
      <c r="BH390" s="4"/>
      <c r="BI390" s="4"/>
      <c r="BJ390" s="4"/>
      <c r="BK390" s="4"/>
      <c r="BL390" s="4"/>
      <c r="BM390" s="4"/>
      <c r="BN390" s="4"/>
      <c r="BO390" s="4"/>
      <c r="BP390" s="4"/>
      <c r="BQ390" s="4"/>
      <c r="BR390" s="4"/>
      <c r="BS390" s="4"/>
      <c r="BT390" s="4"/>
    </row>
    <row r="391" spans="1:72" ht="16" x14ac:dyDescent="0.4">
      <c r="A391" s="4" t="s">
        <v>2010</v>
      </c>
      <c r="B391" s="4" t="s">
        <v>2010</v>
      </c>
      <c r="C391" s="4" t="s">
        <v>127</v>
      </c>
      <c r="D391" s="4" t="s">
        <v>128</v>
      </c>
      <c r="E391" s="190">
        <v>45994</v>
      </c>
      <c r="F391" s="4">
        <v>2025</v>
      </c>
      <c r="G391" s="4" t="s">
        <v>1379</v>
      </c>
      <c r="H391" s="22" t="str">
        <f>VLOOKUP($G391,'Item Classification'!B:C,2,0)</f>
        <v>Non-combat military vehicle</v>
      </c>
      <c r="I391" s="6" t="str">
        <f>VLOOKUP($G391,'Item Classification'!B:D,3,0)</f>
        <v>Other</v>
      </c>
      <c r="J391" s="23">
        <f>VLOOKUP($G391,'Item Classification'!B:E,4,0)</f>
        <v>16</v>
      </c>
      <c r="K391" s="116" t="s">
        <v>274</v>
      </c>
      <c r="L391" s="116" t="s">
        <v>275</v>
      </c>
      <c r="M391" s="116" t="str">
        <f>VLOOKUP(L391,'NATO Classifications'!$D$6:$E$647,2,0)</f>
        <v>Trucks and Truck Tractors, Wheeled</v>
      </c>
      <c r="N391" s="4">
        <v>1744</v>
      </c>
      <c r="O391" s="81">
        <f t="shared" si="58"/>
        <v>165137.61467889909</v>
      </c>
      <c r="P391" s="81">
        <f t="shared" si="59"/>
        <v>165137.61467889909</v>
      </c>
      <c r="Q391" s="4">
        <v>2026</v>
      </c>
      <c r="R391" s="4">
        <v>2027</v>
      </c>
      <c r="S391" s="112">
        <v>288000000</v>
      </c>
      <c r="T391" s="91" t="s">
        <v>132</v>
      </c>
      <c r="U391" s="104">
        <f>_xlfn.IFNA(S391/INDEX('Exchange Rates'!$C$7:$F$14,MATCH('MAIN DATA, Orders'!F391,'Exchange Rates'!$B$7:$B$14,0),MATCH('MAIN DATA, Orders'!T391,'Exchange Rates'!$C$6:$F$6,0)), "-")</f>
        <v>288000000</v>
      </c>
      <c r="V391" s="4" t="s">
        <v>127</v>
      </c>
      <c r="W391" s="4" t="s">
        <v>127</v>
      </c>
      <c r="X391" s="4" t="s">
        <v>128</v>
      </c>
      <c r="Y391" s="24">
        <f t="shared" si="37"/>
        <v>202512</v>
      </c>
      <c r="Z391" s="115">
        <v>1</v>
      </c>
      <c r="AA391" s="115">
        <v>0</v>
      </c>
      <c r="AB391" s="115">
        <v>0</v>
      </c>
      <c r="AC391" s="115">
        <v>1</v>
      </c>
      <c r="AD391" s="115">
        <v>0</v>
      </c>
      <c r="AE391" s="115">
        <v>0</v>
      </c>
      <c r="AF391" s="115">
        <v>0</v>
      </c>
      <c r="AG391" s="4" t="s">
        <v>1380</v>
      </c>
      <c r="AH391" s="4" t="s">
        <v>128</v>
      </c>
      <c r="AI391" s="4" t="s">
        <v>127</v>
      </c>
      <c r="AJ391" s="4" t="s">
        <v>127</v>
      </c>
      <c r="AK391" s="4" t="s">
        <v>127</v>
      </c>
      <c r="AL391" s="4" t="s">
        <v>127</v>
      </c>
      <c r="AM391" s="4" t="s">
        <v>127</v>
      </c>
      <c r="AN391" s="4" t="s">
        <v>127</v>
      </c>
      <c r="AO391" s="4" t="s">
        <v>127</v>
      </c>
      <c r="AP391" s="4" t="s">
        <v>127</v>
      </c>
      <c r="AQ391" s="4" t="s">
        <v>127</v>
      </c>
      <c r="AR391" s="4" t="s">
        <v>127</v>
      </c>
      <c r="AS391" s="4" t="s">
        <v>127</v>
      </c>
      <c r="AT391" s="4" t="s">
        <v>127</v>
      </c>
      <c r="AU391" s="4" t="s">
        <v>127</v>
      </c>
      <c r="AV391" s="4" t="s">
        <v>127</v>
      </c>
      <c r="AW391" s="4" t="s">
        <v>127</v>
      </c>
      <c r="AX391" s="4" t="s">
        <v>127</v>
      </c>
      <c r="AY391" s="111" t="s">
        <v>1996</v>
      </c>
      <c r="AZ391" s="111" t="s">
        <v>2011</v>
      </c>
      <c r="BA391" s="4" t="s">
        <v>127</v>
      </c>
      <c r="BB391" s="4" t="s">
        <v>2012</v>
      </c>
      <c r="BC391" s="4" t="s">
        <v>2013</v>
      </c>
      <c r="BD391" s="4" t="s">
        <v>127</v>
      </c>
      <c r="BE391" s="113"/>
      <c r="BF391" s="113"/>
      <c r="BG391" s="4"/>
      <c r="BH391" s="4"/>
      <c r="BI391" s="4"/>
      <c r="BJ391" s="4"/>
      <c r="BK391" s="4"/>
      <c r="BL391" s="4"/>
      <c r="BM391" s="4"/>
      <c r="BN391" s="4"/>
      <c r="BO391" s="4"/>
      <c r="BP391" s="4"/>
      <c r="BQ391" s="4"/>
      <c r="BR391" s="4"/>
      <c r="BS391" s="4"/>
      <c r="BT391" s="4"/>
    </row>
    <row r="392" spans="1:72" ht="16" x14ac:dyDescent="0.4">
      <c r="A392" s="4" t="s">
        <v>2014</v>
      </c>
      <c r="B392" s="4" t="s">
        <v>2014</v>
      </c>
      <c r="C392" s="4" t="s">
        <v>127</v>
      </c>
      <c r="D392" s="4" t="s">
        <v>128</v>
      </c>
      <c r="E392" s="190">
        <v>45994</v>
      </c>
      <c r="F392" s="4">
        <v>2025</v>
      </c>
      <c r="G392" s="4" t="s">
        <v>644</v>
      </c>
      <c r="H392" s="22" t="str">
        <f>VLOOKUP($G392,'Item Classification'!B:C,2,0)</f>
        <v>Non-combat military vehicle</v>
      </c>
      <c r="I392" s="6" t="str">
        <f>VLOOKUP($G392,'Item Classification'!B:D,3,0)</f>
        <v>Other</v>
      </c>
      <c r="J392" s="23">
        <f>VLOOKUP($G392,'Item Classification'!B:E,4,0)</f>
        <v>16</v>
      </c>
      <c r="K392" s="10" t="s">
        <v>274</v>
      </c>
      <c r="L392" s="10" t="s">
        <v>645</v>
      </c>
      <c r="M392" s="116" t="str">
        <f>VLOOKUP(L392,'NATO Classifications'!$D$6:$E$647,2,0)</f>
        <v>Trailers</v>
      </c>
      <c r="S392" s="112">
        <v>175000000</v>
      </c>
      <c r="T392" s="91" t="s">
        <v>132</v>
      </c>
      <c r="U392" s="104">
        <f>_xlfn.IFNA(S392/INDEX('Exchange Rates'!$C$7:$F$14,MATCH('MAIN DATA, Orders'!F392,'Exchange Rates'!$B$7:$B$14,0),MATCH('MAIN DATA, Orders'!T392,'Exchange Rates'!$C$6:$F$6,0)), "-")</f>
        <v>175000000</v>
      </c>
      <c r="V392" s="4" t="s">
        <v>127</v>
      </c>
      <c r="W392" s="4" t="s">
        <v>127</v>
      </c>
      <c r="X392" s="4" t="s">
        <v>128</v>
      </c>
      <c r="Y392" s="24">
        <f t="shared" si="37"/>
        <v>202512</v>
      </c>
      <c r="Z392" s="115">
        <v>1</v>
      </c>
      <c r="AA392" s="115">
        <v>0</v>
      </c>
      <c r="AB392" s="115">
        <v>0</v>
      </c>
      <c r="AC392" s="115">
        <v>1</v>
      </c>
      <c r="AD392" s="115">
        <v>0</v>
      </c>
      <c r="AE392" s="115">
        <v>0</v>
      </c>
      <c r="AF392" s="115">
        <v>0</v>
      </c>
      <c r="AG392" s="4" t="s">
        <v>646</v>
      </c>
      <c r="AH392" s="4" t="s">
        <v>128</v>
      </c>
      <c r="AI392" s="4" t="s">
        <v>128</v>
      </c>
      <c r="AJ392" s="4" t="s">
        <v>127</v>
      </c>
      <c r="AK392" s="4" t="s">
        <v>127</v>
      </c>
      <c r="AL392" s="4" t="s">
        <v>127</v>
      </c>
      <c r="AM392" s="4" t="s">
        <v>127</v>
      </c>
      <c r="AN392" s="4" t="s">
        <v>127</v>
      </c>
      <c r="AO392" s="4" t="s">
        <v>127</v>
      </c>
      <c r="AP392" s="4" t="s">
        <v>127</v>
      </c>
      <c r="AQ392" s="4" t="s">
        <v>127</v>
      </c>
      <c r="AR392" s="4" t="s">
        <v>127</v>
      </c>
      <c r="AS392" s="4" t="s">
        <v>127</v>
      </c>
      <c r="AT392" s="4" t="s">
        <v>127</v>
      </c>
      <c r="AU392" s="4" t="s">
        <v>127</v>
      </c>
      <c r="AV392" s="4" t="s">
        <v>127</v>
      </c>
      <c r="AW392" s="4" t="s">
        <v>127</v>
      </c>
      <c r="AX392" s="4" t="s">
        <v>127</v>
      </c>
      <c r="AY392" s="111" t="s">
        <v>1996</v>
      </c>
      <c r="AZ392" s="99" t="s">
        <v>2015</v>
      </c>
      <c r="BA392" s="99" t="s">
        <v>1963</v>
      </c>
      <c r="BB392" s="4" t="s">
        <v>2016</v>
      </c>
      <c r="BC392" s="4" t="s">
        <v>2017</v>
      </c>
      <c r="BD392" s="4" t="s">
        <v>2018</v>
      </c>
      <c r="BE392" s="4" t="s">
        <v>127</v>
      </c>
      <c r="BF392" s="113"/>
      <c r="BG392" s="4"/>
      <c r="BH392" s="4"/>
      <c r="BI392" s="4"/>
      <c r="BJ392" s="4"/>
      <c r="BK392" s="4"/>
      <c r="BL392" s="4"/>
      <c r="BM392" s="4"/>
      <c r="BN392" s="4"/>
      <c r="BO392" s="4"/>
      <c r="BP392" s="4"/>
      <c r="BQ392" s="4"/>
      <c r="BR392" s="4"/>
      <c r="BS392" s="4"/>
      <c r="BT392" s="4"/>
    </row>
    <row r="393" spans="1:72" ht="16" x14ac:dyDescent="0.4">
      <c r="A393" s="4" t="s">
        <v>2019</v>
      </c>
      <c r="B393" s="4" t="s">
        <v>2019</v>
      </c>
      <c r="C393" s="4" t="s">
        <v>5615</v>
      </c>
      <c r="D393" s="4" t="s">
        <v>128</v>
      </c>
      <c r="E393" s="190">
        <v>46008</v>
      </c>
      <c r="F393" s="4">
        <v>2025</v>
      </c>
      <c r="G393" s="4" t="s">
        <v>2020</v>
      </c>
      <c r="H393" s="22" t="str">
        <f>VLOOKUP($G393,'Item Classification'!B:C,2,0)</f>
        <v>155mm howitzer</v>
      </c>
      <c r="I393" s="6" t="str">
        <f>VLOOKUP($G393,'Item Classification'!B:D,3,0)</f>
        <v>Artillery</v>
      </c>
      <c r="J393" s="23">
        <f>VLOOKUP($G393,'Item Classification'!B:E,4,0)</f>
        <v>3</v>
      </c>
      <c r="K393" s="116" t="s">
        <v>763</v>
      </c>
      <c r="L393" s="116" t="s">
        <v>2021</v>
      </c>
      <c r="M393" s="116" t="str">
        <f>VLOOKUP(L393,'NATO Classifications'!$D$6:$E$647,2,0)</f>
        <v>Guns over 75mm</v>
      </c>
      <c r="N393" s="4">
        <v>84</v>
      </c>
      <c r="O393" s="81">
        <f t="shared" ref="O393" si="60">S393/N393</f>
        <v>14285714.285714285</v>
      </c>
      <c r="P393" s="81">
        <f t="shared" ref="P393" si="61">U393/N393</f>
        <v>14285714.285714285</v>
      </c>
      <c r="Q393" s="4">
        <v>2028</v>
      </c>
      <c r="R393" s="4"/>
      <c r="S393" s="112">
        <v>1200000000</v>
      </c>
      <c r="T393" s="91" t="s">
        <v>132</v>
      </c>
      <c r="U393" s="104">
        <f>_xlfn.IFNA(S393/INDEX('Exchange Rates'!$C$7:$F$14,MATCH('MAIN DATA, Orders'!F393,'Exchange Rates'!$B$7:$B$14,0),MATCH('MAIN DATA, Orders'!T393,'Exchange Rates'!$C$6:$F$6,0)), "-")</f>
        <v>1200000000</v>
      </c>
      <c r="V393" s="4" t="s">
        <v>127</v>
      </c>
      <c r="W393" s="4" t="s">
        <v>127</v>
      </c>
      <c r="X393" s="4" t="s">
        <v>128</v>
      </c>
      <c r="Y393" s="24">
        <f t="shared" si="37"/>
        <v>202512</v>
      </c>
      <c r="Z393" s="115">
        <v>1</v>
      </c>
      <c r="AA393" s="115">
        <v>0</v>
      </c>
      <c r="AB393" s="115">
        <v>0</v>
      </c>
      <c r="AC393" s="115">
        <v>1</v>
      </c>
      <c r="AD393" s="115">
        <v>0</v>
      </c>
      <c r="AE393" s="115">
        <v>0</v>
      </c>
      <c r="AF393" s="115">
        <v>0</v>
      </c>
      <c r="AG393" s="4" t="s">
        <v>1213</v>
      </c>
      <c r="AH393" s="4" t="s">
        <v>128</v>
      </c>
      <c r="AI393" s="4" t="s">
        <v>128</v>
      </c>
      <c r="AJ393" s="4" t="s">
        <v>127</v>
      </c>
      <c r="AK393" s="4" t="s">
        <v>127</v>
      </c>
      <c r="AL393" s="4" t="s">
        <v>127</v>
      </c>
      <c r="AM393" s="4" t="s">
        <v>127</v>
      </c>
      <c r="AN393" s="4" t="s">
        <v>127</v>
      </c>
      <c r="AO393" s="4" t="s">
        <v>127</v>
      </c>
      <c r="AP393" s="4" t="s">
        <v>127</v>
      </c>
      <c r="AQ393" s="4" t="s">
        <v>127</v>
      </c>
      <c r="AR393" s="4" t="s">
        <v>127</v>
      </c>
      <c r="AS393" s="4" t="s">
        <v>127</v>
      </c>
      <c r="AT393" s="4" t="s">
        <v>127</v>
      </c>
      <c r="AU393" s="4" t="s">
        <v>127</v>
      </c>
      <c r="AV393" s="4" t="s">
        <v>127</v>
      </c>
      <c r="AW393" s="4" t="s">
        <v>127</v>
      </c>
      <c r="AX393" s="4" t="s">
        <v>127</v>
      </c>
      <c r="AY393" s="111" t="s">
        <v>2022</v>
      </c>
      <c r="AZ393" s="96" t="s">
        <v>2023</v>
      </c>
      <c r="BA393" s="4" t="s">
        <v>127</v>
      </c>
      <c r="BB393" s="4" t="s">
        <v>2024</v>
      </c>
      <c r="BC393" s="4" t="s">
        <v>2025</v>
      </c>
      <c r="BD393" s="4" t="s">
        <v>127</v>
      </c>
      <c r="BE393" s="113"/>
      <c r="BF393" s="113"/>
      <c r="BG393" s="4"/>
      <c r="BH393" s="4"/>
      <c r="BI393" s="4"/>
      <c r="BJ393" s="4"/>
      <c r="BK393" s="4"/>
      <c r="BL393" s="4"/>
      <c r="BM393" s="4"/>
      <c r="BN393" s="4"/>
      <c r="BO393" s="4"/>
      <c r="BP393" s="4"/>
      <c r="BQ393" s="4"/>
      <c r="BR393" s="4"/>
      <c r="BS393" s="4"/>
      <c r="BT393" s="4"/>
    </row>
    <row r="394" spans="1:72" ht="16" x14ac:dyDescent="0.4">
      <c r="A394" s="4" t="s">
        <v>2026</v>
      </c>
      <c r="B394" s="4" t="s">
        <v>2026</v>
      </c>
      <c r="C394" s="4" t="s">
        <v>127</v>
      </c>
      <c r="D394" s="4" t="s">
        <v>128</v>
      </c>
      <c r="E394" s="190">
        <v>46008</v>
      </c>
      <c r="F394" s="4">
        <v>2025</v>
      </c>
      <c r="G394" s="4" t="s">
        <v>2027</v>
      </c>
      <c r="H394" s="22" t="str">
        <f>VLOOKUP($G394,'Item Classification'!B:C,2,0)</f>
        <v>ISR Satellite</v>
      </c>
      <c r="I394" s="6" t="str">
        <f>VLOOKUP($G394,'Item Classification'!B:D,3,0)</f>
        <v>Modernisation</v>
      </c>
      <c r="J394" s="23">
        <f>VLOOKUP($G394,'Item Classification'!B:E,4,0)</f>
        <v>13</v>
      </c>
      <c r="K394" s="116" t="s">
        <v>2028</v>
      </c>
      <c r="L394" s="116" t="s">
        <v>2028</v>
      </c>
      <c r="M394" s="116" t="str">
        <f>VLOOKUP(L394,'NATO Classifications'!$D$6:$E$647,2,0)</f>
        <v>Space Vehicles</v>
      </c>
      <c r="N394" s="4"/>
      <c r="O394" s="4"/>
      <c r="P394" s="4"/>
      <c r="Q394" s="4">
        <v>2028</v>
      </c>
      <c r="R394" s="4">
        <v>2031</v>
      </c>
      <c r="S394" s="112">
        <v>1800000000</v>
      </c>
      <c r="T394" s="91" t="s">
        <v>132</v>
      </c>
      <c r="U394" s="104">
        <f>_xlfn.IFNA(S394/INDEX('Exchange Rates'!$C$7:$F$14,MATCH('MAIN DATA, Orders'!F394,'Exchange Rates'!$B$7:$B$14,0),MATCH('MAIN DATA, Orders'!T394,'Exchange Rates'!$C$6:$F$6,0)), "-")</f>
        <v>1800000000</v>
      </c>
      <c r="V394" s="4" t="s">
        <v>127</v>
      </c>
      <c r="W394" s="4" t="s">
        <v>127</v>
      </c>
      <c r="X394" s="4" t="s">
        <v>128</v>
      </c>
      <c r="Y394" s="24">
        <f t="shared" si="37"/>
        <v>202512</v>
      </c>
      <c r="Z394" s="115">
        <v>1</v>
      </c>
      <c r="AA394" s="115">
        <v>0</v>
      </c>
      <c r="AB394" s="115">
        <v>0</v>
      </c>
      <c r="AC394" s="115">
        <v>1</v>
      </c>
      <c r="AD394" s="115">
        <v>1</v>
      </c>
      <c r="AE394" s="115">
        <v>0</v>
      </c>
      <c r="AF394" s="115">
        <v>1</v>
      </c>
      <c r="AG394" s="4" t="s">
        <v>256</v>
      </c>
      <c r="AH394" s="4" t="s">
        <v>128</v>
      </c>
      <c r="AI394" s="4" t="s">
        <v>128</v>
      </c>
      <c r="AJ394" s="4" t="s">
        <v>2029</v>
      </c>
      <c r="AK394" s="4" t="s">
        <v>127</v>
      </c>
      <c r="AL394" s="4" t="s">
        <v>127</v>
      </c>
      <c r="AM394" s="4" t="s">
        <v>127</v>
      </c>
      <c r="AN394" s="4" t="s">
        <v>684</v>
      </c>
      <c r="AO394" s="4" t="s">
        <v>127</v>
      </c>
      <c r="AP394" s="4" t="s">
        <v>127</v>
      </c>
      <c r="AQ394" s="4" t="s">
        <v>127</v>
      </c>
      <c r="AR394" s="4" t="s">
        <v>127</v>
      </c>
      <c r="AS394" s="4" t="s">
        <v>127</v>
      </c>
      <c r="AT394" s="4" t="s">
        <v>127</v>
      </c>
      <c r="AU394" s="4" t="s">
        <v>127</v>
      </c>
      <c r="AV394" s="4" t="s">
        <v>127</v>
      </c>
      <c r="AW394" s="4" t="s">
        <v>684</v>
      </c>
      <c r="AX394" s="4" t="s">
        <v>127</v>
      </c>
      <c r="AY394" s="111" t="s">
        <v>2022</v>
      </c>
      <c r="AZ394" s="96" t="s">
        <v>2030</v>
      </c>
      <c r="BA394" s="4" t="s">
        <v>127</v>
      </c>
      <c r="BB394" s="4" t="s">
        <v>2031</v>
      </c>
      <c r="BC394" s="4" t="s">
        <v>2032</v>
      </c>
      <c r="BD394" s="4" t="s">
        <v>127</v>
      </c>
      <c r="BE394" s="113"/>
      <c r="BF394" s="113"/>
      <c r="BG394" s="4"/>
      <c r="BH394" s="4"/>
      <c r="BI394" s="4"/>
      <c r="BJ394" s="4"/>
      <c r="BK394" s="4"/>
      <c r="BL394" s="4"/>
      <c r="BM394" s="4"/>
      <c r="BN394" s="4"/>
      <c r="BO394" s="4"/>
      <c r="BP394" s="4"/>
      <c r="BQ394" s="4"/>
      <c r="BR394" s="4"/>
      <c r="BS394" s="4"/>
      <c r="BT394" s="4"/>
    </row>
    <row r="395" spans="1:72" ht="16" x14ac:dyDescent="0.4">
      <c r="A395" s="4" t="s">
        <v>2033</v>
      </c>
      <c r="B395" s="4" t="s">
        <v>2033</v>
      </c>
      <c r="C395" s="4" t="s">
        <v>127</v>
      </c>
      <c r="D395" s="4" t="s">
        <v>128</v>
      </c>
      <c r="E395" s="190">
        <v>46008</v>
      </c>
      <c r="F395" s="4">
        <v>2025</v>
      </c>
      <c r="G395" s="4" t="s">
        <v>428</v>
      </c>
      <c r="H395" s="22" t="str">
        <f>VLOOKUP($G395,'Item Classification'!B:C,2,0)</f>
        <v>Airborne surveillance system</v>
      </c>
      <c r="I395" s="6" t="str">
        <f>VLOOKUP($G395,'Item Classification'!B:D,3,0)</f>
        <v>Aircraft</v>
      </c>
      <c r="J395" s="23">
        <f>VLOOKUP($G395,'Item Classification'!B:E,4,0)</f>
        <v>11</v>
      </c>
      <c r="K395" s="116" t="s">
        <v>130</v>
      </c>
      <c r="L395" s="116" t="s">
        <v>237</v>
      </c>
      <c r="M395" s="116" t="str">
        <f>VLOOKUP(L395,'NATO Classifications'!$D$6:$E$647,2,0)</f>
        <v>Aircraft, Fixed Wing</v>
      </c>
      <c r="N395" s="4"/>
      <c r="O395" s="4"/>
      <c r="P395" s="4"/>
      <c r="Q395" s="4"/>
      <c r="R395" s="4"/>
      <c r="S395" s="112">
        <v>165000000</v>
      </c>
      <c r="T395" s="91" t="s">
        <v>132</v>
      </c>
      <c r="U395" s="104">
        <f>_xlfn.IFNA(S395/INDEX('Exchange Rates'!$C$7:$F$14,MATCH('MAIN DATA, Orders'!F395,'Exchange Rates'!$B$7:$B$14,0),MATCH('MAIN DATA, Orders'!T395,'Exchange Rates'!$C$6:$F$6,0)), "-")</f>
        <v>165000000</v>
      </c>
      <c r="V395" s="4" t="s">
        <v>127</v>
      </c>
      <c r="W395" s="4" t="s">
        <v>127</v>
      </c>
      <c r="X395" s="4" t="s">
        <v>128</v>
      </c>
      <c r="Y395" s="24">
        <f t="shared" si="37"/>
        <v>202512</v>
      </c>
      <c r="Z395" s="115">
        <v>0</v>
      </c>
      <c r="AA395" s="115">
        <v>0</v>
      </c>
      <c r="AB395" s="115">
        <v>0</v>
      </c>
      <c r="AC395" s="115">
        <v>1</v>
      </c>
      <c r="AD395" s="115">
        <v>0</v>
      </c>
      <c r="AE395" s="115">
        <v>1</v>
      </c>
      <c r="AF395" s="115">
        <v>1</v>
      </c>
      <c r="AG395" s="4" t="s">
        <v>149</v>
      </c>
      <c r="AH395" s="4" t="s">
        <v>128</v>
      </c>
      <c r="AI395" s="4" t="s">
        <v>127</v>
      </c>
      <c r="AJ395" s="4" t="s">
        <v>429</v>
      </c>
      <c r="AK395" s="4" t="s">
        <v>430</v>
      </c>
      <c r="AL395" s="4" t="s">
        <v>127</v>
      </c>
      <c r="AM395" s="4" t="s">
        <v>127</v>
      </c>
      <c r="AN395" s="4" t="s">
        <v>431</v>
      </c>
      <c r="AO395" s="4" t="s">
        <v>127</v>
      </c>
      <c r="AP395" s="4" t="s">
        <v>127</v>
      </c>
      <c r="AQ395" s="4" t="s">
        <v>127</v>
      </c>
      <c r="AR395" s="4" t="s">
        <v>127</v>
      </c>
      <c r="AS395" s="4" t="s">
        <v>127</v>
      </c>
      <c r="AT395" s="4" t="s">
        <v>127</v>
      </c>
      <c r="AU395" s="4" t="s">
        <v>127</v>
      </c>
      <c r="AV395" s="4" t="s">
        <v>127</v>
      </c>
      <c r="AW395" s="4" t="s">
        <v>127</v>
      </c>
      <c r="AX395" s="4" t="s">
        <v>127</v>
      </c>
      <c r="AY395" s="111" t="s">
        <v>2022</v>
      </c>
      <c r="AZ395" s="96" t="s">
        <v>2030</v>
      </c>
      <c r="BA395" s="4" t="s">
        <v>127</v>
      </c>
      <c r="BB395" s="4" t="s">
        <v>2034</v>
      </c>
      <c r="BC395" s="4" t="s">
        <v>2035</v>
      </c>
      <c r="BD395" s="4" t="s">
        <v>127</v>
      </c>
      <c r="BE395" s="113"/>
      <c r="BF395" s="113"/>
      <c r="BG395" s="4"/>
      <c r="BH395" s="4"/>
      <c r="BI395" s="4"/>
      <c r="BJ395" s="4"/>
      <c r="BK395" s="4"/>
      <c r="BL395" s="4"/>
      <c r="BM395" s="4"/>
      <c r="BN395" s="4"/>
      <c r="BO395" s="4"/>
      <c r="BP395" s="4"/>
      <c r="BQ395" s="4"/>
      <c r="BR395" s="4"/>
      <c r="BS395" s="4"/>
      <c r="BT395" s="4"/>
    </row>
    <row r="396" spans="1:72" ht="16" x14ac:dyDescent="0.4">
      <c r="A396" s="4" t="s">
        <v>2036</v>
      </c>
      <c r="B396" s="4" t="s">
        <v>2036</v>
      </c>
      <c r="C396" s="4" t="s">
        <v>127</v>
      </c>
      <c r="D396" s="4" t="s">
        <v>128</v>
      </c>
      <c r="E396" s="190">
        <v>46008</v>
      </c>
      <c r="F396" s="4">
        <v>2025</v>
      </c>
      <c r="G396" s="4" t="s">
        <v>2037</v>
      </c>
      <c r="H396" s="22" t="str">
        <f>VLOOKUP($G396,'Item Classification'!B:C,2,0)</f>
        <v>Air-launched cruise missile</v>
      </c>
      <c r="I396" s="6" t="str">
        <f>VLOOKUP($G396,'Item Classification'!B:D,3,0)</f>
        <v>Missile (Air)</v>
      </c>
      <c r="J396" s="23">
        <f>VLOOKUP($G396,'Item Classification'!B:E,4,0)</f>
        <v>6</v>
      </c>
      <c r="K396" s="116" t="s">
        <v>211</v>
      </c>
      <c r="L396" s="116" t="s">
        <v>211</v>
      </c>
      <c r="M396" s="116" t="str">
        <f>VLOOKUP(L396,'NATO Classifications'!$D$6:$E$647,2,0)</f>
        <v>Guided Missiles</v>
      </c>
      <c r="N396" s="4"/>
      <c r="O396" s="4"/>
      <c r="P396" s="4"/>
      <c r="Q396" s="4"/>
      <c r="R396" s="4"/>
      <c r="S396" s="112">
        <v>448000000</v>
      </c>
      <c r="T396" s="91" t="s">
        <v>132</v>
      </c>
      <c r="U396" s="104">
        <f>_xlfn.IFNA(S396/INDEX('Exchange Rates'!$C$7:$F$14,MATCH('MAIN DATA, Orders'!F396,'Exchange Rates'!$B$7:$B$14,0),MATCH('MAIN DATA, Orders'!T396,'Exchange Rates'!$C$6:$F$6,0)), "-")</f>
        <v>448000000</v>
      </c>
      <c r="V396" s="4" t="s">
        <v>127</v>
      </c>
      <c r="W396" s="4" t="s">
        <v>127</v>
      </c>
      <c r="X396" s="4" t="s">
        <v>128</v>
      </c>
      <c r="Y396" s="24">
        <f t="shared" si="37"/>
        <v>202512</v>
      </c>
      <c r="Z396" s="115">
        <v>0</v>
      </c>
      <c r="AA396" s="115">
        <v>0</v>
      </c>
      <c r="AB396" s="115">
        <v>0</v>
      </c>
      <c r="AC396" s="115">
        <v>1</v>
      </c>
      <c r="AD396" s="115">
        <v>1</v>
      </c>
      <c r="AE396" s="115">
        <v>0</v>
      </c>
      <c r="AF396" s="115">
        <v>1</v>
      </c>
      <c r="AG396" s="4" t="s">
        <v>475</v>
      </c>
      <c r="AH396" s="4" t="s">
        <v>128</v>
      </c>
      <c r="AI396" s="4" t="s">
        <v>128</v>
      </c>
      <c r="AJ396" s="4" t="s">
        <v>212</v>
      </c>
      <c r="AK396" s="4" t="s">
        <v>127</v>
      </c>
      <c r="AL396" s="4" t="s">
        <v>127</v>
      </c>
      <c r="AM396" s="4" t="s">
        <v>127</v>
      </c>
      <c r="AN396" s="4" t="s">
        <v>213</v>
      </c>
      <c r="AO396" s="4" t="s">
        <v>238</v>
      </c>
      <c r="AP396" s="4" t="s">
        <v>151</v>
      </c>
      <c r="AQ396" s="4" t="s">
        <v>197</v>
      </c>
      <c r="AR396" s="4" t="s">
        <v>127</v>
      </c>
      <c r="AS396" s="4" t="s">
        <v>127</v>
      </c>
      <c r="AT396" s="4" t="s">
        <v>127</v>
      </c>
      <c r="AU396" s="4" t="s">
        <v>127</v>
      </c>
      <c r="AV396" s="4" t="s">
        <v>127</v>
      </c>
      <c r="AW396" s="4" t="s">
        <v>127</v>
      </c>
      <c r="AX396" s="4" t="s">
        <v>127</v>
      </c>
      <c r="AY396" s="111" t="s">
        <v>2022</v>
      </c>
      <c r="AZ396" s="96" t="s">
        <v>2030</v>
      </c>
      <c r="BA396" s="96" t="s">
        <v>2038</v>
      </c>
      <c r="BB396" s="4" t="s">
        <v>2039</v>
      </c>
      <c r="BC396" s="4" t="s">
        <v>2040</v>
      </c>
      <c r="BD396" s="4" t="s">
        <v>2041</v>
      </c>
      <c r="BE396" s="4" t="s">
        <v>127</v>
      </c>
      <c r="BF396" s="113"/>
      <c r="BG396" s="4"/>
      <c r="BH396" s="4"/>
      <c r="BI396" s="4"/>
      <c r="BJ396" s="4"/>
      <c r="BK396" s="4"/>
      <c r="BL396" s="4"/>
      <c r="BM396" s="4"/>
      <c r="BN396" s="4"/>
      <c r="BO396" s="4"/>
      <c r="BP396" s="4"/>
      <c r="BQ396" s="4"/>
      <c r="BR396" s="4"/>
      <c r="BS396" s="4"/>
      <c r="BT396" s="4"/>
    </row>
    <row r="397" spans="1:72" ht="16" x14ac:dyDescent="0.4">
      <c r="A397" s="4" t="s">
        <v>2042</v>
      </c>
      <c r="B397" s="4" t="s">
        <v>2042</v>
      </c>
      <c r="C397" s="4" t="s">
        <v>127</v>
      </c>
      <c r="D397" s="4" t="s">
        <v>128</v>
      </c>
      <c r="E397" s="190">
        <v>46008</v>
      </c>
      <c r="F397" s="4">
        <v>2025</v>
      </c>
      <c r="G397" s="4" t="s">
        <v>2043</v>
      </c>
      <c r="H397" s="22" t="str">
        <f>VLOOKUP($G397,'Item Classification'!B:C,2,0)</f>
        <v>Clothing and personal equipment</v>
      </c>
      <c r="I397" s="6" t="str">
        <f>VLOOKUP($G397,'Item Classification'!B:D,3,0)</f>
        <v>Modernisation</v>
      </c>
      <c r="J397" s="23">
        <f>VLOOKUP($G397,'Item Classification'!B:E,4,0)</f>
        <v>13</v>
      </c>
      <c r="K397" s="116" t="s">
        <v>221</v>
      </c>
      <c r="L397" s="116" t="s">
        <v>671</v>
      </c>
      <c r="M397" s="116" t="str">
        <f>VLOOKUP(L397,'NATO Classifications'!$D$6:$E$647,2,0)</f>
        <v>Individual Equipment</v>
      </c>
      <c r="N397" s="4"/>
      <c r="O397" s="4"/>
      <c r="P397" s="4"/>
      <c r="Q397" s="4">
        <v>2026</v>
      </c>
      <c r="R397" s="4">
        <v>2034</v>
      </c>
      <c r="S397" s="112">
        <v>21000000000</v>
      </c>
      <c r="T397" s="91" t="s">
        <v>132</v>
      </c>
      <c r="U397" s="104">
        <f>_xlfn.IFNA(S397/INDEX('Exchange Rates'!$C$7:$F$14,MATCH('MAIN DATA, Orders'!F397,'Exchange Rates'!$B$7:$B$14,0),MATCH('MAIN DATA, Orders'!T397,'Exchange Rates'!$C$6:$F$6,0)), "-")</f>
        <v>21000000000</v>
      </c>
      <c r="V397" s="4" t="s">
        <v>127</v>
      </c>
      <c r="W397" s="4" t="s">
        <v>127</v>
      </c>
      <c r="X397" s="4" t="s">
        <v>128</v>
      </c>
      <c r="Y397" s="24">
        <f t="shared" si="37"/>
        <v>202512</v>
      </c>
      <c r="Z397" s="115">
        <v>0</v>
      </c>
      <c r="AA397" s="115">
        <v>1</v>
      </c>
      <c r="AB397" s="115">
        <v>0</v>
      </c>
      <c r="AC397" s="115">
        <v>1</v>
      </c>
      <c r="AD397" s="115">
        <v>0</v>
      </c>
      <c r="AE397" s="115">
        <v>0</v>
      </c>
      <c r="AF397" s="115">
        <v>0</v>
      </c>
      <c r="AG397" s="4" t="s">
        <v>2044</v>
      </c>
      <c r="AH397" s="4" t="s">
        <v>128</v>
      </c>
      <c r="AI397" s="4" t="s">
        <v>128</v>
      </c>
      <c r="AJ397" s="4" t="s">
        <v>127</v>
      </c>
      <c r="AK397" s="4" t="s">
        <v>127</v>
      </c>
      <c r="AL397" s="4" t="s">
        <v>127</v>
      </c>
      <c r="AM397" s="4" t="s">
        <v>127</v>
      </c>
      <c r="AN397" s="4" t="s">
        <v>127</v>
      </c>
      <c r="AO397" s="4" t="s">
        <v>127</v>
      </c>
      <c r="AP397" s="4" t="s">
        <v>127</v>
      </c>
      <c r="AQ397" s="4" t="s">
        <v>127</v>
      </c>
      <c r="AR397" s="4" t="s">
        <v>127</v>
      </c>
      <c r="AS397" s="4" t="s">
        <v>127</v>
      </c>
      <c r="AT397" s="4" t="s">
        <v>127</v>
      </c>
      <c r="AU397" s="4" t="s">
        <v>127</v>
      </c>
      <c r="AV397" s="4" t="s">
        <v>127</v>
      </c>
      <c r="AW397" s="4" t="s">
        <v>127</v>
      </c>
      <c r="AX397" s="4" t="s">
        <v>127</v>
      </c>
      <c r="AY397" s="111" t="s">
        <v>2022</v>
      </c>
      <c r="AZ397" s="96" t="s">
        <v>2030</v>
      </c>
      <c r="BA397" s="4" t="s">
        <v>127</v>
      </c>
      <c r="BB397" s="4" t="s">
        <v>2045</v>
      </c>
      <c r="BC397" s="6" t="s">
        <v>127</v>
      </c>
      <c r="BD397" s="4" t="s">
        <v>127</v>
      </c>
      <c r="BE397" s="113"/>
      <c r="BF397" s="113"/>
      <c r="BG397" s="4"/>
      <c r="BH397" s="4"/>
      <c r="BI397" s="4"/>
      <c r="BJ397" s="4"/>
      <c r="BK397" s="4"/>
      <c r="BL397" s="4"/>
      <c r="BM397" s="4"/>
      <c r="BN397" s="4"/>
      <c r="BO397" s="4"/>
      <c r="BP397" s="4"/>
      <c r="BQ397" s="4"/>
      <c r="BR397" s="4"/>
      <c r="BS397" s="4"/>
      <c r="BT397" s="4"/>
    </row>
    <row r="398" spans="1:72" ht="16" x14ac:dyDescent="0.4">
      <c r="A398" s="4" t="s">
        <v>2046</v>
      </c>
      <c r="B398" s="4" t="s">
        <v>2046</v>
      </c>
      <c r="C398" s="4" t="s">
        <v>127</v>
      </c>
      <c r="D398" s="4" t="s">
        <v>128</v>
      </c>
      <c r="E398" s="190">
        <v>46008</v>
      </c>
      <c r="F398" s="4">
        <v>2025</v>
      </c>
      <c r="G398" s="4" t="s">
        <v>1044</v>
      </c>
      <c r="H398" s="22" t="str">
        <f>VLOOKUP($G398,'Item Classification'!B:C,2,0)</f>
        <v>Surface-to-air missile (SAM) system</v>
      </c>
      <c r="I398" s="6" t="str">
        <f>VLOOKUP($G398,'Item Classification'!B:D,3,0)</f>
        <v>Air defence system</v>
      </c>
      <c r="J398" s="23">
        <f>VLOOKUP($G398,'Item Classification'!B:E,4,0)</f>
        <v>5</v>
      </c>
      <c r="K398" s="116" t="s">
        <v>211</v>
      </c>
      <c r="L398" s="116" t="s">
        <v>326</v>
      </c>
      <c r="M398" s="116" t="str">
        <f>VLOOKUP(L398,'NATO Classifications'!$D$6:$E$647,2,0)</f>
        <v>Guided Missile Systems, Complete</v>
      </c>
      <c r="N398" s="4"/>
      <c r="O398" s="4"/>
      <c r="P398" s="4"/>
      <c r="Q398" s="4"/>
      <c r="R398" s="4"/>
      <c r="S398" s="112">
        <v>3100000000</v>
      </c>
      <c r="T398" s="91" t="s">
        <v>132</v>
      </c>
      <c r="U398" s="104">
        <f>_xlfn.IFNA(S398/INDEX('Exchange Rates'!$C$7:$F$14,MATCH('MAIN DATA, Orders'!F398,'Exchange Rates'!$B$7:$B$14,0),MATCH('MAIN DATA, Orders'!T398,'Exchange Rates'!$C$6:$F$6,0)), "-")</f>
        <v>3100000000</v>
      </c>
      <c r="V398" s="4" t="s">
        <v>127</v>
      </c>
      <c r="W398" s="4" t="s">
        <v>127</v>
      </c>
      <c r="X398" s="4" t="s">
        <v>128</v>
      </c>
      <c r="Y398" s="24">
        <f t="shared" si="37"/>
        <v>202512</v>
      </c>
      <c r="Z398" s="115">
        <v>0</v>
      </c>
      <c r="AA398" s="115">
        <v>0</v>
      </c>
      <c r="AB398" s="115">
        <v>0</v>
      </c>
      <c r="AC398" s="115">
        <v>1</v>
      </c>
      <c r="AD398" s="115">
        <v>0</v>
      </c>
      <c r="AE398" s="115">
        <v>1</v>
      </c>
      <c r="AF398" s="115">
        <v>1</v>
      </c>
      <c r="AG398" s="4" t="s">
        <v>134</v>
      </c>
      <c r="AH398" s="4" t="s">
        <v>135</v>
      </c>
      <c r="AI398" s="4" t="s">
        <v>135</v>
      </c>
      <c r="AJ398" s="4" t="s">
        <v>192</v>
      </c>
      <c r="AK398" s="4" t="s">
        <v>717</v>
      </c>
      <c r="AL398" s="4" t="s">
        <v>127</v>
      </c>
      <c r="AM398" s="4" t="s">
        <v>127</v>
      </c>
      <c r="AN398" s="4" t="s">
        <v>196</v>
      </c>
      <c r="AO398" s="4" t="s">
        <v>128</v>
      </c>
      <c r="AP398" s="4" t="s">
        <v>127</v>
      </c>
      <c r="AQ398" s="4" t="s">
        <v>127</v>
      </c>
      <c r="AR398" s="4" t="s">
        <v>127</v>
      </c>
      <c r="AS398" s="4" t="s">
        <v>127</v>
      </c>
      <c r="AT398" s="4" t="s">
        <v>127</v>
      </c>
      <c r="AU398" s="4" t="s">
        <v>127</v>
      </c>
      <c r="AV398" s="4" t="s">
        <v>127</v>
      </c>
      <c r="AW398" s="4" t="s">
        <v>196</v>
      </c>
      <c r="AX398" s="4" t="s">
        <v>127</v>
      </c>
      <c r="AY398" s="111" t="s">
        <v>2022</v>
      </c>
      <c r="AZ398" s="96" t="s">
        <v>2030</v>
      </c>
      <c r="BA398" s="4" t="s">
        <v>127</v>
      </c>
      <c r="BB398" s="4" t="s">
        <v>2047</v>
      </c>
      <c r="BC398" s="4" t="s">
        <v>127</v>
      </c>
      <c r="BD398" s="4" t="s">
        <v>127</v>
      </c>
      <c r="BE398" s="113"/>
      <c r="BF398" s="113"/>
      <c r="BG398" s="4"/>
      <c r="BH398" s="4"/>
      <c r="BI398" s="4"/>
      <c r="BJ398" s="4"/>
      <c r="BK398" s="4"/>
      <c r="BL398" s="4"/>
      <c r="BM398" s="4"/>
      <c r="BN398" s="4"/>
      <c r="BO398" s="4"/>
      <c r="BP398" s="4"/>
      <c r="BQ398" s="4"/>
      <c r="BR398" s="4"/>
      <c r="BS398" s="4"/>
      <c r="BT398" s="4"/>
    </row>
    <row r="399" spans="1:72" ht="16" x14ac:dyDescent="0.4">
      <c r="A399" s="4" t="s">
        <v>2048</v>
      </c>
      <c r="B399" s="4" t="s">
        <v>2048</v>
      </c>
      <c r="C399" s="4" t="s">
        <v>127</v>
      </c>
      <c r="D399" s="4" t="s">
        <v>128</v>
      </c>
      <c r="E399" s="190">
        <v>46008</v>
      </c>
      <c r="F399" s="4">
        <v>2025</v>
      </c>
      <c r="G399" s="4" t="s">
        <v>1151</v>
      </c>
      <c r="H399" s="22" t="str">
        <f>VLOOKUP($G399,'Item Classification'!B:C,2,0)</f>
        <v>Surface-to-air missile (SAM)</v>
      </c>
      <c r="I399" s="6" t="str">
        <f>VLOOKUP($G399,'Item Classification'!B:D,3,0)</f>
        <v>Missile (Land)</v>
      </c>
      <c r="J399" s="23">
        <f>VLOOKUP($G399,'Item Classification'!B:E,4,0)</f>
        <v>6</v>
      </c>
      <c r="K399" s="116" t="s">
        <v>211</v>
      </c>
      <c r="L399" s="116" t="s">
        <v>211</v>
      </c>
      <c r="M399" s="116" t="str">
        <f>VLOOKUP(L399,'NATO Classifications'!$D$6:$E$647,2,0)</f>
        <v>Guided Missiles</v>
      </c>
      <c r="N399" s="6">
        <v>240</v>
      </c>
      <c r="O399" s="81">
        <f t="shared" ref="O399" si="62">S399/N399</f>
        <v>6666666.666666667</v>
      </c>
      <c r="P399" s="81">
        <f t="shared" ref="P399" si="63">U399/N399</f>
        <v>6666666.666666667</v>
      </c>
      <c r="S399" s="112">
        <v>1600000000</v>
      </c>
      <c r="T399" s="91" t="s">
        <v>132</v>
      </c>
      <c r="U399" s="104">
        <f>_xlfn.IFNA(S399/INDEX('Exchange Rates'!$C$7:$F$14,MATCH('MAIN DATA, Orders'!F399,'Exchange Rates'!$B$7:$B$14,0),MATCH('MAIN DATA, Orders'!T399,'Exchange Rates'!$C$6:$F$6,0)), "-")</f>
        <v>1600000000</v>
      </c>
      <c r="V399" s="4" t="s">
        <v>127</v>
      </c>
      <c r="W399" s="4" t="s">
        <v>127</v>
      </c>
      <c r="X399" s="4" t="s">
        <v>128</v>
      </c>
      <c r="Y399" s="24">
        <f t="shared" si="37"/>
        <v>202512</v>
      </c>
      <c r="Z399" s="115">
        <v>0</v>
      </c>
      <c r="AA399" s="115">
        <v>0</v>
      </c>
      <c r="AB399" s="115">
        <v>1</v>
      </c>
      <c r="AC399" s="115">
        <v>1</v>
      </c>
      <c r="AD399" s="115">
        <v>0</v>
      </c>
      <c r="AE399" s="115">
        <v>1</v>
      </c>
      <c r="AF399" s="115">
        <v>1</v>
      </c>
      <c r="AG399" s="4" t="s">
        <v>718</v>
      </c>
      <c r="AH399" s="4" t="s">
        <v>196</v>
      </c>
      <c r="AI399" s="4" t="s">
        <v>128</v>
      </c>
      <c r="AJ399" s="4" t="s">
        <v>717</v>
      </c>
      <c r="AK399" s="4" t="s">
        <v>127</v>
      </c>
      <c r="AL399" s="4" t="s">
        <v>127</v>
      </c>
      <c r="AM399" s="4" t="s">
        <v>127</v>
      </c>
      <c r="AN399" s="4" t="s">
        <v>128</v>
      </c>
      <c r="AO399" s="4" t="s">
        <v>127</v>
      </c>
      <c r="AP399" s="4" t="s">
        <v>127</v>
      </c>
      <c r="AQ399" s="4" t="s">
        <v>127</v>
      </c>
      <c r="AR399" s="4" t="s">
        <v>127</v>
      </c>
      <c r="AS399" s="4" t="s">
        <v>127</v>
      </c>
      <c r="AT399" s="4" t="s">
        <v>127</v>
      </c>
      <c r="AU399" s="4" t="s">
        <v>127</v>
      </c>
      <c r="AV399" s="4" t="s">
        <v>127</v>
      </c>
      <c r="AW399" s="4" t="s">
        <v>127</v>
      </c>
      <c r="AX399" s="4" t="s">
        <v>127</v>
      </c>
      <c r="AY399" s="111" t="s">
        <v>2022</v>
      </c>
      <c r="AZ399" s="96" t="s">
        <v>2030</v>
      </c>
      <c r="BA399" s="96" t="s">
        <v>2049</v>
      </c>
      <c r="BB399" s="4" t="s">
        <v>2050</v>
      </c>
      <c r="BC399" s="4" t="s">
        <v>2051</v>
      </c>
      <c r="BD399" s="4" t="s">
        <v>127</v>
      </c>
      <c r="BE399" s="113"/>
      <c r="BF399" s="113"/>
      <c r="BG399" s="4"/>
      <c r="BH399" s="4"/>
      <c r="BI399" s="4"/>
      <c r="BJ399" s="4"/>
      <c r="BK399" s="4"/>
      <c r="BL399" s="4"/>
      <c r="BM399" s="4"/>
      <c r="BN399" s="4"/>
      <c r="BO399" s="4"/>
      <c r="BP399" s="4"/>
      <c r="BQ399" s="4"/>
      <c r="BR399" s="4"/>
      <c r="BS399" s="4"/>
      <c r="BT399" s="4"/>
    </row>
    <row r="400" spans="1:72" ht="16" x14ac:dyDescent="0.4">
      <c r="A400" s="4" t="s">
        <v>2052</v>
      </c>
      <c r="B400" s="4" t="s">
        <v>2052</v>
      </c>
      <c r="C400" s="4" t="s">
        <v>127</v>
      </c>
      <c r="D400" s="4" t="s">
        <v>128</v>
      </c>
      <c r="E400" s="190">
        <v>46008</v>
      </c>
      <c r="F400" s="4">
        <v>2025</v>
      </c>
      <c r="G400" s="4" t="s">
        <v>1575</v>
      </c>
      <c r="H400" s="22" t="str">
        <f>VLOOKUP($G400,'Item Classification'!B:C,2,0)</f>
        <v>Surface-to-air missile (SAM) system upgrade</v>
      </c>
      <c r="I400" s="6" t="str">
        <f>VLOOKUP($G400,'Item Classification'!B:D,3,0)</f>
        <v>Air defence system</v>
      </c>
      <c r="J400" s="23">
        <f>VLOOKUP($G400,'Item Classification'!B:E,4,0)</f>
        <v>5</v>
      </c>
      <c r="K400" s="116" t="s">
        <v>211</v>
      </c>
      <c r="L400" s="116" t="s">
        <v>1576</v>
      </c>
      <c r="M400" s="116" t="str">
        <f>VLOOKUP(L400,'NATO Classifications'!$D$6:$E$647,2,0)</f>
        <v>Launchers, Guided Missile</v>
      </c>
      <c r="N400" s="4"/>
      <c r="O400" s="4"/>
      <c r="P400" s="4"/>
      <c r="Q400" s="4"/>
      <c r="R400" s="4">
        <v>2032</v>
      </c>
      <c r="S400" s="112">
        <v>600000000</v>
      </c>
      <c r="T400" s="91" t="s">
        <v>132</v>
      </c>
      <c r="U400" s="104">
        <f>_xlfn.IFNA(S400/INDEX('Exchange Rates'!$C$7:$F$14,MATCH('MAIN DATA, Orders'!F400,'Exchange Rates'!$B$7:$B$14,0),MATCH('MAIN DATA, Orders'!T400,'Exchange Rates'!$C$6:$F$6,0)), "-")</f>
        <v>600000000</v>
      </c>
      <c r="V400" s="4" t="s">
        <v>127</v>
      </c>
      <c r="W400" s="4" t="s">
        <v>127</v>
      </c>
      <c r="X400" s="4" t="s">
        <v>128</v>
      </c>
      <c r="Y400" s="24">
        <f t="shared" si="37"/>
        <v>202512</v>
      </c>
      <c r="Z400" s="115">
        <v>0</v>
      </c>
      <c r="AA400" s="115">
        <v>0</v>
      </c>
      <c r="AB400" s="115">
        <v>0</v>
      </c>
      <c r="AC400" s="115" t="s">
        <v>127</v>
      </c>
      <c r="AD400" s="115" t="s">
        <v>127</v>
      </c>
      <c r="AE400" s="115" t="s">
        <v>127</v>
      </c>
      <c r="AF400" s="115" t="s">
        <v>127</v>
      </c>
      <c r="AG400" s="4" t="s">
        <v>127</v>
      </c>
      <c r="AH400" s="4" t="s">
        <v>127</v>
      </c>
      <c r="AI400" s="4" t="s">
        <v>127</v>
      </c>
      <c r="AJ400" s="4" t="s">
        <v>127</v>
      </c>
      <c r="AK400" s="4" t="s">
        <v>127</v>
      </c>
      <c r="AL400" s="4" t="s">
        <v>127</v>
      </c>
      <c r="AM400" s="4" t="s">
        <v>127</v>
      </c>
      <c r="AN400" s="4" t="s">
        <v>127</v>
      </c>
      <c r="AO400" s="4" t="s">
        <v>127</v>
      </c>
      <c r="AP400" s="4" t="s">
        <v>127</v>
      </c>
      <c r="AQ400" s="4" t="s">
        <v>127</v>
      </c>
      <c r="AR400" s="4" t="s">
        <v>127</v>
      </c>
      <c r="AS400" s="4" t="s">
        <v>127</v>
      </c>
      <c r="AT400" s="4" t="s">
        <v>127</v>
      </c>
      <c r="AU400" s="4" t="s">
        <v>127</v>
      </c>
      <c r="AV400" s="4" t="s">
        <v>127</v>
      </c>
      <c r="AW400" s="4" t="s">
        <v>127</v>
      </c>
      <c r="AX400" s="4" t="s">
        <v>127</v>
      </c>
      <c r="AY400" s="111" t="s">
        <v>2022</v>
      </c>
      <c r="AZ400" s="96" t="s">
        <v>2030</v>
      </c>
      <c r="BA400" s="96" t="s">
        <v>2049</v>
      </c>
      <c r="BB400" s="4" t="s">
        <v>2053</v>
      </c>
      <c r="BC400" s="4" t="s">
        <v>2054</v>
      </c>
      <c r="BD400" s="4" t="s">
        <v>127</v>
      </c>
      <c r="BE400" s="113"/>
      <c r="BF400" s="113"/>
      <c r="BG400" s="4"/>
      <c r="BH400" s="4"/>
      <c r="BI400" s="4"/>
      <c r="BJ400" s="4"/>
      <c r="BK400" s="4"/>
      <c r="BL400" s="4"/>
      <c r="BM400" s="4"/>
      <c r="BN400" s="4"/>
      <c r="BO400" s="4"/>
      <c r="BP400" s="4"/>
      <c r="BQ400" s="4"/>
      <c r="BR400" s="4"/>
      <c r="BS400" s="4"/>
      <c r="BT400" s="4"/>
    </row>
    <row r="401" spans="1:72" ht="16" x14ac:dyDescent="0.4">
      <c r="A401" s="4" t="s">
        <v>2055</v>
      </c>
      <c r="B401" s="4" t="s">
        <v>2055</v>
      </c>
      <c r="C401" s="4" t="s">
        <v>127</v>
      </c>
      <c r="D401" s="4" t="s">
        <v>128</v>
      </c>
      <c r="E401" s="190">
        <v>46008</v>
      </c>
      <c r="F401" s="4">
        <v>2025</v>
      </c>
      <c r="G401" s="4" t="s">
        <v>917</v>
      </c>
      <c r="H401" s="22" t="str">
        <f>VLOOKUP($G401,'Item Classification'!B:C,2,0)</f>
        <v>Infantry fighting vehicle (IFV)</v>
      </c>
      <c r="I401" s="6" t="str">
        <f>VLOOKUP($G401,'Item Classification'!B:D,3,0)</f>
        <v>Armoured vehicle</v>
      </c>
      <c r="J401" s="23">
        <f>VLOOKUP($G401,'Item Classification'!B:E,4,0)</f>
        <v>2</v>
      </c>
      <c r="K401" s="116" t="s">
        <v>274</v>
      </c>
      <c r="L401" s="116" t="s">
        <v>329</v>
      </c>
      <c r="M401" s="116" t="str">
        <f>VLOOKUP(L401,'NATO Classifications'!$D$6:$E$647,2,0)</f>
        <v>Combat, Assault, and Tactical Vehicles, Tracked</v>
      </c>
      <c r="N401" s="4">
        <v>200</v>
      </c>
      <c r="O401" s="81">
        <f t="shared" ref="O401" si="64">S401/N401</f>
        <v>21000000</v>
      </c>
      <c r="P401" s="81">
        <f t="shared" ref="P401" si="65">U401/N401</f>
        <v>21000000</v>
      </c>
      <c r="Q401" s="4"/>
      <c r="R401" s="4"/>
      <c r="S401" s="112">
        <v>4200000000</v>
      </c>
      <c r="T401" s="91" t="s">
        <v>132</v>
      </c>
      <c r="U401" s="104">
        <f>_xlfn.IFNA(S401/INDEX('Exchange Rates'!$C$7:$F$14,MATCH('MAIN DATA, Orders'!F401,'Exchange Rates'!$B$7:$B$14,0),MATCH('MAIN DATA, Orders'!T401,'Exchange Rates'!$C$6:$F$6,0)), "-")</f>
        <v>4200000000</v>
      </c>
      <c r="V401" s="4" t="s">
        <v>127</v>
      </c>
      <c r="W401" s="4" t="s">
        <v>127</v>
      </c>
      <c r="X401" s="4" t="s">
        <v>128</v>
      </c>
      <c r="Y401" s="24">
        <f t="shared" si="37"/>
        <v>202512</v>
      </c>
      <c r="Z401" s="115">
        <v>1</v>
      </c>
      <c r="AA401" s="115">
        <v>0</v>
      </c>
      <c r="AB401" s="115">
        <v>0</v>
      </c>
      <c r="AC401" s="115">
        <v>1</v>
      </c>
      <c r="AD401" s="115">
        <v>0</v>
      </c>
      <c r="AE401" s="115">
        <v>0</v>
      </c>
      <c r="AF401" s="115">
        <v>0</v>
      </c>
      <c r="AG401" s="4" t="s">
        <v>488</v>
      </c>
      <c r="AH401" s="4" t="s">
        <v>128</v>
      </c>
      <c r="AI401" s="4" t="s">
        <v>127</v>
      </c>
      <c r="AJ401" s="4" t="s">
        <v>256</v>
      </c>
      <c r="AK401" s="4" t="s">
        <v>127</v>
      </c>
      <c r="AL401" s="4" t="s">
        <v>127</v>
      </c>
      <c r="AM401" s="4" t="s">
        <v>127</v>
      </c>
      <c r="AN401" s="4" t="s">
        <v>127</v>
      </c>
      <c r="AO401" s="4" t="s">
        <v>127</v>
      </c>
      <c r="AP401" s="4" t="s">
        <v>127</v>
      </c>
      <c r="AQ401" s="4" t="s">
        <v>127</v>
      </c>
      <c r="AR401" s="4" t="s">
        <v>127</v>
      </c>
      <c r="AS401" s="4" t="s">
        <v>127</v>
      </c>
      <c r="AT401" s="4" t="s">
        <v>127</v>
      </c>
      <c r="AU401" s="4" t="s">
        <v>127</v>
      </c>
      <c r="AV401" s="4" t="s">
        <v>127</v>
      </c>
      <c r="AW401" s="4" t="s">
        <v>127</v>
      </c>
      <c r="AX401" s="4" t="s">
        <v>127</v>
      </c>
      <c r="AY401" s="111" t="s">
        <v>2022</v>
      </c>
      <c r="AZ401" s="96" t="s">
        <v>2056</v>
      </c>
      <c r="BA401" s="4" t="s">
        <v>127</v>
      </c>
      <c r="BB401" s="4" t="s">
        <v>2057</v>
      </c>
      <c r="BC401" s="4" t="s">
        <v>2058</v>
      </c>
      <c r="BD401" s="4" t="s">
        <v>127</v>
      </c>
      <c r="BE401" s="113"/>
      <c r="BF401" s="113"/>
      <c r="BG401" s="4"/>
      <c r="BH401" s="4"/>
      <c r="BI401" s="4"/>
      <c r="BJ401" s="4"/>
      <c r="BK401" s="4"/>
      <c r="BL401" s="4"/>
      <c r="BM401" s="4"/>
      <c r="BN401" s="4"/>
      <c r="BO401" s="4"/>
      <c r="BP401" s="4"/>
      <c r="BQ401" s="4"/>
      <c r="BR401" s="4"/>
      <c r="BS401" s="4"/>
      <c r="BT401" s="4"/>
    </row>
    <row r="402" spans="1:72" ht="16" x14ac:dyDescent="0.4">
      <c r="A402" s="4" t="s">
        <v>2059</v>
      </c>
      <c r="B402" s="4" t="s">
        <v>2059</v>
      </c>
      <c r="C402" s="4" t="s">
        <v>127</v>
      </c>
      <c r="D402" s="4" t="s">
        <v>128</v>
      </c>
      <c r="E402" s="190">
        <v>46008</v>
      </c>
      <c r="F402" s="4">
        <v>2025</v>
      </c>
      <c r="G402" s="4" t="s">
        <v>2060</v>
      </c>
      <c r="H402" s="22" t="str">
        <f>VLOOKUP($G402,'Item Classification'!B:C,2,0)</f>
        <v>Armoured Utility Vehicle (AUV)</v>
      </c>
      <c r="I402" s="6" t="str">
        <f>VLOOKUP($G402,'Item Classification'!B:D,3,0)</f>
        <v>Armoured vehicle</v>
      </c>
      <c r="J402" s="23">
        <f>VLOOKUP($G402,'Item Classification'!B:E,4,0)</f>
        <v>2</v>
      </c>
      <c r="K402" s="116" t="s">
        <v>274</v>
      </c>
      <c r="L402" s="116" t="s">
        <v>493</v>
      </c>
      <c r="M402" s="116" t="str">
        <f>VLOOKUP(L402,'NATO Classifications'!$D$6:$E$647,2,0)</f>
        <v>Combat, Assault, and Tactical Vehicles, Wheeled</v>
      </c>
      <c r="N402" s="4">
        <v>2610</v>
      </c>
      <c r="O402" s="81">
        <f t="shared" ref="O402:O408" si="66">S402/N402</f>
        <v>1455938.6973180077</v>
      </c>
      <c r="P402" s="81">
        <f t="shared" ref="P402:P408" si="67">U402/N402</f>
        <v>1455938.6973180077</v>
      </c>
      <c r="Q402" s="4">
        <v>2027</v>
      </c>
      <c r="R402" s="4">
        <v>2031</v>
      </c>
      <c r="S402" s="112">
        <v>3800000000</v>
      </c>
      <c r="T402" s="91" t="s">
        <v>132</v>
      </c>
      <c r="U402" s="104">
        <f>_xlfn.IFNA(S402/INDEX('Exchange Rates'!$C$7:$F$14,MATCH('MAIN DATA, Orders'!F402,'Exchange Rates'!$B$7:$B$14,0),MATCH('MAIN DATA, Orders'!T402,'Exchange Rates'!$C$6:$F$6,0)), "-")</f>
        <v>3800000000</v>
      </c>
      <c r="V402" s="4" t="s">
        <v>127</v>
      </c>
      <c r="W402" s="4" t="s">
        <v>127</v>
      </c>
      <c r="X402" s="4" t="s">
        <v>128</v>
      </c>
      <c r="Y402" s="24">
        <f t="shared" si="37"/>
        <v>202512</v>
      </c>
      <c r="Z402" s="115">
        <v>1</v>
      </c>
      <c r="AA402" s="115">
        <v>0</v>
      </c>
      <c r="AB402" s="115">
        <v>0</v>
      </c>
      <c r="AC402" s="115">
        <v>1</v>
      </c>
      <c r="AD402" s="115">
        <v>0</v>
      </c>
      <c r="AE402" s="115">
        <v>0</v>
      </c>
      <c r="AF402" s="115">
        <v>0</v>
      </c>
      <c r="AG402" s="4" t="s">
        <v>1846</v>
      </c>
      <c r="AH402" s="4" t="s">
        <v>128</v>
      </c>
      <c r="AI402" s="4" t="s">
        <v>128</v>
      </c>
      <c r="AJ402" s="4" t="s">
        <v>127</v>
      </c>
      <c r="AK402" s="4" t="s">
        <v>127</v>
      </c>
      <c r="AL402" s="4" t="s">
        <v>127</v>
      </c>
      <c r="AM402" s="4" t="s">
        <v>127</v>
      </c>
      <c r="AN402" s="4" t="s">
        <v>127</v>
      </c>
      <c r="AO402" s="4" t="s">
        <v>127</v>
      </c>
      <c r="AP402" s="4" t="s">
        <v>127</v>
      </c>
      <c r="AQ402" s="4" t="s">
        <v>127</v>
      </c>
      <c r="AR402" s="4" t="s">
        <v>127</v>
      </c>
      <c r="AS402" s="4" t="s">
        <v>127</v>
      </c>
      <c r="AT402" s="4" t="s">
        <v>127</v>
      </c>
      <c r="AU402" s="4" t="s">
        <v>127</v>
      </c>
      <c r="AV402" s="4" t="s">
        <v>127</v>
      </c>
      <c r="AW402" s="4" t="s">
        <v>127</v>
      </c>
      <c r="AX402" s="4" t="s">
        <v>127</v>
      </c>
      <c r="AY402" s="111" t="s">
        <v>2022</v>
      </c>
      <c r="AZ402" s="96" t="s">
        <v>2030</v>
      </c>
      <c r="BA402" s="96" t="s">
        <v>2061</v>
      </c>
      <c r="BB402" s="4" t="s">
        <v>2062</v>
      </c>
      <c r="BC402" s="4" t="s">
        <v>2063</v>
      </c>
      <c r="BD402" s="4" t="s">
        <v>127</v>
      </c>
      <c r="BE402" s="113"/>
      <c r="BF402" s="113"/>
      <c r="BG402" s="4"/>
      <c r="BH402" s="4"/>
      <c r="BI402" s="4"/>
      <c r="BJ402" s="4"/>
      <c r="BK402" s="4"/>
      <c r="BL402" s="4"/>
      <c r="BM402" s="4"/>
      <c r="BN402" s="4"/>
      <c r="BO402" s="4"/>
      <c r="BP402" s="4"/>
      <c r="BQ402" s="4"/>
      <c r="BR402" s="4"/>
      <c r="BS402" s="4"/>
      <c r="BT402" s="4"/>
    </row>
    <row r="403" spans="1:72" ht="16" x14ac:dyDescent="0.4">
      <c r="A403" s="4" t="s">
        <v>2064</v>
      </c>
      <c r="B403" s="4" t="s">
        <v>2064</v>
      </c>
      <c r="C403" s="4" t="s">
        <v>127</v>
      </c>
      <c r="D403" s="4" t="s">
        <v>128</v>
      </c>
      <c r="E403" s="190">
        <v>46008</v>
      </c>
      <c r="F403" s="4">
        <v>2025</v>
      </c>
      <c r="G403" s="4" t="s">
        <v>2065</v>
      </c>
      <c r="H403" s="22" t="str">
        <f>VLOOKUP($G403,'Item Classification'!B:C,2,0)</f>
        <v>Armoured Utility Vehicle (AUV)</v>
      </c>
      <c r="I403" s="6" t="str">
        <f>VLOOKUP($G403,'Item Classification'!B:D,3,0)</f>
        <v>Armoured vehicle</v>
      </c>
      <c r="J403" s="23">
        <f>VLOOKUP($G403,'Item Classification'!B:E,4,0)</f>
        <v>2</v>
      </c>
      <c r="K403" s="116" t="s">
        <v>274</v>
      </c>
      <c r="L403" s="116" t="s">
        <v>493</v>
      </c>
      <c r="M403" s="116" t="str">
        <f>VLOOKUP(L403,'NATO Classifications'!$D$6:$E$647,2,0)</f>
        <v>Combat, Assault, and Tactical Vehicles, Wheeled</v>
      </c>
      <c r="N403" s="4">
        <v>400</v>
      </c>
      <c r="O403" s="81">
        <f t="shared" si="66"/>
        <v>2500000</v>
      </c>
      <c r="P403" s="81">
        <f t="shared" si="67"/>
        <v>2500000</v>
      </c>
      <c r="Q403" s="4"/>
      <c r="R403" s="4"/>
      <c r="S403" s="112">
        <v>1000000000</v>
      </c>
      <c r="T403" s="91" t="s">
        <v>132</v>
      </c>
      <c r="U403" s="104">
        <f>_xlfn.IFNA(S403/INDEX('Exchange Rates'!$C$7:$F$14,MATCH('MAIN DATA, Orders'!F403,'Exchange Rates'!$B$7:$B$14,0),MATCH('MAIN DATA, Orders'!T403,'Exchange Rates'!$C$6:$F$6,0)), "-")</f>
        <v>1000000000</v>
      </c>
      <c r="V403" s="4" t="s">
        <v>127</v>
      </c>
      <c r="W403" s="4" t="s">
        <v>127</v>
      </c>
      <c r="X403" s="4" t="s">
        <v>128</v>
      </c>
      <c r="Y403" s="24">
        <f t="shared" si="37"/>
        <v>202512</v>
      </c>
      <c r="Z403" s="115">
        <v>1</v>
      </c>
      <c r="AA403" s="115">
        <v>0</v>
      </c>
      <c r="AB403" s="115">
        <v>0</v>
      </c>
      <c r="AC403" s="115">
        <v>1</v>
      </c>
      <c r="AD403" s="115">
        <v>0</v>
      </c>
      <c r="AE403" s="115">
        <v>0</v>
      </c>
      <c r="AF403" s="115">
        <v>0</v>
      </c>
      <c r="AG403" s="4" t="s">
        <v>1846</v>
      </c>
      <c r="AH403" s="4" t="s">
        <v>128</v>
      </c>
      <c r="AI403" s="4" t="s">
        <v>128</v>
      </c>
      <c r="AJ403" s="4" t="s">
        <v>127</v>
      </c>
      <c r="AK403" s="4" t="s">
        <v>127</v>
      </c>
      <c r="AL403" s="4" t="s">
        <v>127</v>
      </c>
      <c r="AM403" s="4" t="s">
        <v>127</v>
      </c>
      <c r="AN403" s="4" t="s">
        <v>127</v>
      </c>
      <c r="AO403" s="4" t="s">
        <v>127</v>
      </c>
      <c r="AP403" s="4" t="s">
        <v>127</v>
      </c>
      <c r="AQ403" s="4" t="s">
        <v>127</v>
      </c>
      <c r="AR403" s="4" t="s">
        <v>127</v>
      </c>
      <c r="AS403" s="4" t="s">
        <v>127</v>
      </c>
      <c r="AT403" s="4" t="s">
        <v>127</v>
      </c>
      <c r="AU403" s="4" t="s">
        <v>127</v>
      </c>
      <c r="AV403" s="4" t="s">
        <v>127</v>
      </c>
      <c r="AW403" s="4" t="s">
        <v>127</v>
      </c>
      <c r="AX403" s="4" t="s">
        <v>127</v>
      </c>
      <c r="AY403" s="111" t="s">
        <v>2022</v>
      </c>
      <c r="AZ403" s="96" t="s">
        <v>2030</v>
      </c>
      <c r="BA403" s="96" t="s">
        <v>2061</v>
      </c>
      <c r="BB403" s="4" t="s">
        <v>2066</v>
      </c>
      <c r="BC403" s="4" t="s">
        <v>2063</v>
      </c>
      <c r="BD403" s="4" t="s">
        <v>127</v>
      </c>
      <c r="BE403" s="113"/>
      <c r="BF403" s="113"/>
      <c r="BG403" s="4"/>
      <c r="BH403" s="4"/>
      <c r="BI403" s="4"/>
      <c r="BJ403" s="4"/>
      <c r="BK403" s="4"/>
      <c r="BL403" s="4"/>
      <c r="BM403" s="4"/>
      <c r="BN403" s="4"/>
      <c r="BO403" s="4"/>
      <c r="BP403" s="4"/>
      <c r="BQ403" s="4"/>
      <c r="BR403" s="4"/>
      <c r="BS403" s="4"/>
      <c r="BT403" s="4"/>
    </row>
    <row r="404" spans="1:72" ht="16" x14ac:dyDescent="0.4">
      <c r="A404" s="4" t="s">
        <v>2067</v>
      </c>
      <c r="B404" s="4" t="s">
        <v>2067</v>
      </c>
      <c r="C404" s="4" t="s">
        <v>127</v>
      </c>
      <c r="D404" s="4" t="s">
        <v>128</v>
      </c>
      <c r="E404" s="190">
        <v>46008</v>
      </c>
      <c r="F404" s="4">
        <v>2025</v>
      </c>
      <c r="G404" s="4" t="s">
        <v>499</v>
      </c>
      <c r="H404" s="22" t="str">
        <f>VLOOKUP($G404,'Item Classification'!B:C,2,0)</f>
        <v>Special forces vehicle</v>
      </c>
      <c r="I404" s="6" t="str">
        <f>VLOOKUP($G404,'Item Classification'!B:D,3,0)</f>
        <v>Armoured vehicle</v>
      </c>
      <c r="J404" s="23">
        <f>VLOOKUP($G404,'Item Classification'!B:E,4,0)</f>
        <v>2</v>
      </c>
      <c r="K404" s="116" t="s">
        <v>274</v>
      </c>
      <c r="L404" s="116" t="s">
        <v>493</v>
      </c>
      <c r="M404" s="116" t="str">
        <f>VLOOKUP(L404,'NATO Classifications'!$D$6:$E$647,2,0)</f>
        <v>Combat, Assault, and Tactical Vehicles, Wheeled</v>
      </c>
      <c r="N404" s="4">
        <v>80</v>
      </c>
      <c r="O404" s="81">
        <f t="shared" si="66"/>
        <v>1250000</v>
      </c>
      <c r="P404" s="81">
        <f t="shared" si="67"/>
        <v>1250000</v>
      </c>
      <c r="Q404" s="4">
        <v>2027</v>
      </c>
      <c r="R404" s="4"/>
      <c r="S404" s="112">
        <v>100000000</v>
      </c>
      <c r="T404" s="91" t="s">
        <v>132</v>
      </c>
      <c r="U404" s="104">
        <f>_xlfn.IFNA(S404/INDEX('Exchange Rates'!$C$7:$F$14,MATCH('MAIN DATA, Orders'!F404,'Exchange Rates'!$B$7:$B$14,0),MATCH('MAIN DATA, Orders'!T404,'Exchange Rates'!$C$6:$F$6,0)), "-")</f>
        <v>100000000</v>
      </c>
      <c r="V404" s="4" t="s">
        <v>127</v>
      </c>
      <c r="W404" s="4" t="s">
        <v>127</v>
      </c>
      <c r="X404" s="4" t="s">
        <v>128</v>
      </c>
      <c r="Y404" s="24">
        <f t="shared" si="37"/>
        <v>202512</v>
      </c>
      <c r="Z404" s="115">
        <v>1</v>
      </c>
      <c r="AA404" s="115">
        <v>0</v>
      </c>
      <c r="AB404" s="115">
        <v>0</v>
      </c>
      <c r="AC404" s="115">
        <v>1</v>
      </c>
      <c r="AD404" s="115">
        <v>0</v>
      </c>
      <c r="AE404" s="115">
        <v>0</v>
      </c>
      <c r="AF404" s="115">
        <v>0</v>
      </c>
      <c r="AG404" s="4" t="s">
        <v>500</v>
      </c>
      <c r="AH404" s="4" t="s">
        <v>146</v>
      </c>
      <c r="AI404" s="4" t="s">
        <v>127</v>
      </c>
      <c r="AJ404" s="4" t="s">
        <v>127</v>
      </c>
      <c r="AK404" s="4" t="s">
        <v>127</v>
      </c>
      <c r="AL404" s="4" t="s">
        <v>127</v>
      </c>
      <c r="AM404" s="4" t="s">
        <v>127</v>
      </c>
      <c r="AN404" s="4" t="s">
        <v>127</v>
      </c>
      <c r="AO404" s="4" t="s">
        <v>127</v>
      </c>
      <c r="AP404" s="4" t="s">
        <v>127</v>
      </c>
      <c r="AQ404" s="4" t="s">
        <v>127</v>
      </c>
      <c r="AR404" s="4" t="s">
        <v>127</v>
      </c>
      <c r="AS404" s="4" t="s">
        <v>127</v>
      </c>
      <c r="AT404" s="4" t="s">
        <v>127</v>
      </c>
      <c r="AU404" s="4" t="s">
        <v>127</v>
      </c>
      <c r="AV404" s="4" t="s">
        <v>127</v>
      </c>
      <c r="AW404" s="4" t="s">
        <v>127</v>
      </c>
      <c r="AX404" s="4" t="s">
        <v>127</v>
      </c>
      <c r="AY404" s="111" t="s">
        <v>2022</v>
      </c>
      <c r="AZ404" s="96" t="s">
        <v>2068</v>
      </c>
      <c r="BA404" s="4" t="s">
        <v>127</v>
      </c>
      <c r="BB404" s="4" t="s">
        <v>2069</v>
      </c>
      <c r="BC404" s="4" t="s">
        <v>127</v>
      </c>
      <c r="BD404" s="4" t="s">
        <v>127</v>
      </c>
      <c r="BE404" s="113"/>
      <c r="BF404" s="113"/>
      <c r="BG404" s="4"/>
      <c r="BH404" s="4"/>
      <c r="BI404" s="4"/>
      <c r="BJ404" s="4"/>
      <c r="BK404" s="4"/>
      <c r="BL404" s="4"/>
      <c r="BM404" s="4"/>
      <c r="BN404" s="4"/>
      <c r="BO404" s="4"/>
      <c r="BP404" s="4"/>
      <c r="BQ404" s="4"/>
      <c r="BR404" s="4"/>
      <c r="BS404" s="4"/>
      <c r="BT404" s="4"/>
    </row>
    <row r="405" spans="1:72" ht="16" x14ac:dyDescent="0.4">
      <c r="A405" s="4" t="s">
        <v>2070</v>
      </c>
      <c r="B405" s="4" t="s">
        <v>2070</v>
      </c>
      <c r="C405" s="4" t="s">
        <v>127</v>
      </c>
      <c r="D405" s="4" t="s">
        <v>128</v>
      </c>
      <c r="E405" s="190">
        <v>46008</v>
      </c>
      <c r="F405" s="4">
        <v>2025</v>
      </c>
      <c r="G405" s="4" t="s">
        <v>2071</v>
      </c>
      <c r="H405" s="22" t="str">
        <f>VLOOKUP($G405,'Item Classification'!B:C,2,0)</f>
        <v>Armoured personnel carrier (APC)</v>
      </c>
      <c r="I405" s="6" t="str">
        <f>VLOOKUP($G405,'Item Classification'!B:D,3,0)</f>
        <v>Armoured vehicle</v>
      </c>
      <c r="J405" s="23">
        <f>VLOOKUP($G405,'Item Classification'!B:E,4,0)</f>
        <v>2</v>
      </c>
      <c r="K405" s="116" t="s">
        <v>274</v>
      </c>
      <c r="L405" s="116" t="s">
        <v>493</v>
      </c>
      <c r="M405" s="116" t="str">
        <f>VLOOKUP(L405,'NATO Classifications'!$D$6:$E$647,2,0)</f>
        <v>Combat, Assault, and Tactical Vehicles, Wheeled</v>
      </c>
      <c r="N405" s="4">
        <v>228</v>
      </c>
      <c r="O405" s="81">
        <f t="shared" si="66"/>
        <v>4206140.3508771928</v>
      </c>
      <c r="P405" s="81">
        <f t="shared" si="67"/>
        <v>4206140.3508771928</v>
      </c>
      <c r="Q405" s="4">
        <v>2026</v>
      </c>
      <c r="R405" s="4">
        <v>2029</v>
      </c>
      <c r="S405" s="112">
        <v>959000000</v>
      </c>
      <c r="T405" s="91" t="s">
        <v>132</v>
      </c>
      <c r="U405" s="104">
        <f>_xlfn.IFNA(S405/INDEX('Exchange Rates'!$C$7:$F$14,MATCH('MAIN DATA, Orders'!F405,'Exchange Rates'!$B$7:$B$14,0),MATCH('MAIN DATA, Orders'!T405,'Exchange Rates'!$C$6:$F$6,0)), "-")</f>
        <v>959000000</v>
      </c>
      <c r="V405" s="4" t="s">
        <v>127</v>
      </c>
      <c r="W405" s="4" t="s">
        <v>127</v>
      </c>
      <c r="X405" s="4" t="s">
        <v>128</v>
      </c>
      <c r="Y405" s="24">
        <f t="shared" si="37"/>
        <v>202512</v>
      </c>
      <c r="Z405" s="115">
        <v>0</v>
      </c>
      <c r="AA405" s="115">
        <v>0</v>
      </c>
      <c r="AB405" s="115">
        <v>0</v>
      </c>
      <c r="AC405" s="115">
        <v>1</v>
      </c>
      <c r="AD405" s="115">
        <v>1</v>
      </c>
      <c r="AE405" s="115">
        <v>0</v>
      </c>
      <c r="AF405" s="115">
        <v>1</v>
      </c>
      <c r="AG405" s="4" t="s">
        <v>1748</v>
      </c>
      <c r="AH405" s="4" t="s">
        <v>684</v>
      </c>
      <c r="AI405" s="4" t="s">
        <v>684</v>
      </c>
      <c r="AJ405" s="4" t="s">
        <v>1749</v>
      </c>
      <c r="AK405" s="4" t="s">
        <v>2072</v>
      </c>
      <c r="AL405" s="4" t="s">
        <v>127</v>
      </c>
      <c r="AM405" s="4" t="s">
        <v>127</v>
      </c>
      <c r="AN405" s="4" t="s">
        <v>1750</v>
      </c>
      <c r="AO405" s="4" t="s">
        <v>128</v>
      </c>
      <c r="AP405" s="4" t="s">
        <v>213</v>
      </c>
      <c r="AQ405" s="4" t="s">
        <v>854</v>
      </c>
      <c r="AR405" s="4" t="s">
        <v>127</v>
      </c>
      <c r="AS405" s="4" t="s">
        <v>127</v>
      </c>
      <c r="AT405" s="4" t="s">
        <v>127</v>
      </c>
      <c r="AU405" s="4" t="s">
        <v>127</v>
      </c>
      <c r="AV405" s="4" t="s">
        <v>127</v>
      </c>
      <c r="AW405" s="4" t="s">
        <v>127</v>
      </c>
      <c r="AX405" s="4" t="s">
        <v>127</v>
      </c>
      <c r="AY405" s="111" t="s">
        <v>2022</v>
      </c>
      <c r="AZ405" s="96" t="s">
        <v>2073</v>
      </c>
      <c r="BA405" s="4" t="s">
        <v>127</v>
      </c>
      <c r="BB405" s="4" t="s">
        <v>2074</v>
      </c>
      <c r="BC405" s="4" t="s">
        <v>127</v>
      </c>
      <c r="BD405" s="4" t="s">
        <v>127</v>
      </c>
      <c r="BE405" s="113"/>
      <c r="BF405" s="113"/>
      <c r="BG405" s="4"/>
      <c r="BH405" s="4"/>
      <c r="BI405" s="4"/>
      <c r="BJ405" s="4"/>
      <c r="BK405" s="4"/>
      <c r="BL405" s="4"/>
      <c r="BM405" s="4"/>
      <c r="BN405" s="4"/>
      <c r="BO405" s="4"/>
      <c r="BP405" s="4"/>
      <c r="BQ405" s="4"/>
      <c r="BR405" s="4"/>
      <c r="BS405" s="4"/>
      <c r="BT405" s="4"/>
    </row>
    <row r="406" spans="1:72" ht="16" x14ac:dyDescent="0.4">
      <c r="A406" s="4" t="s">
        <v>2075</v>
      </c>
      <c r="B406" s="4" t="s">
        <v>2075</v>
      </c>
      <c r="C406" s="4" t="s">
        <v>127</v>
      </c>
      <c r="D406" s="4" t="s">
        <v>128</v>
      </c>
      <c r="E406" s="190">
        <v>46008</v>
      </c>
      <c r="F406" s="4">
        <v>2025</v>
      </c>
      <c r="G406" s="4" t="s">
        <v>2076</v>
      </c>
      <c r="H406" s="22" t="str">
        <f>VLOOKUP($G406,'Item Classification'!B:C,2,0)</f>
        <v>Light aircraft</v>
      </c>
      <c r="I406" s="6" t="str">
        <f>VLOOKUP($G406,'Item Classification'!B:D,3,0)</f>
        <v>Aircraft</v>
      </c>
      <c r="J406" s="23">
        <f>VLOOKUP($G406,'Item Classification'!B:E,4,0)</f>
        <v>11</v>
      </c>
      <c r="K406" s="116" t="s">
        <v>130</v>
      </c>
      <c r="L406" s="116" t="s">
        <v>237</v>
      </c>
      <c r="M406" s="116" t="str">
        <f>VLOOKUP(L406,'NATO Classifications'!$D$6:$E$647,2,0)</f>
        <v>Aircraft, Fixed Wing</v>
      </c>
      <c r="N406" s="4">
        <v>4</v>
      </c>
      <c r="O406" s="81">
        <f t="shared" si="66"/>
        <v>56000000</v>
      </c>
      <c r="P406" s="81">
        <f t="shared" si="67"/>
        <v>56000000</v>
      </c>
      <c r="Q406" s="4"/>
      <c r="R406" s="4"/>
      <c r="S406" s="112">
        <v>224000000</v>
      </c>
      <c r="T406" s="91" t="s">
        <v>132</v>
      </c>
      <c r="U406" s="104">
        <f>_xlfn.IFNA(S406/INDEX('Exchange Rates'!$C$7:$F$14,MATCH('MAIN DATA, Orders'!F406,'Exchange Rates'!$B$7:$B$14,0),MATCH('MAIN DATA, Orders'!T406,'Exchange Rates'!$C$6:$F$6,0)), "-")</f>
        <v>224000000</v>
      </c>
      <c r="V406" s="4" t="s">
        <v>127</v>
      </c>
      <c r="W406" s="4" t="s">
        <v>127</v>
      </c>
      <c r="X406" s="4" t="s">
        <v>128</v>
      </c>
      <c r="Y406" s="24">
        <f t="shared" si="37"/>
        <v>202512</v>
      </c>
      <c r="Z406" s="115">
        <v>0</v>
      </c>
      <c r="AA406" s="115">
        <v>1</v>
      </c>
      <c r="AB406" s="115">
        <v>0</v>
      </c>
      <c r="AC406" s="115" t="s">
        <v>127</v>
      </c>
      <c r="AD406" s="115" t="s">
        <v>127</v>
      </c>
      <c r="AE406" s="115" t="s">
        <v>127</v>
      </c>
      <c r="AF406" s="115" t="s">
        <v>127</v>
      </c>
      <c r="AG406" s="4" t="s">
        <v>127</v>
      </c>
      <c r="AH406" s="4" t="s">
        <v>127</v>
      </c>
      <c r="AI406" s="4" t="s">
        <v>127</v>
      </c>
      <c r="AJ406" s="4" t="s">
        <v>127</v>
      </c>
      <c r="AK406" s="4" t="s">
        <v>127</v>
      </c>
      <c r="AL406" s="4" t="s">
        <v>127</v>
      </c>
      <c r="AM406" s="4" t="s">
        <v>127</v>
      </c>
      <c r="AN406" s="4" t="s">
        <v>127</v>
      </c>
      <c r="AO406" s="4" t="s">
        <v>127</v>
      </c>
      <c r="AP406" s="4" t="s">
        <v>127</v>
      </c>
      <c r="AQ406" s="4" t="s">
        <v>127</v>
      </c>
      <c r="AR406" s="4" t="s">
        <v>127</v>
      </c>
      <c r="AS406" s="4" t="s">
        <v>127</v>
      </c>
      <c r="AT406" s="4" t="s">
        <v>127</v>
      </c>
      <c r="AU406" s="4" t="s">
        <v>127</v>
      </c>
      <c r="AV406" s="4" t="s">
        <v>127</v>
      </c>
      <c r="AW406" s="4" t="s">
        <v>127</v>
      </c>
      <c r="AX406" s="4" t="s">
        <v>127</v>
      </c>
      <c r="AY406" s="111" t="s">
        <v>2022</v>
      </c>
      <c r="AZ406" s="96" t="s">
        <v>2030</v>
      </c>
      <c r="BA406" s="4" t="s">
        <v>127</v>
      </c>
      <c r="BB406" s="4" t="s">
        <v>2077</v>
      </c>
      <c r="BC406" s="4" t="s">
        <v>127</v>
      </c>
      <c r="BD406" s="4" t="s">
        <v>127</v>
      </c>
      <c r="BE406" s="113"/>
      <c r="BF406" s="113"/>
      <c r="BG406" s="4"/>
      <c r="BH406" s="4"/>
      <c r="BI406" s="4"/>
      <c r="BJ406" s="4"/>
      <c r="BK406" s="4"/>
      <c r="BL406" s="4"/>
      <c r="BM406" s="4"/>
      <c r="BN406" s="4"/>
      <c r="BO406" s="4"/>
      <c r="BP406" s="4"/>
      <c r="BQ406" s="4"/>
      <c r="BR406" s="4"/>
      <c r="BS406" s="4"/>
      <c r="BT406" s="4"/>
    </row>
    <row r="407" spans="1:72" ht="16" x14ac:dyDescent="0.4">
      <c r="A407" s="4" t="s">
        <v>2078</v>
      </c>
      <c r="B407" s="4" t="s">
        <v>2078</v>
      </c>
      <c r="C407" s="4" t="s">
        <v>127</v>
      </c>
      <c r="D407" s="4" t="s">
        <v>128</v>
      </c>
      <c r="E407" s="190">
        <v>46008</v>
      </c>
      <c r="F407" s="4">
        <v>2025</v>
      </c>
      <c r="G407" s="4" t="s">
        <v>2079</v>
      </c>
      <c r="H407" s="22" t="str">
        <f>VLOOKUP($G407,'Item Classification'!B:C,2,0)</f>
        <v>Communication and digitalisation</v>
      </c>
      <c r="I407" s="6" t="str">
        <f>VLOOKUP($G407,'Item Classification'!B:D,3,0)</f>
        <v>Modernisation</v>
      </c>
      <c r="J407" s="23">
        <f>VLOOKUP($G407,'Item Classification'!B:E,4,0)</f>
        <v>13</v>
      </c>
      <c r="K407" s="116" t="s">
        <v>158</v>
      </c>
      <c r="L407" s="116" t="s">
        <v>399</v>
      </c>
      <c r="M407" s="116" t="str">
        <f>VLOOKUP(L407,'NATO Classifications'!$D$6:$E$647,2,0)</f>
        <v>Radar and Sensor</v>
      </c>
      <c r="N407" s="4"/>
      <c r="O407" s="81"/>
      <c r="P407" s="81"/>
      <c r="Q407" s="4"/>
      <c r="R407" s="4"/>
      <c r="S407" s="112">
        <v>71000000</v>
      </c>
      <c r="T407" s="91" t="s">
        <v>132</v>
      </c>
      <c r="U407" s="104">
        <f>_xlfn.IFNA(S407/INDEX('Exchange Rates'!$C$7:$F$14,MATCH('MAIN DATA, Orders'!F407,'Exchange Rates'!$B$7:$B$14,0),MATCH('MAIN DATA, Orders'!T407,'Exchange Rates'!$C$6:$F$6,0)), "-")</f>
        <v>71000000</v>
      </c>
      <c r="V407" s="4" t="s">
        <v>127</v>
      </c>
      <c r="W407" s="4" t="s">
        <v>127</v>
      </c>
      <c r="X407" s="4" t="s">
        <v>128</v>
      </c>
      <c r="Y407" s="24">
        <f t="shared" ref="Y407:Y424" si="68">_xlfn.NUMBERVALUE(_xlfn.CONCAT(YEAR(E407),TEXT(E407, "mm")))</f>
        <v>202512</v>
      </c>
      <c r="Z407" s="115">
        <v>0</v>
      </c>
      <c r="AA407" s="115">
        <v>0</v>
      </c>
      <c r="AB407" s="115">
        <v>0</v>
      </c>
      <c r="AC407" s="115" t="s">
        <v>127</v>
      </c>
      <c r="AD407" s="115" t="s">
        <v>127</v>
      </c>
      <c r="AE407" s="115" t="s">
        <v>127</v>
      </c>
      <c r="AF407" s="115" t="s">
        <v>127</v>
      </c>
      <c r="AG407" s="4" t="s">
        <v>127</v>
      </c>
      <c r="AH407" s="4" t="s">
        <v>127</v>
      </c>
      <c r="AI407" s="4" t="s">
        <v>127</v>
      </c>
      <c r="AJ407" s="4" t="s">
        <v>127</v>
      </c>
      <c r="AK407" s="4" t="s">
        <v>127</v>
      </c>
      <c r="AL407" s="4" t="s">
        <v>127</v>
      </c>
      <c r="AM407" s="4" t="s">
        <v>127</v>
      </c>
      <c r="AN407" s="4" t="s">
        <v>127</v>
      </c>
      <c r="AO407" s="4" t="s">
        <v>127</v>
      </c>
      <c r="AP407" s="4" t="s">
        <v>127</v>
      </c>
      <c r="AQ407" s="4" t="s">
        <v>127</v>
      </c>
      <c r="AR407" s="4" t="s">
        <v>127</v>
      </c>
      <c r="AS407" s="4" t="s">
        <v>127</v>
      </c>
      <c r="AT407" s="4" t="s">
        <v>127</v>
      </c>
      <c r="AU407" s="4" t="s">
        <v>127</v>
      </c>
      <c r="AV407" s="4" t="s">
        <v>127</v>
      </c>
      <c r="AW407" s="4" t="s">
        <v>127</v>
      </c>
      <c r="AX407" s="4" t="s">
        <v>127</v>
      </c>
      <c r="AY407" s="111" t="s">
        <v>2022</v>
      </c>
      <c r="AZ407" s="96" t="s">
        <v>2030</v>
      </c>
      <c r="BA407" s="4" t="s">
        <v>127</v>
      </c>
      <c r="BB407" s="4" t="s">
        <v>2080</v>
      </c>
      <c r="BC407" s="4" t="s">
        <v>127</v>
      </c>
      <c r="BD407" s="4" t="s">
        <v>127</v>
      </c>
      <c r="BE407" s="113"/>
      <c r="BF407" s="113"/>
      <c r="BG407" s="4"/>
      <c r="BH407" s="4"/>
      <c r="BI407" s="4"/>
      <c r="BJ407" s="4"/>
      <c r="BK407" s="4"/>
      <c r="BL407" s="4"/>
      <c r="BM407" s="4"/>
      <c r="BN407" s="4"/>
      <c r="BO407" s="4"/>
      <c r="BP407" s="4"/>
      <c r="BQ407" s="4"/>
      <c r="BR407" s="4"/>
      <c r="BS407" s="4"/>
      <c r="BT407" s="4"/>
    </row>
    <row r="408" spans="1:72" ht="16" x14ac:dyDescent="0.4">
      <c r="A408" s="4" t="s">
        <v>2081</v>
      </c>
      <c r="B408" s="4" t="s">
        <v>2081</v>
      </c>
      <c r="C408" s="4" t="s">
        <v>127</v>
      </c>
      <c r="D408" s="4" t="s">
        <v>128</v>
      </c>
      <c r="E408" s="190">
        <v>46008</v>
      </c>
      <c r="F408" s="4">
        <v>2025</v>
      </c>
      <c r="G408" s="4" t="s">
        <v>2082</v>
      </c>
      <c r="H408" s="22" t="str">
        <f>VLOOKUP($G408,'Item Classification'!B:C,2,0)</f>
        <v>Reconnaissance drone</v>
      </c>
      <c r="I408" s="6" t="str">
        <f>VLOOKUP($G408,'Item Classification'!B:D,3,0)</f>
        <v>Drone</v>
      </c>
      <c r="J408" s="23">
        <f>VLOOKUP($G408,'Item Classification'!B:E,4,0)</f>
        <v>7</v>
      </c>
      <c r="K408" s="116" t="s">
        <v>130</v>
      </c>
      <c r="L408" s="116" t="s">
        <v>131</v>
      </c>
      <c r="M408" s="116" t="str">
        <f>VLOOKUP(L408,'NATO Classifications'!$D$6:$E$647,2,0)</f>
        <v>Unmanned Aircraft</v>
      </c>
      <c r="N408" s="4">
        <v>8</v>
      </c>
      <c r="O408" s="81">
        <f t="shared" si="66"/>
        <v>237500000</v>
      </c>
      <c r="P408" s="81">
        <f t="shared" si="67"/>
        <v>237500000</v>
      </c>
      <c r="Q408" s="4">
        <v>2028</v>
      </c>
      <c r="R408" s="4">
        <v>2030</v>
      </c>
      <c r="S408" s="112">
        <v>1900000000</v>
      </c>
      <c r="T408" s="91" t="s">
        <v>132</v>
      </c>
      <c r="U408" s="104">
        <f>_xlfn.IFNA(S408/INDEX('Exchange Rates'!$C$7:$F$14,MATCH('MAIN DATA, Orders'!F408,'Exchange Rates'!$B$7:$B$14,0),MATCH('MAIN DATA, Orders'!T408,'Exchange Rates'!$C$6:$F$6,0)), "-")</f>
        <v>1900000000</v>
      </c>
      <c r="V408" s="4" t="s">
        <v>127</v>
      </c>
      <c r="W408" s="4" t="s">
        <v>127</v>
      </c>
      <c r="X408" s="4" t="s">
        <v>128</v>
      </c>
      <c r="Y408" s="24">
        <f t="shared" si="68"/>
        <v>202512</v>
      </c>
      <c r="Z408" s="115">
        <v>0</v>
      </c>
      <c r="AA408" s="115">
        <v>0</v>
      </c>
      <c r="AB408" s="115">
        <v>1</v>
      </c>
      <c r="AC408" s="115">
        <v>0</v>
      </c>
      <c r="AD408" s="115">
        <v>0</v>
      </c>
      <c r="AE408" s="115">
        <v>0</v>
      </c>
      <c r="AF408" s="115">
        <v>0</v>
      </c>
      <c r="AG408" s="4" t="s">
        <v>2083</v>
      </c>
      <c r="AH408" s="4" t="s">
        <v>196</v>
      </c>
      <c r="AI408" s="4" t="s">
        <v>196</v>
      </c>
      <c r="AJ408" s="4" t="s">
        <v>127</v>
      </c>
      <c r="AK408" s="4" t="s">
        <v>127</v>
      </c>
      <c r="AL408" s="4" t="s">
        <v>127</v>
      </c>
      <c r="AM408" s="4" t="s">
        <v>127</v>
      </c>
      <c r="AN408" s="4" t="s">
        <v>127</v>
      </c>
      <c r="AO408" s="4" t="s">
        <v>127</v>
      </c>
      <c r="AP408" s="4" t="s">
        <v>127</v>
      </c>
      <c r="AQ408" s="4" t="s">
        <v>127</v>
      </c>
      <c r="AR408" s="4" t="s">
        <v>127</v>
      </c>
      <c r="AS408" s="4" t="s">
        <v>127</v>
      </c>
      <c r="AT408" s="4" t="s">
        <v>127</v>
      </c>
      <c r="AU408" s="4" t="s">
        <v>127</v>
      </c>
      <c r="AV408" s="4" t="s">
        <v>127</v>
      </c>
      <c r="AW408" s="4" t="s">
        <v>127</v>
      </c>
      <c r="AX408" s="4" t="s">
        <v>127</v>
      </c>
      <c r="AY408" s="111" t="s">
        <v>2022</v>
      </c>
      <c r="AZ408" s="96" t="s">
        <v>2030</v>
      </c>
      <c r="BA408" s="96" t="s">
        <v>2084</v>
      </c>
      <c r="BB408" s="4" t="s">
        <v>2085</v>
      </c>
      <c r="BC408" s="4" t="s">
        <v>2086</v>
      </c>
      <c r="BD408" s="4" t="s">
        <v>2087</v>
      </c>
      <c r="BE408" s="113" t="s">
        <v>127</v>
      </c>
      <c r="BF408" s="113"/>
      <c r="BG408" s="4"/>
      <c r="BH408" s="4"/>
      <c r="BI408" s="4"/>
      <c r="BJ408" s="4"/>
      <c r="BK408" s="4"/>
      <c r="BL408" s="4"/>
      <c r="BM408" s="4"/>
      <c r="BN408" s="4"/>
      <c r="BO408" s="4"/>
      <c r="BP408" s="4"/>
      <c r="BQ408" s="4"/>
      <c r="BR408" s="4"/>
      <c r="BS408" s="4"/>
      <c r="BT408" s="4"/>
    </row>
    <row r="409" spans="1:72" ht="16" x14ac:dyDescent="0.4">
      <c r="A409" s="4" t="s">
        <v>2088</v>
      </c>
      <c r="B409" s="4" t="s">
        <v>2088</v>
      </c>
      <c r="C409" s="4" t="s">
        <v>127</v>
      </c>
      <c r="D409" s="4" t="s">
        <v>128</v>
      </c>
      <c r="E409" s="190">
        <v>46008</v>
      </c>
      <c r="F409" s="4">
        <v>2025</v>
      </c>
      <c r="G409" s="4" t="s">
        <v>127</v>
      </c>
      <c r="H409" s="4" t="s">
        <v>624</v>
      </c>
      <c r="I409" s="4" t="s">
        <v>287</v>
      </c>
      <c r="J409" s="23">
        <v>16</v>
      </c>
      <c r="K409" s="116" t="s">
        <v>229</v>
      </c>
      <c r="L409" s="116" t="s">
        <v>230</v>
      </c>
      <c r="M409" s="116" t="str">
        <f>VLOOKUP(L409,'NATO Classifications'!$D$6:$E$647,2,0)</f>
        <v>Miscellaneous Items</v>
      </c>
      <c r="N409" s="4"/>
      <c r="O409" s="81"/>
      <c r="P409" s="81"/>
      <c r="Q409" s="4"/>
      <c r="R409" s="4"/>
      <c r="S409" s="112">
        <v>7833000000</v>
      </c>
      <c r="T409" s="91" t="s">
        <v>132</v>
      </c>
      <c r="U409" s="104">
        <f>_xlfn.IFNA(S409/INDEX('Exchange Rates'!$C$7:$F$14,MATCH('MAIN DATA, Orders'!F409,'Exchange Rates'!$B$7:$B$14,0),MATCH('MAIN DATA, Orders'!T409,'Exchange Rates'!$C$6:$F$6,0)), "-")</f>
        <v>7833000000</v>
      </c>
      <c r="V409" s="4" t="s">
        <v>127</v>
      </c>
      <c r="W409" s="4" t="s">
        <v>127</v>
      </c>
      <c r="X409" s="4" t="s">
        <v>128</v>
      </c>
      <c r="Y409" s="24">
        <f t="shared" si="68"/>
        <v>202512</v>
      </c>
      <c r="Z409" s="115" t="s">
        <v>127</v>
      </c>
      <c r="AA409" s="115" t="s">
        <v>127</v>
      </c>
      <c r="AB409" s="115">
        <v>0</v>
      </c>
      <c r="AC409" s="115" t="s">
        <v>127</v>
      </c>
      <c r="AD409" s="115" t="s">
        <v>127</v>
      </c>
      <c r="AE409" s="115" t="s">
        <v>127</v>
      </c>
      <c r="AF409" s="115" t="s">
        <v>127</v>
      </c>
      <c r="AG409" s="4" t="s">
        <v>127</v>
      </c>
      <c r="AH409" s="4" t="s">
        <v>127</v>
      </c>
      <c r="AI409" s="4" t="s">
        <v>127</v>
      </c>
      <c r="AJ409" s="4" t="s">
        <v>127</v>
      </c>
      <c r="AK409" s="4" t="s">
        <v>127</v>
      </c>
      <c r="AL409" s="4" t="s">
        <v>127</v>
      </c>
      <c r="AM409" s="4" t="s">
        <v>127</v>
      </c>
      <c r="AN409" s="4" t="s">
        <v>127</v>
      </c>
      <c r="AO409" s="4" t="s">
        <v>127</v>
      </c>
      <c r="AP409" s="4" t="s">
        <v>127</v>
      </c>
      <c r="AQ409" s="4" t="s">
        <v>127</v>
      </c>
      <c r="AR409" s="4" t="s">
        <v>127</v>
      </c>
      <c r="AS409" s="4" t="s">
        <v>127</v>
      </c>
      <c r="AT409" s="4" t="s">
        <v>127</v>
      </c>
      <c r="AU409" s="4" t="s">
        <v>127</v>
      </c>
      <c r="AV409" s="4" t="s">
        <v>127</v>
      </c>
      <c r="AW409" s="4" t="s">
        <v>127</v>
      </c>
      <c r="AX409" s="4" t="s">
        <v>127</v>
      </c>
      <c r="AY409" s="111" t="s">
        <v>2022</v>
      </c>
      <c r="AZ409" s="96" t="s">
        <v>127</v>
      </c>
      <c r="BA409" s="4" t="s">
        <v>127</v>
      </c>
      <c r="BB409" s="4" t="s">
        <v>127</v>
      </c>
      <c r="BC409" s="4" t="s">
        <v>127</v>
      </c>
      <c r="BD409" s="4" t="s">
        <v>127</v>
      </c>
      <c r="BE409" s="4" t="s">
        <v>2089</v>
      </c>
      <c r="BF409" s="4" t="s">
        <v>127</v>
      </c>
      <c r="BG409" s="4"/>
      <c r="BH409" s="4"/>
      <c r="BI409" s="4"/>
      <c r="BJ409" s="4"/>
      <c r="BK409" s="4"/>
      <c r="BL409" s="4"/>
      <c r="BM409" s="4"/>
      <c r="BN409" s="4"/>
      <c r="BO409" s="4"/>
      <c r="BP409" s="4"/>
      <c r="BQ409" s="4"/>
      <c r="BR409" s="4"/>
      <c r="BS409" s="4"/>
      <c r="BT409" s="4"/>
    </row>
    <row r="410" spans="1:72" ht="16" x14ac:dyDescent="0.4">
      <c r="A410" s="4" t="s">
        <v>2088</v>
      </c>
      <c r="B410" s="4" t="s">
        <v>2090</v>
      </c>
      <c r="C410" s="4" t="s">
        <v>127</v>
      </c>
      <c r="D410" s="4" t="s">
        <v>128</v>
      </c>
      <c r="E410" s="190">
        <v>46008</v>
      </c>
      <c r="F410" s="4">
        <v>2025</v>
      </c>
      <c r="G410" s="4" t="s">
        <v>1942</v>
      </c>
      <c r="H410" s="22" t="str">
        <f>VLOOKUP($G410,'Item Classification'!B:C,2,0)</f>
        <v>Surface-to-air missile (SAM)</v>
      </c>
      <c r="I410" s="6" t="str">
        <f>VLOOKUP($G410,'Item Classification'!B:D,3,0)</f>
        <v>Missile (Land)</v>
      </c>
      <c r="J410" s="23">
        <f>VLOOKUP($G410,'Item Classification'!B:E,4,0)</f>
        <v>6</v>
      </c>
      <c r="K410" s="116" t="s">
        <v>211</v>
      </c>
      <c r="L410" s="116" t="s">
        <v>326</v>
      </c>
      <c r="M410" s="116" t="str">
        <f>VLOOKUP(L410,'NATO Classifications'!$D$6:$E$647,2,0)</f>
        <v>Guided Missile Systems, Complete</v>
      </c>
      <c r="O410" s="4"/>
      <c r="P410" s="4"/>
      <c r="Q410" s="4"/>
      <c r="R410" s="4"/>
      <c r="S410" s="112"/>
      <c r="T410" s="91" t="s">
        <v>132</v>
      </c>
      <c r="U410" s="104">
        <f>_xlfn.IFNA(S410/INDEX('Exchange Rates'!$C$7:$F$14,MATCH('MAIN DATA, Orders'!F410,'Exchange Rates'!$B$7:$B$14,0),MATCH('MAIN DATA, Orders'!T410,'Exchange Rates'!$C$6:$F$6,0)), "-")</f>
        <v>0</v>
      </c>
      <c r="V410" s="4" t="s">
        <v>127</v>
      </c>
      <c r="W410" s="4" t="s">
        <v>127</v>
      </c>
      <c r="X410" s="4" t="s">
        <v>128</v>
      </c>
      <c r="Y410" s="24">
        <f t="shared" si="68"/>
        <v>202512</v>
      </c>
      <c r="Z410" s="115">
        <v>1</v>
      </c>
      <c r="AA410" s="115">
        <v>0</v>
      </c>
      <c r="AB410" s="115">
        <v>0</v>
      </c>
      <c r="AC410" s="115">
        <v>1</v>
      </c>
      <c r="AD410" s="115">
        <v>1</v>
      </c>
      <c r="AE410" s="115">
        <v>0</v>
      </c>
      <c r="AF410" s="115">
        <v>1</v>
      </c>
      <c r="AG410" s="4" t="s">
        <v>191</v>
      </c>
      <c r="AH410" s="4" t="s">
        <v>128</v>
      </c>
      <c r="AI410" s="4" t="s">
        <v>127</v>
      </c>
      <c r="AJ410" s="4" t="s">
        <v>127</v>
      </c>
      <c r="AK410" s="4" t="s">
        <v>127</v>
      </c>
      <c r="AL410" s="4" t="s">
        <v>127</v>
      </c>
      <c r="AM410" s="4" t="s">
        <v>127</v>
      </c>
      <c r="AN410" s="4" t="s">
        <v>372</v>
      </c>
      <c r="AO410" s="4" t="s">
        <v>197</v>
      </c>
      <c r="AP410" s="4" t="s">
        <v>468</v>
      </c>
      <c r="AQ410" s="4" t="s">
        <v>830</v>
      </c>
      <c r="AR410" s="4" t="s">
        <v>213</v>
      </c>
      <c r="AS410" s="4" t="s">
        <v>162</v>
      </c>
      <c r="AT410" s="4" t="s">
        <v>127</v>
      </c>
      <c r="AU410" s="4" t="s">
        <v>127</v>
      </c>
      <c r="AV410" s="4" t="s">
        <v>127</v>
      </c>
      <c r="AW410" s="4" t="s">
        <v>127</v>
      </c>
      <c r="AX410" s="4" t="s">
        <v>127</v>
      </c>
      <c r="AY410" s="111" t="s">
        <v>2022</v>
      </c>
      <c r="AZ410" s="96" t="s">
        <v>2091</v>
      </c>
      <c r="BA410" s="96" t="s">
        <v>2092</v>
      </c>
      <c r="BB410" s="4" t="s">
        <v>2093</v>
      </c>
      <c r="BC410" s="4" t="s">
        <v>127</v>
      </c>
      <c r="BD410" s="4" t="s">
        <v>127</v>
      </c>
      <c r="BE410" s="113"/>
      <c r="BF410" s="113"/>
      <c r="BG410" s="4"/>
      <c r="BH410" s="4"/>
      <c r="BI410" s="4"/>
      <c r="BJ410" s="4"/>
      <c r="BK410" s="4"/>
      <c r="BL410" s="4"/>
      <c r="BM410" s="4"/>
      <c r="BN410" s="4"/>
      <c r="BO410" s="4"/>
      <c r="BP410" s="4"/>
      <c r="BQ410" s="4"/>
      <c r="BR410" s="4"/>
      <c r="BS410" s="4"/>
      <c r="BT410" s="4"/>
    </row>
    <row r="411" spans="1:72" ht="16" x14ac:dyDescent="0.4">
      <c r="A411" s="4" t="s">
        <v>2088</v>
      </c>
      <c r="B411" s="4" t="s">
        <v>2094</v>
      </c>
      <c r="C411" s="4" t="s">
        <v>127</v>
      </c>
      <c r="D411" s="4" t="s">
        <v>128</v>
      </c>
      <c r="E411" s="190">
        <v>46008</v>
      </c>
      <c r="F411" s="4">
        <v>2025</v>
      </c>
      <c r="G411" s="4" t="s">
        <v>1473</v>
      </c>
      <c r="H411" s="22" t="str">
        <f>VLOOKUP($G411,'Item Classification'!B:C,2,0)</f>
        <v>Air-to-air missile (AAM)</v>
      </c>
      <c r="I411" s="6" t="str">
        <f>VLOOKUP($G411,'Item Classification'!B:D,3,0)</f>
        <v>Missile (Air)</v>
      </c>
      <c r="J411" s="23">
        <f>VLOOKUP($G411,'Item Classification'!B:E,4,0)</f>
        <v>6</v>
      </c>
      <c r="K411" s="116" t="s">
        <v>211</v>
      </c>
      <c r="L411" s="116" t="s">
        <v>211</v>
      </c>
      <c r="M411" s="116" t="str">
        <f>VLOOKUP(L411,'NATO Classifications'!$D$6:$E$647,2,0)</f>
        <v>Guided Missiles</v>
      </c>
      <c r="N411" s="4"/>
      <c r="O411" s="4"/>
      <c r="P411" s="4"/>
      <c r="Q411" s="4"/>
      <c r="R411" s="4"/>
      <c r="S411" s="112"/>
      <c r="T411" s="91" t="s">
        <v>132</v>
      </c>
      <c r="U411" s="104">
        <f>_xlfn.IFNA(S411/INDEX('Exchange Rates'!$C$7:$F$14,MATCH('MAIN DATA, Orders'!F411,'Exchange Rates'!$B$7:$B$14,0),MATCH('MAIN DATA, Orders'!T411,'Exchange Rates'!$C$6:$F$6,0)), "-")</f>
        <v>0</v>
      </c>
      <c r="V411" s="4" t="s">
        <v>127</v>
      </c>
      <c r="W411" s="4" t="s">
        <v>127</v>
      </c>
      <c r="X411" s="4" t="s">
        <v>128</v>
      </c>
      <c r="Y411" s="24">
        <f t="shared" si="68"/>
        <v>202512</v>
      </c>
      <c r="Z411" s="115">
        <v>0</v>
      </c>
      <c r="AA411" s="115">
        <v>0</v>
      </c>
      <c r="AB411" s="115">
        <v>0</v>
      </c>
      <c r="AC411" s="115">
        <v>1</v>
      </c>
      <c r="AD411" s="115">
        <v>1</v>
      </c>
      <c r="AE411" s="115">
        <v>0</v>
      </c>
      <c r="AF411" s="115">
        <v>1</v>
      </c>
      <c r="AG411" s="4" t="s">
        <v>475</v>
      </c>
      <c r="AH411" s="4" t="s">
        <v>128</v>
      </c>
      <c r="AI411" s="4" t="s">
        <v>128</v>
      </c>
      <c r="AJ411" s="4" t="s">
        <v>127</v>
      </c>
      <c r="AK411" s="4" t="s">
        <v>127</v>
      </c>
      <c r="AL411" s="4" t="s">
        <v>127</v>
      </c>
      <c r="AM411" s="4" t="s">
        <v>127</v>
      </c>
      <c r="AN411" s="4" t="s">
        <v>238</v>
      </c>
      <c r="AO411" s="4" t="s">
        <v>151</v>
      </c>
      <c r="AP411" s="4" t="s">
        <v>197</v>
      </c>
      <c r="AQ411" s="4" t="s">
        <v>162</v>
      </c>
      <c r="AR411" s="4" t="s">
        <v>213</v>
      </c>
      <c r="AS411" s="4" t="s">
        <v>127</v>
      </c>
      <c r="AT411" s="4" t="s">
        <v>127</v>
      </c>
      <c r="AU411" s="4" t="s">
        <v>127</v>
      </c>
      <c r="AV411" s="4" t="s">
        <v>127</v>
      </c>
      <c r="AW411" s="4" t="s">
        <v>127</v>
      </c>
      <c r="AX411" s="4" t="s">
        <v>127</v>
      </c>
      <c r="AY411" s="111" t="s">
        <v>2022</v>
      </c>
      <c r="AZ411" s="96" t="s">
        <v>2095</v>
      </c>
      <c r="BB411" s="4" t="s">
        <v>2096</v>
      </c>
      <c r="BC411" s="4" t="s">
        <v>2097</v>
      </c>
      <c r="BD411" s="6" t="s">
        <v>127</v>
      </c>
      <c r="BE411" s="113"/>
      <c r="BF411" s="113"/>
      <c r="BG411" s="4"/>
      <c r="BH411" s="4"/>
      <c r="BI411" s="4"/>
      <c r="BJ411" s="4"/>
      <c r="BK411" s="4"/>
      <c r="BL411" s="4"/>
      <c r="BM411" s="4"/>
      <c r="BN411" s="4"/>
      <c r="BO411" s="4"/>
      <c r="BP411" s="4"/>
      <c r="BQ411" s="4"/>
      <c r="BR411" s="4"/>
      <c r="BS411" s="4"/>
      <c r="BT411" s="4"/>
    </row>
    <row r="412" spans="1:72" ht="16" x14ac:dyDescent="0.4">
      <c r="A412" s="4" t="s">
        <v>2088</v>
      </c>
      <c r="B412" s="4" t="s">
        <v>2098</v>
      </c>
      <c r="C412" s="4" t="s">
        <v>127</v>
      </c>
      <c r="D412" s="4" t="s">
        <v>128</v>
      </c>
      <c r="E412" s="190">
        <v>46008</v>
      </c>
      <c r="F412" s="4">
        <v>2025</v>
      </c>
      <c r="G412" s="4" t="s">
        <v>2099</v>
      </c>
      <c r="H412" s="22" t="str">
        <f>VLOOKUP($G412,'Item Classification'!B:C,2,0)</f>
        <v>Heavyweight torpedo</v>
      </c>
      <c r="I412" s="6" t="str">
        <f>VLOOKUP($G412,'Item Classification'!B:D,3,0)</f>
        <v>Naval</v>
      </c>
      <c r="J412" s="23">
        <f>VLOOKUP($G412,'Item Classification'!B:E,4,0)</f>
        <v>12</v>
      </c>
      <c r="K412" s="116" t="s">
        <v>189</v>
      </c>
      <c r="L412" s="116" t="s">
        <v>246</v>
      </c>
      <c r="M412" s="116" t="str">
        <f>VLOOKUP(L412,'NATO Classifications'!$D$6:$E$647,2,0)</f>
        <v>Torpedoes</v>
      </c>
      <c r="N412" s="4"/>
      <c r="O412" s="4"/>
      <c r="P412" s="4"/>
      <c r="Q412" s="4"/>
      <c r="R412" s="4"/>
      <c r="S412" s="112"/>
      <c r="T412" s="91" t="s">
        <v>132</v>
      </c>
      <c r="U412" s="104">
        <f>_xlfn.IFNA(S412/INDEX('Exchange Rates'!$C$7:$F$14,MATCH('MAIN DATA, Orders'!F412,'Exchange Rates'!$B$7:$B$14,0),MATCH('MAIN DATA, Orders'!T412,'Exchange Rates'!$C$6:$F$6,0)), "-")</f>
        <v>0</v>
      </c>
      <c r="V412" s="4" t="s">
        <v>127</v>
      </c>
      <c r="W412" s="4" t="s">
        <v>127</v>
      </c>
      <c r="X412" s="4" t="s">
        <v>128</v>
      </c>
      <c r="Y412" s="24">
        <f t="shared" si="68"/>
        <v>202512</v>
      </c>
      <c r="Z412" s="115">
        <v>0</v>
      </c>
      <c r="AA412" s="115">
        <v>0</v>
      </c>
      <c r="AB412" s="115">
        <v>0</v>
      </c>
      <c r="AC412" s="115" t="s">
        <v>127</v>
      </c>
      <c r="AD412" s="115" t="s">
        <v>127</v>
      </c>
      <c r="AE412" s="115" t="s">
        <v>127</v>
      </c>
      <c r="AF412" s="115" t="s">
        <v>127</v>
      </c>
      <c r="AG412" s="4" t="s">
        <v>127</v>
      </c>
      <c r="AH412" s="4" t="s">
        <v>127</v>
      </c>
      <c r="AI412" s="4" t="s">
        <v>127</v>
      </c>
      <c r="AJ412" s="4" t="s">
        <v>127</v>
      </c>
      <c r="AK412" s="4" t="s">
        <v>127</v>
      </c>
      <c r="AL412" s="4" t="s">
        <v>127</v>
      </c>
      <c r="AM412" s="4" t="s">
        <v>127</v>
      </c>
      <c r="AN412" s="4" t="s">
        <v>127</v>
      </c>
      <c r="AO412" s="4" t="s">
        <v>127</v>
      </c>
      <c r="AP412" s="4" t="s">
        <v>127</v>
      </c>
      <c r="AQ412" s="4" t="s">
        <v>127</v>
      </c>
      <c r="AR412" s="4" t="s">
        <v>127</v>
      </c>
      <c r="AS412" s="4" t="s">
        <v>127</v>
      </c>
      <c r="AT412" s="4" t="s">
        <v>127</v>
      </c>
      <c r="AU412" s="4" t="s">
        <v>127</v>
      </c>
      <c r="AV412" s="4" t="s">
        <v>127</v>
      </c>
      <c r="AW412" s="4" t="s">
        <v>127</v>
      </c>
      <c r="AX412" s="4" t="s">
        <v>127</v>
      </c>
      <c r="AY412" s="111" t="s">
        <v>2022</v>
      </c>
      <c r="AZ412" s="96" t="s">
        <v>2100</v>
      </c>
      <c r="BB412" s="4" t="s">
        <v>2101</v>
      </c>
      <c r="BC412" s="4" t="s">
        <v>2102</v>
      </c>
      <c r="BD412" s="4" t="s">
        <v>127</v>
      </c>
      <c r="BE412" s="113"/>
      <c r="BF412" s="113"/>
      <c r="BG412" s="4"/>
      <c r="BH412" s="4"/>
      <c r="BI412" s="4"/>
      <c r="BJ412" s="4"/>
      <c r="BK412" s="4"/>
      <c r="BL412" s="4"/>
      <c r="BM412" s="4"/>
      <c r="BN412" s="4"/>
      <c r="BO412" s="4"/>
      <c r="BP412" s="4"/>
      <c r="BQ412" s="4"/>
      <c r="BR412" s="4"/>
      <c r="BS412" s="4"/>
      <c r="BT412" s="4"/>
    </row>
    <row r="413" spans="1:72" ht="16" x14ac:dyDescent="0.4">
      <c r="A413" s="4" t="s">
        <v>2088</v>
      </c>
      <c r="B413" s="4" t="s">
        <v>2103</v>
      </c>
      <c r="C413" s="4" t="s">
        <v>127</v>
      </c>
      <c r="D413" s="4" t="s">
        <v>128</v>
      </c>
      <c r="E413" s="190">
        <v>46008</v>
      </c>
      <c r="F413" s="4">
        <v>2025</v>
      </c>
      <c r="G413" s="4" t="s">
        <v>343</v>
      </c>
      <c r="H413" s="22" t="str">
        <f>VLOOKUP($G413,'Item Classification'!B:C,2,0)</f>
        <v>Light utility helicopter</v>
      </c>
      <c r="I413" s="6" t="str">
        <f>VLOOKUP($G413,'Item Classification'!B:D,3,0)</f>
        <v>Helicopter</v>
      </c>
      <c r="J413" s="23">
        <f>VLOOKUP($G413,'Item Classification'!B:E,4,0)</f>
        <v>10</v>
      </c>
      <c r="K413" s="116" t="s">
        <v>130</v>
      </c>
      <c r="L413" s="116" t="s">
        <v>266</v>
      </c>
      <c r="M413" s="116" t="str">
        <f>VLOOKUP(L413,'NATO Classifications'!$D$6:$E$647,2,0)</f>
        <v>Aircraft, Rotary Wing</v>
      </c>
      <c r="N413" s="4"/>
      <c r="O413" s="4"/>
      <c r="P413" s="4"/>
      <c r="Q413" s="4"/>
      <c r="R413" s="4"/>
      <c r="S413" s="112"/>
      <c r="T413" s="91" t="s">
        <v>132</v>
      </c>
      <c r="U413" s="104">
        <f>_xlfn.IFNA(S413/INDEX('Exchange Rates'!$C$7:$F$14,MATCH('MAIN DATA, Orders'!F413,'Exchange Rates'!$B$7:$B$14,0),MATCH('MAIN DATA, Orders'!T413,'Exchange Rates'!$C$6:$F$6,0)), "-")</f>
        <v>0</v>
      </c>
      <c r="V413" s="4" t="s">
        <v>127</v>
      </c>
      <c r="W413" s="4" t="s">
        <v>127</v>
      </c>
      <c r="X413" s="4" t="s">
        <v>128</v>
      </c>
      <c r="Y413" s="24">
        <f t="shared" si="68"/>
        <v>202512</v>
      </c>
      <c r="Z413" s="115">
        <v>0</v>
      </c>
      <c r="AA413" s="115">
        <v>0</v>
      </c>
      <c r="AB413" s="115">
        <v>0</v>
      </c>
      <c r="AC413" s="115" t="s">
        <v>127</v>
      </c>
      <c r="AD413" s="115" t="s">
        <v>127</v>
      </c>
      <c r="AE413" s="115" t="s">
        <v>127</v>
      </c>
      <c r="AF413" s="115" t="s">
        <v>127</v>
      </c>
      <c r="AG413" s="4" t="s">
        <v>127</v>
      </c>
      <c r="AH413" s="4" t="s">
        <v>127</v>
      </c>
      <c r="AI413" s="4" t="s">
        <v>127</v>
      </c>
      <c r="AJ413" s="4" t="s">
        <v>127</v>
      </c>
      <c r="AK413" s="4" t="s">
        <v>127</v>
      </c>
      <c r="AL413" s="4" t="s">
        <v>127</v>
      </c>
      <c r="AM413" s="4" t="s">
        <v>127</v>
      </c>
      <c r="AN413" s="4" t="s">
        <v>127</v>
      </c>
      <c r="AO413" s="4" t="s">
        <v>127</v>
      </c>
      <c r="AP413" s="4" t="s">
        <v>127</v>
      </c>
      <c r="AQ413" s="4" t="s">
        <v>127</v>
      </c>
      <c r="AR413" s="4" t="s">
        <v>127</v>
      </c>
      <c r="AS413" s="4" t="s">
        <v>127</v>
      </c>
      <c r="AT413" s="4" t="s">
        <v>127</v>
      </c>
      <c r="AU413" s="4" t="s">
        <v>127</v>
      </c>
      <c r="AV413" s="4" t="s">
        <v>127</v>
      </c>
      <c r="AW413" s="4" t="s">
        <v>127</v>
      </c>
      <c r="AX413" s="4" t="s">
        <v>127</v>
      </c>
      <c r="AY413" s="111" t="s">
        <v>2022</v>
      </c>
      <c r="AZ413" s="4" t="s">
        <v>127</v>
      </c>
      <c r="BA413" s="4" t="s">
        <v>127</v>
      </c>
      <c r="BB413" s="4" t="s">
        <v>2104</v>
      </c>
      <c r="BC413" s="4" t="s">
        <v>127</v>
      </c>
      <c r="BD413" s="4" t="s">
        <v>127</v>
      </c>
      <c r="BE413" s="113"/>
      <c r="BF413" s="113"/>
      <c r="BG413" s="4"/>
      <c r="BH413" s="4"/>
      <c r="BI413" s="4"/>
      <c r="BJ413" s="4"/>
      <c r="BK413" s="4"/>
      <c r="BL413" s="4"/>
      <c r="BM413" s="4"/>
      <c r="BN413" s="4"/>
      <c r="BO413" s="4"/>
      <c r="BP413" s="4"/>
      <c r="BQ413" s="4"/>
      <c r="BR413" s="4"/>
      <c r="BS413" s="4"/>
      <c r="BT413" s="4"/>
    </row>
    <row r="414" spans="1:72" ht="16" x14ac:dyDescent="0.4">
      <c r="A414" s="4" t="s">
        <v>2088</v>
      </c>
      <c r="B414" s="4" t="s">
        <v>2105</v>
      </c>
      <c r="C414" s="4" t="s">
        <v>127</v>
      </c>
      <c r="D414" s="4" t="s">
        <v>128</v>
      </c>
      <c r="E414" s="190">
        <v>46008</v>
      </c>
      <c r="F414" s="4">
        <v>2025</v>
      </c>
      <c r="G414" s="4" t="s">
        <v>1191</v>
      </c>
      <c r="H414" s="22" t="str">
        <f>VLOOKUP($G414,'Item Classification'!B:C,2,0)</f>
        <v>Anti-aircraft surface-to-air missile (SAM) system (long-range)</v>
      </c>
      <c r="I414" s="6" t="str">
        <f>VLOOKUP($G414,'Item Classification'!B:D,3,0)</f>
        <v>Air defence system</v>
      </c>
      <c r="J414" s="23">
        <f>VLOOKUP($G414,'Item Classification'!B:E,4,0)</f>
        <v>5</v>
      </c>
      <c r="K414" s="116" t="s">
        <v>211</v>
      </c>
      <c r="L414" s="116" t="s">
        <v>326</v>
      </c>
      <c r="M414" s="116" t="str">
        <f>VLOOKUP(L414,'NATO Classifications'!$D$6:$E$647,2,0)</f>
        <v>Guided Missile Systems, Complete</v>
      </c>
      <c r="N414" s="4"/>
      <c r="O414" s="4"/>
      <c r="P414" s="4"/>
      <c r="Q414" s="4"/>
      <c r="R414" s="4"/>
      <c r="S414" s="112"/>
      <c r="T414" s="91" t="s">
        <v>132</v>
      </c>
      <c r="U414" s="104">
        <f>_xlfn.IFNA(S414/INDEX('Exchange Rates'!$C$7:$F$14,MATCH('MAIN DATA, Orders'!F414,'Exchange Rates'!$B$7:$B$14,0),MATCH('MAIN DATA, Orders'!T414,'Exchange Rates'!$C$6:$F$6,0)), "-")</f>
        <v>0</v>
      </c>
      <c r="V414" s="4" t="s">
        <v>127</v>
      </c>
      <c r="W414" s="4" t="s">
        <v>127</v>
      </c>
      <c r="X414" s="4" t="s">
        <v>128</v>
      </c>
      <c r="Y414" s="24">
        <f t="shared" si="68"/>
        <v>202512</v>
      </c>
      <c r="Z414" s="115">
        <v>0</v>
      </c>
      <c r="AA414" s="115">
        <v>0</v>
      </c>
      <c r="AB414" s="115">
        <v>0</v>
      </c>
      <c r="AC414" s="115">
        <v>0</v>
      </c>
      <c r="AD414" s="115">
        <v>0</v>
      </c>
      <c r="AE414" s="115">
        <v>0</v>
      </c>
      <c r="AF414" s="115">
        <v>0</v>
      </c>
      <c r="AG414" s="4" t="s">
        <v>718</v>
      </c>
      <c r="AH414" s="4" t="s">
        <v>196</v>
      </c>
      <c r="AI414" s="4" t="s">
        <v>127</v>
      </c>
      <c r="AJ414" s="4" t="s">
        <v>127</v>
      </c>
      <c r="AK414" s="4" t="s">
        <v>127</v>
      </c>
      <c r="AL414" s="4" t="s">
        <v>127</v>
      </c>
      <c r="AM414" s="4" t="s">
        <v>127</v>
      </c>
      <c r="AN414" s="4" t="s">
        <v>127</v>
      </c>
      <c r="AO414" s="4" t="s">
        <v>127</v>
      </c>
      <c r="AP414" s="4" t="s">
        <v>127</v>
      </c>
      <c r="AQ414" s="4" t="s">
        <v>127</v>
      </c>
      <c r="AR414" s="4" t="s">
        <v>127</v>
      </c>
      <c r="AS414" s="4" t="s">
        <v>127</v>
      </c>
      <c r="AT414" s="4" t="s">
        <v>127</v>
      </c>
      <c r="AU414" s="4" t="s">
        <v>127</v>
      </c>
      <c r="AV414" s="4" t="s">
        <v>127</v>
      </c>
      <c r="AW414" s="4" t="s">
        <v>127</v>
      </c>
      <c r="AX414" s="4" t="s">
        <v>127</v>
      </c>
      <c r="AY414" s="111" t="s">
        <v>2022</v>
      </c>
      <c r="AZ414" s="96" t="s">
        <v>2030</v>
      </c>
      <c r="BA414" s="96" t="s">
        <v>2106</v>
      </c>
      <c r="BB414" s="4" t="s">
        <v>2107</v>
      </c>
      <c r="BC414" s="4" t="s">
        <v>127</v>
      </c>
      <c r="BD414" s="4" t="s">
        <v>127</v>
      </c>
      <c r="BE414" s="113"/>
      <c r="BF414" s="113"/>
      <c r="BG414" s="4"/>
      <c r="BH414" s="4"/>
      <c r="BI414" s="4"/>
      <c r="BJ414" s="4"/>
      <c r="BK414" s="4"/>
      <c r="BL414" s="4"/>
      <c r="BM414" s="4"/>
      <c r="BN414" s="4"/>
      <c r="BO414" s="4"/>
      <c r="BP414" s="4"/>
      <c r="BQ414" s="4"/>
      <c r="BR414" s="4"/>
      <c r="BS414" s="4"/>
      <c r="BT414" s="4"/>
    </row>
    <row r="415" spans="1:72" ht="16" x14ac:dyDescent="0.4">
      <c r="A415" s="4" t="s">
        <v>2088</v>
      </c>
      <c r="B415" s="4" t="s">
        <v>2108</v>
      </c>
      <c r="C415" s="4" t="s">
        <v>127</v>
      </c>
      <c r="D415" s="4" t="s">
        <v>128</v>
      </c>
      <c r="E415" s="190">
        <v>46008</v>
      </c>
      <c r="F415" s="4">
        <v>2025</v>
      </c>
      <c r="G415" s="4" t="s">
        <v>739</v>
      </c>
      <c r="H415" s="22" t="str">
        <f>VLOOKUP($G415,'Item Classification'!B:C,2,0)</f>
        <v xml:space="preserve">30mm infantry fighting vehicle ammunition </v>
      </c>
      <c r="I415" s="6" t="str">
        <f>VLOOKUP($G415,'Item Classification'!B:D,3,0)</f>
        <v>Ammunition</v>
      </c>
      <c r="J415" s="23">
        <f>VLOOKUP($G415,'Item Classification'!B:E,4,0)</f>
        <v>4</v>
      </c>
      <c r="K415" s="116" t="s">
        <v>189</v>
      </c>
      <c r="L415" s="116" t="s">
        <v>740</v>
      </c>
      <c r="M415" s="116" t="str">
        <f>VLOOKUP(L415,'NATO Classifications'!$D$6:$E$647,2,0)</f>
        <v>Ammunition below 75mm</v>
      </c>
      <c r="N415" s="4"/>
      <c r="O415" s="81"/>
      <c r="P415" s="81"/>
      <c r="Q415" s="4"/>
      <c r="R415" s="4"/>
      <c r="S415" s="4"/>
      <c r="T415" s="91" t="s">
        <v>132</v>
      </c>
      <c r="U415" s="104">
        <f>_xlfn.IFNA(S415/INDEX('Exchange Rates'!$C$7:$F$14,MATCH('MAIN DATA, Orders'!F415,'Exchange Rates'!$B$7:$B$14,0),MATCH('MAIN DATA, Orders'!T415,'Exchange Rates'!$C$6:$F$6,0)), "-")</f>
        <v>0</v>
      </c>
      <c r="V415" s="4" t="s">
        <v>133</v>
      </c>
      <c r="W415" s="4" t="s">
        <v>127</v>
      </c>
      <c r="X415" s="4" t="s">
        <v>128</v>
      </c>
      <c r="Y415" s="24">
        <f t="shared" si="68"/>
        <v>202512</v>
      </c>
      <c r="Z415" s="115">
        <v>1</v>
      </c>
      <c r="AA415" s="115">
        <v>0</v>
      </c>
      <c r="AB415" s="115">
        <v>0</v>
      </c>
      <c r="AC415" s="115">
        <v>1</v>
      </c>
      <c r="AD415" s="115">
        <v>0</v>
      </c>
      <c r="AE415" s="115">
        <v>0</v>
      </c>
      <c r="AF415" s="115">
        <v>0</v>
      </c>
      <c r="AG415" s="4" t="s">
        <v>256</v>
      </c>
      <c r="AH415" s="4" t="s">
        <v>128</v>
      </c>
      <c r="AI415" s="4" t="s">
        <v>127</v>
      </c>
      <c r="AJ415" s="4" t="s">
        <v>127</v>
      </c>
      <c r="AK415" s="4" t="s">
        <v>127</v>
      </c>
      <c r="AL415" s="4" t="s">
        <v>127</v>
      </c>
      <c r="AM415" s="4" t="s">
        <v>127</v>
      </c>
      <c r="AN415" s="4" t="s">
        <v>127</v>
      </c>
      <c r="AO415" s="4" t="s">
        <v>127</v>
      </c>
      <c r="AP415" s="4" t="s">
        <v>127</v>
      </c>
      <c r="AQ415" s="4" t="s">
        <v>127</v>
      </c>
      <c r="AR415" s="4" t="s">
        <v>127</v>
      </c>
      <c r="AS415" s="4" t="s">
        <v>127</v>
      </c>
      <c r="AT415" s="4" t="s">
        <v>127</v>
      </c>
      <c r="AU415" s="4" t="s">
        <v>127</v>
      </c>
      <c r="AV415" s="4" t="s">
        <v>127</v>
      </c>
      <c r="AW415" s="4" t="s">
        <v>127</v>
      </c>
      <c r="AX415" s="4" t="s">
        <v>127</v>
      </c>
      <c r="AY415" s="111" t="s">
        <v>2022</v>
      </c>
      <c r="AZ415" s="96" t="s">
        <v>2030</v>
      </c>
      <c r="BA415" s="4" t="s">
        <v>127</v>
      </c>
      <c r="BB415" s="4" t="s">
        <v>2109</v>
      </c>
      <c r="BC415" s="4" t="s">
        <v>2057</v>
      </c>
      <c r="BD415" s="4" t="s">
        <v>127</v>
      </c>
      <c r="BE415" s="113"/>
      <c r="BF415" s="113"/>
      <c r="BG415" s="4"/>
      <c r="BH415" s="4"/>
      <c r="BI415" s="4"/>
      <c r="BJ415" s="4"/>
      <c r="BK415" s="4"/>
      <c r="BL415" s="4"/>
      <c r="BM415" s="4"/>
      <c r="BN415" s="4"/>
      <c r="BO415" s="4"/>
      <c r="BP415" s="4"/>
      <c r="BQ415" s="4"/>
      <c r="BR415" s="4"/>
      <c r="BS415" s="4"/>
      <c r="BT415" s="4"/>
    </row>
    <row r="416" spans="1:72" ht="16" x14ac:dyDescent="0.4">
      <c r="A416" s="4" t="s">
        <v>2088</v>
      </c>
      <c r="B416" s="4" t="s">
        <v>2110</v>
      </c>
      <c r="C416" s="4" t="s">
        <v>127</v>
      </c>
      <c r="D416" s="4" t="s">
        <v>128</v>
      </c>
      <c r="E416" s="190">
        <v>46008</v>
      </c>
      <c r="F416" s="4">
        <v>2025</v>
      </c>
      <c r="G416" s="4" t="s">
        <v>487</v>
      </c>
      <c r="H416" s="22" t="str">
        <f>VLOOKUP($G416,'Item Classification'!B:C,2,0)</f>
        <v>Infantry fighting vehicle (IFV)</v>
      </c>
      <c r="I416" s="6" t="str">
        <f>VLOOKUP($G416,'Item Classification'!B:D,3,0)</f>
        <v>Armoured vehicle</v>
      </c>
      <c r="J416" s="23">
        <f>VLOOKUP($G416,'Item Classification'!B:E,4,0)</f>
        <v>2</v>
      </c>
      <c r="K416" s="116" t="s">
        <v>274</v>
      </c>
      <c r="L416" s="116" t="s">
        <v>329</v>
      </c>
      <c r="M416" s="116" t="str">
        <f>VLOOKUP(L416,'NATO Classifications'!$D$6:$E$647,2,0)</f>
        <v>Combat, Assault, and Tactical Vehicles, Tracked</v>
      </c>
      <c r="N416" s="4">
        <v>350</v>
      </c>
      <c r="O416" s="4"/>
      <c r="P416" s="4"/>
      <c r="Q416" s="4"/>
      <c r="R416" s="4"/>
      <c r="S416" s="112"/>
      <c r="T416" s="91" t="s">
        <v>132</v>
      </c>
      <c r="U416" s="104">
        <f>_xlfn.IFNA(S416/INDEX('Exchange Rates'!$C$7:$F$14,MATCH('MAIN DATA, Orders'!F416,'Exchange Rates'!$B$7:$B$14,0),MATCH('MAIN DATA, Orders'!T416,'Exchange Rates'!$C$6:$F$6,0)), "-")</f>
        <v>0</v>
      </c>
      <c r="V416" s="4" t="s">
        <v>127</v>
      </c>
      <c r="W416" s="4" t="s">
        <v>127</v>
      </c>
      <c r="X416" s="4" t="s">
        <v>128</v>
      </c>
      <c r="Y416" s="24">
        <f t="shared" si="68"/>
        <v>202512</v>
      </c>
      <c r="Z416" s="115">
        <v>1</v>
      </c>
      <c r="AA416" s="115">
        <v>0</v>
      </c>
      <c r="AB416" s="115">
        <v>0</v>
      </c>
      <c r="AC416" s="115">
        <v>1</v>
      </c>
      <c r="AD416" s="115">
        <v>0</v>
      </c>
      <c r="AE416" s="115">
        <v>0</v>
      </c>
      <c r="AF416" s="115">
        <v>0</v>
      </c>
      <c r="AG416" s="4" t="s">
        <v>256</v>
      </c>
      <c r="AH416" s="4" t="s">
        <v>128</v>
      </c>
      <c r="AI416" s="4" t="s">
        <v>128</v>
      </c>
      <c r="AJ416" s="4" t="s">
        <v>488</v>
      </c>
      <c r="AK416" s="4" t="s">
        <v>127</v>
      </c>
      <c r="AL416" s="4" t="s">
        <v>127</v>
      </c>
      <c r="AM416" s="4" t="s">
        <v>127</v>
      </c>
      <c r="AN416" s="4" t="s">
        <v>127</v>
      </c>
      <c r="AO416" s="4" t="s">
        <v>127</v>
      </c>
      <c r="AP416" s="4" t="s">
        <v>127</v>
      </c>
      <c r="AQ416" s="4" t="s">
        <v>127</v>
      </c>
      <c r="AR416" s="4" t="s">
        <v>127</v>
      </c>
      <c r="AS416" s="4" t="s">
        <v>127</v>
      </c>
      <c r="AT416" s="4" t="s">
        <v>127</v>
      </c>
      <c r="AU416" s="4" t="s">
        <v>127</v>
      </c>
      <c r="AV416" s="4" t="s">
        <v>127</v>
      </c>
      <c r="AW416" s="4" t="s">
        <v>127</v>
      </c>
      <c r="AX416" s="4" t="s">
        <v>127</v>
      </c>
      <c r="AY416" s="111" t="s">
        <v>2022</v>
      </c>
      <c r="AZ416" s="96" t="s">
        <v>2030</v>
      </c>
      <c r="BA416" s="4" t="s">
        <v>127</v>
      </c>
      <c r="BB416" s="4" t="s">
        <v>2057</v>
      </c>
      <c r="BC416" s="4" t="s">
        <v>127</v>
      </c>
      <c r="BD416" s="4" t="s">
        <v>127</v>
      </c>
      <c r="BE416" s="113"/>
      <c r="BF416" s="113"/>
      <c r="BG416" s="4"/>
      <c r="BH416" s="4"/>
      <c r="BI416" s="4"/>
      <c r="BJ416" s="4"/>
      <c r="BK416" s="4"/>
      <c r="BL416" s="4"/>
      <c r="BM416" s="4"/>
      <c r="BN416" s="4"/>
      <c r="BO416" s="4"/>
      <c r="BP416" s="4"/>
      <c r="BQ416" s="4"/>
      <c r="BR416" s="4"/>
      <c r="BS416" s="4"/>
      <c r="BT416" s="4"/>
    </row>
    <row r="417" spans="1:72" ht="16" x14ac:dyDescent="0.4">
      <c r="A417" s="4" t="s">
        <v>2088</v>
      </c>
      <c r="B417" s="4" t="s">
        <v>2111</v>
      </c>
      <c r="C417" s="4" t="s">
        <v>127</v>
      </c>
      <c r="D417" s="4" t="s">
        <v>128</v>
      </c>
      <c r="E417" s="190">
        <v>46008</v>
      </c>
      <c r="F417" s="4">
        <v>2025</v>
      </c>
      <c r="G417" s="4" t="s">
        <v>1212</v>
      </c>
      <c r="H417" s="22" t="str">
        <f>VLOOKUP($G417,'Item Classification'!B:C,2,0)</f>
        <v>Infantry fighting vehicle (IFV) equipment</v>
      </c>
      <c r="I417" s="6" t="str">
        <f>VLOOKUP($G417,'Item Classification'!B:D,3,0)</f>
        <v>Armoured vehicle</v>
      </c>
      <c r="J417" s="23">
        <f>VLOOKUP($G417,'Item Classification'!B:E,4,0)</f>
        <v>2</v>
      </c>
      <c r="K417" s="116" t="s">
        <v>941</v>
      </c>
      <c r="L417" s="116" t="s">
        <v>2112</v>
      </c>
      <c r="M417" s="116" t="str">
        <f>VLOOKUP(L417,'NATO Classifications'!$D$6:$E$647,2,0)</f>
        <v>Armament Training Devices</v>
      </c>
      <c r="N417" s="4"/>
      <c r="O417" s="4"/>
      <c r="P417" s="4"/>
      <c r="Q417" s="4"/>
      <c r="R417" s="4"/>
      <c r="S417" s="112"/>
      <c r="T417" s="91" t="s">
        <v>132</v>
      </c>
      <c r="U417" s="104">
        <f>_xlfn.IFNA(S417/INDEX('Exchange Rates'!$C$7:$F$14,MATCH('MAIN DATA, Orders'!F417,'Exchange Rates'!$B$7:$B$14,0),MATCH('MAIN DATA, Orders'!T417,'Exchange Rates'!$C$6:$F$6,0)), "-")</f>
        <v>0</v>
      </c>
      <c r="V417" s="4" t="s">
        <v>127</v>
      </c>
      <c r="W417" s="4" t="s">
        <v>127</v>
      </c>
      <c r="X417" s="4" t="s">
        <v>128</v>
      </c>
      <c r="Y417" s="24">
        <f t="shared" si="68"/>
        <v>202512</v>
      </c>
      <c r="Z417" s="115">
        <v>0</v>
      </c>
      <c r="AA417" s="115">
        <v>0</v>
      </c>
      <c r="AB417" s="115">
        <v>0</v>
      </c>
      <c r="AC417" s="115">
        <v>1</v>
      </c>
      <c r="AD417" s="115">
        <v>0</v>
      </c>
      <c r="AE417" s="115">
        <v>0</v>
      </c>
      <c r="AF417" s="115">
        <v>0</v>
      </c>
      <c r="AG417" s="4" t="s">
        <v>256</v>
      </c>
      <c r="AH417" s="4" t="s">
        <v>128</v>
      </c>
      <c r="AI417" s="4" t="s">
        <v>127</v>
      </c>
      <c r="AJ417" s="4" t="s">
        <v>1213</v>
      </c>
      <c r="AK417" s="4" t="s">
        <v>127</v>
      </c>
      <c r="AL417" s="4" t="s">
        <v>127</v>
      </c>
      <c r="AM417" s="4" t="s">
        <v>127</v>
      </c>
      <c r="AN417" s="4" t="s">
        <v>127</v>
      </c>
      <c r="AO417" s="4" t="s">
        <v>127</v>
      </c>
      <c r="AP417" s="4" t="s">
        <v>127</v>
      </c>
      <c r="AQ417" s="4" t="s">
        <v>127</v>
      </c>
      <c r="AR417" s="4" t="s">
        <v>127</v>
      </c>
      <c r="AS417" s="4" t="s">
        <v>127</v>
      </c>
      <c r="AT417" s="4" t="s">
        <v>127</v>
      </c>
      <c r="AU417" s="4" t="s">
        <v>127</v>
      </c>
      <c r="AV417" s="4" t="s">
        <v>127</v>
      </c>
      <c r="AW417" s="4" t="s">
        <v>127</v>
      </c>
      <c r="AX417" s="4" t="s">
        <v>127</v>
      </c>
      <c r="AY417" s="111" t="s">
        <v>2022</v>
      </c>
      <c r="AZ417" s="96" t="s">
        <v>2030</v>
      </c>
      <c r="BA417" s="4" t="s">
        <v>127</v>
      </c>
      <c r="BB417" s="4" t="s">
        <v>2057</v>
      </c>
      <c r="BC417" s="4" t="s">
        <v>127</v>
      </c>
      <c r="BD417" s="4" t="s">
        <v>127</v>
      </c>
      <c r="BE417" s="113"/>
      <c r="BF417" s="113"/>
      <c r="BG417" s="4"/>
      <c r="BH417" s="4"/>
      <c r="BI417" s="4"/>
      <c r="BJ417" s="4"/>
      <c r="BK417" s="4"/>
      <c r="BL417" s="4"/>
      <c r="BM417" s="4"/>
      <c r="BN417" s="4"/>
      <c r="BO417" s="4"/>
      <c r="BP417" s="4"/>
      <c r="BQ417" s="4"/>
      <c r="BR417" s="4"/>
      <c r="BS417" s="4"/>
      <c r="BT417" s="4"/>
    </row>
    <row r="418" spans="1:72" ht="16" x14ac:dyDescent="0.4">
      <c r="A418" s="4" t="s">
        <v>2088</v>
      </c>
      <c r="B418" s="4" t="s">
        <v>2113</v>
      </c>
      <c r="C418" s="4" t="s">
        <v>127</v>
      </c>
      <c r="D418" s="4" t="s">
        <v>128</v>
      </c>
      <c r="E418" s="190">
        <v>46008</v>
      </c>
      <c r="F418" s="4">
        <v>2025</v>
      </c>
      <c r="G418" s="4" t="s">
        <v>2114</v>
      </c>
      <c r="H418" s="22" t="str">
        <f>VLOOKUP($G418,'Item Classification'!B:C,2,0)</f>
        <v>Armoured personnel carrier (APC)</v>
      </c>
      <c r="I418" s="6" t="str">
        <f>VLOOKUP($G418,'Item Classification'!B:D,3,0)</f>
        <v>Armoured vehicle</v>
      </c>
      <c r="J418" s="23">
        <f>VLOOKUP($G418,'Item Classification'!B:E,4,0)</f>
        <v>2</v>
      </c>
      <c r="K418" s="116" t="s">
        <v>763</v>
      </c>
      <c r="L418" s="116" t="s">
        <v>1592</v>
      </c>
      <c r="M418" s="116" t="str">
        <f>VLOOKUP(L418,'NATO Classifications'!$D$6:$E$647,2,0)</f>
        <v>Guns over 75mm</v>
      </c>
      <c r="N418" s="4"/>
      <c r="O418" s="4"/>
      <c r="P418" s="4"/>
      <c r="Q418" s="4"/>
      <c r="R418" s="4"/>
      <c r="S418" s="112"/>
      <c r="T418" s="91" t="s">
        <v>132</v>
      </c>
      <c r="U418" s="104">
        <f>_xlfn.IFNA(S418/INDEX('Exchange Rates'!$C$7:$F$14,MATCH('MAIN DATA, Orders'!F418,'Exchange Rates'!$B$7:$B$14,0),MATCH('MAIN DATA, Orders'!T418,'Exchange Rates'!$C$6:$F$6,0)), "-")</f>
        <v>0</v>
      </c>
      <c r="V418" s="4" t="s">
        <v>127</v>
      </c>
      <c r="W418" s="4" t="s">
        <v>127</v>
      </c>
      <c r="X418" s="4" t="s">
        <v>128</v>
      </c>
      <c r="Y418" s="24">
        <f t="shared" si="68"/>
        <v>202512</v>
      </c>
      <c r="Z418" s="115">
        <v>0</v>
      </c>
      <c r="AA418" s="115">
        <v>0</v>
      </c>
      <c r="AB418" s="115">
        <v>0</v>
      </c>
      <c r="AC418" s="115">
        <v>1</v>
      </c>
      <c r="AD418" s="115">
        <v>1</v>
      </c>
      <c r="AE418" s="115">
        <v>0</v>
      </c>
      <c r="AF418" s="115">
        <v>1</v>
      </c>
      <c r="AG418" s="4" t="s">
        <v>1748</v>
      </c>
      <c r="AH418" s="4" t="s">
        <v>684</v>
      </c>
      <c r="AI418" s="4" t="s">
        <v>684</v>
      </c>
      <c r="AJ418" s="4" t="s">
        <v>1749</v>
      </c>
      <c r="AK418" s="4" t="s">
        <v>2072</v>
      </c>
      <c r="AL418" s="4" t="s">
        <v>127</v>
      </c>
      <c r="AM418" s="4" t="s">
        <v>127</v>
      </c>
      <c r="AN418" s="4" t="s">
        <v>1750</v>
      </c>
      <c r="AO418" s="4" t="s">
        <v>128</v>
      </c>
      <c r="AP418" s="4" t="s">
        <v>213</v>
      </c>
      <c r="AQ418" s="4" t="s">
        <v>854</v>
      </c>
      <c r="AR418" s="4" t="s">
        <v>127</v>
      </c>
      <c r="AS418" s="4" t="s">
        <v>127</v>
      </c>
      <c r="AT418" s="4" t="s">
        <v>127</v>
      </c>
      <c r="AU418" s="4" t="s">
        <v>127</v>
      </c>
      <c r="AV418" s="4" t="s">
        <v>127</v>
      </c>
      <c r="AW418" s="4" t="s">
        <v>127</v>
      </c>
      <c r="AX418" s="4" t="s">
        <v>127</v>
      </c>
      <c r="AY418" s="111" t="s">
        <v>2022</v>
      </c>
      <c r="AZ418" s="96" t="s">
        <v>2030</v>
      </c>
      <c r="BA418" s="96" t="s">
        <v>2115</v>
      </c>
      <c r="BB418" s="4" t="s">
        <v>2116</v>
      </c>
      <c r="BC418" s="4" t="s">
        <v>127</v>
      </c>
      <c r="BD418" s="4" t="s">
        <v>127</v>
      </c>
      <c r="BE418" s="113"/>
      <c r="BF418" s="113"/>
      <c r="BG418" s="4"/>
      <c r="BH418" s="4"/>
      <c r="BI418" s="4"/>
      <c r="BJ418" s="4"/>
      <c r="BK418" s="4"/>
      <c r="BL418" s="4"/>
      <c r="BM418" s="4"/>
      <c r="BN418" s="4"/>
      <c r="BO418" s="4"/>
      <c r="BP418" s="4"/>
      <c r="BQ418" s="4"/>
      <c r="BR418" s="4"/>
      <c r="BS418" s="4"/>
      <c r="BT418" s="4"/>
    </row>
    <row r="419" spans="1:72" ht="16" x14ac:dyDescent="0.4">
      <c r="A419" s="4" t="s">
        <v>2088</v>
      </c>
      <c r="B419" s="4" t="s">
        <v>2117</v>
      </c>
      <c r="C419" s="4" t="s">
        <v>127</v>
      </c>
      <c r="D419" s="4" t="s">
        <v>128</v>
      </c>
      <c r="E419" s="190">
        <v>46008</v>
      </c>
      <c r="F419" s="4">
        <v>2025</v>
      </c>
      <c r="G419" s="4" t="s">
        <v>2118</v>
      </c>
      <c r="H419" s="22" t="str">
        <f>VLOOKUP($G419,'Item Classification'!B:C,2,0)</f>
        <v>Radar technology for fighter jet</v>
      </c>
      <c r="I419" s="6" t="str">
        <f>VLOOKUP($G419,'Item Classification'!B:D,3,0)</f>
        <v>Aircraft</v>
      </c>
      <c r="J419" s="23">
        <f>VLOOKUP($G419,'Item Classification'!B:E,4,0)</f>
        <v>11</v>
      </c>
      <c r="K419" s="116" t="s">
        <v>158</v>
      </c>
      <c r="L419" s="116" t="s">
        <v>159</v>
      </c>
      <c r="M419" s="116" t="str">
        <f>VLOOKUP(L419,'NATO Classifications'!$D$6:$E$647,2,0)</f>
        <v>Radar and Sensor</v>
      </c>
      <c r="N419" s="4"/>
      <c r="O419" s="4"/>
      <c r="P419" s="4"/>
      <c r="Q419" s="4"/>
      <c r="R419" s="4"/>
      <c r="S419" s="112"/>
      <c r="T419" s="91" t="s">
        <v>132</v>
      </c>
      <c r="U419" s="104">
        <f>_xlfn.IFNA(S419/INDEX('Exchange Rates'!$C$7:$F$14,MATCH('MAIN DATA, Orders'!F419,'Exchange Rates'!$B$7:$B$14,0),MATCH('MAIN DATA, Orders'!T419,'Exchange Rates'!$C$6:$F$6,0)), "-")</f>
        <v>0</v>
      </c>
      <c r="V419" s="4" t="s">
        <v>127</v>
      </c>
      <c r="W419" s="4" t="s">
        <v>127</v>
      </c>
      <c r="X419" s="4" t="s">
        <v>128</v>
      </c>
      <c r="Y419" s="24">
        <f t="shared" si="68"/>
        <v>202512</v>
      </c>
      <c r="Z419" s="115">
        <v>0</v>
      </c>
      <c r="AA419" s="115">
        <v>0</v>
      </c>
      <c r="AB419" s="115">
        <v>0</v>
      </c>
      <c r="AC419" s="115">
        <v>1</v>
      </c>
      <c r="AD419" s="115">
        <v>1</v>
      </c>
      <c r="AE419" s="115">
        <v>0</v>
      </c>
      <c r="AF419" s="115">
        <v>1</v>
      </c>
      <c r="AG419" s="4" t="s">
        <v>1040</v>
      </c>
      <c r="AH419" s="4" t="s">
        <v>128</v>
      </c>
      <c r="AI419" s="4" t="s">
        <v>127</v>
      </c>
      <c r="AJ419" s="4" t="s">
        <v>149</v>
      </c>
      <c r="AK419" s="4" t="s">
        <v>161</v>
      </c>
      <c r="AL419" s="4" t="s">
        <v>127</v>
      </c>
      <c r="AM419" s="4" t="s">
        <v>127</v>
      </c>
      <c r="AN419" s="4" t="s">
        <v>162</v>
      </c>
      <c r="AO419" s="4" t="s">
        <v>127</v>
      </c>
      <c r="AP419" s="4" t="s">
        <v>127</v>
      </c>
      <c r="AQ419" s="4" t="s">
        <v>127</v>
      </c>
      <c r="AR419" s="4" t="s">
        <v>127</v>
      </c>
      <c r="AS419" s="4" t="s">
        <v>127</v>
      </c>
      <c r="AT419" s="4" t="s">
        <v>127</v>
      </c>
      <c r="AU419" s="4" t="s">
        <v>127</v>
      </c>
      <c r="AV419" s="4" t="s">
        <v>127</v>
      </c>
      <c r="AW419" s="4" t="s">
        <v>127</v>
      </c>
      <c r="AX419" s="4" t="s">
        <v>127</v>
      </c>
      <c r="AY419" s="111" t="s">
        <v>2022</v>
      </c>
      <c r="AZ419" s="96" t="s">
        <v>2030</v>
      </c>
      <c r="BA419" s="4" t="s">
        <v>127</v>
      </c>
      <c r="BB419" s="4" t="s">
        <v>2119</v>
      </c>
      <c r="BC419" s="4" t="s">
        <v>2120</v>
      </c>
      <c r="BD419" s="4" t="s">
        <v>127</v>
      </c>
      <c r="BE419" s="113"/>
      <c r="BF419" s="113"/>
      <c r="BG419" s="4"/>
      <c r="BH419" s="4"/>
      <c r="BI419" s="4"/>
      <c r="BJ419" s="4"/>
      <c r="BK419" s="4"/>
      <c r="BL419" s="4"/>
      <c r="BM419" s="4"/>
      <c r="BN419" s="4"/>
      <c r="BO419" s="4"/>
      <c r="BP419" s="4"/>
      <c r="BQ419" s="4"/>
      <c r="BR419" s="4"/>
      <c r="BS419" s="4"/>
      <c r="BT419" s="4"/>
    </row>
    <row r="420" spans="1:72" ht="16" x14ac:dyDescent="0.4">
      <c r="A420" s="4" t="s">
        <v>2088</v>
      </c>
      <c r="B420" s="4" t="s">
        <v>2121</v>
      </c>
      <c r="C420" s="4" t="s">
        <v>127</v>
      </c>
      <c r="D420" s="4" t="s">
        <v>128</v>
      </c>
      <c r="E420" s="190">
        <v>46008</v>
      </c>
      <c r="F420" s="4">
        <v>2025</v>
      </c>
      <c r="G420" s="4" t="s">
        <v>2122</v>
      </c>
      <c r="H420" s="22" t="str">
        <f>VLOOKUP($G420,'Item Classification'!B:C,2,0)</f>
        <v>Fighter jet development</v>
      </c>
      <c r="I420" s="6" t="str">
        <f>VLOOKUP($G420,'Item Classification'!B:D,3,0)</f>
        <v>Development - Aircraft</v>
      </c>
      <c r="J420" s="23">
        <f>VLOOKUP($G420,'Item Classification'!B:E,4,0)</f>
        <v>16</v>
      </c>
      <c r="K420" s="116" t="s">
        <v>158</v>
      </c>
      <c r="L420" s="116" t="s">
        <v>379</v>
      </c>
      <c r="M420" s="116" t="str">
        <f>VLOOKUP(L420,'NATO Classifications'!$D$6:$E$647,2,0)</f>
        <v>Communication, Detection, and Coherent Radiation Equipment (other)</v>
      </c>
      <c r="N420" s="4"/>
      <c r="O420" s="4"/>
      <c r="P420" s="4"/>
      <c r="Q420" s="4"/>
      <c r="R420" s="4"/>
      <c r="S420" s="112"/>
      <c r="T420" s="91" t="s">
        <v>132</v>
      </c>
      <c r="U420" s="104">
        <f>_xlfn.IFNA(S420/INDEX('Exchange Rates'!$C$7:$F$14,MATCH('MAIN DATA, Orders'!F420,'Exchange Rates'!$B$7:$B$14,0),MATCH('MAIN DATA, Orders'!T420,'Exchange Rates'!$C$6:$F$6,0)), "-")</f>
        <v>0</v>
      </c>
      <c r="V420" s="4" t="s">
        <v>127</v>
      </c>
      <c r="W420" s="4" t="s">
        <v>127</v>
      </c>
      <c r="X420" s="4" t="s">
        <v>128</v>
      </c>
      <c r="Y420" s="24">
        <f t="shared" si="68"/>
        <v>202512</v>
      </c>
      <c r="Z420" s="115">
        <v>0</v>
      </c>
      <c r="AA420" s="115">
        <v>0</v>
      </c>
      <c r="AB420" s="115">
        <v>0</v>
      </c>
      <c r="AC420" s="115">
        <v>1</v>
      </c>
      <c r="AD420" s="115">
        <v>1</v>
      </c>
      <c r="AE420" s="115">
        <v>0</v>
      </c>
      <c r="AF420" s="115">
        <v>1</v>
      </c>
      <c r="AG420" s="4" t="s">
        <v>1814</v>
      </c>
      <c r="AH420" s="4" t="s">
        <v>197</v>
      </c>
      <c r="AI420" s="4" t="s">
        <v>197</v>
      </c>
      <c r="AJ420" s="4" t="s">
        <v>127</v>
      </c>
      <c r="AK420" s="4" t="s">
        <v>127</v>
      </c>
      <c r="AL420" s="4" t="s">
        <v>127</v>
      </c>
      <c r="AM420" s="4" t="s">
        <v>127</v>
      </c>
      <c r="AN420" s="4" t="s">
        <v>162</v>
      </c>
      <c r="AO420" s="4" t="s">
        <v>128</v>
      </c>
      <c r="AP420" s="4" t="s">
        <v>127</v>
      </c>
      <c r="AQ420" s="4" t="s">
        <v>127</v>
      </c>
      <c r="AR420" s="4" t="s">
        <v>127</v>
      </c>
      <c r="AS420" s="4" t="s">
        <v>127</v>
      </c>
      <c r="AT420" s="4" t="s">
        <v>127</v>
      </c>
      <c r="AU420" s="4" t="s">
        <v>127</v>
      </c>
      <c r="AV420" s="4" t="s">
        <v>127</v>
      </c>
      <c r="AW420" s="4" t="s">
        <v>127</v>
      </c>
      <c r="AX420" s="4" t="s">
        <v>127</v>
      </c>
      <c r="AY420" s="111" t="s">
        <v>2022</v>
      </c>
      <c r="AZ420" s="96" t="s">
        <v>2030</v>
      </c>
      <c r="BA420" s="4" t="s">
        <v>127</v>
      </c>
      <c r="BB420" s="4" t="s">
        <v>2123</v>
      </c>
      <c r="BC420" s="4" t="s">
        <v>2120</v>
      </c>
      <c r="BD420" s="4" t="s">
        <v>127</v>
      </c>
      <c r="BE420" s="113"/>
      <c r="BF420" s="113"/>
      <c r="BG420" s="4"/>
      <c r="BH420" s="4"/>
      <c r="BI420" s="4"/>
      <c r="BJ420" s="4"/>
      <c r="BK420" s="4"/>
      <c r="BL420" s="4"/>
      <c r="BM420" s="4"/>
      <c r="BN420" s="4"/>
      <c r="BO420" s="4"/>
      <c r="BP420" s="4"/>
      <c r="BQ420" s="4"/>
      <c r="BR420" s="4"/>
      <c r="BS420" s="4"/>
      <c r="BT420" s="4"/>
    </row>
    <row r="421" spans="1:72" ht="16" x14ac:dyDescent="0.4">
      <c r="A421" s="4" t="s">
        <v>2088</v>
      </c>
      <c r="B421" s="4" t="s">
        <v>2124</v>
      </c>
      <c r="C421" s="4" t="s">
        <v>528</v>
      </c>
      <c r="D421" s="4" t="s">
        <v>128</v>
      </c>
      <c r="E421" s="190">
        <v>46008</v>
      </c>
      <c r="F421" s="4">
        <v>2025</v>
      </c>
      <c r="G421" s="4" t="s">
        <v>2125</v>
      </c>
      <c r="H421" s="22" t="str">
        <f>VLOOKUP($G421,'Item Classification'!B:C,2,0)</f>
        <v>Frigate - contract adjustment</v>
      </c>
      <c r="I421" s="6" t="str">
        <f>VLOOKUP($G421,'Item Classification'!B:D,3,0)</f>
        <v>Development - Naval</v>
      </c>
      <c r="J421" s="23">
        <f>VLOOKUP($G421,'Item Classification'!B:E,4,0)</f>
        <v>15</v>
      </c>
      <c r="K421" s="116" t="s">
        <v>158</v>
      </c>
      <c r="L421" s="116" t="s">
        <v>379</v>
      </c>
      <c r="M421" s="116" t="str">
        <f>VLOOKUP(L421,'NATO Classifications'!$D$6:$E$647,2,0)</f>
        <v>Communication, Detection, and Coherent Radiation Equipment (other)</v>
      </c>
      <c r="N421" s="4"/>
      <c r="O421" s="4"/>
      <c r="P421" s="4"/>
      <c r="Q421" s="4"/>
      <c r="R421" s="4"/>
      <c r="S421" s="112"/>
      <c r="T421" s="91" t="s">
        <v>132</v>
      </c>
      <c r="U421" s="104">
        <f>_xlfn.IFNA(S421/INDEX('Exchange Rates'!$C$7:$F$14,MATCH('MAIN DATA, Orders'!F421,'Exchange Rates'!$B$7:$B$14,0),MATCH('MAIN DATA, Orders'!T421,'Exchange Rates'!$C$6:$F$6,0)), "-")</f>
        <v>0</v>
      </c>
      <c r="V421" s="4" t="s">
        <v>133</v>
      </c>
      <c r="W421" s="4" t="s">
        <v>127</v>
      </c>
      <c r="X421" s="4" t="s">
        <v>128</v>
      </c>
      <c r="Y421" s="24">
        <f t="shared" si="68"/>
        <v>202512</v>
      </c>
      <c r="Z421" s="115">
        <v>0</v>
      </c>
      <c r="AA421" s="115">
        <v>0</v>
      </c>
      <c r="AB421" s="115">
        <v>0</v>
      </c>
      <c r="AC421" s="115" t="s">
        <v>127</v>
      </c>
      <c r="AD421" s="115" t="s">
        <v>127</v>
      </c>
      <c r="AE421" s="115" t="s">
        <v>127</v>
      </c>
      <c r="AF421" s="115" t="s">
        <v>127</v>
      </c>
      <c r="AG421" s="4" t="s">
        <v>127</v>
      </c>
      <c r="AH421" s="4" t="s">
        <v>127</v>
      </c>
      <c r="AI421" s="4" t="s">
        <v>127</v>
      </c>
      <c r="AJ421" s="4" t="s">
        <v>127</v>
      </c>
      <c r="AK421" s="4" t="s">
        <v>127</v>
      </c>
      <c r="AL421" s="4" t="s">
        <v>127</v>
      </c>
      <c r="AM421" s="4" t="s">
        <v>127</v>
      </c>
      <c r="AN421" s="4" t="s">
        <v>127</v>
      </c>
      <c r="AO421" s="4" t="s">
        <v>127</v>
      </c>
      <c r="AP421" s="4" t="s">
        <v>127</v>
      </c>
      <c r="AQ421" s="4" t="s">
        <v>127</v>
      </c>
      <c r="AR421" s="4" t="s">
        <v>127</v>
      </c>
      <c r="AS421" s="4" t="s">
        <v>127</v>
      </c>
      <c r="AT421" s="4" t="s">
        <v>127</v>
      </c>
      <c r="AU421" s="4" t="s">
        <v>127</v>
      </c>
      <c r="AV421" s="4" t="s">
        <v>127</v>
      </c>
      <c r="AW421" s="4" t="s">
        <v>127</v>
      </c>
      <c r="AX421" s="4" t="s">
        <v>127</v>
      </c>
      <c r="AY421" s="111" t="s">
        <v>2022</v>
      </c>
      <c r="AZ421" s="96" t="s">
        <v>2030</v>
      </c>
      <c r="BA421" s="4" t="s">
        <v>127</v>
      </c>
      <c r="BB421" s="4" t="s">
        <v>2126</v>
      </c>
      <c r="BC421" s="4" t="s">
        <v>2127</v>
      </c>
      <c r="BD421" s="4" t="s">
        <v>127</v>
      </c>
      <c r="BE421" s="113"/>
      <c r="BF421" s="113"/>
      <c r="BG421" s="4"/>
      <c r="BH421" s="4"/>
      <c r="BI421" s="4"/>
      <c r="BJ421" s="4"/>
      <c r="BK421" s="4"/>
      <c r="BL421" s="4"/>
      <c r="BM421" s="4"/>
      <c r="BN421" s="4"/>
      <c r="BO421" s="4"/>
      <c r="BP421" s="4"/>
      <c r="BQ421" s="4"/>
      <c r="BR421" s="4"/>
      <c r="BS421" s="4"/>
      <c r="BT421" s="4"/>
    </row>
    <row r="422" spans="1:72" ht="16" x14ac:dyDescent="0.4">
      <c r="A422" s="4" t="s">
        <v>2088</v>
      </c>
      <c r="B422" s="4" t="s">
        <v>2128</v>
      </c>
      <c r="C422" s="4" t="s">
        <v>127</v>
      </c>
      <c r="D422" s="4" t="s">
        <v>128</v>
      </c>
      <c r="E422" s="190">
        <v>46008</v>
      </c>
      <c r="F422" s="4">
        <v>2025</v>
      </c>
      <c r="G422" s="4" t="s">
        <v>2129</v>
      </c>
      <c r="H422" s="22" t="str">
        <f>VLOOKUP($G422,'Item Classification'!B:C,2,0)</f>
        <v>Reconnaissance drone</v>
      </c>
      <c r="I422" s="6" t="str">
        <f>VLOOKUP($G422,'Item Classification'!B:D,3,0)</f>
        <v>Development - Drone</v>
      </c>
      <c r="J422" s="23">
        <f>VLOOKUP($G422,'Item Classification'!B:E,4,0)</f>
        <v>15</v>
      </c>
      <c r="K422" s="116" t="s">
        <v>130</v>
      </c>
      <c r="L422" s="116" t="s">
        <v>131</v>
      </c>
      <c r="M422" s="116" t="str">
        <f>VLOOKUP(L422,'NATO Classifications'!$D$6:$E$647,2,0)</f>
        <v>Unmanned Aircraft</v>
      </c>
      <c r="N422" s="4"/>
      <c r="O422" s="4"/>
      <c r="P422" s="4"/>
      <c r="Q422" s="4"/>
      <c r="R422" s="4"/>
      <c r="S422" s="112"/>
      <c r="T422" s="91" t="s">
        <v>132</v>
      </c>
      <c r="U422" s="104">
        <f>_xlfn.IFNA(S422/INDEX('Exchange Rates'!$C$7:$F$14,MATCH('MAIN DATA, Orders'!F422,'Exchange Rates'!$B$7:$B$14,0),MATCH('MAIN DATA, Orders'!T422,'Exchange Rates'!$C$6:$F$6,0)), "-")</f>
        <v>0</v>
      </c>
      <c r="V422" s="4" t="s">
        <v>127</v>
      </c>
      <c r="W422" s="4" t="s">
        <v>127</v>
      </c>
      <c r="X422" s="4" t="s">
        <v>128</v>
      </c>
      <c r="Y422" s="24">
        <f t="shared" si="68"/>
        <v>202512</v>
      </c>
      <c r="Z422" s="115">
        <v>0</v>
      </c>
      <c r="AA422" s="115">
        <v>0</v>
      </c>
      <c r="AB422" s="115">
        <v>0</v>
      </c>
      <c r="AC422" s="115">
        <v>1</v>
      </c>
      <c r="AD422" s="115">
        <v>0</v>
      </c>
      <c r="AE422" s="115">
        <v>0</v>
      </c>
      <c r="AF422" s="115">
        <v>0</v>
      </c>
      <c r="AG422" s="4" t="s">
        <v>1982</v>
      </c>
      <c r="AH422" s="4" t="s">
        <v>128</v>
      </c>
      <c r="AI422" s="4" t="s">
        <v>128</v>
      </c>
      <c r="AJ422" s="4" t="s">
        <v>127</v>
      </c>
      <c r="AK422" s="4" t="s">
        <v>127</v>
      </c>
      <c r="AL422" s="4" t="s">
        <v>127</v>
      </c>
      <c r="AM422" s="4" t="s">
        <v>127</v>
      </c>
      <c r="AN422" s="4" t="s">
        <v>127</v>
      </c>
      <c r="AO422" s="4" t="s">
        <v>127</v>
      </c>
      <c r="AP422" s="4" t="s">
        <v>127</v>
      </c>
      <c r="AQ422" s="4" t="s">
        <v>127</v>
      </c>
      <c r="AR422" s="4" t="s">
        <v>127</v>
      </c>
      <c r="AS422" s="4" t="s">
        <v>127</v>
      </c>
      <c r="AT422" s="4" t="s">
        <v>127</v>
      </c>
      <c r="AU422" s="4" t="s">
        <v>127</v>
      </c>
      <c r="AV422" s="4" t="s">
        <v>127</v>
      </c>
      <c r="AW422" s="4" t="s">
        <v>127</v>
      </c>
      <c r="AX422" s="4" t="s">
        <v>127</v>
      </c>
      <c r="AY422" s="111" t="s">
        <v>2022</v>
      </c>
      <c r="AZ422" s="96" t="s">
        <v>2030</v>
      </c>
      <c r="BA422" s="4" t="s">
        <v>127</v>
      </c>
      <c r="BB422" s="4" t="s">
        <v>2130</v>
      </c>
      <c r="BC422" s="4" t="s">
        <v>127</v>
      </c>
      <c r="BD422" s="4" t="s">
        <v>127</v>
      </c>
      <c r="BE422" s="113"/>
      <c r="BF422" s="113"/>
      <c r="BG422" s="4"/>
      <c r="BH422" s="4"/>
      <c r="BI422" s="4"/>
      <c r="BJ422" s="4"/>
      <c r="BK422" s="4"/>
      <c r="BL422" s="4"/>
      <c r="BM422" s="4"/>
      <c r="BN422" s="4"/>
      <c r="BO422" s="4"/>
      <c r="BP422" s="4"/>
      <c r="BQ422" s="4"/>
      <c r="BR422" s="4"/>
      <c r="BS422" s="4"/>
      <c r="BT422" s="4"/>
    </row>
    <row r="423" spans="1:72" ht="16" x14ac:dyDescent="0.4">
      <c r="A423" s="4" t="s">
        <v>2131</v>
      </c>
      <c r="B423" s="4" t="s">
        <v>2131</v>
      </c>
      <c r="C423" s="4" t="s">
        <v>5614</v>
      </c>
      <c r="D423" s="4" t="s">
        <v>128</v>
      </c>
      <c r="E423" s="190">
        <v>46052</v>
      </c>
      <c r="F423" s="4">
        <v>2026</v>
      </c>
      <c r="G423" s="4" t="s">
        <v>2132</v>
      </c>
      <c r="H423" s="22" t="str">
        <f>VLOOKUP($G423,'Item Classification'!B:C,2,0)</f>
        <v>Pre-contract measures for frigate order</v>
      </c>
      <c r="I423" s="6" t="str">
        <f>VLOOKUP($G423,'Item Classification'!B:D,3,0)</f>
        <v>Other</v>
      </c>
      <c r="J423" s="23">
        <f>VLOOKUP($G423,'Item Classification'!B:E,4,0)</f>
        <v>16</v>
      </c>
      <c r="K423" s="116" t="s">
        <v>143</v>
      </c>
      <c r="L423" s="116" t="s">
        <v>144</v>
      </c>
      <c r="M423" s="116" t="str">
        <f>VLOOKUP(L423,'NATO Classifications'!$D$6:$E$647,2,0)</f>
        <v>Combat Ships and Landing Vessels</v>
      </c>
      <c r="N423" s="4"/>
      <c r="O423" s="4"/>
      <c r="P423" s="4"/>
      <c r="Q423" s="4">
        <v>2026</v>
      </c>
      <c r="R423" s="4">
        <v>2026</v>
      </c>
      <c r="S423" s="82">
        <v>50000000</v>
      </c>
      <c r="T423" s="91" t="s">
        <v>132</v>
      </c>
      <c r="U423" s="104">
        <f>_xlfn.IFNA(S423/INDEX('Exchange Rates'!$C$7:$F$14,MATCH('MAIN DATA, Orders'!F423,'Exchange Rates'!$B$7:$B$14,0),MATCH('MAIN DATA, Orders'!T423,'Exchange Rates'!$C$6:$F$6,0)), "-")</f>
        <v>50000000</v>
      </c>
      <c r="V423" s="4" t="s">
        <v>127</v>
      </c>
      <c r="W423" s="4" t="s">
        <v>127</v>
      </c>
      <c r="X423" s="4" t="s">
        <v>128</v>
      </c>
      <c r="Y423" s="24">
        <f t="shared" si="68"/>
        <v>202601</v>
      </c>
      <c r="Z423" s="115">
        <v>0</v>
      </c>
      <c r="AA423" s="115">
        <v>0</v>
      </c>
      <c r="AB423" s="115">
        <v>0</v>
      </c>
      <c r="AC423" s="115" t="s">
        <v>127</v>
      </c>
      <c r="AD423" s="115" t="s">
        <v>127</v>
      </c>
      <c r="AE423" s="115" t="s">
        <v>127</v>
      </c>
      <c r="AF423" s="115" t="s">
        <v>127</v>
      </c>
      <c r="AG423" s="4" t="s">
        <v>127</v>
      </c>
      <c r="AH423" s="4" t="s">
        <v>127</v>
      </c>
      <c r="AI423" s="4" t="s">
        <v>127</v>
      </c>
      <c r="AJ423" s="4" t="s">
        <v>127</v>
      </c>
      <c r="AK423" s="4" t="s">
        <v>127</v>
      </c>
      <c r="AL423" s="4" t="s">
        <v>127</v>
      </c>
      <c r="AM423" s="4" t="s">
        <v>127</v>
      </c>
      <c r="AN423" s="4" t="s">
        <v>127</v>
      </c>
      <c r="AO423" s="4" t="s">
        <v>127</v>
      </c>
      <c r="AP423" s="4" t="s">
        <v>127</v>
      </c>
      <c r="AQ423" s="4" t="s">
        <v>127</v>
      </c>
      <c r="AR423" s="4" t="s">
        <v>127</v>
      </c>
      <c r="AS423" s="4" t="s">
        <v>127</v>
      </c>
      <c r="AT423" s="4" t="s">
        <v>127</v>
      </c>
      <c r="AU423" s="4" t="s">
        <v>127</v>
      </c>
      <c r="AV423" s="4" t="s">
        <v>127</v>
      </c>
      <c r="AW423" s="4" t="s">
        <v>127</v>
      </c>
      <c r="AX423" s="4" t="s">
        <v>127</v>
      </c>
      <c r="AY423" s="111" t="s">
        <v>2133</v>
      </c>
      <c r="AZ423" s="99" t="s">
        <v>2134</v>
      </c>
      <c r="BA423" s="4" t="s">
        <v>127</v>
      </c>
      <c r="BB423" s="4" t="s">
        <v>2135</v>
      </c>
      <c r="BC423" s="4" t="s">
        <v>2136</v>
      </c>
      <c r="BD423" s="4" t="s">
        <v>127</v>
      </c>
      <c r="BE423" s="113"/>
      <c r="BF423" s="113"/>
      <c r="BG423" s="4"/>
      <c r="BH423" s="4"/>
      <c r="BI423" s="4"/>
      <c r="BJ423" s="4"/>
      <c r="BK423" s="4"/>
      <c r="BL423" s="4"/>
      <c r="BM423" s="4"/>
      <c r="BN423" s="4"/>
      <c r="BO423" s="4"/>
      <c r="BP423" s="4"/>
      <c r="BQ423" s="4"/>
      <c r="BR423" s="4"/>
      <c r="BS423" s="4"/>
      <c r="BT423" s="4"/>
    </row>
    <row r="424" spans="1:72" ht="16" x14ac:dyDescent="0.4">
      <c r="A424" s="4" t="s">
        <v>2137</v>
      </c>
      <c r="B424" s="4" t="s">
        <v>2137</v>
      </c>
      <c r="C424" s="4" t="s">
        <v>127</v>
      </c>
      <c r="D424" s="4" t="s">
        <v>128</v>
      </c>
      <c r="E424" s="190">
        <v>46052</v>
      </c>
      <c r="F424" s="4">
        <v>2026</v>
      </c>
      <c r="G424" s="4" t="s">
        <v>2138</v>
      </c>
      <c r="H424" s="22" t="str">
        <f>VLOOKUP($G424,'Item Classification'!B:C,2,0)</f>
        <v>Maritime training equipment</v>
      </c>
      <c r="I424" s="6" t="str">
        <f>VLOOKUP($G424,'Item Classification'!B:D,3,0)</f>
        <v>Other</v>
      </c>
      <c r="J424" s="23">
        <f>VLOOKUP($G424,'Item Classification'!B:E,4,0)</f>
        <v>16</v>
      </c>
      <c r="K424" s="194" t="s">
        <v>941</v>
      </c>
      <c r="L424" s="194" t="s">
        <v>2139</v>
      </c>
      <c r="M424" s="116" t="str">
        <f>VLOOKUP(L424,'NATO Classifications'!$D$6:$E$647,2,0)</f>
        <v>Operation Training Devices</v>
      </c>
      <c r="N424" s="6">
        <v>4</v>
      </c>
      <c r="S424" s="112"/>
      <c r="T424" s="91" t="s">
        <v>132</v>
      </c>
      <c r="U424" s="104">
        <f>_xlfn.IFNA(S424/INDEX('Exchange Rates'!$C$7:$F$14,MATCH('MAIN DATA, Orders'!F424,'Exchange Rates'!$B$7:$B$14,0),MATCH('MAIN DATA, Orders'!T424,'Exchange Rates'!$C$6:$F$6,0)), "-")</f>
        <v>0</v>
      </c>
      <c r="V424" s="4" t="s">
        <v>127</v>
      </c>
      <c r="W424" s="4" t="s">
        <v>127</v>
      </c>
      <c r="X424" s="4" t="s">
        <v>128</v>
      </c>
      <c r="Y424" s="24">
        <f t="shared" si="68"/>
        <v>202601</v>
      </c>
      <c r="Z424" s="115">
        <v>0</v>
      </c>
      <c r="AA424" s="115">
        <v>0</v>
      </c>
      <c r="AB424" s="115">
        <v>0</v>
      </c>
      <c r="AC424" s="115">
        <v>1</v>
      </c>
      <c r="AD424" s="115">
        <v>0</v>
      </c>
      <c r="AE424" s="115">
        <v>0</v>
      </c>
      <c r="AF424" s="115">
        <v>0</v>
      </c>
      <c r="AG424" s="4" t="s">
        <v>553</v>
      </c>
      <c r="AH424" s="4" t="s">
        <v>128</v>
      </c>
      <c r="AI424" s="4" t="s">
        <v>127</v>
      </c>
      <c r="AJ424" s="4" t="s">
        <v>127</v>
      </c>
      <c r="AK424" s="4" t="s">
        <v>127</v>
      </c>
      <c r="AL424" s="4" t="s">
        <v>127</v>
      </c>
      <c r="AM424" s="4" t="s">
        <v>127</v>
      </c>
      <c r="AN424" s="4" t="s">
        <v>127</v>
      </c>
      <c r="AO424" s="4" t="s">
        <v>127</v>
      </c>
      <c r="AP424" s="4" t="s">
        <v>127</v>
      </c>
      <c r="AQ424" s="4" t="s">
        <v>127</v>
      </c>
      <c r="AR424" s="4" t="s">
        <v>127</v>
      </c>
      <c r="AS424" s="4" t="s">
        <v>127</v>
      </c>
      <c r="AT424" s="4" t="s">
        <v>127</v>
      </c>
      <c r="AU424" s="4" t="s">
        <v>127</v>
      </c>
      <c r="AV424" s="4" t="s">
        <v>127</v>
      </c>
      <c r="AW424" s="4" t="s">
        <v>127</v>
      </c>
      <c r="AX424" s="4" t="s">
        <v>127</v>
      </c>
      <c r="AY424" s="111" t="s">
        <v>2133</v>
      </c>
      <c r="AZ424" s="99" t="s">
        <v>2140</v>
      </c>
      <c r="BA424" s="4" t="s">
        <v>127</v>
      </c>
      <c r="BB424" s="4" t="s">
        <v>2141</v>
      </c>
      <c r="BC424" s="4" t="s">
        <v>2142</v>
      </c>
      <c r="BD424" s="4" t="s">
        <v>127</v>
      </c>
      <c r="BJ424" s="4"/>
      <c r="BK424" s="4"/>
      <c r="BL424" s="4"/>
      <c r="BM424" s="4"/>
      <c r="BN424" s="4"/>
      <c r="BO424" s="4"/>
      <c r="BP424" s="4"/>
      <c r="BQ424" s="4"/>
      <c r="BR424" s="4"/>
      <c r="BS424" s="4"/>
      <c r="BT424" s="4"/>
    </row>
    <row r="425" spans="1:72" ht="16" x14ac:dyDescent="0.4">
      <c r="A425" s="4" t="s">
        <v>2143</v>
      </c>
      <c r="B425" s="6" t="s">
        <v>2143</v>
      </c>
      <c r="C425" s="4" t="s">
        <v>127</v>
      </c>
      <c r="D425" s="4" t="s">
        <v>238</v>
      </c>
      <c r="E425" s="189">
        <v>43851</v>
      </c>
      <c r="F425" s="6">
        <f t="shared" ref="F425:F477" si="69">YEAR(E425)</f>
        <v>2020</v>
      </c>
      <c r="G425" s="4" t="s">
        <v>2144</v>
      </c>
      <c r="H425" s="22" t="str">
        <f>VLOOKUP($G425,'Item Classification'!B:C,2,0)</f>
        <v>Training contract</v>
      </c>
      <c r="I425" s="6" t="str">
        <f>VLOOKUP($G425,'Item Classification'!B:D,3,0)</f>
        <v>Other</v>
      </c>
      <c r="J425" s="23">
        <f>VLOOKUP($G425,'Item Classification'!B:E,4,0)</f>
        <v>16</v>
      </c>
      <c r="K425" s="195" t="s">
        <v>941</v>
      </c>
      <c r="L425" s="195" t="s">
        <v>942</v>
      </c>
      <c r="M425" s="116" t="str">
        <f>VLOOKUP(L425,'NATO Classifications'!$D$6:$E$647,2,0)</f>
        <v>Training Aids</v>
      </c>
      <c r="N425" s="114"/>
      <c r="O425" s="81"/>
      <c r="P425" s="81"/>
      <c r="Q425" s="114"/>
      <c r="R425" s="25"/>
      <c r="S425" s="97">
        <v>183000000</v>
      </c>
      <c r="T425" s="115" t="s">
        <v>2145</v>
      </c>
      <c r="U425" s="104">
        <f>_xlfn.IFNA(S425/INDEX('Exchange Rates'!$C$7:$F$14,MATCH('MAIN DATA, Orders'!F425,'Exchange Rates'!$B$7:$B$14,0),MATCH('MAIN DATA, Orders'!T425,'Exchange Rates'!$C$6:$F$6,0)), "-")</f>
        <v>205687310.32932448</v>
      </c>
      <c r="V425" s="6" t="s">
        <v>127</v>
      </c>
      <c r="W425" s="6" t="s">
        <v>127</v>
      </c>
      <c r="X425" s="6" t="s">
        <v>238</v>
      </c>
      <c r="Y425" s="24">
        <f t="shared" ref="Y425:Y488" si="70">_xlfn.NUMBERVALUE(_xlfn.CONCAT(YEAR(E425),TEXT(E425, "mm")))</f>
        <v>202001</v>
      </c>
      <c r="Z425" s="115">
        <v>0</v>
      </c>
      <c r="AA425" s="115">
        <v>0</v>
      </c>
      <c r="AB425" s="115">
        <v>0</v>
      </c>
      <c r="AC425" s="115">
        <v>1</v>
      </c>
      <c r="AD425" s="115">
        <v>0</v>
      </c>
      <c r="AE425" s="115">
        <v>0</v>
      </c>
      <c r="AF425" s="115">
        <v>0</v>
      </c>
      <c r="AG425" s="116" t="s">
        <v>2146</v>
      </c>
      <c r="AH425" s="116" t="s">
        <v>238</v>
      </c>
      <c r="AI425" s="116" t="s">
        <v>127</v>
      </c>
      <c r="AJ425" s="4" t="s">
        <v>127</v>
      </c>
      <c r="AK425" s="4" t="s">
        <v>127</v>
      </c>
      <c r="AL425" s="4" t="s">
        <v>127</v>
      </c>
      <c r="AM425" s="4" t="s">
        <v>127</v>
      </c>
      <c r="AN425" s="4" t="s">
        <v>127</v>
      </c>
      <c r="AO425" s="4" t="s">
        <v>127</v>
      </c>
      <c r="AP425" s="4" t="s">
        <v>127</v>
      </c>
      <c r="AQ425" s="4" t="s">
        <v>127</v>
      </c>
      <c r="AR425" s="4" t="s">
        <v>127</v>
      </c>
      <c r="AS425" s="4" t="s">
        <v>127</v>
      </c>
      <c r="AT425" s="4" t="s">
        <v>127</v>
      </c>
      <c r="AU425" s="4" t="s">
        <v>127</v>
      </c>
      <c r="AV425" s="4" t="s">
        <v>127</v>
      </c>
      <c r="AW425" s="4" t="s">
        <v>127</v>
      </c>
      <c r="AX425" s="4" t="s">
        <v>127</v>
      </c>
      <c r="AY425" s="98" t="s">
        <v>2147</v>
      </c>
      <c r="AZ425" s="153" t="s">
        <v>1671</v>
      </c>
      <c r="BA425" s="6" t="s">
        <v>127</v>
      </c>
      <c r="BB425" s="6" t="s">
        <v>2148</v>
      </c>
      <c r="BC425" s="6" t="s">
        <v>2149</v>
      </c>
      <c r="BD425" s="4" t="s">
        <v>127</v>
      </c>
      <c r="BE425" s="4" t="s">
        <v>127</v>
      </c>
      <c r="BF425" s="4"/>
      <c r="BG425" s="4"/>
      <c r="BH425" s="4"/>
      <c r="BI425" s="4"/>
    </row>
    <row r="426" spans="1:72" ht="16" x14ac:dyDescent="0.4">
      <c r="A426" s="6" t="s">
        <v>2150</v>
      </c>
      <c r="B426" s="6" t="s">
        <v>2150</v>
      </c>
      <c r="C426" s="6" t="s">
        <v>2151</v>
      </c>
      <c r="D426" s="6" t="s">
        <v>238</v>
      </c>
      <c r="E426" s="191">
        <v>43889</v>
      </c>
      <c r="F426" s="6">
        <f t="shared" si="69"/>
        <v>2020</v>
      </c>
      <c r="G426" s="4" t="s">
        <v>2152</v>
      </c>
      <c r="H426" s="22" t="str">
        <f>VLOOKUP($G426,'Item Classification'!B:C,2,0)</f>
        <v>Submarine sonar</v>
      </c>
      <c r="I426" s="6" t="str">
        <f>VLOOKUP($G426,'Item Classification'!B:D,3,0)</f>
        <v>Naval</v>
      </c>
      <c r="J426" s="23">
        <f>VLOOKUP($G426,'Item Classification'!B:E,4,0)</f>
        <v>12</v>
      </c>
      <c r="K426" s="195" t="s">
        <v>158</v>
      </c>
      <c r="L426" s="195" t="s">
        <v>1135</v>
      </c>
      <c r="M426" s="116" t="str">
        <f>VLOOKUP(L426,'NATO Classifications'!$D$6:$E$647,2,0)</f>
        <v>Radar and Sensor</v>
      </c>
      <c r="N426" s="114"/>
      <c r="O426" s="81"/>
      <c r="P426" s="81"/>
      <c r="Q426" s="114"/>
      <c r="R426" s="25"/>
      <c r="S426" s="82">
        <v>330000000</v>
      </c>
      <c r="T426" s="115" t="s">
        <v>2145</v>
      </c>
      <c r="U426" s="104">
        <f>_xlfn.IFNA(S426/INDEX('Exchange Rates'!$C$7:$F$14,MATCH('MAIN DATA, Orders'!F426,'Exchange Rates'!$B$7:$B$14,0),MATCH('MAIN DATA, Orders'!T426,'Exchange Rates'!$C$6:$F$6,0)), "-")</f>
        <v>370911543.21681464</v>
      </c>
      <c r="V426" s="6" t="s">
        <v>127</v>
      </c>
      <c r="W426" s="6" t="s">
        <v>127</v>
      </c>
      <c r="X426" s="6" t="s">
        <v>238</v>
      </c>
      <c r="Y426" s="24">
        <f t="shared" si="70"/>
        <v>202002</v>
      </c>
      <c r="Z426" s="24">
        <v>0</v>
      </c>
      <c r="AA426" s="24">
        <v>0</v>
      </c>
      <c r="AB426" s="24">
        <v>0</v>
      </c>
      <c r="AC426" s="24">
        <v>1</v>
      </c>
      <c r="AD426" s="24">
        <v>1</v>
      </c>
      <c r="AE426" s="24">
        <v>0</v>
      </c>
      <c r="AF426" s="24">
        <v>1</v>
      </c>
      <c r="AG426" s="10" t="s">
        <v>2153</v>
      </c>
      <c r="AH426" s="10" t="s">
        <v>238</v>
      </c>
      <c r="AI426" s="10" t="s">
        <v>238</v>
      </c>
      <c r="AJ426" s="6" t="s">
        <v>1480</v>
      </c>
      <c r="AK426" s="6" t="s">
        <v>148</v>
      </c>
      <c r="AL426" s="6" t="s">
        <v>127</v>
      </c>
      <c r="AM426" s="6" t="s">
        <v>127</v>
      </c>
      <c r="AN426" s="6" t="s">
        <v>151</v>
      </c>
      <c r="AO426" s="6" t="s">
        <v>127</v>
      </c>
      <c r="AP426" s="6" t="s">
        <v>127</v>
      </c>
      <c r="AQ426" s="6" t="s">
        <v>127</v>
      </c>
      <c r="AR426" s="6" t="s">
        <v>127</v>
      </c>
      <c r="AS426" s="6" t="s">
        <v>127</v>
      </c>
      <c r="AT426" s="6" t="s">
        <v>127</v>
      </c>
      <c r="AU426" s="6" t="s">
        <v>127</v>
      </c>
      <c r="AV426" s="6" t="s">
        <v>127</v>
      </c>
      <c r="AW426" s="6" t="s">
        <v>127</v>
      </c>
      <c r="AX426" s="6" t="s">
        <v>127</v>
      </c>
      <c r="AY426" s="99" t="s">
        <v>2154</v>
      </c>
      <c r="AZ426" s="6" t="s">
        <v>127</v>
      </c>
      <c r="BA426" s="6" t="s">
        <v>127</v>
      </c>
      <c r="BB426" s="6" t="s">
        <v>2155</v>
      </c>
      <c r="BC426" s="6" t="s">
        <v>2156</v>
      </c>
      <c r="BD426" s="6" t="s">
        <v>127</v>
      </c>
      <c r="BE426" s="4" t="s">
        <v>127</v>
      </c>
    </row>
    <row r="427" spans="1:72" ht="16" x14ac:dyDescent="0.4">
      <c r="A427" s="6" t="s">
        <v>2157</v>
      </c>
      <c r="B427" s="6" t="s">
        <v>2157</v>
      </c>
      <c r="C427" s="6" t="s">
        <v>127</v>
      </c>
      <c r="D427" s="6" t="s">
        <v>238</v>
      </c>
      <c r="E427" s="191">
        <v>43928</v>
      </c>
      <c r="F427" s="6">
        <f t="shared" si="69"/>
        <v>2020</v>
      </c>
      <c r="G427" s="4" t="s">
        <v>2158</v>
      </c>
      <c r="H427" s="22" t="str">
        <f>VLOOKUP($G427,'Item Classification'!B:C,2,0)</f>
        <v>Projectile tracking system</v>
      </c>
      <c r="I427" s="6" t="str">
        <f>VLOOKUP($G427,'Item Classification'!B:D,3,0)</f>
        <v>Other</v>
      </c>
      <c r="J427" s="23">
        <f>VLOOKUP($G427,'Item Classification'!B:E,4,0)</f>
        <v>16</v>
      </c>
      <c r="K427" s="195" t="s">
        <v>158</v>
      </c>
      <c r="L427" s="195" t="s">
        <v>399</v>
      </c>
      <c r="M427" s="116" t="str">
        <f>VLOOKUP(L427,'NATO Classifications'!$D$6:$E$647,2,0)</f>
        <v>Radar and Sensor</v>
      </c>
      <c r="N427" s="25"/>
      <c r="O427" s="81"/>
      <c r="P427" s="81"/>
      <c r="Q427" s="25">
        <v>2022</v>
      </c>
      <c r="R427" s="25">
        <v>2023</v>
      </c>
      <c r="S427" s="82">
        <v>46000000</v>
      </c>
      <c r="T427" s="115" t="s">
        <v>2145</v>
      </c>
      <c r="U427" s="104">
        <f>_xlfn.IFNA(S427/INDEX('Exchange Rates'!$C$7:$F$14,MATCH('MAIN DATA, Orders'!F427,'Exchange Rates'!$B$7:$B$14,0),MATCH('MAIN DATA, Orders'!T427,'Exchange Rates'!$C$6:$F$6,0)), "-")</f>
        <v>51702821.175677195</v>
      </c>
      <c r="V427" s="6" t="s">
        <v>127</v>
      </c>
      <c r="W427" s="6" t="s">
        <v>127</v>
      </c>
      <c r="X427" s="6" t="s">
        <v>238</v>
      </c>
      <c r="Y427" s="24">
        <f t="shared" si="70"/>
        <v>202004</v>
      </c>
      <c r="Z427" s="24">
        <v>0</v>
      </c>
      <c r="AA427" s="24">
        <v>0</v>
      </c>
      <c r="AB427" s="24">
        <v>0</v>
      </c>
      <c r="AC427" s="24">
        <v>1</v>
      </c>
      <c r="AD427" s="24">
        <v>0</v>
      </c>
      <c r="AE427" s="24">
        <v>0</v>
      </c>
      <c r="AF427" s="24">
        <v>0</v>
      </c>
      <c r="AG427" s="10" t="s">
        <v>212</v>
      </c>
      <c r="AH427" s="10" t="s">
        <v>213</v>
      </c>
      <c r="AI427" s="10" t="s">
        <v>213</v>
      </c>
      <c r="AJ427" s="6" t="s">
        <v>127</v>
      </c>
      <c r="AK427" s="6" t="s">
        <v>127</v>
      </c>
      <c r="AL427" s="6" t="s">
        <v>127</v>
      </c>
      <c r="AM427" s="6" t="s">
        <v>127</v>
      </c>
      <c r="AN427" s="6" t="s">
        <v>127</v>
      </c>
      <c r="AO427" s="6" t="s">
        <v>127</v>
      </c>
      <c r="AP427" s="6" t="s">
        <v>127</v>
      </c>
      <c r="AQ427" s="6" t="s">
        <v>127</v>
      </c>
      <c r="AR427" s="6" t="s">
        <v>127</v>
      </c>
      <c r="AS427" s="6" t="s">
        <v>127</v>
      </c>
      <c r="AT427" s="6" t="s">
        <v>127</v>
      </c>
      <c r="AU427" s="6" t="s">
        <v>127</v>
      </c>
      <c r="AV427" s="6" t="s">
        <v>127</v>
      </c>
      <c r="AW427" s="6" t="s">
        <v>238</v>
      </c>
      <c r="AX427" s="6" t="s">
        <v>127</v>
      </c>
      <c r="AY427" s="99" t="s">
        <v>2159</v>
      </c>
      <c r="AZ427" s="6" t="s">
        <v>127</v>
      </c>
      <c r="BA427" s="6" t="s">
        <v>127</v>
      </c>
      <c r="BB427" s="6" t="s">
        <v>2160</v>
      </c>
      <c r="BC427" s="6" t="s">
        <v>2161</v>
      </c>
      <c r="BD427" s="6" t="s">
        <v>127</v>
      </c>
      <c r="BE427" s="4" t="s">
        <v>127</v>
      </c>
    </row>
    <row r="428" spans="1:72" ht="16" x14ac:dyDescent="0.4">
      <c r="A428" s="6" t="s">
        <v>2162</v>
      </c>
      <c r="B428" s="6" t="s">
        <v>2162</v>
      </c>
      <c r="C428" s="6" t="s">
        <v>127</v>
      </c>
      <c r="D428" s="6" t="s">
        <v>238</v>
      </c>
      <c r="E428" s="191">
        <v>43999</v>
      </c>
      <c r="F428" s="6">
        <f t="shared" si="69"/>
        <v>2020</v>
      </c>
      <c r="G428" s="4" t="s">
        <v>2163</v>
      </c>
      <c r="H428" s="22" t="str">
        <f>VLOOKUP($G428,'Item Classification'!B:C,2,0)</f>
        <v>Engine maintenance</v>
      </c>
      <c r="I428" s="6" t="str">
        <f>VLOOKUP($G428,'Item Classification'!B:D,3,0)</f>
        <v>Maintenance</v>
      </c>
      <c r="J428" s="23">
        <f>VLOOKUP($G428,'Item Classification'!B:E,4,0)</f>
        <v>14</v>
      </c>
      <c r="K428" s="195" t="s">
        <v>2164</v>
      </c>
      <c r="L428" s="195" t="s">
        <v>2165</v>
      </c>
      <c r="M428" s="116" t="str">
        <f>VLOOKUP(L428,'NATO Classifications'!$D$6:$E$647,2,0)</f>
        <v>Ship and Boat Propulsion Components</v>
      </c>
      <c r="N428" s="114">
        <v>7</v>
      </c>
      <c r="O428" s="81">
        <f t="shared" ref="O428" si="71">S428/N428</f>
        <v>3814285.7142857141</v>
      </c>
      <c r="P428" s="81">
        <f t="shared" ref="P428" si="72">U428/N428</f>
        <v>4287159.3956229221</v>
      </c>
      <c r="Q428" s="114">
        <v>2020</v>
      </c>
      <c r="R428" s="25">
        <v>2027</v>
      </c>
      <c r="S428" s="82">
        <v>26700000</v>
      </c>
      <c r="T428" s="115" t="s">
        <v>2145</v>
      </c>
      <c r="U428" s="104">
        <f>_xlfn.IFNA(S428/INDEX('Exchange Rates'!$C$7:$F$14,MATCH('MAIN DATA, Orders'!F428,'Exchange Rates'!$B$7:$B$14,0),MATCH('MAIN DATA, Orders'!T428,'Exchange Rates'!$C$6:$F$6,0)), "-")</f>
        <v>30010115.769360457</v>
      </c>
      <c r="V428" s="6" t="s">
        <v>127</v>
      </c>
      <c r="W428" s="6" t="s">
        <v>127</v>
      </c>
      <c r="X428" s="6" t="s">
        <v>238</v>
      </c>
      <c r="Y428" s="24">
        <f t="shared" si="70"/>
        <v>202006</v>
      </c>
      <c r="Z428" s="24">
        <v>0</v>
      </c>
      <c r="AA428" s="24">
        <v>1</v>
      </c>
      <c r="AB428" s="24">
        <v>0</v>
      </c>
      <c r="AC428" s="24">
        <v>1</v>
      </c>
      <c r="AD428" s="24">
        <v>0</v>
      </c>
      <c r="AE428" s="24">
        <v>0</v>
      </c>
      <c r="AF428" s="24">
        <v>0</v>
      </c>
      <c r="AG428" s="10" t="s">
        <v>2166</v>
      </c>
      <c r="AH428" s="10" t="s">
        <v>238</v>
      </c>
      <c r="AI428" s="10" t="s">
        <v>127</v>
      </c>
      <c r="AJ428" s="6" t="s">
        <v>127</v>
      </c>
      <c r="AK428" s="6" t="s">
        <v>127</v>
      </c>
      <c r="AL428" s="6" t="s">
        <v>127</v>
      </c>
      <c r="AM428" s="6" t="s">
        <v>127</v>
      </c>
      <c r="AN428" s="6" t="s">
        <v>127</v>
      </c>
      <c r="AO428" s="6" t="s">
        <v>127</v>
      </c>
      <c r="AP428" s="6" t="s">
        <v>127</v>
      </c>
      <c r="AQ428" s="6" t="s">
        <v>127</v>
      </c>
      <c r="AR428" s="6" t="s">
        <v>127</v>
      </c>
      <c r="AS428" s="6" t="s">
        <v>127</v>
      </c>
      <c r="AT428" s="6" t="s">
        <v>127</v>
      </c>
      <c r="AU428" s="6" t="s">
        <v>127</v>
      </c>
      <c r="AV428" s="6" t="s">
        <v>127</v>
      </c>
      <c r="AW428" s="6" t="s">
        <v>127</v>
      </c>
      <c r="AX428" s="6" t="s">
        <v>127</v>
      </c>
      <c r="AY428" s="99" t="s">
        <v>2167</v>
      </c>
      <c r="AZ428" s="6" t="s">
        <v>127</v>
      </c>
      <c r="BA428" s="6" t="s">
        <v>127</v>
      </c>
      <c r="BB428" s="6" t="s">
        <v>2168</v>
      </c>
      <c r="BC428" s="6" t="s">
        <v>127</v>
      </c>
      <c r="BD428" s="6" t="s">
        <v>127</v>
      </c>
      <c r="BE428" s="4" t="s">
        <v>127</v>
      </c>
    </row>
    <row r="429" spans="1:72" ht="16" x14ac:dyDescent="0.4">
      <c r="A429" s="6" t="s">
        <v>2169</v>
      </c>
      <c r="B429" s="6" t="s">
        <v>2169</v>
      </c>
      <c r="C429" s="6" t="s">
        <v>2170</v>
      </c>
      <c r="D429" s="6" t="s">
        <v>238</v>
      </c>
      <c r="E429" s="191">
        <v>44027</v>
      </c>
      <c r="F429" s="6">
        <f t="shared" si="69"/>
        <v>2020</v>
      </c>
      <c r="G429" s="4" t="s">
        <v>2171</v>
      </c>
      <c r="H429" s="22" t="str">
        <f>VLOOKUP($G429,'Item Classification'!B:C,2,0)</f>
        <v>Long-range strike drone</v>
      </c>
      <c r="I429" s="6" t="str">
        <f>VLOOKUP($G429,'Item Classification'!B:D,3,0)</f>
        <v>Drone</v>
      </c>
      <c r="J429" s="23">
        <f>VLOOKUP($G429,'Item Classification'!B:E,4,0)</f>
        <v>7</v>
      </c>
      <c r="K429" s="195" t="s">
        <v>130</v>
      </c>
      <c r="L429" s="195" t="s">
        <v>131</v>
      </c>
      <c r="M429" s="116" t="str">
        <f>VLOOKUP(L429,'NATO Classifications'!$D$6:$E$647,2,0)</f>
        <v>Unmanned Aircraft</v>
      </c>
      <c r="N429" s="25">
        <v>3</v>
      </c>
      <c r="O429" s="81">
        <f t="shared" ref="O429:O436" si="73">S429/N429</f>
        <v>21666666.666666668</v>
      </c>
      <c r="P429" s="81">
        <f t="shared" ref="P429:P436" si="74">U429/N429</f>
        <v>24352778.089992881</v>
      </c>
      <c r="Q429" s="6">
        <v>2024</v>
      </c>
      <c r="R429" s="6">
        <v>2024</v>
      </c>
      <c r="S429" s="82">
        <v>65000000</v>
      </c>
      <c r="T429" s="115" t="s">
        <v>2145</v>
      </c>
      <c r="U429" s="104">
        <f>_xlfn.IFNA(S429/INDEX('Exchange Rates'!$C$7:$F$14,MATCH('MAIN DATA, Orders'!F429,'Exchange Rates'!$B$7:$B$14,0),MATCH('MAIN DATA, Orders'!T429,'Exchange Rates'!$C$6:$F$6,0)), "-")</f>
        <v>73058334.269978642</v>
      </c>
      <c r="V429" s="6" t="s">
        <v>127</v>
      </c>
      <c r="W429" s="6" t="s">
        <v>127</v>
      </c>
      <c r="X429" s="6" t="s">
        <v>238</v>
      </c>
      <c r="Y429" s="24">
        <f t="shared" si="70"/>
        <v>202007</v>
      </c>
      <c r="Z429" s="24">
        <v>0</v>
      </c>
      <c r="AA429" s="24">
        <v>0</v>
      </c>
      <c r="AB429" s="24">
        <v>0</v>
      </c>
      <c r="AC429" s="24">
        <v>0</v>
      </c>
      <c r="AD429" s="24">
        <v>0</v>
      </c>
      <c r="AE429" s="24">
        <v>0</v>
      </c>
      <c r="AF429" s="24">
        <v>0</v>
      </c>
      <c r="AG429" s="10" t="s">
        <v>2172</v>
      </c>
      <c r="AH429" s="10" t="s">
        <v>196</v>
      </c>
      <c r="AI429" s="10" t="s">
        <v>127</v>
      </c>
      <c r="AJ429" s="6" t="s">
        <v>127</v>
      </c>
      <c r="AK429" s="6" t="s">
        <v>127</v>
      </c>
      <c r="AL429" s="6" t="s">
        <v>127</v>
      </c>
      <c r="AM429" s="6" t="s">
        <v>127</v>
      </c>
      <c r="AN429" s="6" t="s">
        <v>127</v>
      </c>
      <c r="AO429" s="6" t="s">
        <v>127</v>
      </c>
      <c r="AP429" s="6" t="s">
        <v>127</v>
      </c>
      <c r="AQ429" s="6" t="s">
        <v>127</v>
      </c>
      <c r="AR429" s="6" t="s">
        <v>127</v>
      </c>
      <c r="AS429" s="6" t="s">
        <v>127</v>
      </c>
      <c r="AT429" s="6" t="s">
        <v>127</v>
      </c>
      <c r="AU429" s="6" t="s">
        <v>127</v>
      </c>
      <c r="AV429" s="6" t="s">
        <v>127</v>
      </c>
      <c r="AW429" s="6" t="s">
        <v>127</v>
      </c>
      <c r="AX429" s="6" t="s">
        <v>127</v>
      </c>
      <c r="AY429" s="99" t="s">
        <v>2173</v>
      </c>
      <c r="AZ429" s="99" t="s">
        <v>2174</v>
      </c>
      <c r="BA429" s="6" t="s">
        <v>127</v>
      </c>
      <c r="BB429" s="6" t="s">
        <v>2175</v>
      </c>
      <c r="BC429" s="6" t="s">
        <v>2176</v>
      </c>
      <c r="BD429" s="6" t="s">
        <v>2177</v>
      </c>
      <c r="BE429" s="4" t="s">
        <v>127</v>
      </c>
    </row>
    <row r="430" spans="1:72" ht="16" x14ac:dyDescent="0.4">
      <c r="A430" s="6" t="s">
        <v>2178</v>
      </c>
      <c r="B430" s="6" t="s">
        <v>2178</v>
      </c>
      <c r="C430" s="6" t="s">
        <v>127</v>
      </c>
      <c r="D430" s="6" t="s">
        <v>238</v>
      </c>
      <c r="E430" s="191">
        <v>44036</v>
      </c>
      <c r="F430" s="6">
        <f t="shared" si="69"/>
        <v>2020</v>
      </c>
      <c r="G430" s="4" t="s">
        <v>2179</v>
      </c>
      <c r="H430" s="22" t="str">
        <f>VLOOKUP($G430,'Item Classification'!B:C,2,0)</f>
        <v>Patrol boat</v>
      </c>
      <c r="I430" s="6" t="str">
        <f>VLOOKUP($G430,'Item Classification'!B:D,3,0)</f>
        <v>Naval</v>
      </c>
      <c r="J430" s="23">
        <f>VLOOKUP($G430,'Item Classification'!B:E,4,0)</f>
        <v>12</v>
      </c>
      <c r="K430" s="195" t="s">
        <v>143</v>
      </c>
      <c r="L430" s="195" t="s">
        <v>681</v>
      </c>
      <c r="M430" s="116" t="str">
        <f>VLOOKUP(L430,'NATO Classifications'!$D$6:$E$647,2,0)</f>
        <v>Small Craft</v>
      </c>
      <c r="N430" s="25">
        <v>2</v>
      </c>
      <c r="O430" s="81">
        <f t="shared" si="73"/>
        <v>4950000</v>
      </c>
      <c r="P430" s="81">
        <f t="shared" si="74"/>
        <v>5563673.1482522199</v>
      </c>
      <c r="Q430" s="25">
        <v>2022</v>
      </c>
      <c r="R430" s="25">
        <v>2023</v>
      </c>
      <c r="S430" s="82">
        <v>9900000</v>
      </c>
      <c r="T430" s="115" t="s">
        <v>2145</v>
      </c>
      <c r="U430" s="104">
        <f>_xlfn.IFNA(S430/INDEX('Exchange Rates'!$C$7:$F$14,MATCH('MAIN DATA, Orders'!F430,'Exchange Rates'!$B$7:$B$14,0),MATCH('MAIN DATA, Orders'!T430,'Exchange Rates'!$C$6:$F$6,0)), "-")</f>
        <v>11127346.29650444</v>
      </c>
      <c r="V430" s="6" t="s">
        <v>127</v>
      </c>
      <c r="W430" s="6" t="s">
        <v>127</v>
      </c>
      <c r="X430" s="6" t="s">
        <v>238</v>
      </c>
      <c r="Y430" s="24">
        <f t="shared" si="70"/>
        <v>202007</v>
      </c>
      <c r="Z430" s="24">
        <v>0</v>
      </c>
      <c r="AA430" s="24">
        <v>0</v>
      </c>
      <c r="AB430" s="24">
        <v>0</v>
      </c>
      <c r="AC430" s="24">
        <v>1</v>
      </c>
      <c r="AD430" s="24">
        <v>0</v>
      </c>
      <c r="AE430" s="24">
        <v>0</v>
      </c>
      <c r="AF430" s="24">
        <v>0</v>
      </c>
      <c r="AG430" s="10" t="s">
        <v>2180</v>
      </c>
      <c r="AH430" s="10" t="s">
        <v>238</v>
      </c>
      <c r="AI430" s="10" t="s">
        <v>238</v>
      </c>
      <c r="AJ430" s="6" t="s">
        <v>127</v>
      </c>
      <c r="AK430" s="6" t="s">
        <v>127</v>
      </c>
      <c r="AL430" s="6" t="s">
        <v>127</v>
      </c>
      <c r="AM430" s="6" t="s">
        <v>127</v>
      </c>
      <c r="AN430" s="6" t="s">
        <v>127</v>
      </c>
      <c r="AO430" s="6" t="s">
        <v>127</v>
      </c>
      <c r="AP430" s="6" t="s">
        <v>127</v>
      </c>
      <c r="AQ430" s="6" t="s">
        <v>127</v>
      </c>
      <c r="AR430" s="6" t="s">
        <v>127</v>
      </c>
      <c r="AS430" s="6" t="s">
        <v>127</v>
      </c>
      <c r="AT430" s="6" t="s">
        <v>127</v>
      </c>
      <c r="AU430" s="6" t="s">
        <v>127</v>
      </c>
      <c r="AV430" s="6" t="s">
        <v>127</v>
      </c>
      <c r="AW430" s="6" t="s">
        <v>127</v>
      </c>
      <c r="AX430" s="6" t="s">
        <v>127</v>
      </c>
      <c r="AY430" s="99" t="s">
        <v>2181</v>
      </c>
      <c r="AZ430" s="6" t="s">
        <v>127</v>
      </c>
      <c r="BA430" s="6" t="s">
        <v>127</v>
      </c>
      <c r="BB430" s="6" t="s">
        <v>2182</v>
      </c>
      <c r="BC430" s="6" t="s">
        <v>2183</v>
      </c>
      <c r="BD430" s="6" t="s">
        <v>127</v>
      </c>
      <c r="BE430" s="4" t="s">
        <v>127</v>
      </c>
    </row>
    <row r="431" spans="1:72" ht="16" x14ac:dyDescent="0.4">
      <c r="A431" s="6" t="s">
        <v>2184</v>
      </c>
      <c r="B431" s="6" t="s">
        <v>2184</v>
      </c>
      <c r="C431" s="6" t="s">
        <v>127</v>
      </c>
      <c r="D431" s="6" t="s">
        <v>238</v>
      </c>
      <c r="E431" s="191">
        <v>44040</v>
      </c>
      <c r="F431" s="6">
        <f t="shared" si="69"/>
        <v>2020</v>
      </c>
      <c r="G431" s="4" t="s">
        <v>2185</v>
      </c>
      <c r="H431" s="22" t="str">
        <f>VLOOKUP($G431,'Item Classification'!B:C,2,0)</f>
        <v>Development (unspecified)</v>
      </c>
      <c r="I431" s="6" t="str">
        <f>VLOOKUP($G431,'Item Classification'!B:D,3,0)</f>
        <v>Development - Modernisation</v>
      </c>
      <c r="J431" s="23">
        <f>VLOOKUP($G431,'Item Classification'!B:E,4,0)</f>
        <v>15</v>
      </c>
      <c r="K431" s="195" t="s">
        <v>763</v>
      </c>
      <c r="L431" s="195" t="s">
        <v>2186</v>
      </c>
      <c r="M431" s="116" t="str">
        <f>VLOOKUP(L431,'NATO Classifications'!$D$6:$E$647,2,0)</f>
        <v>Weapons (other)</v>
      </c>
      <c r="N431" s="25">
        <v>5</v>
      </c>
      <c r="O431" s="81">
        <f t="shared" si="73"/>
        <v>60000000</v>
      </c>
      <c r="P431" s="81">
        <f t="shared" si="74"/>
        <v>67438462.403057203</v>
      </c>
      <c r="Q431" s="25">
        <v>2020</v>
      </c>
      <c r="R431" s="25">
        <v>2025</v>
      </c>
      <c r="S431" s="82">
        <v>300000000</v>
      </c>
      <c r="T431" s="115" t="s">
        <v>2145</v>
      </c>
      <c r="U431" s="104">
        <f>_xlfn.IFNA(S431/INDEX('Exchange Rates'!$C$7:$F$14,MATCH('MAIN DATA, Orders'!F431,'Exchange Rates'!$B$7:$B$14,0),MATCH('MAIN DATA, Orders'!T431,'Exchange Rates'!$C$6:$F$6,0)), "-")</f>
        <v>337192312.01528603</v>
      </c>
      <c r="V431" s="6" t="s">
        <v>127</v>
      </c>
      <c r="W431" s="6" t="s">
        <v>127</v>
      </c>
      <c r="X431" s="6" t="s">
        <v>238</v>
      </c>
      <c r="Y431" s="24">
        <f t="shared" si="70"/>
        <v>202007</v>
      </c>
      <c r="Z431" s="24">
        <v>0</v>
      </c>
      <c r="AA431" s="24">
        <v>1</v>
      </c>
      <c r="AB431" s="24">
        <v>0</v>
      </c>
      <c r="AC431" s="24">
        <v>1</v>
      </c>
      <c r="AD431" s="24">
        <v>0</v>
      </c>
      <c r="AE431" s="24">
        <v>0</v>
      </c>
      <c r="AF431" s="24">
        <v>0</v>
      </c>
      <c r="AG431" s="10" t="s">
        <v>2187</v>
      </c>
      <c r="AH431" s="10" t="s">
        <v>238</v>
      </c>
      <c r="AI431" s="10" t="s">
        <v>127</v>
      </c>
      <c r="AJ431" s="6" t="s">
        <v>127</v>
      </c>
      <c r="AK431" s="6" t="s">
        <v>127</v>
      </c>
      <c r="AL431" s="6" t="s">
        <v>127</v>
      </c>
      <c r="AM431" s="6" t="s">
        <v>127</v>
      </c>
      <c r="AN431" s="6" t="s">
        <v>127</v>
      </c>
      <c r="AO431" s="6" t="s">
        <v>127</v>
      </c>
      <c r="AP431" s="6" t="s">
        <v>127</v>
      </c>
      <c r="AQ431" s="6" t="s">
        <v>127</v>
      </c>
      <c r="AR431" s="6" t="s">
        <v>127</v>
      </c>
      <c r="AS431" s="6" t="s">
        <v>127</v>
      </c>
      <c r="AT431" s="6" t="s">
        <v>127</v>
      </c>
      <c r="AU431" s="6" t="s">
        <v>127</v>
      </c>
      <c r="AV431" s="6" t="s">
        <v>127</v>
      </c>
      <c r="AW431" s="6" t="s">
        <v>127</v>
      </c>
      <c r="AX431" s="6" t="s">
        <v>127</v>
      </c>
      <c r="AY431" s="99" t="s">
        <v>2188</v>
      </c>
      <c r="AZ431" s="6" t="s">
        <v>127</v>
      </c>
      <c r="BA431" s="6" t="s">
        <v>127</v>
      </c>
      <c r="BB431" s="6" t="s">
        <v>2189</v>
      </c>
      <c r="BC431" s="6" t="s">
        <v>127</v>
      </c>
      <c r="BD431" s="6" t="s">
        <v>127</v>
      </c>
      <c r="BE431" s="4" t="s">
        <v>127</v>
      </c>
    </row>
    <row r="432" spans="1:72" ht="16" x14ac:dyDescent="0.4">
      <c r="A432" s="6" t="s">
        <v>2190</v>
      </c>
      <c r="B432" s="6" t="s">
        <v>2190</v>
      </c>
      <c r="C432" s="6" t="s">
        <v>127</v>
      </c>
      <c r="D432" s="6" t="s">
        <v>238</v>
      </c>
      <c r="E432" s="191">
        <v>44053</v>
      </c>
      <c r="F432" s="6">
        <f t="shared" si="69"/>
        <v>2020</v>
      </c>
      <c r="G432" s="4" t="s">
        <v>2191</v>
      </c>
      <c r="H432" s="22" t="str">
        <f>VLOOKUP($G432,'Item Classification'!B:C,2,0)</f>
        <v>Aquatic obstacle survey system development</v>
      </c>
      <c r="I432" s="6" t="str">
        <f>VLOOKUP($G432,'Item Classification'!B:D,3,0)</f>
        <v>Development - Drone</v>
      </c>
      <c r="J432" s="23">
        <f>VLOOKUP($G432,'Item Classification'!B:E,4,0)</f>
        <v>15</v>
      </c>
      <c r="K432" s="195" t="s">
        <v>143</v>
      </c>
      <c r="L432" s="195" t="s">
        <v>1052</v>
      </c>
      <c r="M432" s="116" t="str">
        <f>VLOOKUP(L432,'NATO Classifications'!$D$6:$E$647,2,0)</f>
        <v>Miscellaneous Vessels</v>
      </c>
      <c r="N432" s="25"/>
      <c r="O432" s="81"/>
      <c r="P432" s="81"/>
      <c r="Q432" s="114"/>
      <c r="R432" s="25"/>
      <c r="S432" s="82">
        <v>1200000</v>
      </c>
      <c r="T432" s="115" t="s">
        <v>2145</v>
      </c>
      <c r="U432" s="104">
        <f>_xlfn.IFNA(S432/INDEX('Exchange Rates'!$C$7:$F$14,MATCH('MAIN DATA, Orders'!F432,'Exchange Rates'!$B$7:$B$14,0),MATCH('MAIN DATA, Orders'!T432,'Exchange Rates'!$C$6:$F$6,0)), "-")</f>
        <v>1348769.248061144</v>
      </c>
      <c r="V432" s="6" t="s">
        <v>127</v>
      </c>
      <c r="W432" s="6" t="s">
        <v>127</v>
      </c>
      <c r="X432" s="6" t="s">
        <v>238</v>
      </c>
      <c r="Y432" s="24">
        <f t="shared" si="70"/>
        <v>202008</v>
      </c>
      <c r="Z432" s="24">
        <v>0</v>
      </c>
      <c r="AA432" s="24">
        <v>0</v>
      </c>
      <c r="AB432" s="24">
        <v>0</v>
      </c>
      <c r="AC432" s="24">
        <v>1</v>
      </c>
      <c r="AD432" s="24">
        <v>1</v>
      </c>
      <c r="AE432" s="24">
        <v>0</v>
      </c>
      <c r="AF432" s="24">
        <v>1</v>
      </c>
      <c r="AG432" s="10" t="s">
        <v>2192</v>
      </c>
      <c r="AH432" s="10" t="s">
        <v>238</v>
      </c>
      <c r="AI432" s="10" t="s">
        <v>127</v>
      </c>
      <c r="AJ432" s="6" t="s">
        <v>2193</v>
      </c>
      <c r="AK432" s="6" t="s">
        <v>2194</v>
      </c>
      <c r="AL432" s="6" t="s">
        <v>2195</v>
      </c>
      <c r="AM432" s="6" t="s">
        <v>2196</v>
      </c>
      <c r="AN432" s="6" t="s">
        <v>468</v>
      </c>
      <c r="AO432" s="6" t="s">
        <v>127</v>
      </c>
      <c r="AP432" s="6" t="s">
        <v>127</v>
      </c>
      <c r="AQ432" s="6" t="s">
        <v>127</v>
      </c>
      <c r="AR432" s="6" t="s">
        <v>127</v>
      </c>
      <c r="AS432" s="6" t="s">
        <v>127</v>
      </c>
      <c r="AT432" s="6" t="s">
        <v>127</v>
      </c>
      <c r="AU432" s="6" t="s">
        <v>127</v>
      </c>
      <c r="AV432" s="6" t="s">
        <v>127</v>
      </c>
      <c r="AW432" s="6" t="s">
        <v>127</v>
      </c>
      <c r="AX432" s="6" t="s">
        <v>127</v>
      </c>
      <c r="AY432" s="99" t="s">
        <v>2197</v>
      </c>
      <c r="AZ432" s="6" t="s">
        <v>127</v>
      </c>
      <c r="BA432" s="6" t="s">
        <v>127</v>
      </c>
      <c r="BB432" s="6" t="s">
        <v>2198</v>
      </c>
      <c r="BC432" s="6" t="s">
        <v>2199</v>
      </c>
      <c r="BD432" s="6" t="s">
        <v>127</v>
      </c>
      <c r="BE432" s="6" t="s">
        <v>2200</v>
      </c>
      <c r="BF432" s="6" t="s">
        <v>127</v>
      </c>
    </row>
    <row r="433" spans="1:57" ht="16" x14ac:dyDescent="0.4">
      <c r="A433" s="6" t="s">
        <v>2201</v>
      </c>
      <c r="B433" s="6" t="s">
        <v>2201</v>
      </c>
      <c r="C433" s="6" t="s">
        <v>127</v>
      </c>
      <c r="D433" s="6" t="s">
        <v>238</v>
      </c>
      <c r="E433" s="191">
        <v>44071</v>
      </c>
      <c r="F433" s="6">
        <f t="shared" si="69"/>
        <v>2020</v>
      </c>
      <c r="G433" s="4" t="s">
        <v>2202</v>
      </c>
      <c r="H433" s="22" t="str">
        <f>VLOOKUP($G433,'Item Classification'!B:C,2,0)</f>
        <v>Non-combat military vehicle maintenance</v>
      </c>
      <c r="I433" s="6" t="str">
        <f>VLOOKUP($G433,'Item Classification'!B:D,3,0)</f>
        <v>Maintenance</v>
      </c>
      <c r="J433" s="23">
        <f>VLOOKUP($G433,'Item Classification'!B:E,4,0)</f>
        <v>14</v>
      </c>
      <c r="K433" s="195" t="s">
        <v>1549</v>
      </c>
      <c r="L433" s="195" t="s">
        <v>2203</v>
      </c>
      <c r="M433" s="116" t="str">
        <f>VLOOKUP(L433,'NATO Classifications'!$D$6:$E$647,2,0)</f>
        <v>Miscellaneous Construction Equipment</v>
      </c>
      <c r="N433" s="25">
        <v>7</v>
      </c>
      <c r="O433" s="81">
        <f t="shared" si="73"/>
        <v>34285714.285714284</v>
      </c>
      <c r="P433" s="81">
        <f t="shared" si="74"/>
        <v>38536264.230318405</v>
      </c>
      <c r="Q433" s="25">
        <v>2020</v>
      </c>
      <c r="R433" s="25">
        <v>2027</v>
      </c>
      <c r="S433" s="82">
        <v>240000000</v>
      </c>
      <c r="T433" s="115" t="s">
        <v>2145</v>
      </c>
      <c r="U433" s="104">
        <f>_xlfn.IFNA(S433/INDEX('Exchange Rates'!$C$7:$F$14,MATCH('MAIN DATA, Orders'!F433,'Exchange Rates'!$B$7:$B$14,0),MATCH('MAIN DATA, Orders'!T433,'Exchange Rates'!$C$6:$F$6,0)), "-")</f>
        <v>269753849.61222881</v>
      </c>
      <c r="V433" s="6" t="s">
        <v>127</v>
      </c>
      <c r="W433" s="6" t="s">
        <v>127</v>
      </c>
      <c r="X433" s="6" t="s">
        <v>238</v>
      </c>
      <c r="Y433" s="24">
        <f t="shared" si="70"/>
        <v>202008</v>
      </c>
      <c r="Z433" s="24">
        <v>0</v>
      </c>
      <c r="AA433" s="24">
        <v>1</v>
      </c>
      <c r="AB433" s="24">
        <v>0</v>
      </c>
      <c r="AC433" s="24">
        <v>1</v>
      </c>
      <c r="AD433" s="24">
        <v>0</v>
      </c>
      <c r="AE433" s="24">
        <v>0</v>
      </c>
      <c r="AF433" s="24">
        <v>0</v>
      </c>
      <c r="AG433" s="10" t="s">
        <v>2204</v>
      </c>
      <c r="AH433" s="10" t="s">
        <v>238</v>
      </c>
      <c r="AI433" s="10" t="s">
        <v>127</v>
      </c>
      <c r="AJ433" s="6" t="s">
        <v>2205</v>
      </c>
      <c r="AK433" s="6" t="s">
        <v>2206</v>
      </c>
      <c r="AL433" s="6" t="s">
        <v>127</v>
      </c>
      <c r="AM433" s="6" t="s">
        <v>127</v>
      </c>
      <c r="AN433" s="6" t="s">
        <v>127</v>
      </c>
      <c r="AO433" s="6" t="s">
        <v>127</v>
      </c>
      <c r="AP433" s="6" t="s">
        <v>127</v>
      </c>
      <c r="AQ433" s="6" t="s">
        <v>127</v>
      </c>
      <c r="AR433" s="6" t="s">
        <v>127</v>
      </c>
      <c r="AS433" s="6" t="s">
        <v>127</v>
      </c>
      <c r="AT433" s="6" t="s">
        <v>127</v>
      </c>
      <c r="AU433" s="6" t="s">
        <v>127</v>
      </c>
      <c r="AV433" s="6" t="s">
        <v>127</v>
      </c>
      <c r="AW433" s="6" t="s">
        <v>127</v>
      </c>
      <c r="AX433" s="6" t="s">
        <v>127</v>
      </c>
      <c r="AY433" s="99" t="s">
        <v>2207</v>
      </c>
      <c r="AZ433" s="99" t="s">
        <v>2208</v>
      </c>
      <c r="BA433" s="6" t="s">
        <v>127</v>
      </c>
      <c r="BB433" s="6" t="s">
        <v>2209</v>
      </c>
      <c r="BC433" s="6" t="s">
        <v>2210</v>
      </c>
      <c r="BD433" s="6" t="s">
        <v>127</v>
      </c>
      <c r="BE433" s="6" t="s">
        <v>127</v>
      </c>
    </row>
    <row r="434" spans="1:57" ht="16" x14ac:dyDescent="0.4">
      <c r="A434" s="6" t="s">
        <v>2211</v>
      </c>
      <c r="B434" s="6" t="s">
        <v>2211</v>
      </c>
      <c r="C434" s="6" t="s">
        <v>127</v>
      </c>
      <c r="D434" s="6" t="s">
        <v>238</v>
      </c>
      <c r="E434" s="191">
        <v>44077</v>
      </c>
      <c r="F434" s="6">
        <f t="shared" si="69"/>
        <v>2020</v>
      </c>
      <c r="G434" s="4" t="s">
        <v>157</v>
      </c>
      <c r="H434" s="22" t="str">
        <f>VLOOKUP($G434,'Item Classification'!B:C,2,0)</f>
        <v>Radar technology for fighter jet</v>
      </c>
      <c r="I434" s="6" t="str">
        <f>VLOOKUP($G434,'Item Classification'!B:D,3,0)</f>
        <v>Aircraft</v>
      </c>
      <c r="J434" s="23">
        <f>VLOOKUP($G434,'Item Classification'!B:E,4,0)</f>
        <v>11</v>
      </c>
      <c r="K434" s="195" t="s">
        <v>158</v>
      </c>
      <c r="L434" s="195" t="s">
        <v>159</v>
      </c>
      <c r="M434" s="116" t="str">
        <f>VLOOKUP(L434,'NATO Classifications'!$D$6:$E$647,2,0)</f>
        <v>Radar and Sensor</v>
      </c>
      <c r="N434" s="25"/>
      <c r="O434" s="81"/>
      <c r="P434" s="81"/>
      <c r="Q434" s="25"/>
      <c r="R434" s="25"/>
      <c r="S434" s="82">
        <v>317000000</v>
      </c>
      <c r="T434" s="115" t="s">
        <v>2145</v>
      </c>
      <c r="U434" s="104">
        <f>_xlfn.IFNA(S434/INDEX('Exchange Rates'!$C$7:$F$14,MATCH('MAIN DATA, Orders'!F434,'Exchange Rates'!$B$7:$B$14,0),MATCH('MAIN DATA, Orders'!T434,'Exchange Rates'!$C$6:$F$6,0)), "-")</f>
        <v>356299876.3628189</v>
      </c>
      <c r="V434" s="6" t="s">
        <v>127</v>
      </c>
      <c r="W434" s="6" t="s">
        <v>127</v>
      </c>
      <c r="X434" s="6" t="s">
        <v>238</v>
      </c>
      <c r="Y434" s="24">
        <f t="shared" si="70"/>
        <v>202009</v>
      </c>
      <c r="Z434" s="24">
        <v>0</v>
      </c>
      <c r="AA434" s="24">
        <v>0</v>
      </c>
      <c r="AB434" s="24">
        <v>0</v>
      </c>
      <c r="AC434" s="24">
        <v>1</v>
      </c>
      <c r="AD434" s="24">
        <v>1</v>
      </c>
      <c r="AE434" s="24">
        <v>1</v>
      </c>
      <c r="AF434" s="24">
        <v>1</v>
      </c>
      <c r="AG434" s="10" t="s">
        <v>2212</v>
      </c>
      <c r="AH434" s="10" t="s">
        <v>238</v>
      </c>
      <c r="AI434" s="10" t="s">
        <v>238</v>
      </c>
      <c r="AJ434" s="6" t="s">
        <v>1480</v>
      </c>
      <c r="AK434" s="6" t="s">
        <v>360</v>
      </c>
      <c r="AL434" s="6" t="s">
        <v>2213</v>
      </c>
      <c r="AM434" s="6" t="s">
        <v>2214</v>
      </c>
      <c r="AN434" s="6" t="s">
        <v>197</v>
      </c>
      <c r="AO434" s="6" t="s">
        <v>196</v>
      </c>
      <c r="AP434" s="6" t="s">
        <v>127</v>
      </c>
      <c r="AQ434" s="6" t="s">
        <v>127</v>
      </c>
      <c r="AR434" s="6" t="s">
        <v>127</v>
      </c>
      <c r="AS434" s="6" t="s">
        <v>127</v>
      </c>
      <c r="AT434" s="6" t="s">
        <v>127</v>
      </c>
      <c r="AU434" s="6" t="s">
        <v>127</v>
      </c>
      <c r="AV434" s="6" t="s">
        <v>127</v>
      </c>
      <c r="AW434" s="6" t="s">
        <v>127</v>
      </c>
      <c r="AX434" s="6" t="s">
        <v>127</v>
      </c>
      <c r="AY434" s="99" t="s">
        <v>2215</v>
      </c>
      <c r="AZ434" s="99" t="s">
        <v>2216</v>
      </c>
      <c r="BA434" s="6" t="s">
        <v>127</v>
      </c>
      <c r="BB434" s="6" t="s">
        <v>2217</v>
      </c>
      <c r="BC434" s="6" t="s">
        <v>2218</v>
      </c>
      <c r="BD434" s="6" t="s">
        <v>127</v>
      </c>
      <c r="BE434" s="6" t="s">
        <v>127</v>
      </c>
    </row>
    <row r="435" spans="1:57" ht="16" x14ac:dyDescent="0.4">
      <c r="A435" s="6" t="s">
        <v>2219</v>
      </c>
      <c r="B435" s="6" t="s">
        <v>2219</v>
      </c>
      <c r="C435" s="6" t="s">
        <v>127</v>
      </c>
      <c r="D435" s="6" t="s">
        <v>238</v>
      </c>
      <c r="E435" s="191">
        <v>44104</v>
      </c>
      <c r="F435" s="6">
        <f t="shared" si="69"/>
        <v>2020</v>
      </c>
      <c r="G435" s="4" t="s">
        <v>2220</v>
      </c>
      <c r="H435" s="22" t="str">
        <f>VLOOKUP($G435,'Item Classification'!B:C,2,0)</f>
        <v>Submarine rescue operations contract</v>
      </c>
      <c r="I435" s="6" t="str">
        <f>VLOOKUP($G435,'Item Classification'!B:D,3,0)</f>
        <v>Naval</v>
      </c>
      <c r="J435" s="23">
        <f>VLOOKUP($G435,'Item Classification'!B:E,4,0)</f>
        <v>12</v>
      </c>
      <c r="K435" s="195" t="s">
        <v>143</v>
      </c>
      <c r="L435" s="195" t="s">
        <v>452</v>
      </c>
      <c r="M435" s="116" t="str">
        <f>VLOOKUP(L435,'NATO Classifications'!$D$6:$E$647,2,0)</f>
        <v>Special Service Vessels</v>
      </c>
      <c r="N435" s="25">
        <v>3</v>
      </c>
      <c r="O435" s="81">
        <f t="shared" si="73"/>
        <v>2333333.3333333335</v>
      </c>
      <c r="P435" s="81">
        <f t="shared" si="74"/>
        <v>2622606.8712300025</v>
      </c>
      <c r="Q435" s="25">
        <v>2020</v>
      </c>
      <c r="R435" s="25">
        <v>2023</v>
      </c>
      <c r="S435" s="82">
        <v>7000000</v>
      </c>
      <c r="T435" s="115" t="s">
        <v>2145</v>
      </c>
      <c r="U435" s="104">
        <f>_xlfn.IFNA(S435/INDEX('Exchange Rates'!$C$7:$F$14,MATCH('MAIN DATA, Orders'!F435,'Exchange Rates'!$B$7:$B$14,0),MATCH('MAIN DATA, Orders'!T435,'Exchange Rates'!$C$6:$F$6,0)), "-")</f>
        <v>7867820.6136900075</v>
      </c>
      <c r="V435" s="6" t="s">
        <v>127</v>
      </c>
      <c r="W435" s="6" t="s">
        <v>127</v>
      </c>
      <c r="X435" s="6" t="s">
        <v>238</v>
      </c>
      <c r="Y435" s="24">
        <f t="shared" si="70"/>
        <v>202009</v>
      </c>
      <c r="Z435" s="24">
        <v>0</v>
      </c>
      <c r="AA435" s="24">
        <v>1</v>
      </c>
      <c r="AB435" s="24">
        <v>0</v>
      </c>
      <c r="AC435" s="24">
        <v>1</v>
      </c>
      <c r="AD435" s="24">
        <v>0</v>
      </c>
      <c r="AE435" s="24">
        <v>0</v>
      </c>
      <c r="AF435" s="24">
        <v>0</v>
      </c>
      <c r="AG435" s="10" t="s">
        <v>2221</v>
      </c>
      <c r="AH435" s="10" t="s">
        <v>238</v>
      </c>
      <c r="AI435" s="10" t="s">
        <v>127</v>
      </c>
      <c r="AJ435" s="6" t="s">
        <v>127</v>
      </c>
      <c r="AK435" s="6" t="s">
        <v>127</v>
      </c>
      <c r="AL435" s="6" t="s">
        <v>127</v>
      </c>
      <c r="AM435" s="6" t="s">
        <v>127</v>
      </c>
      <c r="AN435" s="6" t="s">
        <v>127</v>
      </c>
      <c r="AO435" s="6" t="s">
        <v>127</v>
      </c>
      <c r="AP435" s="6" t="s">
        <v>127</v>
      </c>
      <c r="AQ435" s="6" t="s">
        <v>127</v>
      </c>
      <c r="AR435" s="6" t="s">
        <v>127</v>
      </c>
      <c r="AS435" s="6" t="s">
        <v>127</v>
      </c>
      <c r="AT435" s="6" t="s">
        <v>127</v>
      </c>
      <c r="AU435" s="6" t="s">
        <v>127</v>
      </c>
      <c r="AV435" s="6" t="s">
        <v>127</v>
      </c>
      <c r="AW435" s="6" t="s">
        <v>127</v>
      </c>
      <c r="AX435" s="6" t="s">
        <v>127</v>
      </c>
      <c r="AY435" s="99" t="s">
        <v>2222</v>
      </c>
      <c r="AZ435" s="6" t="s">
        <v>127</v>
      </c>
      <c r="BA435" s="6" t="s">
        <v>127</v>
      </c>
      <c r="BB435" s="6" t="s">
        <v>2223</v>
      </c>
      <c r="BC435" s="6" t="s">
        <v>2224</v>
      </c>
      <c r="BD435" s="6" t="s">
        <v>127</v>
      </c>
      <c r="BE435" s="6" t="s">
        <v>127</v>
      </c>
    </row>
    <row r="436" spans="1:57" ht="16" x14ac:dyDescent="0.4">
      <c r="A436" s="6" t="s">
        <v>2225</v>
      </c>
      <c r="B436" s="6" t="s">
        <v>2225</v>
      </c>
      <c r="C436" s="6" t="s">
        <v>127</v>
      </c>
      <c r="D436" s="6" t="s">
        <v>238</v>
      </c>
      <c r="E436" s="191">
        <v>44118</v>
      </c>
      <c r="F436" s="6">
        <f t="shared" si="69"/>
        <v>2020</v>
      </c>
      <c r="G436" s="4" t="s">
        <v>2226</v>
      </c>
      <c r="H436" s="22" t="str">
        <f>VLOOKUP($G436,'Item Classification'!B:C,2,0)</f>
        <v>Vehicle-mounted bridge system</v>
      </c>
      <c r="I436" s="6" t="str">
        <f>VLOOKUP($G436,'Item Classification'!B:D,3,0)</f>
        <v>Other</v>
      </c>
      <c r="J436" s="23">
        <f>VLOOKUP($G436,'Item Classification'!B:E,4,0)</f>
        <v>16</v>
      </c>
      <c r="K436" s="195" t="s">
        <v>1549</v>
      </c>
      <c r="L436" s="195" t="s">
        <v>1790</v>
      </c>
      <c r="M436" s="116" t="str">
        <f>VLOOKUP(L436,'NATO Classifications'!$D$6:$E$647,2,0)</f>
        <v>Bridges, Fixed and Floating</v>
      </c>
      <c r="N436" s="25">
        <v>17</v>
      </c>
      <c r="O436" s="81">
        <f t="shared" si="73"/>
        <v>2705882.3529411764</v>
      </c>
      <c r="P436" s="81">
        <f t="shared" si="74"/>
        <v>3041342.4220986585</v>
      </c>
      <c r="Q436" s="25">
        <v>2021</v>
      </c>
      <c r="R436" s="25"/>
      <c r="S436" s="82">
        <v>46000000</v>
      </c>
      <c r="T436" s="115" t="s">
        <v>2145</v>
      </c>
      <c r="U436" s="104">
        <f>_xlfn.IFNA(S436/INDEX('Exchange Rates'!$C$7:$F$14,MATCH('MAIN DATA, Orders'!F436,'Exchange Rates'!$B$7:$B$14,0),MATCH('MAIN DATA, Orders'!T436,'Exchange Rates'!$C$6:$F$6,0)), "-")</f>
        <v>51702821.175677195</v>
      </c>
      <c r="V436" s="6" t="s">
        <v>127</v>
      </c>
      <c r="W436" s="6" t="s">
        <v>127</v>
      </c>
      <c r="X436" s="6" t="s">
        <v>238</v>
      </c>
      <c r="Y436" s="24">
        <f t="shared" si="70"/>
        <v>202010</v>
      </c>
      <c r="Z436" s="24">
        <v>0</v>
      </c>
      <c r="AA436" s="24">
        <v>0</v>
      </c>
      <c r="AB436" s="24">
        <v>0</v>
      </c>
      <c r="AC436" s="24">
        <v>1</v>
      </c>
      <c r="AD436" s="24">
        <v>0</v>
      </c>
      <c r="AE436" s="24">
        <v>0</v>
      </c>
      <c r="AF436" s="24">
        <v>0</v>
      </c>
      <c r="AG436" s="10" t="s">
        <v>2227</v>
      </c>
      <c r="AH436" s="10" t="s">
        <v>238</v>
      </c>
      <c r="AI436" s="10" t="s">
        <v>127</v>
      </c>
      <c r="AJ436" s="6" t="s">
        <v>127</v>
      </c>
      <c r="AK436" s="6" t="s">
        <v>127</v>
      </c>
      <c r="AL436" s="6" t="s">
        <v>127</v>
      </c>
      <c r="AM436" s="6" t="s">
        <v>127</v>
      </c>
      <c r="AN436" s="6" t="s">
        <v>127</v>
      </c>
      <c r="AO436" s="6" t="s">
        <v>127</v>
      </c>
      <c r="AP436" s="6" t="s">
        <v>127</v>
      </c>
      <c r="AQ436" s="6" t="s">
        <v>127</v>
      </c>
      <c r="AR436" s="6" t="s">
        <v>127</v>
      </c>
      <c r="AS436" s="6" t="s">
        <v>127</v>
      </c>
      <c r="AT436" s="6" t="s">
        <v>127</v>
      </c>
      <c r="AU436" s="6" t="s">
        <v>127</v>
      </c>
      <c r="AV436" s="6" t="s">
        <v>127</v>
      </c>
      <c r="AW436" s="6" t="s">
        <v>127</v>
      </c>
      <c r="AX436" s="6" t="s">
        <v>127</v>
      </c>
      <c r="AY436" s="99" t="s">
        <v>2228</v>
      </c>
      <c r="AZ436" s="6" t="s">
        <v>127</v>
      </c>
      <c r="BA436" s="6" t="s">
        <v>127</v>
      </c>
      <c r="BB436" s="6" t="s">
        <v>2229</v>
      </c>
      <c r="BC436" s="6" t="s">
        <v>2230</v>
      </c>
      <c r="BD436" s="6" t="s">
        <v>127</v>
      </c>
      <c r="BE436" s="6" t="s">
        <v>127</v>
      </c>
    </row>
    <row r="437" spans="1:57" ht="16" x14ac:dyDescent="0.4">
      <c r="A437" s="6" t="s">
        <v>2231</v>
      </c>
      <c r="B437" s="6" t="s">
        <v>2231</v>
      </c>
      <c r="C437" s="6" t="s">
        <v>127</v>
      </c>
      <c r="D437" s="6" t="s">
        <v>238</v>
      </c>
      <c r="E437" s="191">
        <v>44161</v>
      </c>
      <c r="F437" s="6">
        <f t="shared" si="69"/>
        <v>2020</v>
      </c>
      <c r="G437" s="4" t="s">
        <v>2232</v>
      </c>
      <c r="H437" s="22" t="str">
        <f>VLOOKUP($G437,'Item Classification'!B:C,2,0)</f>
        <v>Sea mine disposal system</v>
      </c>
      <c r="I437" s="6" t="str">
        <f>VLOOKUP($G437,'Item Classification'!B:D,3,0)</f>
        <v>Development - Naval</v>
      </c>
      <c r="J437" s="23">
        <f>VLOOKUP($G437,'Item Classification'!B:E,4,0)</f>
        <v>15</v>
      </c>
      <c r="K437" s="195" t="s">
        <v>189</v>
      </c>
      <c r="L437" s="195" t="s">
        <v>2233</v>
      </c>
      <c r="M437" s="116" t="str">
        <f>VLOOKUP(L437,'NATO Classifications'!$D$6:$E$647,2,0)</f>
        <v>Ammunition and Explosives (other)</v>
      </c>
      <c r="N437" s="25"/>
      <c r="O437" s="25"/>
      <c r="P437" s="25"/>
      <c r="Q437" s="25">
        <v>2022</v>
      </c>
      <c r="R437" s="25"/>
      <c r="S437" s="82">
        <v>184000000</v>
      </c>
      <c r="T437" s="115" t="s">
        <v>2145</v>
      </c>
      <c r="U437" s="104">
        <f>_xlfn.IFNA(S437/INDEX('Exchange Rates'!$C$7:$F$14,MATCH('MAIN DATA, Orders'!F437,'Exchange Rates'!$B$7:$B$14,0),MATCH('MAIN DATA, Orders'!T437,'Exchange Rates'!$C$6:$F$6,0)), "-")</f>
        <v>206811284.70270878</v>
      </c>
      <c r="V437" s="6" t="s">
        <v>127</v>
      </c>
      <c r="W437" s="6" t="s">
        <v>127</v>
      </c>
      <c r="X437" s="6" t="s">
        <v>238</v>
      </c>
      <c r="Y437" s="24">
        <f t="shared" si="70"/>
        <v>202011</v>
      </c>
      <c r="Z437" s="24">
        <v>0</v>
      </c>
      <c r="AA437" s="24">
        <v>0</v>
      </c>
      <c r="AB437" s="24">
        <v>0</v>
      </c>
      <c r="AC437" s="24">
        <v>1</v>
      </c>
      <c r="AD437" s="24">
        <v>1</v>
      </c>
      <c r="AE437" s="24">
        <v>0</v>
      </c>
      <c r="AF437" s="24">
        <v>1</v>
      </c>
      <c r="AG437" s="10" t="s">
        <v>2153</v>
      </c>
      <c r="AH437" s="10" t="s">
        <v>238</v>
      </c>
      <c r="AI437" s="10" t="s">
        <v>127</v>
      </c>
      <c r="AJ437" s="6" t="s">
        <v>2234</v>
      </c>
      <c r="AK437" s="6" t="s">
        <v>2235</v>
      </c>
      <c r="AL437" s="6" t="s">
        <v>148</v>
      </c>
      <c r="AM437" s="6" t="s">
        <v>127</v>
      </c>
      <c r="AN437" s="6" t="s">
        <v>151</v>
      </c>
      <c r="AO437" s="6" t="s">
        <v>127</v>
      </c>
      <c r="AP437" s="6" t="s">
        <v>127</v>
      </c>
      <c r="AQ437" s="6" t="s">
        <v>127</v>
      </c>
      <c r="AR437" s="6" t="s">
        <v>127</v>
      </c>
      <c r="AS437" s="6" t="s">
        <v>127</v>
      </c>
      <c r="AT437" s="6" t="s">
        <v>127</v>
      </c>
      <c r="AU437" s="6" t="s">
        <v>127</v>
      </c>
      <c r="AV437" s="6" t="s">
        <v>127</v>
      </c>
      <c r="AW437" s="6" t="s">
        <v>127</v>
      </c>
      <c r="AX437" s="6" t="s">
        <v>127</v>
      </c>
      <c r="AY437" s="99" t="s">
        <v>2236</v>
      </c>
      <c r="AZ437" s="6" t="s">
        <v>127</v>
      </c>
      <c r="BA437" s="6" t="s">
        <v>127</v>
      </c>
      <c r="BB437" s="6" t="s">
        <v>2237</v>
      </c>
      <c r="BC437" s="6" t="s">
        <v>127</v>
      </c>
      <c r="BD437" s="6" t="s">
        <v>127</v>
      </c>
      <c r="BE437" s="6" t="s">
        <v>127</v>
      </c>
    </row>
    <row r="438" spans="1:57" ht="16" x14ac:dyDescent="0.4">
      <c r="A438" s="6" t="s">
        <v>2238</v>
      </c>
      <c r="B438" s="6" t="s">
        <v>2238</v>
      </c>
      <c r="C438" s="6" t="s">
        <v>127</v>
      </c>
      <c r="D438" s="6" t="s">
        <v>238</v>
      </c>
      <c r="E438" s="191">
        <v>44165</v>
      </c>
      <c r="F438" s="6">
        <f t="shared" si="69"/>
        <v>2020</v>
      </c>
      <c r="G438" s="4" t="s">
        <v>2239</v>
      </c>
      <c r="H438" s="22" t="str">
        <f>VLOOKUP($G438,'Item Classification'!B:C,2,0)</f>
        <v>Mixed ammunition</v>
      </c>
      <c r="I438" s="6" t="str">
        <f>VLOOKUP($G438,'Item Classification'!B:D,3,0)</f>
        <v>Ammunition</v>
      </c>
      <c r="J438" s="23">
        <f>VLOOKUP($G438,'Item Classification'!B:E,4,0)</f>
        <v>4</v>
      </c>
      <c r="K438" s="195" t="s">
        <v>189</v>
      </c>
      <c r="L438" s="195" t="s">
        <v>2240</v>
      </c>
      <c r="M438" s="116" t="str">
        <f>VLOOKUP(L438,'NATO Classifications'!$D$6:$E$647,2,0)</f>
        <v>Ammunition and Explosives (other)</v>
      </c>
      <c r="N438" s="25"/>
      <c r="O438" s="25"/>
      <c r="P438" s="25"/>
      <c r="Q438" s="25">
        <v>2022</v>
      </c>
      <c r="R438" s="25"/>
      <c r="S438" s="82">
        <v>2400000000</v>
      </c>
      <c r="T438" s="115" t="s">
        <v>2145</v>
      </c>
      <c r="U438" s="104">
        <f>_xlfn.IFNA(S438/INDEX('Exchange Rates'!$C$7:$F$14,MATCH('MAIN DATA, Orders'!F438,'Exchange Rates'!$B$7:$B$14,0),MATCH('MAIN DATA, Orders'!T438,'Exchange Rates'!$C$6:$F$6,0)), "-")</f>
        <v>2697538496.1222882</v>
      </c>
      <c r="V438" s="6" t="s">
        <v>127</v>
      </c>
      <c r="W438" s="6" t="s">
        <v>127</v>
      </c>
      <c r="X438" s="6" t="s">
        <v>238</v>
      </c>
      <c r="Y438" s="24">
        <f t="shared" si="70"/>
        <v>202011</v>
      </c>
      <c r="Z438" s="24">
        <v>0</v>
      </c>
      <c r="AA438" s="24">
        <v>0</v>
      </c>
      <c r="AB438" s="24">
        <v>0</v>
      </c>
      <c r="AC438" s="24">
        <v>1</v>
      </c>
      <c r="AD438" s="24">
        <v>0</v>
      </c>
      <c r="AE438" s="24">
        <v>0</v>
      </c>
      <c r="AF438" s="24">
        <v>0</v>
      </c>
      <c r="AG438" s="10" t="s">
        <v>1480</v>
      </c>
      <c r="AH438" s="10" t="s">
        <v>238</v>
      </c>
      <c r="AI438" s="10" t="s">
        <v>238</v>
      </c>
      <c r="AJ438" s="6" t="s">
        <v>127</v>
      </c>
      <c r="AK438" s="6" t="s">
        <v>127</v>
      </c>
      <c r="AL438" s="6" t="s">
        <v>127</v>
      </c>
      <c r="AM438" s="6" t="s">
        <v>127</v>
      </c>
      <c r="AN438" s="6" t="s">
        <v>127</v>
      </c>
      <c r="AO438" s="6" t="s">
        <v>127</v>
      </c>
      <c r="AP438" s="6" t="s">
        <v>127</v>
      </c>
      <c r="AQ438" s="6" t="s">
        <v>127</v>
      </c>
      <c r="AR438" s="6" t="s">
        <v>127</v>
      </c>
      <c r="AS438" s="6" t="s">
        <v>127</v>
      </c>
      <c r="AT438" s="6" t="s">
        <v>127</v>
      </c>
      <c r="AU438" s="6" t="s">
        <v>127</v>
      </c>
      <c r="AV438" s="6" t="s">
        <v>127</v>
      </c>
      <c r="AW438" s="6" t="s">
        <v>127</v>
      </c>
      <c r="AX438" s="6" t="s">
        <v>127</v>
      </c>
      <c r="AY438" s="99" t="s">
        <v>2241</v>
      </c>
      <c r="AZ438" s="99" t="s">
        <v>2242</v>
      </c>
      <c r="BA438" s="6" t="s">
        <v>127</v>
      </c>
      <c r="BB438" s="6" t="s">
        <v>2243</v>
      </c>
      <c r="BC438" s="6" t="s">
        <v>2244</v>
      </c>
      <c r="BD438" s="6" t="s">
        <v>2245</v>
      </c>
      <c r="BE438" s="6" t="s">
        <v>127</v>
      </c>
    </row>
    <row r="439" spans="1:57" ht="16" x14ac:dyDescent="0.4">
      <c r="A439" s="6" t="s">
        <v>2246</v>
      </c>
      <c r="B439" s="6" t="s">
        <v>2246</v>
      </c>
      <c r="C439" s="6" t="s">
        <v>127</v>
      </c>
      <c r="D439" s="6" t="s">
        <v>238</v>
      </c>
      <c r="E439" s="191">
        <v>44202</v>
      </c>
      <c r="F439" s="6">
        <f t="shared" si="69"/>
        <v>2021</v>
      </c>
      <c r="G439" s="4" t="s">
        <v>2247</v>
      </c>
      <c r="H439" s="22" t="str">
        <f>VLOOKUP($G439,'Item Classification'!B:C,2,0)</f>
        <v>Air-to-surface missile (ASM) development</v>
      </c>
      <c r="I439" s="6" t="str">
        <f>VLOOKUP($G439,'Item Classification'!B:D,3,0)</f>
        <v>Development - Missile (Air)</v>
      </c>
      <c r="J439" s="23">
        <f>VLOOKUP($G439,'Item Classification'!B:E,4,0)</f>
        <v>15</v>
      </c>
      <c r="K439" s="195" t="s">
        <v>211</v>
      </c>
      <c r="L439" s="195" t="s">
        <v>211</v>
      </c>
      <c r="M439" s="116" t="str">
        <f>VLOOKUP(L439,'NATO Classifications'!$D$6:$E$647,2,0)</f>
        <v>Guided Missiles</v>
      </c>
      <c r="N439" s="25"/>
      <c r="O439" s="25"/>
      <c r="P439" s="25"/>
      <c r="Q439" s="25"/>
      <c r="R439" s="25"/>
      <c r="S439" s="82">
        <v>550000000</v>
      </c>
      <c r="T439" s="115" t="s">
        <v>2145</v>
      </c>
      <c r="U439" s="104">
        <f>_xlfn.IFNA(S439/INDEX('Exchange Rates'!$C$7:$F$14,MATCH('MAIN DATA, Orders'!F439,'Exchange Rates'!$B$7:$B$14,0),MATCH('MAIN DATA, Orders'!T439,'Exchange Rates'!$C$6:$F$6,0)), "-")</f>
        <v>639832480.2233597</v>
      </c>
      <c r="V439" s="6" t="s">
        <v>127</v>
      </c>
      <c r="W439" s="6" t="s">
        <v>127</v>
      </c>
      <c r="X439" s="6" t="s">
        <v>238</v>
      </c>
      <c r="Y439" s="24">
        <f t="shared" si="70"/>
        <v>202101</v>
      </c>
      <c r="Z439" s="24">
        <v>0</v>
      </c>
      <c r="AA439" s="24">
        <v>0</v>
      </c>
      <c r="AB439" s="24">
        <v>0</v>
      </c>
      <c r="AC439" s="24">
        <v>1</v>
      </c>
      <c r="AD439" s="24">
        <v>1</v>
      </c>
      <c r="AE439" s="24">
        <v>0</v>
      </c>
      <c r="AF439" s="24">
        <v>1</v>
      </c>
      <c r="AG439" s="10" t="s">
        <v>2248</v>
      </c>
      <c r="AH439" s="10" t="s">
        <v>238</v>
      </c>
      <c r="AI439" s="10" t="s">
        <v>238</v>
      </c>
      <c r="AJ439" s="6" t="s">
        <v>475</v>
      </c>
      <c r="AK439" s="6" t="s">
        <v>127</v>
      </c>
      <c r="AL439" s="6" t="s">
        <v>127</v>
      </c>
      <c r="AM439" s="6" t="s">
        <v>127</v>
      </c>
      <c r="AN439" s="6" t="s">
        <v>151</v>
      </c>
      <c r="AO439" s="6" t="s">
        <v>197</v>
      </c>
      <c r="AP439" s="6" t="s">
        <v>128</v>
      </c>
      <c r="AQ439" s="6" t="s">
        <v>162</v>
      </c>
      <c r="AR439" s="6" t="s">
        <v>127</v>
      </c>
      <c r="AS439" s="6" t="s">
        <v>127</v>
      </c>
      <c r="AT439" s="6" t="s">
        <v>127</v>
      </c>
      <c r="AU439" s="6" t="s">
        <v>127</v>
      </c>
      <c r="AV439" s="6" t="s">
        <v>127</v>
      </c>
      <c r="AW439" s="6" t="s">
        <v>127</v>
      </c>
      <c r="AX439" s="6" t="s">
        <v>127</v>
      </c>
      <c r="AY439" s="99" t="s">
        <v>2249</v>
      </c>
      <c r="AZ439" s="6" t="s">
        <v>127</v>
      </c>
      <c r="BA439" s="6" t="s">
        <v>127</v>
      </c>
      <c r="BB439" s="6" t="s">
        <v>2250</v>
      </c>
      <c r="BC439" s="6" t="s">
        <v>2251</v>
      </c>
      <c r="BD439" s="6" t="s">
        <v>2252</v>
      </c>
      <c r="BE439" s="6" t="s">
        <v>127</v>
      </c>
    </row>
    <row r="440" spans="1:57" ht="16" x14ac:dyDescent="0.4">
      <c r="A440" s="6" t="s">
        <v>2253</v>
      </c>
      <c r="B440" s="6" t="s">
        <v>2253</v>
      </c>
      <c r="C440" s="6" t="s">
        <v>127</v>
      </c>
      <c r="D440" s="6" t="s">
        <v>238</v>
      </c>
      <c r="E440" s="191">
        <v>44210</v>
      </c>
      <c r="F440" s="6">
        <f t="shared" si="69"/>
        <v>2021</v>
      </c>
      <c r="G440" s="4" t="s">
        <v>2254</v>
      </c>
      <c r="H440" s="22" t="str">
        <f>VLOOKUP($G440,'Item Classification'!B:C,2,0)</f>
        <v>Fighter jet maintenance contract</v>
      </c>
      <c r="I440" s="6" t="str">
        <f>VLOOKUP($G440,'Item Classification'!B:D,3,0)</f>
        <v>Maintenance</v>
      </c>
      <c r="J440" s="23">
        <f>VLOOKUP($G440,'Item Classification'!B:E,4,0)</f>
        <v>14</v>
      </c>
      <c r="K440" s="195" t="s">
        <v>130</v>
      </c>
      <c r="L440" s="195" t="s">
        <v>237</v>
      </c>
      <c r="M440" s="116" t="str">
        <f>VLOOKUP(L440,'NATO Classifications'!$D$6:$E$647,2,0)</f>
        <v>Aircraft, Fixed Wing</v>
      </c>
      <c r="N440" s="25">
        <v>2</v>
      </c>
      <c r="O440" s="81">
        <f t="shared" ref="O440" si="75">S440/N440</f>
        <v>38000000</v>
      </c>
      <c r="P440" s="81">
        <f t="shared" ref="P440" si="76">U440/N440</f>
        <v>44206607.72452303</v>
      </c>
      <c r="Q440" s="25">
        <v>2021</v>
      </c>
      <c r="R440" s="25">
        <v>2023</v>
      </c>
      <c r="S440" s="82">
        <v>76000000</v>
      </c>
      <c r="T440" s="115" t="s">
        <v>2145</v>
      </c>
      <c r="U440" s="104">
        <f>_xlfn.IFNA(S440/INDEX('Exchange Rates'!$C$7:$F$14,MATCH('MAIN DATA, Orders'!F440,'Exchange Rates'!$B$7:$B$14,0),MATCH('MAIN DATA, Orders'!T440,'Exchange Rates'!$C$6:$F$6,0)), "-")</f>
        <v>88413215.44904606</v>
      </c>
      <c r="V440" s="6" t="s">
        <v>127</v>
      </c>
      <c r="W440" s="6" t="s">
        <v>127</v>
      </c>
      <c r="X440" s="6" t="s">
        <v>238</v>
      </c>
      <c r="Y440" s="24">
        <f t="shared" si="70"/>
        <v>202101</v>
      </c>
      <c r="Z440" s="24">
        <v>0</v>
      </c>
      <c r="AA440" s="24">
        <v>1</v>
      </c>
      <c r="AB440" s="24">
        <v>0</v>
      </c>
      <c r="AC440" s="24">
        <v>1</v>
      </c>
      <c r="AD440" s="24">
        <v>0</v>
      </c>
      <c r="AE440" s="24">
        <v>1</v>
      </c>
      <c r="AF440" s="24">
        <v>1</v>
      </c>
      <c r="AG440" s="10" t="s">
        <v>795</v>
      </c>
      <c r="AH440" s="10" t="s">
        <v>196</v>
      </c>
      <c r="AI440" s="10" t="s">
        <v>127</v>
      </c>
      <c r="AJ440" s="6" t="s">
        <v>1480</v>
      </c>
      <c r="AK440" s="6" t="s">
        <v>127</v>
      </c>
      <c r="AL440" s="6" t="s">
        <v>127</v>
      </c>
      <c r="AM440" s="6" t="s">
        <v>127</v>
      </c>
      <c r="AN440" s="6" t="s">
        <v>238</v>
      </c>
      <c r="AO440" s="6" t="s">
        <v>127</v>
      </c>
      <c r="AP440" s="6" t="s">
        <v>127</v>
      </c>
      <c r="AQ440" s="6" t="s">
        <v>127</v>
      </c>
      <c r="AR440" s="6" t="s">
        <v>127</v>
      </c>
      <c r="AS440" s="6" t="s">
        <v>127</v>
      </c>
      <c r="AT440" s="6" t="s">
        <v>127</v>
      </c>
      <c r="AU440" s="6" t="s">
        <v>127</v>
      </c>
      <c r="AV440" s="6" t="s">
        <v>127</v>
      </c>
      <c r="AW440" s="6" t="s">
        <v>127</v>
      </c>
      <c r="AX440" s="6" t="s">
        <v>127</v>
      </c>
      <c r="AY440" s="99" t="s">
        <v>2255</v>
      </c>
      <c r="AZ440" s="6" t="s">
        <v>127</v>
      </c>
      <c r="BA440" s="6" t="s">
        <v>127</v>
      </c>
      <c r="BB440" s="6" t="s">
        <v>2256</v>
      </c>
      <c r="BC440" s="6" t="s">
        <v>2257</v>
      </c>
      <c r="BD440" s="6" t="s">
        <v>127</v>
      </c>
      <c r="BE440" s="6" t="s">
        <v>127</v>
      </c>
    </row>
    <row r="441" spans="1:57" ht="16" x14ac:dyDescent="0.4">
      <c r="A441" s="6" t="s">
        <v>2258</v>
      </c>
      <c r="B441" s="6" t="s">
        <v>2258</v>
      </c>
      <c r="C441" s="6" t="s">
        <v>127</v>
      </c>
      <c r="D441" s="6" t="s">
        <v>238</v>
      </c>
      <c r="E441" s="191">
        <v>44215</v>
      </c>
      <c r="F441" s="6">
        <f t="shared" si="69"/>
        <v>2021</v>
      </c>
      <c r="G441" s="4" t="s">
        <v>2259</v>
      </c>
      <c r="H441" s="22" t="str">
        <f>VLOOKUP($G441,'Item Classification'!B:C,2,0)</f>
        <v>Sea mine disposal system</v>
      </c>
      <c r="I441" s="6" t="str">
        <f>VLOOKUP($G441,'Item Classification'!B:D,3,0)</f>
        <v>Drone</v>
      </c>
      <c r="J441" s="23">
        <f>VLOOKUP($G441,'Item Classification'!B:E,4,0)</f>
        <v>7</v>
      </c>
      <c r="K441" s="195" t="s">
        <v>189</v>
      </c>
      <c r="L441" s="195" t="s">
        <v>2233</v>
      </c>
      <c r="M441" s="116" t="str">
        <f>VLOOKUP(L441,'NATO Classifications'!$D$6:$E$647,2,0)</f>
        <v>Ammunition and Explosives (other)</v>
      </c>
      <c r="N441" s="25">
        <v>3</v>
      </c>
      <c r="O441" s="81">
        <f t="shared" ref="O441:O442" si="77">S441/N441</f>
        <v>8333333.333333333</v>
      </c>
      <c r="P441" s="81">
        <f t="shared" ref="P441:P442" si="78">U441/N441</f>
        <v>9694431.5185357537</v>
      </c>
      <c r="Q441" s="25">
        <v>2022</v>
      </c>
      <c r="R441" s="25"/>
      <c r="S441" s="82">
        <v>25000000</v>
      </c>
      <c r="T441" s="115" t="s">
        <v>2145</v>
      </c>
      <c r="U441" s="104">
        <f>_xlfn.IFNA(S441/INDEX('Exchange Rates'!$C$7:$F$14,MATCH('MAIN DATA, Orders'!F441,'Exchange Rates'!$B$7:$B$14,0),MATCH('MAIN DATA, Orders'!T441,'Exchange Rates'!$C$6:$F$6,0)), "-")</f>
        <v>29083294.555607259</v>
      </c>
      <c r="V441" s="6" t="s">
        <v>127</v>
      </c>
      <c r="W441" s="6" t="s">
        <v>127</v>
      </c>
      <c r="X441" s="6" t="s">
        <v>238</v>
      </c>
      <c r="Y441" s="24">
        <f t="shared" si="70"/>
        <v>202101</v>
      </c>
      <c r="Z441" s="24">
        <v>0</v>
      </c>
      <c r="AA441" s="24">
        <v>0</v>
      </c>
      <c r="AB441" s="24">
        <v>0</v>
      </c>
      <c r="AC441" s="24">
        <v>1</v>
      </c>
      <c r="AD441" s="24">
        <v>1</v>
      </c>
      <c r="AE441" s="24">
        <v>0</v>
      </c>
      <c r="AF441" s="24">
        <v>1</v>
      </c>
      <c r="AG441" s="10" t="s">
        <v>2260</v>
      </c>
      <c r="AH441" s="10" t="s">
        <v>238</v>
      </c>
      <c r="AI441" s="10" t="s">
        <v>127</v>
      </c>
      <c r="AJ441" s="6" t="s">
        <v>2261</v>
      </c>
      <c r="AK441" s="6" t="s">
        <v>127</v>
      </c>
      <c r="AL441" s="6" t="s">
        <v>127</v>
      </c>
      <c r="AM441" s="6" t="s">
        <v>127</v>
      </c>
      <c r="AN441" s="6" t="s">
        <v>128</v>
      </c>
      <c r="AO441" s="6" t="s">
        <v>127</v>
      </c>
      <c r="AP441" s="6" t="s">
        <v>127</v>
      </c>
      <c r="AQ441" s="6" t="s">
        <v>127</v>
      </c>
      <c r="AR441" s="6" t="s">
        <v>127</v>
      </c>
      <c r="AS441" s="6" t="s">
        <v>127</v>
      </c>
      <c r="AT441" s="6" t="s">
        <v>127</v>
      </c>
      <c r="AU441" s="6" t="s">
        <v>127</v>
      </c>
      <c r="AV441" s="6" t="s">
        <v>127</v>
      </c>
      <c r="AW441" s="6" t="s">
        <v>127</v>
      </c>
      <c r="AX441" s="6" t="s">
        <v>127</v>
      </c>
      <c r="AY441" s="99" t="s">
        <v>2262</v>
      </c>
      <c r="AZ441" s="99" t="s">
        <v>2263</v>
      </c>
      <c r="BA441" s="6" t="s">
        <v>127</v>
      </c>
      <c r="BB441" s="6" t="s">
        <v>2264</v>
      </c>
      <c r="BC441" s="6" t="s">
        <v>2265</v>
      </c>
      <c r="BD441" s="6" t="s">
        <v>127</v>
      </c>
      <c r="BE441" s="6" t="s">
        <v>127</v>
      </c>
    </row>
    <row r="442" spans="1:57" ht="16" x14ac:dyDescent="0.4">
      <c r="A442" s="6" t="s">
        <v>2266</v>
      </c>
      <c r="B442" s="6" t="s">
        <v>2266</v>
      </c>
      <c r="C442" s="6" t="s">
        <v>127</v>
      </c>
      <c r="D442" s="6" t="s">
        <v>238</v>
      </c>
      <c r="E442" s="191">
        <v>44217</v>
      </c>
      <c r="F442" s="6">
        <f t="shared" si="69"/>
        <v>2021</v>
      </c>
      <c r="G442" s="4" t="s">
        <v>2267</v>
      </c>
      <c r="H442" s="22" t="str">
        <f>VLOOKUP($G442,'Item Classification'!B:C,2,0)</f>
        <v>Military equipment</v>
      </c>
      <c r="I442" s="6" t="str">
        <f>VLOOKUP($G442,'Item Classification'!B:D,3,0)</f>
        <v>Other</v>
      </c>
      <c r="J442" s="23">
        <f>VLOOKUP($G442,'Item Classification'!B:E,4,0)</f>
        <v>16</v>
      </c>
      <c r="K442" s="195" t="s">
        <v>158</v>
      </c>
      <c r="L442" s="195" t="s">
        <v>567</v>
      </c>
      <c r="M442" s="116" t="str">
        <f>VLOOKUP(L442,'NATO Classifications'!$D$6:$E$647,2,0)</f>
        <v>Communication, Detection, and Coherent Radiation Equipment (other)</v>
      </c>
      <c r="N442" s="25">
        <v>6</v>
      </c>
      <c r="O442" s="81">
        <f t="shared" si="77"/>
        <v>17000000</v>
      </c>
      <c r="P442" s="81">
        <f t="shared" si="78"/>
        <v>19776640.297812935</v>
      </c>
      <c r="Q442" s="25"/>
      <c r="R442" s="25"/>
      <c r="S442" s="82">
        <v>102000000</v>
      </c>
      <c r="T442" s="115" t="s">
        <v>2145</v>
      </c>
      <c r="U442" s="104">
        <f>_xlfn.IFNA(S442/INDEX('Exchange Rates'!$C$7:$F$14,MATCH('MAIN DATA, Orders'!F442,'Exchange Rates'!$B$7:$B$14,0),MATCH('MAIN DATA, Orders'!T442,'Exchange Rates'!$C$6:$F$6,0)), "-")</f>
        <v>118659841.78687762</v>
      </c>
      <c r="V442" s="6" t="s">
        <v>127</v>
      </c>
      <c r="W442" s="6" t="s">
        <v>127</v>
      </c>
      <c r="X442" s="6" t="s">
        <v>238</v>
      </c>
      <c r="Y442" s="24">
        <f t="shared" si="70"/>
        <v>202101</v>
      </c>
      <c r="Z442" s="24">
        <v>0</v>
      </c>
      <c r="AA442" s="24">
        <v>0</v>
      </c>
      <c r="AB442" s="24">
        <v>0</v>
      </c>
      <c r="AC442" s="24">
        <v>1</v>
      </c>
      <c r="AD442" s="24">
        <v>0</v>
      </c>
      <c r="AE442" s="24">
        <v>1</v>
      </c>
      <c r="AF442" s="24">
        <v>1</v>
      </c>
      <c r="AG442" s="10" t="s">
        <v>2268</v>
      </c>
      <c r="AH442" s="10" t="s">
        <v>238</v>
      </c>
      <c r="AI442" s="10" t="s">
        <v>238</v>
      </c>
      <c r="AJ442" s="6" t="s">
        <v>748</v>
      </c>
      <c r="AK442" s="6" t="s">
        <v>127</v>
      </c>
      <c r="AL442" s="6" t="s">
        <v>127</v>
      </c>
      <c r="AM442" s="6" t="s">
        <v>127</v>
      </c>
      <c r="AN442" s="6" t="s">
        <v>135</v>
      </c>
      <c r="AO442" s="6" t="s">
        <v>127</v>
      </c>
      <c r="AP442" s="6" t="s">
        <v>127</v>
      </c>
      <c r="AQ442" s="6" t="s">
        <v>127</v>
      </c>
      <c r="AR442" s="6" t="s">
        <v>127</v>
      </c>
      <c r="AS442" s="6" t="s">
        <v>127</v>
      </c>
      <c r="AT442" s="6" t="s">
        <v>127</v>
      </c>
      <c r="AU442" s="6" t="s">
        <v>127</v>
      </c>
      <c r="AV442" s="6" t="s">
        <v>127</v>
      </c>
      <c r="AW442" s="6" t="s">
        <v>127</v>
      </c>
      <c r="AX442" s="6" t="s">
        <v>127</v>
      </c>
      <c r="AY442" s="99" t="s">
        <v>2269</v>
      </c>
      <c r="AZ442" s="6" t="s">
        <v>127</v>
      </c>
      <c r="BA442" s="6" t="s">
        <v>127</v>
      </c>
      <c r="BB442" s="6" t="s">
        <v>2270</v>
      </c>
      <c r="BC442" s="6" t="s">
        <v>2271</v>
      </c>
      <c r="BD442" s="6" t="s">
        <v>2272</v>
      </c>
      <c r="BE442" s="6" t="s">
        <v>127</v>
      </c>
    </row>
    <row r="443" spans="1:57" ht="16" x14ac:dyDescent="0.4">
      <c r="A443" s="6" t="s">
        <v>2273</v>
      </c>
      <c r="B443" s="6" t="s">
        <v>2273</v>
      </c>
      <c r="C443" s="6" t="s">
        <v>2274</v>
      </c>
      <c r="D443" s="6" t="s">
        <v>238</v>
      </c>
      <c r="E443" s="191">
        <v>44221</v>
      </c>
      <c r="F443" s="6">
        <f t="shared" si="69"/>
        <v>2021</v>
      </c>
      <c r="G443" s="4" t="s">
        <v>2275</v>
      </c>
      <c r="H443" s="22" t="str">
        <f>VLOOKUP($G443,'Item Classification'!B:C,2,0)</f>
        <v>Drone development</v>
      </c>
      <c r="I443" s="6" t="str">
        <f>VLOOKUP($G443,'Item Classification'!B:D,3,0)</f>
        <v>Development - Drone</v>
      </c>
      <c r="J443" s="23">
        <f>VLOOKUP($G443,'Item Classification'!B:E,4,0)</f>
        <v>15</v>
      </c>
      <c r="K443" s="195" t="s">
        <v>130</v>
      </c>
      <c r="L443" s="195" t="s">
        <v>131</v>
      </c>
      <c r="M443" s="116" t="str">
        <f>VLOOKUP(L443,'NATO Classifications'!$D$6:$E$647,2,0)</f>
        <v>Unmanned Aircraft</v>
      </c>
      <c r="N443" s="25"/>
      <c r="O443" s="25"/>
      <c r="P443" s="25"/>
      <c r="Q443" s="25"/>
      <c r="R443" s="25">
        <v>2023</v>
      </c>
      <c r="S443" s="82">
        <v>30000000</v>
      </c>
      <c r="T443" s="115" t="s">
        <v>2145</v>
      </c>
      <c r="U443" s="104">
        <f>_xlfn.IFNA(S443/INDEX('Exchange Rates'!$C$7:$F$14,MATCH('MAIN DATA, Orders'!F443,'Exchange Rates'!$B$7:$B$14,0),MATCH('MAIN DATA, Orders'!T443,'Exchange Rates'!$C$6:$F$6,0)), "-")</f>
        <v>34899953.46672871</v>
      </c>
      <c r="V443" s="6" t="s">
        <v>127</v>
      </c>
      <c r="W443" s="6" t="s">
        <v>127</v>
      </c>
      <c r="X443" s="6" t="s">
        <v>238</v>
      </c>
      <c r="Y443" s="24">
        <f t="shared" si="70"/>
        <v>202101</v>
      </c>
      <c r="Z443" s="24">
        <v>0</v>
      </c>
      <c r="AA443" s="24">
        <v>0</v>
      </c>
      <c r="AB443" s="24">
        <v>0</v>
      </c>
      <c r="AC443" s="24">
        <v>1</v>
      </c>
      <c r="AD443" s="24">
        <v>0</v>
      </c>
      <c r="AE443" s="24">
        <v>1</v>
      </c>
      <c r="AF443" s="24">
        <v>0</v>
      </c>
      <c r="AG443" s="10" t="s">
        <v>2276</v>
      </c>
      <c r="AH443" s="10" t="s">
        <v>238</v>
      </c>
      <c r="AI443" s="10" t="s">
        <v>127</v>
      </c>
      <c r="AJ443" s="6" t="s">
        <v>2277</v>
      </c>
      <c r="AK443" s="6" t="s">
        <v>195</v>
      </c>
      <c r="AL443" s="6" t="s">
        <v>127</v>
      </c>
      <c r="AM443" s="6" t="s">
        <v>127</v>
      </c>
      <c r="AN443" s="6" t="s">
        <v>196</v>
      </c>
      <c r="AO443" s="6" t="s">
        <v>127</v>
      </c>
      <c r="AP443" s="6" t="s">
        <v>127</v>
      </c>
      <c r="AQ443" s="6" t="s">
        <v>127</v>
      </c>
      <c r="AR443" s="6" t="s">
        <v>127</v>
      </c>
      <c r="AS443" s="6" t="s">
        <v>127</v>
      </c>
      <c r="AT443" s="6" t="s">
        <v>127</v>
      </c>
      <c r="AU443" s="6" t="s">
        <v>127</v>
      </c>
      <c r="AV443" s="6" t="s">
        <v>127</v>
      </c>
      <c r="AW443" s="6" t="s">
        <v>127</v>
      </c>
      <c r="AX443" s="6" t="s">
        <v>127</v>
      </c>
      <c r="AY443" s="99" t="s">
        <v>2278</v>
      </c>
      <c r="AZ443" s="6" t="s">
        <v>127</v>
      </c>
      <c r="BA443" s="6" t="s">
        <v>127</v>
      </c>
      <c r="BB443" s="6" t="s">
        <v>2279</v>
      </c>
      <c r="BC443" s="6" t="s">
        <v>2280</v>
      </c>
      <c r="BD443" s="6" t="s">
        <v>2281</v>
      </c>
      <c r="BE443" s="6" t="s">
        <v>127</v>
      </c>
    </row>
    <row r="444" spans="1:57" ht="16" x14ac:dyDescent="0.4">
      <c r="A444" s="6" t="s">
        <v>2282</v>
      </c>
      <c r="B444" s="6" t="s">
        <v>2282</v>
      </c>
      <c r="C444" s="6" t="s">
        <v>127</v>
      </c>
      <c r="D444" s="6" t="s">
        <v>238</v>
      </c>
      <c r="E444" s="191">
        <v>44223</v>
      </c>
      <c r="F444" s="6">
        <f t="shared" si="69"/>
        <v>2021</v>
      </c>
      <c r="G444" s="4" t="s">
        <v>2283</v>
      </c>
      <c r="H444" s="22" t="str">
        <f>VLOOKUP($G444,'Item Classification'!B:C,2,0)</f>
        <v>Torpedo maintenance</v>
      </c>
      <c r="I444" s="6" t="str">
        <f>VLOOKUP($G444,'Item Classification'!B:D,3,0)</f>
        <v>Maintenance</v>
      </c>
      <c r="J444" s="23">
        <f>VLOOKUP($G444,'Item Classification'!B:E,4,0)</f>
        <v>14</v>
      </c>
      <c r="K444" s="195" t="s">
        <v>189</v>
      </c>
      <c r="L444" s="195" t="s">
        <v>246</v>
      </c>
      <c r="M444" s="116" t="str">
        <f>VLOOKUP(L444,'NATO Classifications'!$D$6:$E$647,2,0)</f>
        <v>Torpedoes</v>
      </c>
      <c r="N444" s="25">
        <v>6</v>
      </c>
      <c r="O444" s="81">
        <f t="shared" ref="O444" si="79">S444/N444</f>
        <v>38333333.333333336</v>
      </c>
      <c r="P444" s="81">
        <f t="shared" ref="P444" si="80">U444/N444</f>
        <v>44594384.985264458</v>
      </c>
      <c r="Q444" s="25">
        <v>2021</v>
      </c>
      <c r="R444" s="25">
        <v>2027</v>
      </c>
      <c r="S444" s="82">
        <v>230000000</v>
      </c>
      <c r="T444" s="115" t="s">
        <v>2145</v>
      </c>
      <c r="U444" s="104">
        <f>_xlfn.IFNA(S444/INDEX('Exchange Rates'!$C$7:$F$14,MATCH('MAIN DATA, Orders'!F444,'Exchange Rates'!$B$7:$B$14,0),MATCH('MAIN DATA, Orders'!T444,'Exchange Rates'!$C$6:$F$6,0)), "-")</f>
        <v>267566309.91158676</v>
      </c>
      <c r="V444" s="6" t="s">
        <v>127</v>
      </c>
      <c r="W444" s="6" t="s">
        <v>127</v>
      </c>
      <c r="X444" s="6" t="s">
        <v>238</v>
      </c>
      <c r="Y444" s="24">
        <f t="shared" si="70"/>
        <v>202101</v>
      </c>
      <c r="Z444" s="24">
        <v>0</v>
      </c>
      <c r="AA444" s="24">
        <v>1</v>
      </c>
      <c r="AB444" s="24">
        <v>0</v>
      </c>
      <c r="AC444" s="24">
        <v>1</v>
      </c>
      <c r="AD444" s="24">
        <v>0</v>
      </c>
      <c r="AE444" s="24">
        <v>0</v>
      </c>
      <c r="AF444" s="24">
        <v>0</v>
      </c>
      <c r="AG444" s="10" t="s">
        <v>1480</v>
      </c>
      <c r="AH444" s="10" t="s">
        <v>238</v>
      </c>
      <c r="AI444" s="10" t="s">
        <v>127</v>
      </c>
      <c r="AJ444" s="6" t="s">
        <v>127</v>
      </c>
      <c r="AK444" s="6" t="s">
        <v>127</v>
      </c>
      <c r="AL444" s="6" t="s">
        <v>127</v>
      </c>
      <c r="AM444" s="6" t="s">
        <v>127</v>
      </c>
      <c r="AN444" s="6" t="s">
        <v>127</v>
      </c>
      <c r="AO444" s="6" t="s">
        <v>127</v>
      </c>
      <c r="AP444" s="6" t="s">
        <v>127</v>
      </c>
      <c r="AQ444" s="6" t="s">
        <v>127</v>
      </c>
      <c r="AR444" s="6" t="s">
        <v>127</v>
      </c>
      <c r="AS444" s="6" t="s">
        <v>127</v>
      </c>
      <c r="AT444" s="6" t="s">
        <v>127</v>
      </c>
      <c r="AU444" s="6" t="s">
        <v>127</v>
      </c>
      <c r="AV444" s="6" t="s">
        <v>127</v>
      </c>
      <c r="AW444" s="6" t="s">
        <v>127</v>
      </c>
      <c r="AX444" s="6" t="s">
        <v>127</v>
      </c>
      <c r="AY444" s="99" t="s">
        <v>2284</v>
      </c>
      <c r="AZ444" s="6" t="s">
        <v>127</v>
      </c>
      <c r="BA444" s="6" t="s">
        <v>127</v>
      </c>
      <c r="BB444" s="6" t="s">
        <v>2285</v>
      </c>
      <c r="BC444" s="6" t="s">
        <v>2286</v>
      </c>
      <c r="BD444" s="6" t="s">
        <v>2287</v>
      </c>
      <c r="BE444" s="6" t="s">
        <v>127</v>
      </c>
    </row>
    <row r="445" spans="1:57" ht="16" x14ac:dyDescent="0.4">
      <c r="A445" s="6" t="s">
        <v>2288</v>
      </c>
      <c r="B445" s="6" t="s">
        <v>2288</v>
      </c>
      <c r="C445" s="6" t="s">
        <v>127</v>
      </c>
      <c r="D445" s="6" t="s">
        <v>238</v>
      </c>
      <c r="E445" s="191">
        <v>44246</v>
      </c>
      <c r="F445" s="6">
        <f t="shared" si="69"/>
        <v>2021</v>
      </c>
      <c r="G445" s="4" t="s">
        <v>2289</v>
      </c>
      <c r="H445" s="22" t="str">
        <f>VLOOKUP($G445,'Item Classification'!B:C,2,0)</f>
        <v>Vehicle-mounted weapons system</v>
      </c>
      <c r="I445" s="6" t="str">
        <f>VLOOKUP($G445,'Item Classification'!B:D,3,0)</f>
        <v>Other</v>
      </c>
      <c r="J445" s="23">
        <f>VLOOKUP($G445,'Item Classification'!B:E,4,0)</f>
        <v>16</v>
      </c>
      <c r="K445" s="195" t="s">
        <v>763</v>
      </c>
      <c r="L445" s="195" t="s">
        <v>2186</v>
      </c>
      <c r="M445" s="116" t="str">
        <f>VLOOKUP(L445,'NATO Classifications'!$D$6:$E$647,2,0)</f>
        <v>Weapons (other)</v>
      </c>
      <c r="N445" s="25"/>
      <c r="O445" s="25"/>
      <c r="P445" s="25"/>
      <c r="Q445" s="25"/>
      <c r="R445" s="25"/>
      <c r="S445" s="82">
        <v>180000000</v>
      </c>
      <c r="T445" s="115" t="s">
        <v>2145</v>
      </c>
      <c r="U445" s="104">
        <f>_xlfn.IFNA(S445/INDEX('Exchange Rates'!$C$7:$F$14,MATCH('MAIN DATA, Orders'!F445,'Exchange Rates'!$B$7:$B$14,0),MATCH('MAIN DATA, Orders'!T445,'Exchange Rates'!$C$6:$F$6,0)), "-")</f>
        <v>209399720.80037227</v>
      </c>
      <c r="V445" s="6" t="s">
        <v>127</v>
      </c>
      <c r="W445" s="6" t="s">
        <v>127</v>
      </c>
      <c r="X445" s="6" t="s">
        <v>238</v>
      </c>
      <c r="Y445" s="24">
        <f t="shared" si="70"/>
        <v>202102</v>
      </c>
      <c r="Z445" s="24">
        <v>0</v>
      </c>
      <c r="AA445" s="24">
        <v>0</v>
      </c>
      <c r="AB445" s="24">
        <v>0</v>
      </c>
      <c r="AC445" s="24">
        <v>1</v>
      </c>
      <c r="AD445" s="24">
        <v>1</v>
      </c>
      <c r="AE445" s="24">
        <v>0</v>
      </c>
      <c r="AF445" s="24">
        <v>1</v>
      </c>
      <c r="AG445" s="10" t="s">
        <v>2153</v>
      </c>
      <c r="AH445" s="10" t="s">
        <v>238</v>
      </c>
      <c r="AI445" s="10" t="s">
        <v>238</v>
      </c>
      <c r="AJ445" s="6" t="s">
        <v>148</v>
      </c>
      <c r="AK445" s="6" t="s">
        <v>127</v>
      </c>
      <c r="AL445" s="6" t="s">
        <v>127</v>
      </c>
      <c r="AM445" s="6" t="s">
        <v>127</v>
      </c>
      <c r="AN445" s="6" t="s">
        <v>151</v>
      </c>
      <c r="AO445" s="6" t="s">
        <v>127</v>
      </c>
      <c r="AP445" s="6" t="s">
        <v>127</v>
      </c>
      <c r="AQ445" s="6" t="s">
        <v>127</v>
      </c>
      <c r="AR445" s="6" t="s">
        <v>127</v>
      </c>
      <c r="AS445" s="6" t="s">
        <v>127</v>
      </c>
      <c r="AT445" s="6" t="s">
        <v>127</v>
      </c>
      <c r="AU445" s="6" t="s">
        <v>127</v>
      </c>
      <c r="AV445" s="6" t="s">
        <v>127</v>
      </c>
      <c r="AW445" s="6" t="s">
        <v>127</v>
      </c>
      <c r="AX445" s="6" t="s">
        <v>127</v>
      </c>
      <c r="AY445" s="99" t="s">
        <v>2290</v>
      </c>
      <c r="AZ445" s="6" t="s">
        <v>127</v>
      </c>
      <c r="BA445" s="6" t="s">
        <v>127</v>
      </c>
      <c r="BB445" s="6" t="s">
        <v>2291</v>
      </c>
      <c r="BC445" s="6" t="s">
        <v>2292</v>
      </c>
      <c r="BD445" s="6" t="s">
        <v>127</v>
      </c>
      <c r="BE445" s="6" t="s">
        <v>127</v>
      </c>
    </row>
    <row r="446" spans="1:57" ht="16" x14ac:dyDescent="0.4">
      <c r="A446" s="6" t="s">
        <v>2293</v>
      </c>
      <c r="B446" s="6" t="s">
        <v>2293</v>
      </c>
      <c r="C446" s="6" t="s">
        <v>127</v>
      </c>
      <c r="D446" s="6" t="s">
        <v>238</v>
      </c>
      <c r="E446" s="191">
        <v>44259</v>
      </c>
      <c r="F446" s="6">
        <f t="shared" si="69"/>
        <v>2021</v>
      </c>
      <c r="G446" s="4" t="s">
        <v>2294</v>
      </c>
      <c r="H446" s="22" t="str">
        <f>VLOOKUP($G446,'Item Classification'!B:C,2,0)</f>
        <v>Surface-to-air missile (SAM) system (short-range)</v>
      </c>
      <c r="I446" s="6" t="str">
        <f>VLOOKUP($G446,'Item Classification'!B:D,3,0)</f>
        <v>Air defence system</v>
      </c>
      <c r="J446" s="23">
        <f>VLOOKUP($G446,'Item Classification'!B:E,4,0)</f>
        <v>5</v>
      </c>
      <c r="K446" s="195" t="s">
        <v>211</v>
      </c>
      <c r="L446" s="195" t="s">
        <v>211</v>
      </c>
      <c r="M446" s="116" t="str">
        <f>VLOOKUP(L446,'NATO Classifications'!$D$6:$E$647,2,0)</f>
        <v>Guided Missiles</v>
      </c>
      <c r="N446" s="25"/>
      <c r="O446" s="25"/>
      <c r="P446" s="25"/>
      <c r="Q446" s="25"/>
      <c r="R446" s="25">
        <v>2026</v>
      </c>
      <c r="S446" s="82">
        <v>98400000</v>
      </c>
      <c r="T446" s="115" t="s">
        <v>2145</v>
      </c>
      <c r="U446" s="104">
        <f>_xlfn.IFNA(S446/INDEX('Exchange Rates'!$C$7:$F$14,MATCH('MAIN DATA, Orders'!F446,'Exchange Rates'!$B$7:$B$14,0),MATCH('MAIN DATA, Orders'!T446,'Exchange Rates'!$C$6:$F$6,0)), "-")</f>
        <v>114471847.37087017</v>
      </c>
      <c r="V446" s="6" t="s">
        <v>127</v>
      </c>
      <c r="W446" s="6" t="s">
        <v>127</v>
      </c>
      <c r="X446" s="6" t="s">
        <v>238</v>
      </c>
      <c r="Y446" s="24">
        <f t="shared" si="70"/>
        <v>202103</v>
      </c>
      <c r="Z446" s="24">
        <v>0</v>
      </c>
      <c r="AA446" s="24">
        <v>0</v>
      </c>
      <c r="AB446" s="24">
        <v>0</v>
      </c>
      <c r="AC446" s="24">
        <v>1</v>
      </c>
      <c r="AD446" s="24">
        <v>1</v>
      </c>
      <c r="AE446" s="24">
        <v>0</v>
      </c>
      <c r="AF446" s="24">
        <v>1</v>
      </c>
      <c r="AG446" s="10" t="s">
        <v>2153</v>
      </c>
      <c r="AH446" s="10" t="s">
        <v>238</v>
      </c>
      <c r="AI446" s="10" t="s">
        <v>238</v>
      </c>
      <c r="AJ446" s="6" t="s">
        <v>148</v>
      </c>
      <c r="AK446" s="6" t="s">
        <v>127</v>
      </c>
      <c r="AL446" s="6" t="s">
        <v>127</v>
      </c>
      <c r="AM446" s="6" t="s">
        <v>127</v>
      </c>
      <c r="AN446" s="6" t="s">
        <v>151</v>
      </c>
      <c r="AO446" s="6" t="s">
        <v>127</v>
      </c>
      <c r="AP446" s="6" t="s">
        <v>127</v>
      </c>
      <c r="AQ446" s="6" t="s">
        <v>127</v>
      </c>
      <c r="AR446" s="6" t="s">
        <v>127</v>
      </c>
      <c r="AS446" s="6" t="s">
        <v>127</v>
      </c>
      <c r="AT446" s="6" t="s">
        <v>127</v>
      </c>
      <c r="AU446" s="6" t="s">
        <v>127</v>
      </c>
      <c r="AV446" s="6" t="s">
        <v>127</v>
      </c>
      <c r="AW446" s="6" t="s">
        <v>127</v>
      </c>
      <c r="AX446" s="6" t="s">
        <v>127</v>
      </c>
      <c r="AY446" s="99" t="s">
        <v>2295</v>
      </c>
      <c r="AZ446" s="6" t="s">
        <v>127</v>
      </c>
      <c r="BA446" s="6" t="s">
        <v>127</v>
      </c>
      <c r="BB446" s="6" t="s">
        <v>2296</v>
      </c>
      <c r="BC446" s="6" t="s">
        <v>2297</v>
      </c>
      <c r="BD446" s="6" t="s">
        <v>2298</v>
      </c>
      <c r="BE446" s="6" t="s">
        <v>127</v>
      </c>
    </row>
    <row r="447" spans="1:57" ht="16" x14ac:dyDescent="0.4">
      <c r="A447" s="6" t="s">
        <v>2299</v>
      </c>
      <c r="B447" s="6" t="s">
        <v>2299</v>
      </c>
      <c r="C447" s="6" t="s">
        <v>127</v>
      </c>
      <c r="D447" s="6" t="s">
        <v>238</v>
      </c>
      <c r="E447" s="191">
        <v>44323</v>
      </c>
      <c r="F447" s="6">
        <f t="shared" si="69"/>
        <v>2021</v>
      </c>
      <c r="G447" s="4" t="s">
        <v>2300</v>
      </c>
      <c r="H447" s="22" t="str">
        <f>VLOOKUP($G447,'Item Classification'!B:C,2,0)</f>
        <v>Main Battle Tank (MBT)</v>
      </c>
      <c r="I447" s="6" t="str">
        <f>VLOOKUP($G447,'Item Classification'!B:D,3,0)</f>
        <v>Tank</v>
      </c>
      <c r="J447" s="23">
        <f>VLOOKUP($G447,'Item Classification'!B:E,4,0)</f>
        <v>1</v>
      </c>
      <c r="K447" s="195" t="s">
        <v>274</v>
      </c>
      <c r="L447" s="195" t="s">
        <v>329</v>
      </c>
      <c r="M447" s="116" t="str">
        <f>VLOOKUP(L447,'NATO Classifications'!$D$6:$E$647,2,0)</f>
        <v>Combat, Assault, and Tactical Vehicles, Tracked</v>
      </c>
      <c r="N447" s="25">
        <v>148</v>
      </c>
      <c r="O447" s="81">
        <f t="shared" ref="O447" si="81">S447/N447</f>
        <v>5405405.405405405</v>
      </c>
      <c r="P447" s="81">
        <f t="shared" ref="P447" si="82">U447/N447</f>
        <v>6288279.903915083</v>
      </c>
      <c r="Q447" s="25">
        <v>2027</v>
      </c>
      <c r="R447" s="25">
        <v>2030</v>
      </c>
      <c r="S447" s="82">
        <v>800000000</v>
      </c>
      <c r="T447" s="115" t="s">
        <v>2145</v>
      </c>
      <c r="U447" s="104">
        <f>_xlfn.IFNA(S447/INDEX('Exchange Rates'!$C$7:$F$14,MATCH('MAIN DATA, Orders'!F447,'Exchange Rates'!$B$7:$B$14,0),MATCH('MAIN DATA, Orders'!T447,'Exchange Rates'!$C$6:$F$6,0)), "-")</f>
        <v>930665425.7794323</v>
      </c>
      <c r="V447" s="6" t="s">
        <v>127</v>
      </c>
      <c r="W447" s="6" t="s">
        <v>127</v>
      </c>
      <c r="X447" s="6" t="s">
        <v>238</v>
      </c>
      <c r="Y447" s="24">
        <f t="shared" si="70"/>
        <v>202105</v>
      </c>
      <c r="Z447" s="24">
        <v>0</v>
      </c>
      <c r="AA447" s="24">
        <v>0</v>
      </c>
      <c r="AB447" s="24">
        <v>0</v>
      </c>
      <c r="AC447" s="24">
        <v>1</v>
      </c>
      <c r="AD447" s="24">
        <v>1</v>
      </c>
      <c r="AE447" s="24">
        <v>0</v>
      </c>
      <c r="AF447" s="24">
        <v>1</v>
      </c>
      <c r="AG447" s="10" t="s">
        <v>2301</v>
      </c>
      <c r="AH447" s="10" t="s">
        <v>238</v>
      </c>
      <c r="AI447" s="10" t="s">
        <v>238</v>
      </c>
      <c r="AJ447" s="6" t="s">
        <v>256</v>
      </c>
      <c r="AK447" s="6" t="s">
        <v>1480</v>
      </c>
      <c r="AL447" s="6" t="s">
        <v>127</v>
      </c>
      <c r="AM447" s="6" t="s">
        <v>127</v>
      </c>
      <c r="AN447" s="6" t="s">
        <v>128</v>
      </c>
      <c r="AO447" s="6" t="s">
        <v>127</v>
      </c>
      <c r="AP447" s="6" t="s">
        <v>127</v>
      </c>
      <c r="AQ447" s="6" t="s">
        <v>127</v>
      </c>
      <c r="AR447" s="6" t="s">
        <v>127</v>
      </c>
      <c r="AS447" s="6" t="s">
        <v>127</v>
      </c>
      <c r="AT447" s="6" t="s">
        <v>127</v>
      </c>
      <c r="AU447" s="6" t="s">
        <v>127</v>
      </c>
      <c r="AV447" s="6" t="s">
        <v>127</v>
      </c>
      <c r="AW447" s="6" t="s">
        <v>127</v>
      </c>
      <c r="AX447" s="6" t="s">
        <v>127</v>
      </c>
      <c r="AY447" s="99" t="s">
        <v>2302</v>
      </c>
      <c r="AZ447" s="6" t="s">
        <v>127</v>
      </c>
      <c r="BA447" s="6" t="s">
        <v>127</v>
      </c>
      <c r="BB447" s="6" t="s">
        <v>2303</v>
      </c>
      <c r="BC447" s="6" t="s">
        <v>2304</v>
      </c>
      <c r="BD447" s="6" t="s">
        <v>127</v>
      </c>
      <c r="BE447" s="6" t="s">
        <v>127</v>
      </c>
    </row>
    <row r="448" spans="1:57" ht="16" x14ac:dyDescent="0.4">
      <c r="A448" s="6" t="s">
        <v>2305</v>
      </c>
      <c r="B448" s="6" t="s">
        <v>2305</v>
      </c>
      <c r="C448" s="6" t="s">
        <v>127</v>
      </c>
      <c r="D448" s="6" t="s">
        <v>238</v>
      </c>
      <c r="E448" s="191">
        <v>44341</v>
      </c>
      <c r="F448" s="6">
        <f t="shared" si="69"/>
        <v>2021</v>
      </c>
      <c r="G448" s="6" t="s">
        <v>2306</v>
      </c>
      <c r="H448" s="22" t="str">
        <f>VLOOKUP($G448,'Item Classification'!B:C,2,0)</f>
        <v>Air force and navy support system</v>
      </c>
      <c r="I448" s="6" t="str">
        <f>VLOOKUP($G448,'Item Classification'!B:D,3,0)</f>
        <v>Modernisation</v>
      </c>
      <c r="J448" s="23">
        <f>VLOOKUP($G448,'Item Classification'!B:E,4,0)</f>
        <v>13</v>
      </c>
      <c r="K448" s="195" t="s">
        <v>168</v>
      </c>
      <c r="L448" s="195" t="s">
        <v>169</v>
      </c>
      <c r="M448" s="116" t="str">
        <f>VLOOKUP(L448,'NATO Classifications'!$D$6:$E$647,2,0)</f>
        <v>ADPE System Configuration</v>
      </c>
      <c r="N448" s="25">
        <v>5</v>
      </c>
      <c r="O448" s="81">
        <f t="shared" ref="O448:O450" si="83">S448/N448</f>
        <v>9400000</v>
      </c>
      <c r="P448" s="81">
        <f t="shared" ref="P448:P450" si="84">U448/N448</f>
        <v>10935318.75290833</v>
      </c>
      <c r="Q448" s="25">
        <v>2021</v>
      </c>
      <c r="R448" s="25">
        <v>2026</v>
      </c>
      <c r="S448" s="82">
        <v>47000000</v>
      </c>
      <c r="T448" s="115" t="s">
        <v>2145</v>
      </c>
      <c r="U448" s="104">
        <f>_xlfn.IFNA(S448/INDEX('Exchange Rates'!$C$7:$F$14,MATCH('MAIN DATA, Orders'!F448,'Exchange Rates'!$B$7:$B$14,0),MATCH('MAIN DATA, Orders'!T448,'Exchange Rates'!$C$6:$F$6,0)), "-")</f>
        <v>54676593.764541648</v>
      </c>
      <c r="V448" s="6" t="s">
        <v>127</v>
      </c>
      <c r="W448" s="6" t="s">
        <v>127</v>
      </c>
      <c r="X448" s="6" t="s">
        <v>238</v>
      </c>
      <c r="Y448" s="24">
        <f t="shared" si="70"/>
        <v>202105</v>
      </c>
      <c r="Z448" s="24">
        <v>0</v>
      </c>
      <c r="AA448" s="24">
        <v>1</v>
      </c>
      <c r="AB448" s="24">
        <v>0</v>
      </c>
      <c r="AC448" s="24">
        <v>1</v>
      </c>
      <c r="AD448" s="24">
        <v>1</v>
      </c>
      <c r="AE448" s="24">
        <v>0</v>
      </c>
      <c r="AF448" s="24">
        <v>1</v>
      </c>
      <c r="AG448" s="10" t="s">
        <v>2153</v>
      </c>
      <c r="AH448" s="10" t="s">
        <v>238</v>
      </c>
      <c r="AI448" s="10" t="s">
        <v>127</v>
      </c>
      <c r="AJ448" s="6" t="s">
        <v>148</v>
      </c>
      <c r="AK448" s="6" t="s">
        <v>127</v>
      </c>
      <c r="AL448" s="6" t="s">
        <v>127</v>
      </c>
      <c r="AM448" s="6" t="s">
        <v>127</v>
      </c>
      <c r="AN448" s="6" t="s">
        <v>151</v>
      </c>
      <c r="AO448" s="6" t="s">
        <v>127</v>
      </c>
      <c r="AP448" s="6" t="s">
        <v>127</v>
      </c>
      <c r="AQ448" s="6" t="s">
        <v>127</v>
      </c>
      <c r="AR448" s="6" t="s">
        <v>127</v>
      </c>
      <c r="AS448" s="6" t="s">
        <v>127</v>
      </c>
      <c r="AT448" s="6" t="s">
        <v>127</v>
      </c>
      <c r="AU448" s="6" t="s">
        <v>127</v>
      </c>
      <c r="AV448" s="6" t="s">
        <v>127</v>
      </c>
      <c r="AW448" s="6" t="s">
        <v>127</v>
      </c>
      <c r="AX448" s="6" t="s">
        <v>127</v>
      </c>
      <c r="AY448" s="99" t="s">
        <v>2307</v>
      </c>
      <c r="AZ448" s="6" t="s">
        <v>127</v>
      </c>
      <c r="BA448" s="6" t="s">
        <v>127</v>
      </c>
      <c r="BB448" s="6" t="s">
        <v>2308</v>
      </c>
      <c r="BC448" s="6" t="s">
        <v>2309</v>
      </c>
      <c r="BD448" s="6" t="s">
        <v>127</v>
      </c>
      <c r="BE448" s="6" t="s">
        <v>127</v>
      </c>
    </row>
    <row r="449" spans="1:58" ht="16" x14ac:dyDescent="0.4">
      <c r="A449" s="6" t="s">
        <v>2310</v>
      </c>
      <c r="B449" s="6" t="s">
        <v>2310</v>
      </c>
      <c r="C449" s="6" t="s">
        <v>127</v>
      </c>
      <c r="D449" s="6" t="s">
        <v>238</v>
      </c>
      <c r="E449" s="191">
        <v>44343</v>
      </c>
      <c r="F449" s="6">
        <f t="shared" si="69"/>
        <v>2021</v>
      </c>
      <c r="G449" s="4" t="s">
        <v>2311</v>
      </c>
      <c r="H449" s="22" t="str">
        <f>VLOOKUP($G449,'Item Classification'!B:C,2,0)</f>
        <v>Synthetic training equipment</v>
      </c>
      <c r="I449" s="6" t="str">
        <f>VLOOKUP($G449,'Item Classification'!B:D,3,0)</f>
        <v>Other</v>
      </c>
      <c r="J449" s="23">
        <f>VLOOKUP($G449,'Item Classification'!B:E,4,0)</f>
        <v>16</v>
      </c>
      <c r="K449" s="195" t="s">
        <v>941</v>
      </c>
      <c r="L449" s="195" t="s">
        <v>942</v>
      </c>
      <c r="M449" s="116" t="str">
        <f>VLOOKUP(L449,'NATO Classifications'!$D$6:$E$647,2,0)</f>
        <v>Training Aids</v>
      </c>
      <c r="N449" s="25">
        <v>19</v>
      </c>
      <c r="O449" s="81">
        <f t="shared" si="83"/>
        <v>14421052.631578946</v>
      </c>
      <c r="P449" s="81">
        <f t="shared" si="84"/>
        <v>16776468.85944503</v>
      </c>
      <c r="Q449" s="25">
        <v>2021</v>
      </c>
      <c r="R449" s="25">
        <v>2040</v>
      </c>
      <c r="S449" s="82">
        <v>274000000</v>
      </c>
      <c r="T449" s="115" t="s">
        <v>2145</v>
      </c>
      <c r="U449" s="104">
        <f>_xlfn.IFNA(S449/INDEX('Exchange Rates'!$C$7:$F$14,MATCH('MAIN DATA, Orders'!F449,'Exchange Rates'!$B$7:$B$14,0),MATCH('MAIN DATA, Orders'!T449,'Exchange Rates'!$C$6:$F$6,0)), "-")</f>
        <v>318752908.32945555</v>
      </c>
      <c r="V449" s="6" t="s">
        <v>127</v>
      </c>
      <c r="W449" s="6" t="s">
        <v>127</v>
      </c>
      <c r="X449" s="6" t="s">
        <v>238</v>
      </c>
      <c r="Y449" s="24">
        <f t="shared" si="70"/>
        <v>202105</v>
      </c>
      <c r="Z449" s="24">
        <v>0</v>
      </c>
      <c r="AA449" s="24">
        <v>1</v>
      </c>
      <c r="AB449" s="24">
        <v>0</v>
      </c>
      <c r="AC449" s="24">
        <v>1</v>
      </c>
      <c r="AD449" s="24">
        <v>0</v>
      </c>
      <c r="AE449" s="24">
        <v>1</v>
      </c>
      <c r="AF449" s="24">
        <v>1</v>
      </c>
      <c r="AG449" s="10" t="s">
        <v>2312</v>
      </c>
      <c r="AH449" s="10" t="s">
        <v>238</v>
      </c>
      <c r="AI449" s="10" t="s">
        <v>127</v>
      </c>
      <c r="AJ449" s="6" t="s">
        <v>192</v>
      </c>
      <c r="AK449" s="6" t="s">
        <v>127</v>
      </c>
      <c r="AL449" s="6" t="s">
        <v>127</v>
      </c>
      <c r="AM449" s="6" t="s">
        <v>127</v>
      </c>
      <c r="AN449" s="6" t="s">
        <v>196</v>
      </c>
      <c r="AO449" s="6" t="s">
        <v>127</v>
      </c>
      <c r="AP449" s="6" t="s">
        <v>127</v>
      </c>
      <c r="AQ449" s="6" t="s">
        <v>127</v>
      </c>
      <c r="AR449" s="6" t="s">
        <v>127</v>
      </c>
      <c r="AS449" s="6" t="s">
        <v>127</v>
      </c>
      <c r="AT449" s="6" t="s">
        <v>127</v>
      </c>
      <c r="AU449" s="6" t="s">
        <v>127</v>
      </c>
      <c r="AV449" s="6" t="s">
        <v>127</v>
      </c>
      <c r="AW449" s="6" t="s">
        <v>127</v>
      </c>
      <c r="AX449" s="6" t="s">
        <v>127</v>
      </c>
      <c r="AY449" s="99" t="s">
        <v>2313</v>
      </c>
      <c r="AZ449" s="6" t="s">
        <v>127</v>
      </c>
      <c r="BA449" s="6" t="s">
        <v>127</v>
      </c>
      <c r="BB449" s="6" t="s">
        <v>2314</v>
      </c>
      <c r="BC449" s="6" t="s">
        <v>2315</v>
      </c>
      <c r="BD449" s="6" t="s">
        <v>127</v>
      </c>
      <c r="BE449" s="6" t="s">
        <v>127</v>
      </c>
    </row>
    <row r="450" spans="1:58" ht="16" x14ac:dyDescent="0.4">
      <c r="A450" s="6" t="s">
        <v>2316</v>
      </c>
      <c r="B450" s="6" t="s">
        <v>2316</v>
      </c>
      <c r="C450" s="6" t="s">
        <v>127</v>
      </c>
      <c r="D450" s="6" t="s">
        <v>238</v>
      </c>
      <c r="E450" s="191">
        <v>44363</v>
      </c>
      <c r="F450" s="6">
        <f t="shared" si="69"/>
        <v>2021</v>
      </c>
      <c r="G450" s="4" t="s">
        <v>2317</v>
      </c>
      <c r="H450" s="22" t="str">
        <f>VLOOKUP($G450,'Item Classification'!B:C,2,0)</f>
        <v>Patrol boat</v>
      </c>
      <c r="I450" s="6" t="str">
        <f>VLOOKUP($G450,'Item Classification'!B:D,3,0)</f>
        <v>Naval</v>
      </c>
      <c r="J450" s="23">
        <f>VLOOKUP($G450,'Item Classification'!B:E,4,0)</f>
        <v>12</v>
      </c>
      <c r="K450" s="195" t="s">
        <v>143</v>
      </c>
      <c r="L450" s="195" t="s">
        <v>681</v>
      </c>
      <c r="M450" s="116" t="str">
        <f>VLOOKUP(L450,'NATO Classifications'!$D$6:$E$647,2,0)</f>
        <v>Small Craft</v>
      </c>
      <c r="N450" s="25">
        <v>16</v>
      </c>
      <c r="O450" s="81">
        <f t="shared" si="83"/>
        <v>2250000</v>
      </c>
      <c r="P450" s="81">
        <f t="shared" si="84"/>
        <v>2617496.5100046531</v>
      </c>
      <c r="Q450" s="25"/>
      <c r="R450" s="25"/>
      <c r="S450" s="82">
        <v>36000000</v>
      </c>
      <c r="T450" s="115" t="s">
        <v>2145</v>
      </c>
      <c r="U450" s="104">
        <f>_xlfn.IFNA(S450/INDEX('Exchange Rates'!$C$7:$F$14,MATCH('MAIN DATA, Orders'!F450,'Exchange Rates'!$B$7:$B$14,0),MATCH('MAIN DATA, Orders'!T450,'Exchange Rates'!$C$6:$F$6,0)), "-")</f>
        <v>41879944.16007445</v>
      </c>
      <c r="V450" s="6" t="s">
        <v>127</v>
      </c>
      <c r="W450" s="6" t="s">
        <v>127</v>
      </c>
      <c r="X450" s="6" t="s">
        <v>238</v>
      </c>
      <c r="Y450" s="24">
        <f t="shared" si="70"/>
        <v>202106</v>
      </c>
      <c r="Z450" s="24">
        <v>0</v>
      </c>
      <c r="AA450" s="24">
        <v>0</v>
      </c>
      <c r="AB450" s="24">
        <v>0</v>
      </c>
      <c r="AC450" s="24">
        <v>1</v>
      </c>
      <c r="AD450" s="24">
        <v>0</v>
      </c>
      <c r="AE450" s="24">
        <v>0</v>
      </c>
      <c r="AF450" s="24">
        <v>0</v>
      </c>
      <c r="AG450" s="10" t="s">
        <v>2180</v>
      </c>
      <c r="AH450" s="10" t="s">
        <v>238</v>
      </c>
      <c r="AI450" s="10" t="s">
        <v>127</v>
      </c>
      <c r="AJ450" s="6" t="s">
        <v>127</v>
      </c>
      <c r="AK450" s="6" t="s">
        <v>127</v>
      </c>
      <c r="AL450" s="6" t="s">
        <v>127</v>
      </c>
      <c r="AM450" s="6" t="s">
        <v>127</v>
      </c>
      <c r="AN450" s="6" t="s">
        <v>127</v>
      </c>
      <c r="AO450" s="6" t="s">
        <v>127</v>
      </c>
      <c r="AP450" s="6" t="s">
        <v>127</v>
      </c>
      <c r="AQ450" s="6" t="s">
        <v>127</v>
      </c>
      <c r="AR450" s="6" t="s">
        <v>127</v>
      </c>
      <c r="AS450" s="6" t="s">
        <v>127</v>
      </c>
      <c r="AT450" s="6" t="s">
        <v>127</v>
      </c>
      <c r="AU450" s="6" t="s">
        <v>127</v>
      </c>
      <c r="AV450" s="6" t="s">
        <v>127</v>
      </c>
      <c r="AW450" s="6" t="s">
        <v>127</v>
      </c>
      <c r="AX450" s="6" t="s">
        <v>127</v>
      </c>
      <c r="AY450" s="99" t="s">
        <v>2318</v>
      </c>
      <c r="AZ450" s="6" t="s">
        <v>127</v>
      </c>
      <c r="BA450" s="6" t="s">
        <v>127</v>
      </c>
      <c r="BB450" s="6" t="s">
        <v>2319</v>
      </c>
      <c r="BC450" s="6" t="s">
        <v>2320</v>
      </c>
      <c r="BD450" s="6" t="s">
        <v>127</v>
      </c>
      <c r="BE450" s="6" t="s">
        <v>127</v>
      </c>
    </row>
    <row r="451" spans="1:58" ht="16" x14ac:dyDescent="0.4">
      <c r="A451" s="6" t="s">
        <v>2321</v>
      </c>
      <c r="B451" s="6" t="s">
        <v>2321</v>
      </c>
      <c r="C451" s="6" t="s">
        <v>127</v>
      </c>
      <c r="D451" s="6" t="s">
        <v>238</v>
      </c>
      <c r="E451" s="191">
        <v>44378</v>
      </c>
      <c r="F451" s="6">
        <f t="shared" si="69"/>
        <v>2021</v>
      </c>
      <c r="G451" s="4" t="s">
        <v>2322</v>
      </c>
      <c r="H451" s="22" t="str">
        <f>VLOOKUP($G451,'Item Classification'!B:C,2,0)</f>
        <v>Missile development</v>
      </c>
      <c r="I451" s="6" t="str">
        <f>VLOOKUP($G451,'Item Classification'!B:D,3,0)</f>
        <v>Development - Missile (Air)</v>
      </c>
      <c r="J451" s="23">
        <f>VLOOKUP($G451,'Item Classification'!B:E,4,0)</f>
        <v>15</v>
      </c>
      <c r="K451" s="195" t="s">
        <v>211</v>
      </c>
      <c r="L451" s="195" t="s">
        <v>211</v>
      </c>
      <c r="M451" s="116" t="str">
        <f>VLOOKUP(L451,'NATO Classifications'!$D$6:$E$647,2,0)</f>
        <v>Guided Missiles</v>
      </c>
      <c r="N451" s="25"/>
      <c r="O451" s="25"/>
      <c r="P451" s="25"/>
      <c r="Q451" s="25"/>
      <c r="R451" s="25"/>
      <c r="S451" s="82">
        <v>3500000</v>
      </c>
      <c r="T451" s="115" t="s">
        <v>2145</v>
      </c>
      <c r="U451" s="104">
        <f>_xlfn.IFNA(S451/INDEX('Exchange Rates'!$C$7:$F$14,MATCH('MAIN DATA, Orders'!F451,'Exchange Rates'!$B$7:$B$14,0),MATCH('MAIN DATA, Orders'!T451,'Exchange Rates'!$C$6:$F$6,0)), "-")</f>
        <v>4071661.2377850162</v>
      </c>
      <c r="V451" s="6" t="s">
        <v>127</v>
      </c>
      <c r="W451" s="6" t="s">
        <v>127</v>
      </c>
      <c r="X451" s="6" t="s">
        <v>238</v>
      </c>
      <c r="Y451" s="24">
        <f t="shared" si="70"/>
        <v>202107</v>
      </c>
      <c r="Z451" s="24">
        <v>0</v>
      </c>
      <c r="AA451" s="24">
        <v>0</v>
      </c>
      <c r="AB451" s="24">
        <v>0</v>
      </c>
      <c r="AC451" s="24">
        <v>1</v>
      </c>
      <c r="AD451" s="24">
        <v>0</v>
      </c>
      <c r="AE451" s="24">
        <v>0</v>
      </c>
      <c r="AF451" s="24">
        <v>0</v>
      </c>
      <c r="AG451" s="10" t="s">
        <v>2323</v>
      </c>
      <c r="AH451" s="10" t="s">
        <v>238</v>
      </c>
      <c r="AI451" s="10" t="s">
        <v>127</v>
      </c>
      <c r="AJ451" s="6" t="s">
        <v>127</v>
      </c>
      <c r="AK451" s="6" t="s">
        <v>127</v>
      </c>
      <c r="AL451" s="6" t="s">
        <v>127</v>
      </c>
      <c r="AM451" s="6" t="s">
        <v>127</v>
      </c>
      <c r="AN451" s="6" t="s">
        <v>127</v>
      </c>
      <c r="AO451" s="6" t="s">
        <v>127</v>
      </c>
      <c r="AP451" s="6" t="s">
        <v>127</v>
      </c>
      <c r="AQ451" s="6" t="s">
        <v>127</v>
      </c>
      <c r="AR451" s="6" t="s">
        <v>127</v>
      </c>
      <c r="AS451" s="6" t="s">
        <v>127</v>
      </c>
      <c r="AT451" s="6" t="s">
        <v>127</v>
      </c>
      <c r="AU451" s="6" t="s">
        <v>127</v>
      </c>
      <c r="AV451" s="6" t="s">
        <v>127</v>
      </c>
      <c r="AW451" s="6" t="s">
        <v>127</v>
      </c>
      <c r="AX451" s="6" t="s">
        <v>127</v>
      </c>
      <c r="AY451" s="99" t="s">
        <v>2324</v>
      </c>
      <c r="AZ451" s="6" t="s">
        <v>127</v>
      </c>
      <c r="BA451" s="6" t="s">
        <v>127</v>
      </c>
      <c r="BB451" s="6" t="s">
        <v>2325</v>
      </c>
      <c r="BC451" s="6" t="s">
        <v>2326</v>
      </c>
      <c r="BD451" s="6" t="s">
        <v>127</v>
      </c>
      <c r="BE451" s="6" t="s">
        <v>127</v>
      </c>
    </row>
    <row r="452" spans="1:58" ht="16" x14ac:dyDescent="0.4">
      <c r="A452" s="6" t="s">
        <v>2327</v>
      </c>
      <c r="B452" s="6" t="s">
        <v>2327</v>
      </c>
      <c r="C452" s="6" t="s">
        <v>127</v>
      </c>
      <c r="D452" s="6" t="s">
        <v>238</v>
      </c>
      <c r="E452" s="191">
        <v>44383</v>
      </c>
      <c r="F452" s="6">
        <f t="shared" si="69"/>
        <v>2021</v>
      </c>
      <c r="G452" s="6" t="s">
        <v>127</v>
      </c>
      <c r="H452" s="22" t="s">
        <v>1890</v>
      </c>
      <c r="I452" s="6" t="s">
        <v>1891</v>
      </c>
      <c r="J452" s="23">
        <v>6</v>
      </c>
      <c r="K452" s="195" t="s">
        <v>211</v>
      </c>
      <c r="L452" s="195" t="s">
        <v>211</v>
      </c>
      <c r="M452" s="116" t="str">
        <f>VLOOKUP(L452,'NATO Classifications'!$D$6:$E$647,2,0)</f>
        <v>Guided Missiles</v>
      </c>
      <c r="N452" s="25"/>
      <c r="O452" s="25"/>
      <c r="P452" s="25"/>
      <c r="Q452" s="25">
        <v>2026</v>
      </c>
      <c r="R452" s="25"/>
      <c r="S452" s="82">
        <v>500000000</v>
      </c>
      <c r="T452" s="115" t="s">
        <v>2145</v>
      </c>
      <c r="U452" s="104">
        <f>_xlfn.IFNA(S452/INDEX('Exchange Rates'!$C$7:$F$14,MATCH('MAIN DATA, Orders'!F452,'Exchange Rates'!$B$7:$B$14,0),MATCH('MAIN DATA, Orders'!T452,'Exchange Rates'!$C$6:$F$6,0)), "-")</f>
        <v>581665891.11214519</v>
      </c>
      <c r="V452" s="6" t="s">
        <v>127</v>
      </c>
      <c r="W452" s="6" t="s">
        <v>127</v>
      </c>
      <c r="X452" s="6" t="s">
        <v>238</v>
      </c>
      <c r="Y452" s="24">
        <f t="shared" si="70"/>
        <v>202107</v>
      </c>
      <c r="Z452" s="24">
        <v>0</v>
      </c>
      <c r="AA452" s="24">
        <v>0</v>
      </c>
      <c r="AB452" s="24">
        <v>0</v>
      </c>
      <c r="AC452" s="24" t="s">
        <v>127</v>
      </c>
      <c r="AD452" s="24" t="s">
        <v>127</v>
      </c>
      <c r="AE452" s="24" t="s">
        <v>127</v>
      </c>
      <c r="AF452" s="24" t="s">
        <v>127</v>
      </c>
      <c r="AG452" s="10" t="s">
        <v>127</v>
      </c>
      <c r="AH452" s="10" t="s">
        <v>127</v>
      </c>
      <c r="AI452" s="10" t="s">
        <v>127</v>
      </c>
      <c r="AJ452" s="6" t="s">
        <v>127</v>
      </c>
      <c r="AK452" s="6" t="s">
        <v>127</v>
      </c>
      <c r="AL452" s="6" t="s">
        <v>127</v>
      </c>
      <c r="AM452" s="6" t="s">
        <v>127</v>
      </c>
      <c r="AN452" s="6" t="s">
        <v>127</v>
      </c>
      <c r="AO452" s="6" t="s">
        <v>127</v>
      </c>
      <c r="AP452" s="6" t="s">
        <v>127</v>
      </c>
      <c r="AQ452" s="6" t="s">
        <v>127</v>
      </c>
      <c r="AR452" s="6" t="s">
        <v>127</v>
      </c>
      <c r="AS452" s="6" t="s">
        <v>127</v>
      </c>
      <c r="AT452" s="6" t="s">
        <v>127</v>
      </c>
      <c r="AU452" s="6" t="s">
        <v>127</v>
      </c>
      <c r="AV452" s="6" t="s">
        <v>127</v>
      </c>
      <c r="AW452" s="6" t="s">
        <v>127</v>
      </c>
      <c r="AX452" s="6" t="s">
        <v>127</v>
      </c>
      <c r="AY452" s="99" t="s">
        <v>2328</v>
      </c>
      <c r="AZ452" s="6" t="s">
        <v>127</v>
      </c>
      <c r="BA452" s="6" t="s">
        <v>127</v>
      </c>
      <c r="BB452" s="6" t="s">
        <v>2329</v>
      </c>
      <c r="BC452" s="6" t="s">
        <v>2330</v>
      </c>
      <c r="BD452" s="6" t="s">
        <v>127</v>
      </c>
      <c r="BE452" s="6" t="s">
        <v>127</v>
      </c>
    </row>
    <row r="453" spans="1:58" ht="16" x14ac:dyDescent="0.4">
      <c r="A453" s="6" t="s">
        <v>2327</v>
      </c>
      <c r="B453" s="6" t="s">
        <v>2331</v>
      </c>
      <c r="C453" s="6" t="s">
        <v>127</v>
      </c>
      <c r="D453" s="6" t="s">
        <v>238</v>
      </c>
      <c r="E453" s="191">
        <v>44383</v>
      </c>
      <c r="F453" s="6">
        <f t="shared" si="69"/>
        <v>2021</v>
      </c>
      <c r="G453" s="4" t="s">
        <v>2332</v>
      </c>
      <c r="H453" s="22" t="str">
        <f>VLOOKUP($G453,'Item Classification'!B:C,2,0)</f>
        <v>Naval guided surface-to-air missile (SAM)</v>
      </c>
      <c r="I453" s="6" t="str">
        <f>VLOOKUP($G453,'Item Classification'!B:D,3,0)</f>
        <v>Missile (Naval)</v>
      </c>
      <c r="J453" s="23">
        <f>VLOOKUP($G453,'Item Classification'!B:E,4,0)</f>
        <v>6</v>
      </c>
      <c r="K453" s="195" t="s">
        <v>211</v>
      </c>
      <c r="L453" s="195" t="s">
        <v>211</v>
      </c>
      <c r="M453" s="116" t="str">
        <f>VLOOKUP(L453,'NATO Classifications'!$D$6:$E$647,2,0)</f>
        <v>Guided Missiles</v>
      </c>
      <c r="N453" s="25"/>
      <c r="O453" s="25"/>
      <c r="P453" s="25"/>
      <c r="Q453" s="25">
        <v>2026</v>
      </c>
      <c r="R453" s="25"/>
      <c r="S453" s="25"/>
      <c r="T453" s="115" t="s">
        <v>2145</v>
      </c>
      <c r="U453" s="104">
        <f>_xlfn.IFNA(S453/INDEX('Exchange Rates'!$C$7:$F$14,MATCH('MAIN DATA, Orders'!F453,'Exchange Rates'!$B$7:$B$14,0),MATCH('MAIN DATA, Orders'!T453,'Exchange Rates'!$C$6:$F$6,0)), "-")</f>
        <v>0</v>
      </c>
      <c r="V453" s="6" t="s">
        <v>127</v>
      </c>
      <c r="W453" s="6" t="s">
        <v>127</v>
      </c>
      <c r="X453" s="6" t="s">
        <v>238</v>
      </c>
      <c r="Y453" s="24">
        <f t="shared" si="70"/>
        <v>202107</v>
      </c>
      <c r="Z453" s="24">
        <v>0</v>
      </c>
      <c r="AA453" s="24">
        <v>0</v>
      </c>
      <c r="AB453" s="24">
        <v>0</v>
      </c>
      <c r="AC453" s="24">
        <v>1</v>
      </c>
      <c r="AD453" s="24">
        <v>1</v>
      </c>
      <c r="AE453" s="24">
        <v>0</v>
      </c>
      <c r="AF453" s="24">
        <v>0</v>
      </c>
      <c r="AG453" s="10" t="s">
        <v>2333</v>
      </c>
      <c r="AH453" s="10" t="s">
        <v>151</v>
      </c>
      <c r="AI453" s="10" t="s">
        <v>127</v>
      </c>
      <c r="AJ453" s="6" t="s">
        <v>127</v>
      </c>
      <c r="AK453" s="6" t="s">
        <v>127</v>
      </c>
      <c r="AL453" s="6" t="s">
        <v>127</v>
      </c>
      <c r="AM453" s="6" t="s">
        <v>127</v>
      </c>
      <c r="AN453" s="6" t="s">
        <v>197</v>
      </c>
      <c r="AO453" s="6" t="s">
        <v>127</v>
      </c>
      <c r="AP453" s="6" t="s">
        <v>127</v>
      </c>
      <c r="AQ453" s="6" t="s">
        <v>127</v>
      </c>
      <c r="AR453" s="6" t="s">
        <v>127</v>
      </c>
      <c r="AS453" s="6" t="s">
        <v>127</v>
      </c>
      <c r="AT453" s="6" t="s">
        <v>127</v>
      </c>
      <c r="AU453" s="6" t="s">
        <v>127</v>
      </c>
      <c r="AV453" s="6" t="s">
        <v>127</v>
      </c>
      <c r="AW453" s="6" t="s">
        <v>127</v>
      </c>
      <c r="AX453" s="6" t="s">
        <v>127</v>
      </c>
      <c r="AY453" s="99" t="s">
        <v>2328</v>
      </c>
      <c r="AZ453" s="6" t="s">
        <v>127</v>
      </c>
      <c r="BA453" s="6" t="s">
        <v>127</v>
      </c>
      <c r="BB453" s="6" t="s">
        <v>2329</v>
      </c>
      <c r="BC453" s="6" t="s">
        <v>2330</v>
      </c>
      <c r="BD453" s="6" t="s">
        <v>127</v>
      </c>
      <c r="BE453" s="6" t="s">
        <v>127</v>
      </c>
    </row>
    <row r="454" spans="1:58" ht="16" x14ac:dyDescent="0.4">
      <c r="A454" s="6" t="s">
        <v>2327</v>
      </c>
      <c r="B454" s="6" t="s">
        <v>2334</v>
      </c>
      <c r="C454" s="6" t="s">
        <v>127</v>
      </c>
      <c r="D454" s="6" t="s">
        <v>238</v>
      </c>
      <c r="E454" s="191">
        <v>44383</v>
      </c>
      <c r="F454" s="6">
        <f t="shared" si="69"/>
        <v>2021</v>
      </c>
      <c r="G454" s="4" t="s">
        <v>2335</v>
      </c>
      <c r="H454" s="22" t="str">
        <f>VLOOKUP($G454,'Item Classification'!B:C,2,0)</f>
        <v>Naval guided surface-to-air missile (SAM)</v>
      </c>
      <c r="I454" s="6" t="str">
        <f>VLOOKUP($G454,'Item Classification'!B:D,3,0)</f>
        <v>Missile (Naval)</v>
      </c>
      <c r="J454" s="23">
        <f>VLOOKUP($G454,'Item Classification'!B:E,4,0)</f>
        <v>6</v>
      </c>
      <c r="K454" s="195" t="s">
        <v>211</v>
      </c>
      <c r="L454" s="195" t="s">
        <v>211</v>
      </c>
      <c r="M454" s="116" t="str">
        <f>VLOOKUP(L454,'NATO Classifications'!$D$6:$E$647,2,0)</f>
        <v>Guided Missiles</v>
      </c>
      <c r="N454" s="25"/>
      <c r="O454" s="25"/>
      <c r="P454" s="25"/>
      <c r="Q454" s="25">
        <v>2026</v>
      </c>
      <c r="R454" s="25"/>
      <c r="S454" s="25"/>
      <c r="T454" s="115" t="s">
        <v>2145</v>
      </c>
      <c r="U454" s="104">
        <f>_xlfn.IFNA(S454/INDEX('Exchange Rates'!$C$7:$F$14,MATCH('MAIN DATA, Orders'!F454,'Exchange Rates'!$B$7:$B$14,0),MATCH('MAIN DATA, Orders'!T454,'Exchange Rates'!$C$6:$F$6,0)), "-")</f>
        <v>0</v>
      </c>
      <c r="V454" s="6" t="s">
        <v>127</v>
      </c>
      <c r="W454" s="6" t="s">
        <v>127</v>
      </c>
      <c r="X454" s="6" t="s">
        <v>238</v>
      </c>
      <c r="Y454" s="24">
        <f t="shared" si="70"/>
        <v>202107</v>
      </c>
      <c r="Z454" s="24">
        <v>0</v>
      </c>
      <c r="AA454" s="24">
        <v>0</v>
      </c>
      <c r="AB454" s="24">
        <v>0</v>
      </c>
      <c r="AC454" s="24">
        <v>1</v>
      </c>
      <c r="AD454" s="24">
        <v>1</v>
      </c>
      <c r="AE454" s="24">
        <v>0</v>
      </c>
      <c r="AF454" s="24">
        <v>1</v>
      </c>
      <c r="AG454" s="10" t="s">
        <v>2248</v>
      </c>
      <c r="AH454" s="10" t="s">
        <v>238</v>
      </c>
      <c r="AI454" s="10" t="s">
        <v>127</v>
      </c>
      <c r="AJ454" s="6" t="s">
        <v>127</v>
      </c>
      <c r="AK454" s="6" t="s">
        <v>127</v>
      </c>
      <c r="AL454" s="6" t="s">
        <v>127</v>
      </c>
      <c r="AM454" s="6" t="s">
        <v>127</v>
      </c>
      <c r="AN454" s="6" t="s">
        <v>151</v>
      </c>
      <c r="AO454" s="6" t="s">
        <v>197</v>
      </c>
      <c r="AP454" s="6" t="s">
        <v>128</v>
      </c>
      <c r="AQ454" s="6" t="s">
        <v>162</v>
      </c>
      <c r="AR454" s="6" t="s">
        <v>127</v>
      </c>
      <c r="AS454" s="6" t="s">
        <v>127</v>
      </c>
      <c r="AT454" s="6" t="s">
        <v>127</v>
      </c>
      <c r="AU454" s="6" t="s">
        <v>127</v>
      </c>
      <c r="AV454" s="6" t="s">
        <v>127</v>
      </c>
      <c r="AW454" s="6" t="s">
        <v>127</v>
      </c>
      <c r="AX454" s="6" t="s">
        <v>127</v>
      </c>
      <c r="AY454" s="99" t="s">
        <v>2328</v>
      </c>
      <c r="AZ454" s="6" t="s">
        <v>127</v>
      </c>
      <c r="BA454" s="6" t="s">
        <v>127</v>
      </c>
      <c r="BB454" s="6" t="s">
        <v>2329</v>
      </c>
      <c r="BC454" s="6" t="s">
        <v>2330</v>
      </c>
      <c r="BD454" s="6" t="s">
        <v>127</v>
      </c>
      <c r="BE454" s="6" t="s">
        <v>127</v>
      </c>
    </row>
    <row r="455" spans="1:58" ht="16" x14ac:dyDescent="0.4">
      <c r="A455" s="6" t="s">
        <v>2336</v>
      </c>
      <c r="B455" s="6" t="s">
        <v>2336</v>
      </c>
      <c r="C455" s="6" t="s">
        <v>127</v>
      </c>
      <c r="D455" s="6" t="s">
        <v>238</v>
      </c>
      <c r="E455" s="191">
        <v>44385</v>
      </c>
      <c r="F455" s="6">
        <f t="shared" si="69"/>
        <v>2021</v>
      </c>
      <c r="G455" s="4" t="s">
        <v>2337</v>
      </c>
      <c r="H455" s="22" t="str">
        <f>VLOOKUP($G455,'Item Classification'!B:C,2,0)</f>
        <v>Aircraft maintenance</v>
      </c>
      <c r="I455" s="6" t="str">
        <f>VLOOKUP($G455,'Item Classification'!B:D,3,0)</f>
        <v>Maintenance</v>
      </c>
      <c r="J455" s="23">
        <f>VLOOKUP($G455,'Item Classification'!B:E,4,0)</f>
        <v>14</v>
      </c>
      <c r="K455" s="195" t="s">
        <v>130</v>
      </c>
      <c r="L455" s="195" t="s">
        <v>237</v>
      </c>
      <c r="M455" s="116" t="str">
        <f>VLOOKUP(L455,'NATO Classifications'!$D$6:$E$647,2,0)</f>
        <v>Aircraft, Fixed Wing</v>
      </c>
      <c r="N455" s="25"/>
      <c r="O455" s="25"/>
      <c r="P455" s="25"/>
      <c r="Q455" s="25"/>
      <c r="R455" s="25"/>
      <c r="S455" s="82">
        <v>230000000</v>
      </c>
      <c r="T455" s="115" t="s">
        <v>2145</v>
      </c>
      <c r="U455" s="104">
        <f>_xlfn.IFNA(S455/INDEX('Exchange Rates'!$C$7:$F$14,MATCH('MAIN DATA, Orders'!F455,'Exchange Rates'!$B$7:$B$14,0),MATCH('MAIN DATA, Orders'!T455,'Exchange Rates'!$C$6:$F$6,0)), "-")</f>
        <v>267566309.91158676</v>
      </c>
      <c r="V455" s="6" t="s">
        <v>127</v>
      </c>
      <c r="W455" s="6" t="s">
        <v>127</v>
      </c>
      <c r="X455" s="6" t="s">
        <v>238</v>
      </c>
      <c r="Y455" s="24">
        <f t="shared" si="70"/>
        <v>202107</v>
      </c>
      <c r="Z455" s="24">
        <v>0</v>
      </c>
      <c r="AA455" s="24">
        <v>0</v>
      </c>
      <c r="AB455" s="24">
        <v>0</v>
      </c>
      <c r="AC455" s="24">
        <v>1</v>
      </c>
      <c r="AD455" s="24">
        <v>0</v>
      </c>
      <c r="AE455" s="24">
        <v>1</v>
      </c>
      <c r="AF455" s="24">
        <v>1</v>
      </c>
      <c r="AG455" s="10" t="s">
        <v>2312</v>
      </c>
      <c r="AH455" s="10" t="s">
        <v>238</v>
      </c>
      <c r="AI455" s="10" t="s">
        <v>127</v>
      </c>
      <c r="AJ455" s="6" t="s">
        <v>192</v>
      </c>
      <c r="AK455" s="6" t="s">
        <v>127</v>
      </c>
      <c r="AL455" s="6" t="s">
        <v>127</v>
      </c>
      <c r="AM455" s="6" t="s">
        <v>127</v>
      </c>
      <c r="AN455" s="6" t="s">
        <v>196</v>
      </c>
      <c r="AO455" s="6" t="s">
        <v>127</v>
      </c>
      <c r="AP455" s="6" t="s">
        <v>127</v>
      </c>
      <c r="AQ455" s="6" t="s">
        <v>127</v>
      </c>
      <c r="AR455" s="6" t="s">
        <v>127</v>
      </c>
      <c r="AS455" s="6" t="s">
        <v>127</v>
      </c>
      <c r="AT455" s="6" t="s">
        <v>127</v>
      </c>
      <c r="AU455" s="6" t="s">
        <v>127</v>
      </c>
      <c r="AV455" s="6" t="s">
        <v>127</v>
      </c>
      <c r="AW455" s="6" t="s">
        <v>127</v>
      </c>
      <c r="AX455" s="6" t="s">
        <v>127</v>
      </c>
      <c r="AY455" s="99" t="s">
        <v>2338</v>
      </c>
      <c r="AZ455" s="99" t="s">
        <v>2339</v>
      </c>
      <c r="BA455" s="6" t="s">
        <v>127</v>
      </c>
      <c r="BB455" s="6" t="s">
        <v>2340</v>
      </c>
      <c r="BC455" s="6" t="s">
        <v>2341</v>
      </c>
      <c r="BD455" s="6" t="s">
        <v>127</v>
      </c>
      <c r="BE455" s="6" t="s">
        <v>127</v>
      </c>
    </row>
    <row r="456" spans="1:58" ht="16" x14ac:dyDescent="0.4">
      <c r="A456" s="6" t="s">
        <v>2342</v>
      </c>
      <c r="B456" s="6" t="s">
        <v>2342</v>
      </c>
      <c r="C456" s="6" t="s">
        <v>127</v>
      </c>
      <c r="D456" s="6" t="s">
        <v>238</v>
      </c>
      <c r="E456" s="191">
        <v>44392</v>
      </c>
      <c r="F456" s="6">
        <f t="shared" si="69"/>
        <v>2021</v>
      </c>
      <c r="G456" s="4" t="s">
        <v>2191</v>
      </c>
      <c r="H456" s="22" t="str">
        <f>VLOOKUP($G456,'Item Classification'!B:C,2,0)</f>
        <v>Aquatic obstacle survey system development</v>
      </c>
      <c r="I456" s="6" t="str">
        <f>VLOOKUP($G456,'Item Classification'!B:D,3,0)</f>
        <v>Development - Drone</v>
      </c>
      <c r="J456" s="23">
        <f>VLOOKUP($G456,'Item Classification'!B:E,4,0)</f>
        <v>15</v>
      </c>
      <c r="K456" s="195" t="s">
        <v>143</v>
      </c>
      <c r="L456" s="195" t="s">
        <v>1052</v>
      </c>
      <c r="M456" s="116" t="str">
        <f>VLOOKUP(L456,'NATO Classifications'!$D$6:$E$647,2,0)</f>
        <v>Miscellaneous Vessels</v>
      </c>
      <c r="N456" s="25"/>
      <c r="O456" s="25"/>
      <c r="P456" s="25"/>
      <c r="Q456" s="25"/>
      <c r="R456" s="25"/>
      <c r="S456" s="82">
        <v>2000000</v>
      </c>
      <c r="T456" s="115" t="s">
        <v>2145</v>
      </c>
      <c r="U456" s="104">
        <f>_xlfn.IFNA(S456/INDEX('Exchange Rates'!$C$7:$F$14,MATCH('MAIN DATA, Orders'!F456,'Exchange Rates'!$B$7:$B$14,0),MATCH('MAIN DATA, Orders'!T456,'Exchange Rates'!$C$6:$F$6,0)), "-")</f>
        <v>2326663.5644485806</v>
      </c>
      <c r="V456" s="6" t="s">
        <v>127</v>
      </c>
      <c r="W456" s="6" t="s">
        <v>127</v>
      </c>
      <c r="X456" s="6" t="s">
        <v>238</v>
      </c>
      <c r="Y456" s="24">
        <f t="shared" si="70"/>
        <v>202107</v>
      </c>
      <c r="Z456" s="24">
        <v>0</v>
      </c>
      <c r="AA456" s="24">
        <v>0</v>
      </c>
      <c r="AB456" s="24">
        <v>0</v>
      </c>
      <c r="AC456" s="24">
        <v>1</v>
      </c>
      <c r="AD456" s="24">
        <v>0</v>
      </c>
      <c r="AE456" s="24">
        <v>0</v>
      </c>
      <c r="AF456" s="24">
        <v>0</v>
      </c>
      <c r="AG456" s="10" t="s">
        <v>2192</v>
      </c>
      <c r="AH456" s="10" t="s">
        <v>238</v>
      </c>
      <c r="AI456" s="10" t="s">
        <v>127</v>
      </c>
      <c r="AJ456" s="6" t="s">
        <v>2343</v>
      </c>
      <c r="AK456" s="6" t="s">
        <v>2344</v>
      </c>
      <c r="AL456" s="6" t="s">
        <v>127</v>
      </c>
      <c r="AM456" s="6" t="s">
        <v>127</v>
      </c>
      <c r="AN456" s="6" t="s">
        <v>127</v>
      </c>
      <c r="AO456" s="6" t="s">
        <v>127</v>
      </c>
      <c r="AP456" s="6" t="s">
        <v>127</v>
      </c>
      <c r="AQ456" s="6" t="s">
        <v>127</v>
      </c>
      <c r="AR456" s="6" t="s">
        <v>127</v>
      </c>
      <c r="AS456" s="6" t="s">
        <v>127</v>
      </c>
      <c r="AT456" s="6" t="s">
        <v>127</v>
      </c>
      <c r="AU456" s="6" t="s">
        <v>127</v>
      </c>
      <c r="AV456" s="6" t="s">
        <v>127</v>
      </c>
      <c r="AW456" s="6" t="s">
        <v>127</v>
      </c>
      <c r="AX456" s="6" t="s">
        <v>127</v>
      </c>
      <c r="AY456" s="99" t="s">
        <v>2345</v>
      </c>
      <c r="AZ456" s="6" t="s">
        <v>127</v>
      </c>
      <c r="BA456" s="6" t="s">
        <v>127</v>
      </c>
      <c r="BB456" s="6" t="s">
        <v>2346</v>
      </c>
      <c r="BC456" s="6" t="s">
        <v>2347</v>
      </c>
      <c r="BD456" s="6" t="s">
        <v>127</v>
      </c>
      <c r="BE456" s="6" t="s">
        <v>127</v>
      </c>
    </row>
    <row r="457" spans="1:58" ht="16" x14ac:dyDescent="0.4">
      <c r="A457" s="6" t="s">
        <v>2348</v>
      </c>
      <c r="B457" s="6" t="s">
        <v>2348</v>
      </c>
      <c r="C457" s="6" t="s">
        <v>127</v>
      </c>
      <c r="D457" s="6" t="s">
        <v>238</v>
      </c>
      <c r="E457" s="191">
        <v>44396</v>
      </c>
      <c r="F457" s="6">
        <f t="shared" si="69"/>
        <v>2021</v>
      </c>
      <c r="G457" s="4" t="s">
        <v>2349</v>
      </c>
      <c r="H457" s="22" t="str">
        <f>VLOOKUP($G457,'Item Classification'!B:C,2,0)</f>
        <v>Missile development</v>
      </c>
      <c r="I457" s="6" t="str">
        <f>VLOOKUP($G457,'Item Classification'!B:D,3,0)</f>
        <v>Development - Missile (Air)</v>
      </c>
      <c r="J457" s="23">
        <f>VLOOKUP($G457,'Item Classification'!B:E,4,0)</f>
        <v>15</v>
      </c>
      <c r="K457" s="195" t="s">
        <v>211</v>
      </c>
      <c r="L457" s="195" t="s">
        <v>211</v>
      </c>
      <c r="M457" s="116" t="str">
        <f>VLOOKUP(L457,'NATO Classifications'!$D$6:$E$647,2,0)</f>
        <v>Guided Missiles</v>
      </c>
      <c r="N457" s="25"/>
      <c r="O457" s="25"/>
      <c r="P457" s="25"/>
      <c r="Q457" s="25"/>
      <c r="R457" s="25"/>
      <c r="S457" s="82">
        <v>20000000</v>
      </c>
      <c r="T457" s="115" t="s">
        <v>2145</v>
      </c>
      <c r="U457" s="104">
        <f>_xlfn.IFNA(S457/INDEX('Exchange Rates'!$C$7:$F$14,MATCH('MAIN DATA, Orders'!F457,'Exchange Rates'!$B$7:$B$14,0),MATCH('MAIN DATA, Orders'!T457,'Exchange Rates'!$C$6:$F$6,0)), "-")</f>
        <v>23266635.644485805</v>
      </c>
      <c r="V457" s="6" t="s">
        <v>127</v>
      </c>
      <c r="W457" s="6" t="s">
        <v>127</v>
      </c>
      <c r="X457" s="6" t="s">
        <v>238</v>
      </c>
      <c r="Y457" s="24">
        <f t="shared" si="70"/>
        <v>202107</v>
      </c>
      <c r="Z457" s="24">
        <v>0</v>
      </c>
      <c r="AA457" s="24">
        <v>0</v>
      </c>
      <c r="AB457" s="24">
        <v>0</v>
      </c>
      <c r="AC457" s="24">
        <v>1</v>
      </c>
      <c r="AD457" s="24">
        <v>1</v>
      </c>
      <c r="AE457" s="24">
        <v>0</v>
      </c>
      <c r="AF457" s="24">
        <v>1</v>
      </c>
      <c r="AG457" s="10" t="s">
        <v>475</v>
      </c>
      <c r="AH457" s="10" t="s">
        <v>238</v>
      </c>
      <c r="AI457" s="10" t="s">
        <v>127</v>
      </c>
      <c r="AJ457" s="6" t="s">
        <v>148</v>
      </c>
      <c r="AK457" s="6" t="s">
        <v>2212</v>
      </c>
      <c r="AL457" s="6" t="s">
        <v>2350</v>
      </c>
      <c r="AM457" s="6" t="s">
        <v>2351</v>
      </c>
      <c r="AN457" s="6" t="s">
        <v>151</v>
      </c>
      <c r="AO457" s="6" t="s">
        <v>197</v>
      </c>
      <c r="AP457" s="6" t="s">
        <v>128</v>
      </c>
      <c r="AQ457" s="6" t="s">
        <v>162</v>
      </c>
      <c r="AR457" s="6" t="s">
        <v>127</v>
      </c>
      <c r="AS457" s="6" t="s">
        <v>127</v>
      </c>
      <c r="AT457" s="6" t="s">
        <v>127</v>
      </c>
      <c r="AU457" s="6" t="s">
        <v>127</v>
      </c>
      <c r="AV457" s="6" t="s">
        <v>127</v>
      </c>
      <c r="AW457" s="6" t="s">
        <v>127</v>
      </c>
      <c r="AX457" s="6" t="s">
        <v>127</v>
      </c>
      <c r="AY457" s="99" t="s">
        <v>2352</v>
      </c>
      <c r="AZ457" s="6" t="s">
        <v>127</v>
      </c>
      <c r="BA457" s="6" t="s">
        <v>127</v>
      </c>
      <c r="BB457" s="6" t="s">
        <v>2353</v>
      </c>
      <c r="BC457" s="6" t="s">
        <v>2354</v>
      </c>
      <c r="BD457" s="6" t="s">
        <v>127</v>
      </c>
      <c r="BE457" s="6" t="s">
        <v>2355</v>
      </c>
      <c r="BF457" s="6" t="s">
        <v>127</v>
      </c>
    </row>
    <row r="458" spans="1:58" ht="16" x14ac:dyDescent="0.4">
      <c r="A458" s="6" t="s">
        <v>2356</v>
      </c>
      <c r="B458" s="6" t="s">
        <v>2356</v>
      </c>
      <c r="C458" s="6" t="s">
        <v>127</v>
      </c>
      <c r="D458" s="6" t="s">
        <v>238</v>
      </c>
      <c r="E458" s="191">
        <v>44398</v>
      </c>
      <c r="F458" s="6">
        <f t="shared" si="69"/>
        <v>2021</v>
      </c>
      <c r="G458" s="4" t="s">
        <v>2232</v>
      </c>
      <c r="H458" s="22" t="str">
        <f>VLOOKUP($G458,'Item Classification'!B:C,2,0)</f>
        <v>Sea mine disposal system</v>
      </c>
      <c r="I458" s="6" t="str">
        <f>VLOOKUP($G458,'Item Classification'!B:D,3,0)</f>
        <v>Development - Naval</v>
      </c>
      <c r="J458" s="23">
        <f>VLOOKUP($G458,'Item Classification'!B:E,4,0)</f>
        <v>15</v>
      </c>
      <c r="K458" s="195" t="s">
        <v>189</v>
      </c>
      <c r="L458" s="195" t="s">
        <v>2233</v>
      </c>
      <c r="M458" s="116" t="str">
        <f>VLOOKUP(L458,'NATO Classifications'!$D$6:$E$647,2,0)</f>
        <v>Ammunition and Explosives (other)</v>
      </c>
      <c r="N458" s="25"/>
      <c r="O458" s="25"/>
      <c r="P458" s="25"/>
      <c r="Q458" s="25"/>
      <c r="R458" s="25"/>
      <c r="S458" s="82">
        <v>440000</v>
      </c>
      <c r="T458" s="115" t="s">
        <v>2145</v>
      </c>
      <c r="U458" s="104">
        <f>_xlfn.IFNA(S458/INDEX('Exchange Rates'!$C$7:$F$14,MATCH('MAIN DATA, Orders'!F458,'Exchange Rates'!$B$7:$B$14,0),MATCH('MAIN DATA, Orders'!T458,'Exchange Rates'!$C$6:$F$6,0)), "-")</f>
        <v>511865.98417868774</v>
      </c>
      <c r="V458" s="6" t="s">
        <v>127</v>
      </c>
      <c r="W458" s="6" t="s">
        <v>127</v>
      </c>
      <c r="X458" s="6" t="s">
        <v>238</v>
      </c>
      <c r="Y458" s="24">
        <f t="shared" si="70"/>
        <v>202107</v>
      </c>
      <c r="Z458" s="24">
        <v>0</v>
      </c>
      <c r="AA458" s="24">
        <v>0</v>
      </c>
      <c r="AB458" s="24">
        <v>0</v>
      </c>
      <c r="AC458" s="24">
        <v>1</v>
      </c>
      <c r="AD458" s="24">
        <v>0</v>
      </c>
      <c r="AE458" s="24">
        <v>0</v>
      </c>
      <c r="AF458" s="24">
        <v>0</v>
      </c>
      <c r="AG458" s="10" t="s">
        <v>2323</v>
      </c>
      <c r="AH458" s="10" t="s">
        <v>238</v>
      </c>
      <c r="AI458" s="10" t="s">
        <v>127</v>
      </c>
      <c r="AJ458" s="6" t="s">
        <v>127</v>
      </c>
      <c r="AK458" s="6" t="s">
        <v>127</v>
      </c>
      <c r="AL458" s="6" t="s">
        <v>127</v>
      </c>
      <c r="AM458" s="6" t="s">
        <v>127</v>
      </c>
      <c r="AN458" s="6" t="s">
        <v>127</v>
      </c>
      <c r="AO458" s="6" t="s">
        <v>127</v>
      </c>
      <c r="AP458" s="6" t="s">
        <v>127</v>
      </c>
      <c r="AQ458" s="6" t="s">
        <v>127</v>
      </c>
      <c r="AR458" s="6" t="s">
        <v>127</v>
      </c>
      <c r="AS458" s="6" t="s">
        <v>127</v>
      </c>
      <c r="AT458" s="6" t="s">
        <v>127</v>
      </c>
      <c r="AU458" s="6" t="s">
        <v>127</v>
      </c>
      <c r="AV458" s="6" t="s">
        <v>127</v>
      </c>
      <c r="AW458" s="6" t="s">
        <v>127</v>
      </c>
      <c r="AX458" s="6" t="s">
        <v>127</v>
      </c>
      <c r="AY458" s="99" t="s">
        <v>2357</v>
      </c>
      <c r="AZ458" s="6" t="s">
        <v>127</v>
      </c>
      <c r="BA458" s="6" t="s">
        <v>127</v>
      </c>
      <c r="BB458" s="6" t="s">
        <v>2358</v>
      </c>
      <c r="BC458" s="6" t="s">
        <v>2359</v>
      </c>
      <c r="BD458" s="6" t="s">
        <v>127</v>
      </c>
      <c r="BE458" s="6" t="s">
        <v>127</v>
      </c>
    </row>
    <row r="459" spans="1:58" ht="16" x14ac:dyDescent="0.4">
      <c r="A459" s="6" t="s">
        <v>2360</v>
      </c>
      <c r="B459" s="6" t="s">
        <v>2360</v>
      </c>
      <c r="C459" s="6" t="s">
        <v>2170</v>
      </c>
      <c r="D459" s="6" t="s">
        <v>238</v>
      </c>
      <c r="E459" s="191">
        <v>44399</v>
      </c>
      <c r="F459" s="6">
        <f t="shared" si="69"/>
        <v>2021</v>
      </c>
      <c r="G459" s="4" t="s">
        <v>2171</v>
      </c>
      <c r="H459" s="22" t="str">
        <f>VLOOKUP($G459,'Item Classification'!B:C,2,0)</f>
        <v>Long-range strike drone</v>
      </c>
      <c r="I459" s="6" t="str">
        <f>VLOOKUP($G459,'Item Classification'!B:D,3,0)</f>
        <v>Drone</v>
      </c>
      <c r="J459" s="23">
        <f>VLOOKUP($G459,'Item Classification'!B:E,4,0)</f>
        <v>7</v>
      </c>
      <c r="K459" s="195" t="s">
        <v>130</v>
      </c>
      <c r="L459" s="195" t="s">
        <v>131</v>
      </c>
      <c r="M459" s="116" t="str">
        <f>VLOOKUP(L459,'NATO Classifications'!$D$6:$E$647,2,0)</f>
        <v>Unmanned Aircraft</v>
      </c>
      <c r="N459" s="25">
        <v>13</v>
      </c>
      <c r="O459" s="81">
        <f>S459/N459</f>
        <v>15000000</v>
      </c>
      <c r="P459" s="81">
        <f t="shared" ref="P459" si="85">U459/N459</f>
        <v>17449976.733364355</v>
      </c>
      <c r="Q459" s="25">
        <v>2024</v>
      </c>
      <c r="R459" s="25">
        <v>2024</v>
      </c>
      <c r="S459" s="82">
        <v>195000000</v>
      </c>
      <c r="T459" s="115" t="s">
        <v>2145</v>
      </c>
      <c r="U459" s="104">
        <f>_xlfn.IFNA(S459/INDEX('Exchange Rates'!$C$7:$F$14,MATCH('MAIN DATA, Orders'!F459,'Exchange Rates'!$B$7:$B$14,0),MATCH('MAIN DATA, Orders'!T459,'Exchange Rates'!$C$6:$F$6,0)), "-")</f>
        <v>226849697.53373662</v>
      </c>
      <c r="V459" s="6" t="s">
        <v>127</v>
      </c>
      <c r="W459" s="6" t="s">
        <v>127</v>
      </c>
      <c r="X459" s="6" t="s">
        <v>238</v>
      </c>
      <c r="Y459" s="24">
        <f t="shared" si="70"/>
        <v>202107</v>
      </c>
      <c r="Z459" s="24">
        <v>0</v>
      </c>
      <c r="AA459" s="24">
        <v>0</v>
      </c>
      <c r="AB459" s="24">
        <v>0</v>
      </c>
      <c r="AC459" s="24">
        <v>1</v>
      </c>
      <c r="AD459" s="24">
        <v>0</v>
      </c>
      <c r="AE459" s="24">
        <v>1</v>
      </c>
      <c r="AF459" s="24">
        <v>1</v>
      </c>
      <c r="AG459" s="10" t="s">
        <v>2172</v>
      </c>
      <c r="AH459" s="10" t="s">
        <v>196</v>
      </c>
      <c r="AI459" s="10" t="s">
        <v>196</v>
      </c>
      <c r="AJ459" s="6" t="s">
        <v>2361</v>
      </c>
      <c r="AK459" s="6" t="s">
        <v>127</v>
      </c>
      <c r="AL459" s="6" t="s">
        <v>127</v>
      </c>
      <c r="AM459" s="6" t="s">
        <v>127</v>
      </c>
      <c r="AN459" s="6" t="s">
        <v>238</v>
      </c>
      <c r="AO459" s="6" t="s">
        <v>127</v>
      </c>
      <c r="AP459" s="6" t="s">
        <v>127</v>
      </c>
      <c r="AQ459" s="6" t="s">
        <v>127</v>
      </c>
      <c r="AR459" s="6" t="s">
        <v>127</v>
      </c>
      <c r="AS459" s="6" t="s">
        <v>127</v>
      </c>
      <c r="AT459" s="6" t="s">
        <v>127</v>
      </c>
      <c r="AU459" s="6" t="s">
        <v>127</v>
      </c>
      <c r="AV459" s="6" t="s">
        <v>127</v>
      </c>
      <c r="AW459" s="6" t="s">
        <v>238</v>
      </c>
      <c r="AX459" s="6" t="s">
        <v>127</v>
      </c>
      <c r="AY459" s="99" t="s">
        <v>2362</v>
      </c>
      <c r="AZ459" s="6" t="s">
        <v>127</v>
      </c>
      <c r="BA459" s="6" t="s">
        <v>127</v>
      </c>
      <c r="BB459" s="6" t="s">
        <v>2363</v>
      </c>
      <c r="BC459" s="6" t="s">
        <v>2364</v>
      </c>
      <c r="BD459" s="6" t="s">
        <v>127</v>
      </c>
      <c r="BE459" s="6" t="s">
        <v>127</v>
      </c>
    </row>
    <row r="460" spans="1:58" ht="16" x14ac:dyDescent="0.4">
      <c r="A460" s="6" t="s">
        <v>2365</v>
      </c>
      <c r="B460" s="6" t="s">
        <v>2365</v>
      </c>
      <c r="C460" s="6" t="s">
        <v>127</v>
      </c>
      <c r="D460" s="6" t="s">
        <v>238</v>
      </c>
      <c r="E460" s="191">
        <v>44406</v>
      </c>
      <c r="F460" s="6">
        <f t="shared" si="69"/>
        <v>2021</v>
      </c>
      <c r="G460" s="4" t="s">
        <v>2366</v>
      </c>
      <c r="H460" s="22" t="str">
        <f>VLOOKUP($G460,'Item Classification'!B:C,2,0)</f>
        <v>Fighter jet development</v>
      </c>
      <c r="I460" s="6" t="str">
        <f>VLOOKUP($G460,'Item Classification'!B:D,3,0)</f>
        <v>Development - Aircraft</v>
      </c>
      <c r="J460" s="23">
        <f>VLOOKUP($G460,'Item Classification'!B:E,4,0)</f>
        <v>15</v>
      </c>
      <c r="K460" s="195" t="s">
        <v>130</v>
      </c>
      <c r="L460" s="195" t="s">
        <v>237</v>
      </c>
      <c r="M460" s="116" t="str">
        <f>VLOOKUP(L460,'NATO Classifications'!$D$6:$E$647,2,0)</f>
        <v>Aircraft, Fixed Wing</v>
      </c>
      <c r="N460" s="25"/>
      <c r="O460" s="25"/>
      <c r="P460" s="25"/>
      <c r="Q460" s="25"/>
      <c r="R460" s="25">
        <v>2024</v>
      </c>
      <c r="S460" s="82">
        <v>250000000</v>
      </c>
      <c r="T460" s="115" t="s">
        <v>2145</v>
      </c>
      <c r="U460" s="104">
        <f>_xlfn.IFNA(S460/INDEX('Exchange Rates'!$C$7:$F$14,MATCH('MAIN DATA, Orders'!F460,'Exchange Rates'!$B$7:$B$14,0),MATCH('MAIN DATA, Orders'!T460,'Exchange Rates'!$C$6:$F$6,0)), "-")</f>
        <v>290832945.55607259</v>
      </c>
      <c r="V460" s="6" t="s">
        <v>127</v>
      </c>
      <c r="W460" s="6" t="s">
        <v>127</v>
      </c>
      <c r="X460" s="6" t="s">
        <v>238</v>
      </c>
      <c r="Y460" s="24">
        <f t="shared" si="70"/>
        <v>202107</v>
      </c>
      <c r="Z460" s="24">
        <v>0</v>
      </c>
      <c r="AA460" s="24">
        <v>0</v>
      </c>
      <c r="AB460" s="24">
        <v>0</v>
      </c>
      <c r="AC460" s="24">
        <v>1</v>
      </c>
      <c r="AD460" s="24">
        <v>1</v>
      </c>
      <c r="AE460" s="24">
        <v>0</v>
      </c>
      <c r="AF460" s="24">
        <v>1</v>
      </c>
      <c r="AG460" s="10" t="s">
        <v>1480</v>
      </c>
      <c r="AH460" s="10" t="s">
        <v>238</v>
      </c>
      <c r="AI460" s="10" t="s">
        <v>127</v>
      </c>
      <c r="AJ460" s="6" t="s">
        <v>2212</v>
      </c>
      <c r="AK460" s="6" t="s">
        <v>2367</v>
      </c>
      <c r="AL460" s="6" t="s">
        <v>2248</v>
      </c>
      <c r="AM460" s="6" t="s">
        <v>127</v>
      </c>
      <c r="AN460" s="6" t="s">
        <v>197</v>
      </c>
      <c r="AO460" s="6" t="s">
        <v>127</v>
      </c>
      <c r="AP460" s="6" t="s">
        <v>127</v>
      </c>
      <c r="AQ460" s="6" t="s">
        <v>127</v>
      </c>
      <c r="AR460" s="6" t="s">
        <v>127</v>
      </c>
      <c r="AS460" s="6" t="s">
        <v>127</v>
      </c>
      <c r="AT460" s="6" t="s">
        <v>127</v>
      </c>
      <c r="AU460" s="6" t="s">
        <v>127</v>
      </c>
      <c r="AV460" s="6" t="s">
        <v>127</v>
      </c>
      <c r="AW460" s="6" t="s">
        <v>127</v>
      </c>
      <c r="AX460" s="6" t="s">
        <v>127</v>
      </c>
      <c r="AY460" s="99" t="s">
        <v>2368</v>
      </c>
      <c r="AZ460" s="6" t="s">
        <v>127</v>
      </c>
      <c r="BA460" s="6" t="s">
        <v>127</v>
      </c>
      <c r="BB460" s="6" t="s">
        <v>2369</v>
      </c>
      <c r="BC460" s="6" t="s">
        <v>2370</v>
      </c>
      <c r="BD460" s="6" t="s">
        <v>2371</v>
      </c>
      <c r="BE460" s="6" t="s">
        <v>127</v>
      </c>
    </row>
    <row r="461" spans="1:58" ht="16" x14ac:dyDescent="0.4">
      <c r="A461" s="6" t="s">
        <v>2372</v>
      </c>
      <c r="B461" s="6" t="s">
        <v>2372</v>
      </c>
      <c r="C461" s="6" t="s">
        <v>127</v>
      </c>
      <c r="D461" s="6" t="s">
        <v>238</v>
      </c>
      <c r="E461" s="191">
        <v>44451</v>
      </c>
      <c r="F461" s="6">
        <f t="shared" si="69"/>
        <v>2021</v>
      </c>
      <c r="G461" s="4" t="s">
        <v>2373</v>
      </c>
      <c r="H461" s="22" t="str">
        <f>VLOOKUP($G461,'Item Classification'!B:C,2,0)</f>
        <v>Aircraft modernisation</v>
      </c>
      <c r="I461" s="6" t="str">
        <f>VLOOKUP($G461,'Item Classification'!B:D,3,0)</f>
        <v>Aircraft</v>
      </c>
      <c r="J461" s="23">
        <f>VLOOKUP($G461,'Item Classification'!B:E,4,0)</f>
        <v>11</v>
      </c>
      <c r="K461" s="195" t="s">
        <v>130</v>
      </c>
      <c r="L461" s="195" t="s">
        <v>237</v>
      </c>
      <c r="M461" s="116" t="str">
        <f>VLOOKUP(L461,'NATO Classifications'!$D$6:$E$647,2,0)</f>
        <v>Aircraft, Fixed Wing</v>
      </c>
      <c r="N461" s="25"/>
      <c r="O461" s="81"/>
      <c r="P461" s="81"/>
      <c r="Q461" s="25"/>
      <c r="R461" s="25"/>
      <c r="S461" s="82">
        <v>324000000</v>
      </c>
      <c r="T461" s="115" t="s">
        <v>2145</v>
      </c>
      <c r="U461" s="104">
        <f>_xlfn.IFNA(S461/INDEX('Exchange Rates'!$C$7:$F$14,MATCH('MAIN DATA, Orders'!F461,'Exchange Rates'!$B$7:$B$14,0),MATCH('MAIN DATA, Orders'!T461,'Exchange Rates'!$C$6:$F$6,0)), "-")</f>
        <v>376919497.44067007</v>
      </c>
      <c r="V461" s="6" t="s">
        <v>127</v>
      </c>
      <c r="W461" s="6" t="s">
        <v>127</v>
      </c>
      <c r="X461" s="6" t="s">
        <v>238</v>
      </c>
      <c r="Y461" s="24">
        <f t="shared" si="70"/>
        <v>202109</v>
      </c>
      <c r="Z461" s="24">
        <v>0</v>
      </c>
      <c r="AA461" s="24">
        <v>0</v>
      </c>
      <c r="AB461" s="24">
        <v>0</v>
      </c>
      <c r="AC461" s="24">
        <v>0</v>
      </c>
      <c r="AD461" s="24">
        <v>0</v>
      </c>
      <c r="AE461" s="24">
        <v>0</v>
      </c>
      <c r="AF461" s="24">
        <v>0</v>
      </c>
      <c r="AG461" s="10" t="s">
        <v>2374</v>
      </c>
      <c r="AH461" s="10" t="s">
        <v>196</v>
      </c>
      <c r="AI461" s="10" t="s">
        <v>127</v>
      </c>
      <c r="AJ461" s="6" t="s">
        <v>127</v>
      </c>
      <c r="AK461" s="6" t="s">
        <v>127</v>
      </c>
      <c r="AL461" s="6" t="s">
        <v>127</v>
      </c>
      <c r="AM461" s="6" t="s">
        <v>127</v>
      </c>
      <c r="AN461" s="6" t="s">
        <v>127</v>
      </c>
      <c r="AO461" s="6" t="s">
        <v>127</v>
      </c>
      <c r="AP461" s="6" t="s">
        <v>127</v>
      </c>
      <c r="AQ461" s="6" t="s">
        <v>127</v>
      </c>
      <c r="AR461" s="6" t="s">
        <v>127</v>
      </c>
      <c r="AS461" s="6" t="s">
        <v>127</v>
      </c>
      <c r="AT461" s="6" t="s">
        <v>127</v>
      </c>
      <c r="AU461" s="6" t="s">
        <v>127</v>
      </c>
      <c r="AV461" s="6" t="s">
        <v>127</v>
      </c>
      <c r="AW461" s="6" t="s">
        <v>127</v>
      </c>
      <c r="AX461" s="6" t="s">
        <v>127</v>
      </c>
      <c r="AY461" s="99" t="s">
        <v>2375</v>
      </c>
      <c r="AZ461" s="6" t="s">
        <v>127</v>
      </c>
      <c r="BA461" s="6" t="s">
        <v>127</v>
      </c>
      <c r="BB461" s="6" t="s">
        <v>2376</v>
      </c>
      <c r="BC461" s="6" t="s">
        <v>127</v>
      </c>
      <c r="BD461" s="6" t="s">
        <v>127</v>
      </c>
      <c r="BE461" s="6" t="s">
        <v>127</v>
      </c>
    </row>
    <row r="462" spans="1:58" ht="16" x14ac:dyDescent="0.4">
      <c r="A462" s="6" t="s">
        <v>2377</v>
      </c>
      <c r="B462" s="6" t="s">
        <v>2377</v>
      </c>
      <c r="C462" s="6" t="s">
        <v>127</v>
      </c>
      <c r="D462" s="6" t="s">
        <v>238</v>
      </c>
      <c r="E462" s="191">
        <v>44451</v>
      </c>
      <c r="F462" s="6">
        <f t="shared" si="69"/>
        <v>2021</v>
      </c>
      <c r="G462" s="4" t="s">
        <v>2378</v>
      </c>
      <c r="H462" s="22" t="str">
        <f>VLOOKUP($G462,'Item Classification'!B:C,2,0)</f>
        <v>Aircraft modernisation</v>
      </c>
      <c r="I462" s="6" t="str">
        <f>VLOOKUP($G462,'Item Classification'!B:D,3,0)</f>
        <v>Aircraft</v>
      </c>
      <c r="J462" s="23">
        <f>VLOOKUP($G462,'Item Classification'!B:E,4,0)</f>
        <v>11</v>
      </c>
      <c r="K462" s="195" t="s">
        <v>130</v>
      </c>
      <c r="L462" s="195" t="s">
        <v>266</v>
      </c>
      <c r="M462" s="116" t="str">
        <f>VLOOKUP(L462,'NATO Classifications'!$D$6:$E$647,2,0)</f>
        <v>Aircraft, Rotary Wing</v>
      </c>
      <c r="N462" s="25"/>
      <c r="O462" s="25"/>
      <c r="P462" s="25"/>
      <c r="Q462" s="25"/>
      <c r="R462" s="25"/>
      <c r="S462" s="82">
        <v>64000000</v>
      </c>
      <c r="T462" s="115" t="s">
        <v>2145</v>
      </c>
      <c r="U462" s="104">
        <f>_xlfn.IFNA(S462/INDEX('Exchange Rates'!$C$7:$F$14,MATCH('MAIN DATA, Orders'!F462,'Exchange Rates'!$B$7:$B$14,0),MATCH('MAIN DATA, Orders'!T462,'Exchange Rates'!$C$6:$F$6,0)), "-")</f>
        <v>74453234.06235458</v>
      </c>
      <c r="V462" s="6" t="s">
        <v>127</v>
      </c>
      <c r="W462" s="6" t="s">
        <v>127</v>
      </c>
      <c r="X462" s="6" t="s">
        <v>238</v>
      </c>
      <c r="Y462" s="24">
        <f t="shared" si="70"/>
        <v>202109</v>
      </c>
      <c r="Z462" s="24">
        <v>0</v>
      </c>
      <c r="AA462" s="24">
        <v>0</v>
      </c>
      <c r="AB462" s="24">
        <v>0</v>
      </c>
      <c r="AC462" s="24">
        <v>1</v>
      </c>
      <c r="AD462" s="24">
        <v>0</v>
      </c>
      <c r="AE462" s="24">
        <v>1</v>
      </c>
      <c r="AF462" s="24">
        <v>1</v>
      </c>
      <c r="AG462" s="10" t="s">
        <v>2312</v>
      </c>
      <c r="AH462" s="10" t="s">
        <v>238</v>
      </c>
      <c r="AI462" s="10" t="s">
        <v>127</v>
      </c>
      <c r="AJ462" s="6" t="s">
        <v>192</v>
      </c>
      <c r="AK462" s="6" t="s">
        <v>127</v>
      </c>
      <c r="AL462" s="6" t="s">
        <v>127</v>
      </c>
      <c r="AM462" s="6" t="s">
        <v>127</v>
      </c>
      <c r="AN462" s="6" t="s">
        <v>196</v>
      </c>
      <c r="AO462" s="6" t="s">
        <v>127</v>
      </c>
      <c r="AP462" s="6" t="s">
        <v>127</v>
      </c>
      <c r="AQ462" s="6" t="s">
        <v>127</v>
      </c>
      <c r="AR462" s="6" t="s">
        <v>127</v>
      </c>
      <c r="AS462" s="6" t="s">
        <v>127</v>
      </c>
      <c r="AT462" s="6" t="s">
        <v>127</v>
      </c>
      <c r="AU462" s="6" t="s">
        <v>127</v>
      </c>
      <c r="AV462" s="6" t="s">
        <v>127</v>
      </c>
      <c r="AW462" s="6" t="s">
        <v>127</v>
      </c>
      <c r="AX462" s="6" t="s">
        <v>127</v>
      </c>
      <c r="AY462" s="99" t="s">
        <v>2375</v>
      </c>
      <c r="AZ462" s="6" t="s">
        <v>127</v>
      </c>
      <c r="BA462" s="6" t="s">
        <v>127</v>
      </c>
      <c r="BB462" s="6" t="s">
        <v>2379</v>
      </c>
      <c r="BC462" s="6" t="s">
        <v>127</v>
      </c>
      <c r="BD462" s="6" t="s">
        <v>127</v>
      </c>
      <c r="BE462" s="6" t="s">
        <v>127</v>
      </c>
    </row>
    <row r="463" spans="1:58" ht="16" x14ac:dyDescent="0.4">
      <c r="A463" s="6" t="s">
        <v>2380</v>
      </c>
      <c r="B463" s="6" t="s">
        <v>2380</v>
      </c>
      <c r="C463" s="6" t="s">
        <v>127</v>
      </c>
      <c r="D463" s="6" t="s">
        <v>238</v>
      </c>
      <c r="E463" s="191">
        <v>44453</v>
      </c>
      <c r="F463" s="6">
        <f t="shared" si="69"/>
        <v>2021</v>
      </c>
      <c r="G463" s="4" t="s">
        <v>2381</v>
      </c>
      <c r="H463" s="22" t="str">
        <f>VLOOKUP($G463,'Item Classification'!B:C,2,0)</f>
        <v>Directed energy weapons development</v>
      </c>
      <c r="I463" s="6" t="str">
        <f>VLOOKUP($G463,'Item Classification'!B:D,3,0)</f>
        <v>Development - Modernisation</v>
      </c>
      <c r="J463" s="23">
        <f>VLOOKUP($G463,'Item Classification'!B:E,4,0)</f>
        <v>15</v>
      </c>
      <c r="K463" s="195" t="s">
        <v>158</v>
      </c>
      <c r="L463" s="195" t="s">
        <v>354</v>
      </c>
      <c r="M463" s="116" t="str">
        <f>VLOOKUP(L463,'NATO Classifications'!$D$6:$E$647,2,0)</f>
        <v>Communication, Detection, and Coherent Radiation Equipment (other)</v>
      </c>
      <c r="N463" s="25"/>
      <c r="O463" s="25"/>
      <c r="P463" s="25"/>
      <c r="Q463" s="25"/>
      <c r="R463" s="25"/>
      <c r="S463" s="82">
        <v>72500000</v>
      </c>
      <c r="T463" s="115" t="s">
        <v>2145</v>
      </c>
      <c r="U463" s="104">
        <f>_xlfn.IFNA(S463/INDEX('Exchange Rates'!$C$7:$F$14,MATCH('MAIN DATA, Orders'!F463,'Exchange Rates'!$B$7:$B$14,0),MATCH('MAIN DATA, Orders'!T463,'Exchange Rates'!$C$6:$F$6,0)), "-")</f>
        <v>84341554.211261049</v>
      </c>
      <c r="V463" s="6" t="s">
        <v>127</v>
      </c>
      <c r="W463" s="6" t="s">
        <v>127</v>
      </c>
      <c r="X463" s="6" t="s">
        <v>238</v>
      </c>
      <c r="Y463" s="24">
        <f t="shared" si="70"/>
        <v>202109</v>
      </c>
      <c r="Z463" s="24">
        <v>0</v>
      </c>
      <c r="AA463" s="24">
        <v>0</v>
      </c>
      <c r="AB463" s="24">
        <v>0</v>
      </c>
      <c r="AC463" s="24">
        <v>1</v>
      </c>
      <c r="AD463" s="24">
        <v>1</v>
      </c>
      <c r="AE463" s="24">
        <v>1</v>
      </c>
      <c r="AF463" s="24">
        <v>1</v>
      </c>
      <c r="AG463" s="10" t="s">
        <v>148</v>
      </c>
      <c r="AH463" s="10" t="s">
        <v>151</v>
      </c>
      <c r="AI463" s="10" t="s">
        <v>127</v>
      </c>
      <c r="AJ463" s="6" t="s">
        <v>2382</v>
      </c>
      <c r="AK463" s="6" t="s">
        <v>718</v>
      </c>
      <c r="AL463" s="6" t="s">
        <v>127</v>
      </c>
      <c r="AM463" s="6" t="s">
        <v>127</v>
      </c>
      <c r="AN463" s="6" t="s">
        <v>238</v>
      </c>
      <c r="AO463" s="6" t="s">
        <v>196</v>
      </c>
      <c r="AP463" s="6" t="s">
        <v>127</v>
      </c>
      <c r="AQ463" s="6" t="s">
        <v>127</v>
      </c>
      <c r="AR463" s="6" t="s">
        <v>127</v>
      </c>
      <c r="AS463" s="6" t="s">
        <v>127</v>
      </c>
      <c r="AT463" s="6" t="s">
        <v>127</v>
      </c>
      <c r="AU463" s="6" t="s">
        <v>127</v>
      </c>
      <c r="AV463" s="6" t="s">
        <v>127</v>
      </c>
      <c r="AW463" s="6" t="s">
        <v>127</v>
      </c>
      <c r="AX463" s="6" t="s">
        <v>127</v>
      </c>
      <c r="AY463" s="99" t="s">
        <v>2383</v>
      </c>
      <c r="AZ463" s="6" t="s">
        <v>127</v>
      </c>
      <c r="BA463" s="6" t="s">
        <v>127</v>
      </c>
      <c r="BB463" s="6" t="s">
        <v>2384</v>
      </c>
      <c r="BC463" s="6" t="s">
        <v>2385</v>
      </c>
      <c r="BD463" s="6" t="s">
        <v>127</v>
      </c>
      <c r="BE463" s="6" t="s">
        <v>127</v>
      </c>
    </row>
    <row r="464" spans="1:58" ht="16" x14ac:dyDescent="0.4">
      <c r="A464" s="6" t="s">
        <v>2386</v>
      </c>
      <c r="B464" s="6" t="s">
        <v>2386</v>
      </c>
      <c r="C464" s="6" t="s">
        <v>127</v>
      </c>
      <c r="D464" s="6" t="s">
        <v>238</v>
      </c>
      <c r="E464" s="191">
        <v>44456</v>
      </c>
      <c r="F464" s="6">
        <f t="shared" si="69"/>
        <v>2021</v>
      </c>
      <c r="G464" s="4" t="s">
        <v>2387</v>
      </c>
      <c r="H464" s="22" t="str">
        <f>VLOOKUP($G464,'Item Classification'!B:C,2,0)</f>
        <v>Submarine design for future class</v>
      </c>
      <c r="I464" s="6" t="str">
        <f>VLOOKUP($G464,'Item Classification'!B:D,3,0)</f>
        <v>Development - Naval</v>
      </c>
      <c r="J464" s="23">
        <f>VLOOKUP($G464,'Item Classification'!B:E,4,0)</f>
        <v>15</v>
      </c>
      <c r="K464" s="195" t="s">
        <v>143</v>
      </c>
      <c r="L464" s="195" t="s">
        <v>144</v>
      </c>
      <c r="M464" s="116" t="str">
        <f>VLOOKUP(L464,'NATO Classifications'!$D$6:$E$647,2,0)</f>
        <v>Combat Ships and Landing Vessels</v>
      </c>
      <c r="N464" s="25"/>
      <c r="O464" s="25"/>
      <c r="P464" s="25"/>
      <c r="Q464" s="25">
        <v>2021</v>
      </c>
      <c r="R464" s="25">
        <v>2024</v>
      </c>
      <c r="S464" s="82">
        <v>170000000</v>
      </c>
      <c r="T464" s="115" t="s">
        <v>2145</v>
      </c>
      <c r="U464" s="104">
        <f>_xlfn.IFNA(S464/INDEX('Exchange Rates'!$C$7:$F$14,MATCH('MAIN DATA, Orders'!F464,'Exchange Rates'!$B$7:$B$14,0),MATCH('MAIN DATA, Orders'!T464,'Exchange Rates'!$C$6:$F$6,0)), "-")</f>
        <v>197766402.97812936</v>
      </c>
      <c r="V464" s="6" t="s">
        <v>127</v>
      </c>
      <c r="W464" s="6" t="s">
        <v>127</v>
      </c>
      <c r="X464" s="6" t="s">
        <v>238</v>
      </c>
      <c r="Y464" s="24">
        <f t="shared" si="70"/>
        <v>202109</v>
      </c>
      <c r="Z464" s="24">
        <v>0</v>
      </c>
      <c r="AA464" s="24">
        <v>0</v>
      </c>
      <c r="AB464" s="24">
        <v>0</v>
      </c>
      <c r="AC464" s="24">
        <v>1</v>
      </c>
      <c r="AD464" s="24">
        <v>0</v>
      </c>
      <c r="AE464" s="24">
        <v>0</v>
      </c>
      <c r="AF464" s="24">
        <v>0</v>
      </c>
      <c r="AG464" s="10" t="s">
        <v>1480</v>
      </c>
      <c r="AH464" s="10" t="s">
        <v>238</v>
      </c>
      <c r="AI464" s="10" t="s">
        <v>127</v>
      </c>
      <c r="AJ464" s="6" t="s">
        <v>2367</v>
      </c>
      <c r="AK464" s="6" t="s">
        <v>127</v>
      </c>
      <c r="AL464" s="6" t="s">
        <v>127</v>
      </c>
      <c r="AM464" s="6" t="s">
        <v>127</v>
      </c>
      <c r="AN464" s="6" t="s">
        <v>127</v>
      </c>
      <c r="AO464" s="6" t="s">
        <v>127</v>
      </c>
      <c r="AP464" s="6" t="s">
        <v>127</v>
      </c>
      <c r="AQ464" s="6" t="s">
        <v>127</v>
      </c>
      <c r="AR464" s="6" t="s">
        <v>127</v>
      </c>
      <c r="AS464" s="6" t="s">
        <v>127</v>
      </c>
      <c r="AT464" s="6" t="s">
        <v>127</v>
      </c>
      <c r="AU464" s="6" t="s">
        <v>127</v>
      </c>
      <c r="AV464" s="6" t="s">
        <v>127</v>
      </c>
      <c r="AW464" s="6" t="s">
        <v>127</v>
      </c>
      <c r="AX464" s="6" t="s">
        <v>127</v>
      </c>
      <c r="AY464" s="99" t="s">
        <v>2388</v>
      </c>
      <c r="AZ464" s="6" t="s">
        <v>127</v>
      </c>
      <c r="BA464" s="6" t="s">
        <v>127</v>
      </c>
      <c r="BB464" s="6" t="s">
        <v>2389</v>
      </c>
      <c r="BC464" s="6" t="s">
        <v>2390</v>
      </c>
      <c r="BD464" s="6" t="s">
        <v>127</v>
      </c>
      <c r="BE464" s="6" t="s">
        <v>127</v>
      </c>
    </row>
    <row r="465" spans="1:58" ht="16" x14ac:dyDescent="0.4">
      <c r="A465" s="6" t="s">
        <v>2391</v>
      </c>
      <c r="B465" s="6" t="s">
        <v>2391</v>
      </c>
      <c r="C465" s="6" t="s">
        <v>127</v>
      </c>
      <c r="D465" s="6" t="s">
        <v>238</v>
      </c>
      <c r="E465" s="191">
        <v>44496</v>
      </c>
      <c r="F465" s="6">
        <f t="shared" si="69"/>
        <v>2021</v>
      </c>
      <c r="G465" s="6" t="s">
        <v>2392</v>
      </c>
      <c r="H465" s="22" t="str">
        <f>VLOOKUP($G465,'Item Classification'!B:C,2,0)</f>
        <v>Training contract</v>
      </c>
      <c r="I465" s="6" t="str">
        <f>VLOOKUP($G465,'Item Classification'!B:D,3,0)</f>
        <v>Other</v>
      </c>
      <c r="J465" s="23">
        <f>VLOOKUP($G465,'Item Classification'!B:E,4,0)</f>
        <v>16</v>
      </c>
      <c r="K465" s="195" t="s">
        <v>941</v>
      </c>
      <c r="L465" s="195" t="s">
        <v>942</v>
      </c>
      <c r="M465" s="116" t="str">
        <f>VLOOKUP(L465,'NATO Classifications'!$D$6:$E$647,2,0)</f>
        <v>Training Aids</v>
      </c>
      <c r="N465" s="25"/>
      <c r="O465" s="25"/>
      <c r="P465" s="25"/>
      <c r="Q465" s="25">
        <v>2024</v>
      </c>
      <c r="R465" s="25"/>
      <c r="S465" s="82">
        <v>175000000</v>
      </c>
      <c r="T465" s="115" t="s">
        <v>2145</v>
      </c>
      <c r="U465" s="104">
        <f>_xlfn.IFNA(S465/INDEX('Exchange Rates'!$C$7:$F$14,MATCH('MAIN DATA, Orders'!F465,'Exchange Rates'!$B$7:$B$14,0),MATCH('MAIN DATA, Orders'!T465,'Exchange Rates'!$C$6:$F$6,0)), "-")</f>
        <v>203583061.88925081</v>
      </c>
      <c r="V465" s="6" t="s">
        <v>127</v>
      </c>
      <c r="W465" s="6" t="s">
        <v>127</v>
      </c>
      <c r="X465" s="6" t="s">
        <v>238</v>
      </c>
      <c r="Y465" s="24">
        <f t="shared" si="70"/>
        <v>202110</v>
      </c>
      <c r="Z465" s="24">
        <v>0</v>
      </c>
      <c r="AA465" s="24">
        <v>0</v>
      </c>
      <c r="AB465" s="24">
        <v>0</v>
      </c>
      <c r="AC465" s="24">
        <v>1</v>
      </c>
      <c r="AD465" s="24">
        <v>0</v>
      </c>
      <c r="AE465" s="24">
        <v>1</v>
      </c>
      <c r="AF465" s="24">
        <v>1</v>
      </c>
      <c r="AG465" s="10" t="s">
        <v>2146</v>
      </c>
      <c r="AH465" s="10" t="s">
        <v>238</v>
      </c>
      <c r="AI465" s="10" t="s">
        <v>127</v>
      </c>
      <c r="AJ465" s="6" t="s">
        <v>2393</v>
      </c>
      <c r="AK465" s="6" t="s">
        <v>2394</v>
      </c>
      <c r="AL465" s="6" t="s">
        <v>795</v>
      </c>
      <c r="AM465" s="6" t="s">
        <v>127</v>
      </c>
      <c r="AN465" s="6" t="s">
        <v>196</v>
      </c>
      <c r="AO465" s="6" t="s">
        <v>127</v>
      </c>
      <c r="AP465" s="6" t="s">
        <v>127</v>
      </c>
      <c r="AQ465" s="6" t="s">
        <v>127</v>
      </c>
      <c r="AR465" s="6" t="s">
        <v>127</v>
      </c>
      <c r="AS465" s="6" t="s">
        <v>127</v>
      </c>
      <c r="AT465" s="6" t="s">
        <v>127</v>
      </c>
      <c r="AU465" s="6" t="s">
        <v>127</v>
      </c>
      <c r="AV465" s="6" t="s">
        <v>127</v>
      </c>
      <c r="AW465" s="6" t="s">
        <v>127</v>
      </c>
      <c r="AX465" s="6" t="s">
        <v>127</v>
      </c>
      <c r="AY465" s="99" t="s">
        <v>2395</v>
      </c>
      <c r="AZ465" s="6" t="s">
        <v>127</v>
      </c>
      <c r="BA465" s="6" t="s">
        <v>127</v>
      </c>
      <c r="BB465" s="6" t="s">
        <v>2396</v>
      </c>
      <c r="BC465" s="6" t="s">
        <v>2397</v>
      </c>
      <c r="BD465" s="6" t="s">
        <v>127</v>
      </c>
      <c r="BE465" s="6" t="s">
        <v>127</v>
      </c>
    </row>
    <row r="466" spans="1:58" ht="16" x14ac:dyDescent="0.4">
      <c r="A466" s="6" t="s">
        <v>2398</v>
      </c>
      <c r="B466" s="6" t="s">
        <v>2398</v>
      </c>
      <c r="C466" s="6" t="s">
        <v>127</v>
      </c>
      <c r="D466" s="6" t="s">
        <v>238</v>
      </c>
      <c r="E466" s="191">
        <v>44503</v>
      </c>
      <c r="F466" s="6">
        <f t="shared" si="69"/>
        <v>2021</v>
      </c>
      <c r="G466" s="4" t="s">
        <v>127</v>
      </c>
      <c r="H466" s="22" t="s">
        <v>2399</v>
      </c>
      <c r="I466" s="6" t="s">
        <v>188</v>
      </c>
      <c r="J466" s="23">
        <v>11</v>
      </c>
      <c r="K466" s="195" t="s">
        <v>130</v>
      </c>
      <c r="L466" s="195" t="s">
        <v>237</v>
      </c>
      <c r="M466" s="116" t="str">
        <f>VLOOKUP(L466,'NATO Classifications'!$D$6:$E$647,2,0)</f>
        <v>Aircraft, Fixed Wing</v>
      </c>
      <c r="N466" s="25"/>
      <c r="O466" s="25"/>
      <c r="P466" s="25"/>
      <c r="Q466" s="25">
        <v>2023</v>
      </c>
      <c r="R466" s="25">
        <v>2025</v>
      </c>
      <c r="S466" s="82">
        <v>110000000</v>
      </c>
      <c r="T466" s="115" t="s">
        <v>2145</v>
      </c>
      <c r="U466" s="104">
        <f>_xlfn.IFNA(S466/INDEX('Exchange Rates'!$C$7:$F$14,MATCH('MAIN DATA, Orders'!F466,'Exchange Rates'!$B$7:$B$14,0),MATCH('MAIN DATA, Orders'!T466,'Exchange Rates'!$C$6:$F$6,0)), "-")</f>
        <v>127966496.04467194</v>
      </c>
      <c r="V466" s="6" t="s">
        <v>127</v>
      </c>
      <c r="W466" s="6" t="s">
        <v>127</v>
      </c>
      <c r="X466" s="6" t="s">
        <v>238</v>
      </c>
      <c r="Y466" s="24">
        <f t="shared" si="70"/>
        <v>202111</v>
      </c>
      <c r="Z466" s="24">
        <v>0</v>
      </c>
      <c r="AA466" s="24">
        <v>0</v>
      </c>
      <c r="AB466" s="24">
        <v>0</v>
      </c>
      <c r="AC466" s="24">
        <v>1</v>
      </c>
      <c r="AD466" s="24">
        <v>0</v>
      </c>
      <c r="AE466" s="24">
        <v>1</v>
      </c>
      <c r="AF466" s="24">
        <v>1</v>
      </c>
      <c r="AG466" s="10" t="s">
        <v>2382</v>
      </c>
      <c r="AH466" s="10" t="s">
        <v>238</v>
      </c>
      <c r="AI466" s="10" t="s">
        <v>127</v>
      </c>
      <c r="AJ466" s="6" t="s">
        <v>718</v>
      </c>
      <c r="AK466" s="6" t="s">
        <v>127</v>
      </c>
      <c r="AL466" s="6" t="s">
        <v>127</v>
      </c>
      <c r="AM466" s="6" t="s">
        <v>127</v>
      </c>
      <c r="AN466" s="6" t="s">
        <v>196</v>
      </c>
      <c r="AO466" s="6" t="s">
        <v>127</v>
      </c>
      <c r="AP466" s="6" t="s">
        <v>127</v>
      </c>
      <c r="AQ466" s="6" t="s">
        <v>127</v>
      </c>
      <c r="AR466" s="6" t="s">
        <v>127</v>
      </c>
      <c r="AS466" s="6" t="s">
        <v>127</v>
      </c>
      <c r="AT466" s="6" t="s">
        <v>127</v>
      </c>
      <c r="AU466" s="6" t="s">
        <v>127</v>
      </c>
      <c r="AV466" s="6" t="s">
        <v>127</v>
      </c>
      <c r="AW466" s="6" t="s">
        <v>127</v>
      </c>
      <c r="AX466" s="6" t="s">
        <v>127</v>
      </c>
      <c r="AY466" s="99" t="s">
        <v>2400</v>
      </c>
      <c r="AZ466" s="6" t="s">
        <v>127</v>
      </c>
      <c r="BA466" s="6" t="s">
        <v>127</v>
      </c>
      <c r="BB466" s="6" t="s">
        <v>2401</v>
      </c>
      <c r="BC466" s="6" t="s">
        <v>2402</v>
      </c>
      <c r="BD466" s="6" t="s">
        <v>127</v>
      </c>
      <c r="BE466" s="6" t="s">
        <v>127</v>
      </c>
    </row>
    <row r="467" spans="1:58" ht="16" x14ac:dyDescent="0.4">
      <c r="A467" s="6" t="s">
        <v>2398</v>
      </c>
      <c r="B467" s="6" t="s">
        <v>2403</v>
      </c>
      <c r="C467" s="6" t="s">
        <v>127</v>
      </c>
      <c r="D467" s="6" t="s">
        <v>238</v>
      </c>
      <c r="E467" s="191">
        <v>44503</v>
      </c>
      <c r="F467" s="6">
        <f t="shared" si="69"/>
        <v>2021</v>
      </c>
      <c r="G467" s="4" t="s">
        <v>2404</v>
      </c>
      <c r="H467" s="22" t="str">
        <f>VLOOKUP($G467,'Item Classification'!B:C,2,0)</f>
        <v>Surveillance aircraft</v>
      </c>
      <c r="I467" s="6" t="str">
        <f>VLOOKUP($G467,'Item Classification'!B:D,3,0)</f>
        <v>Aircraft</v>
      </c>
      <c r="J467" s="23">
        <f>VLOOKUP($G467,'Item Classification'!B:E,4,0)</f>
        <v>11</v>
      </c>
      <c r="K467" s="195" t="s">
        <v>130</v>
      </c>
      <c r="L467" s="195" t="s">
        <v>237</v>
      </c>
      <c r="M467" s="116" t="str">
        <f>VLOOKUP(L467,'NATO Classifications'!$D$6:$E$647,2,0)</f>
        <v>Aircraft, Fixed Wing</v>
      </c>
      <c r="N467" s="25">
        <v>2</v>
      </c>
      <c r="O467" s="25"/>
      <c r="P467" s="25"/>
      <c r="Q467" s="25">
        <v>2023</v>
      </c>
      <c r="R467" s="25">
        <v>2025</v>
      </c>
      <c r="S467" s="25"/>
      <c r="T467" s="115" t="s">
        <v>2145</v>
      </c>
      <c r="U467" s="104">
        <f>_xlfn.IFNA(S467/INDEX('Exchange Rates'!$C$7:$F$14,MATCH('MAIN DATA, Orders'!F467,'Exchange Rates'!$B$7:$B$14,0),MATCH('MAIN DATA, Orders'!T467,'Exchange Rates'!$C$6:$F$6,0)), "-")</f>
        <v>0</v>
      </c>
      <c r="V467" s="6" t="s">
        <v>127</v>
      </c>
      <c r="W467" s="6" t="s">
        <v>127</v>
      </c>
      <c r="X467" s="6" t="s">
        <v>238</v>
      </c>
      <c r="Y467" s="24">
        <f t="shared" si="70"/>
        <v>202111</v>
      </c>
      <c r="Z467" s="24">
        <v>0</v>
      </c>
      <c r="AA467" s="24">
        <v>0</v>
      </c>
      <c r="AB467" s="24">
        <v>0</v>
      </c>
      <c r="AC467" s="24">
        <v>1</v>
      </c>
      <c r="AD467" s="24">
        <v>0</v>
      </c>
      <c r="AE467" s="24">
        <v>1</v>
      </c>
      <c r="AF467" s="24">
        <v>1</v>
      </c>
      <c r="AG467" s="10" t="s">
        <v>2382</v>
      </c>
      <c r="AH467" s="10" t="s">
        <v>238</v>
      </c>
      <c r="AI467" s="10" t="s">
        <v>127</v>
      </c>
      <c r="AJ467" s="6" t="s">
        <v>718</v>
      </c>
      <c r="AK467" s="6" t="s">
        <v>127</v>
      </c>
      <c r="AL467" s="6" t="s">
        <v>127</v>
      </c>
      <c r="AM467" s="6" t="s">
        <v>127</v>
      </c>
      <c r="AN467" s="6" t="s">
        <v>196</v>
      </c>
      <c r="AO467" s="6" t="s">
        <v>127</v>
      </c>
      <c r="AP467" s="6" t="s">
        <v>127</v>
      </c>
      <c r="AQ467" s="6" t="s">
        <v>127</v>
      </c>
      <c r="AR467" s="6" t="s">
        <v>127</v>
      </c>
      <c r="AS467" s="6" t="s">
        <v>127</v>
      </c>
      <c r="AT467" s="6" t="s">
        <v>127</v>
      </c>
      <c r="AU467" s="6" t="s">
        <v>127</v>
      </c>
      <c r="AV467" s="6" t="s">
        <v>127</v>
      </c>
      <c r="AW467" s="6" t="s">
        <v>127</v>
      </c>
      <c r="AX467" s="6" t="s">
        <v>127</v>
      </c>
      <c r="AY467" s="99" t="s">
        <v>2400</v>
      </c>
      <c r="AZ467" s="6" t="s">
        <v>127</v>
      </c>
      <c r="BA467" s="6" t="s">
        <v>127</v>
      </c>
      <c r="BB467" s="6" t="s">
        <v>2401</v>
      </c>
      <c r="BC467" s="6" t="s">
        <v>2402</v>
      </c>
      <c r="BD467" s="6" t="s">
        <v>127</v>
      </c>
      <c r="BE467" s="6" t="s">
        <v>127</v>
      </c>
    </row>
    <row r="468" spans="1:58" ht="16" x14ac:dyDescent="0.4">
      <c r="A468" s="6" t="s">
        <v>2398</v>
      </c>
      <c r="B468" s="6" t="s">
        <v>2405</v>
      </c>
      <c r="C468" s="6" t="s">
        <v>127</v>
      </c>
      <c r="D468" s="6" t="s">
        <v>238</v>
      </c>
      <c r="E468" s="191">
        <v>44503</v>
      </c>
      <c r="F468" s="6">
        <f t="shared" si="69"/>
        <v>2021</v>
      </c>
      <c r="G468" s="4" t="s">
        <v>2406</v>
      </c>
      <c r="H468" s="22" t="str">
        <f>VLOOKUP($G468,'Item Classification'!B:C,2,0)</f>
        <v>Aircraft countermeasures system</v>
      </c>
      <c r="I468" s="6" t="str">
        <f>VLOOKUP($G468,'Item Classification'!B:D,3,0)</f>
        <v>Aircraft</v>
      </c>
      <c r="J468" s="23">
        <f>VLOOKUP($G468,'Item Classification'!B:E,4,0)</f>
        <v>11</v>
      </c>
      <c r="K468" s="195" t="s">
        <v>158</v>
      </c>
      <c r="L468" s="195" t="s">
        <v>379</v>
      </c>
      <c r="M468" s="116" t="str">
        <f>VLOOKUP(L468,'NATO Classifications'!$D$6:$E$647,2,0)</f>
        <v>Communication, Detection, and Coherent Radiation Equipment (other)</v>
      </c>
      <c r="N468" s="25">
        <v>8</v>
      </c>
      <c r="O468" s="25"/>
      <c r="P468" s="25"/>
      <c r="Q468" s="25">
        <v>2023</v>
      </c>
      <c r="R468" s="25">
        <v>2025</v>
      </c>
      <c r="S468" s="25"/>
      <c r="T468" s="115" t="s">
        <v>2145</v>
      </c>
      <c r="U468" s="104">
        <f>_xlfn.IFNA(S468/INDEX('Exchange Rates'!$C$7:$F$14,MATCH('MAIN DATA, Orders'!F468,'Exchange Rates'!$B$7:$B$14,0),MATCH('MAIN DATA, Orders'!T468,'Exchange Rates'!$C$6:$F$6,0)), "-")</f>
        <v>0</v>
      </c>
      <c r="V468" s="6" t="s">
        <v>127</v>
      </c>
      <c r="W468" s="6" t="s">
        <v>127</v>
      </c>
      <c r="X468" s="6" t="s">
        <v>238</v>
      </c>
      <c r="Y468" s="24">
        <f t="shared" si="70"/>
        <v>202111</v>
      </c>
      <c r="Z468" s="24">
        <v>0</v>
      </c>
      <c r="AA468" s="24">
        <v>0</v>
      </c>
      <c r="AB468" s="24">
        <v>0</v>
      </c>
      <c r="AC468" s="24">
        <v>1</v>
      </c>
      <c r="AD468" s="24">
        <v>0</v>
      </c>
      <c r="AE468" s="24">
        <v>1</v>
      </c>
      <c r="AF468" s="24">
        <v>1</v>
      </c>
      <c r="AG468" s="10" t="s">
        <v>2382</v>
      </c>
      <c r="AH468" s="10" t="s">
        <v>238</v>
      </c>
      <c r="AI468" s="10" t="s">
        <v>127</v>
      </c>
      <c r="AJ468" s="6" t="s">
        <v>718</v>
      </c>
      <c r="AK468" s="6" t="s">
        <v>127</v>
      </c>
      <c r="AL468" s="6" t="s">
        <v>127</v>
      </c>
      <c r="AM468" s="6" t="s">
        <v>127</v>
      </c>
      <c r="AN468" s="6" t="s">
        <v>196</v>
      </c>
      <c r="AO468" s="6" t="s">
        <v>127</v>
      </c>
      <c r="AP468" s="6" t="s">
        <v>127</v>
      </c>
      <c r="AQ468" s="6" t="s">
        <v>127</v>
      </c>
      <c r="AR468" s="6" t="s">
        <v>127</v>
      </c>
      <c r="AS468" s="6" t="s">
        <v>127</v>
      </c>
      <c r="AT468" s="6" t="s">
        <v>127</v>
      </c>
      <c r="AU468" s="6" t="s">
        <v>127</v>
      </c>
      <c r="AV468" s="6" t="s">
        <v>127</v>
      </c>
      <c r="AW468" s="6" t="s">
        <v>127</v>
      </c>
      <c r="AX468" s="6" t="s">
        <v>127</v>
      </c>
      <c r="AY468" s="99" t="s">
        <v>2400</v>
      </c>
      <c r="AZ468" s="6" t="s">
        <v>127</v>
      </c>
      <c r="BA468" s="6" t="s">
        <v>127</v>
      </c>
      <c r="BB468" s="6" t="s">
        <v>2401</v>
      </c>
      <c r="BC468" s="6" t="s">
        <v>2402</v>
      </c>
      <c r="BD468" s="6" t="s">
        <v>127</v>
      </c>
      <c r="BE468" s="6" t="s">
        <v>127</v>
      </c>
    </row>
    <row r="469" spans="1:58" ht="16" x14ac:dyDescent="0.4">
      <c r="A469" s="6" t="s">
        <v>2407</v>
      </c>
      <c r="B469" s="6" t="s">
        <v>2407</v>
      </c>
      <c r="C469" s="6" t="s">
        <v>127</v>
      </c>
      <c r="D469" s="6" t="s">
        <v>238</v>
      </c>
      <c r="E469" s="191">
        <v>44509</v>
      </c>
      <c r="F469" s="6">
        <f t="shared" si="69"/>
        <v>2021</v>
      </c>
      <c r="G469" s="4" t="s">
        <v>2408</v>
      </c>
      <c r="H469" s="22" t="str">
        <f>VLOOKUP($G469,'Item Classification'!B:C,2,0)</f>
        <v>Frigate modernisation</v>
      </c>
      <c r="I469" s="6" t="str">
        <f>VLOOKUP($G469,'Item Classification'!B:D,3,0)</f>
        <v>Naval</v>
      </c>
      <c r="J469" s="23">
        <f>VLOOKUP($G469,'Item Classification'!B:E,4,0)</f>
        <v>12</v>
      </c>
      <c r="K469" s="195" t="s">
        <v>158</v>
      </c>
      <c r="L469" s="195" t="s">
        <v>379</v>
      </c>
      <c r="M469" s="116" t="str">
        <f>VLOOKUP(L469,'NATO Classifications'!$D$6:$E$647,2,0)</f>
        <v>Communication, Detection, and Coherent Radiation Equipment (other)</v>
      </c>
      <c r="N469" s="25"/>
      <c r="O469" s="25"/>
      <c r="P469" s="25"/>
      <c r="Q469" s="25"/>
      <c r="R469" s="25"/>
      <c r="S469" s="82">
        <v>100000000</v>
      </c>
      <c r="T469" s="115" t="s">
        <v>2145</v>
      </c>
      <c r="U469" s="104">
        <f>_xlfn.IFNA(S469/INDEX('Exchange Rates'!$C$7:$F$14,MATCH('MAIN DATA, Orders'!F469,'Exchange Rates'!$B$7:$B$14,0),MATCH('MAIN DATA, Orders'!T469,'Exchange Rates'!$C$6:$F$6,0)), "-")</f>
        <v>116333178.22242904</v>
      </c>
      <c r="V469" s="6" t="s">
        <v>127</v>
      </c>
      <c r="W469" s="6" t="s">
        <v>127</v>
      </c>
      <c r="X469" s="6" t="s">
        <v>238</v>
      </c>
      <c r="Y469" s="24">
        <f t="shared" si="70"/>
        <v>202111</v>
      </c>
      <c r="Z469" s="24">
        <v>0</v>
      </c>
      <c r="AA469" s="24">
        <v>0</v>
      </c>
      <c r="AB469" s="24">
        <v>0</v>
      </c>
      <c r="AC469" s="24">
        <v>1</v>
      </c>
      <c r="AD469" s="24">
        <v>0</v>
      </c>
      <c r="AE469" s="24">
        <v>1</v>
      </c>
      <c r="AF469" s="24">
        <v>1</v>
      </c>
      <c r="AG469" s="10" t="s">
        <v>2393</v>
      </c>
      <c r="AH469" s="10" t="s">
        <v>238</v>
      </c>
      <c r="AI469" s="10" t="s">
        <v>238</v>
      </c>
      <c r="AJ469" s="6" t="s">
        <v>2268</v>
      </c>
      <c r="AK469" s="6" t="s">
        <v>2187</v>
      </c>
      <c r="AL469" s="6" t="s">
        <v>748</v>
      </c>
      <c r="AM469" s="6" t="s">
        <v>127</v>
      </c>
      <c r="AN469" s="6" t="s">
        <v>135</v>
      </c>
      <c r="AO469" s="6" t="s">
        <v>127</v>
      </c>
      <c r="AP469" s="6" t="s">
        <v>127</v>
      </c>
      <c r="AQ469" s="6" t="s">
        <v>127</v>
      </c>
      <c r="AR469" s="6" t="s">
        <v>127</v>
      </c>
      <c r="AS469" s="6" t="s">
        <v>127</v>
      </c>
      <c r="AT469" s="6" t="s">
        <v>127</v>
      </c>
      <c r="AU469" s="6" t="s">
        <v>127</v>
      </c>
      <c r="AV469" s="6" t="s">
        <v>127</v>
      </c>
      <c r="AW469" s="6" t="s">
        <v>127</v>
      </c>
      <c r="AX469" s="6" t="s">
        <v>127</v>
      </c>
      <c r="AY469" s="99" t="s">
        <v>2409</v>
      </c>
      <c r="AZ469" s="6" t="s">
        <v>127</v>
      </c>
      <c r="BA469" s="6" t="s">
        <v>127</v>
      </c>
      <c r="BB469" s="6" t="s">
        <v>2410</v>
      </c>
      <c r="BC469" s="6" t="s">
        <v>2411</v>
      </c>
      <c r="BD469" s="6" t="s">
        <v>127</v>
      </c>
      <c r="BE469" s="6" t="s">
        <v>127</v>
      </c>
    </row>
    <row r="470" spans="1:58" ht="16" x14ac:dyDescent="0.4">
      <c r="A470" s="6" t="s">
        <v>2412</v>
      </c>
      <c r="B470" s="6" t="s">
        <v>2412</v>
      </c>
      <c r="C470" s="6" t="s">
        <v>127</v>
      </c>
      <c r="D470" s="6" t="s">
        <v>238</v>
      </c>
      <c r="E470" s="191">
        <v>44544</v>
      </c>
      <c r="F470" s="6">
        <f t="shared" si="69"/>
        <v>2021</v>
      </c>
      <c r="G470" s="4" t="s">
        <v>2413</v>
      </c>
      <c r="H470" s="22" t="str">
        <f>VLOOKUP($G470,'Item Classification'!B:C,2,0)</f>
        <v>Chemical anaylsis platform</v>
      </c>
      <c r="I470" s="6" t="str">
        <f>VLOOKUP($G470,'Item Classification'!B:D,3,0)</f>
        <v>Development - Modernisation</v>
      </c>
      <c r="J470" s="23">
        <f>VLOOKUP($G470,'Item Classification'!B:E,4,0)</f>
        <v>15</v>
      </c>
      <c r="K470" s="195" t="s">
        <v>1511</v>
      </c>
      <c r="L470" s="195" t="s">
        <v>2414</v>
      </c>
      <c r="M470" s="116" t="str">
        <f>VLOOKUP(L470,'NATO Classifications'!$D$6:$E$647,2,0)</f>
        <v>Laboratory Equipment and Supplies</v>
      </c>
      <c r="N470" s="25"/>
      <c r="O470" s="25"/>
      <c r="P470" s="25"/>
      <c r="Q470" s="25"/>
      <c r="R470" s="25"/>
      <c r="S470" s="82">
        <v>1020000</v>
      </c>
      <c r="T470" s="115" t="s">
        <v>2145</v>
      </c>
      <c r="U470" s="104">
        <f>_xlfn.IFNA(S470/INDEX('Exchange Rates'!$C$7:$F$14,MATCH('MAIN DATA, Orders'!F470,'Exchange Rates'!$B$7:$B$14,0),MATCH('MAIN DATA, Orders'!T470,'Exchange Rates'!$C$6:$F$6,0)), "-")</f>
        <v>1186598.4178687762</v>
      </c>
      <c r="V470" s="6" t="s">
        <v>127</v>
      </c>
      <c r="W470" s="6" t="s">
        <v>127</v>
      </c>
      <c r="X470" s="6" t="s">
        <v>238</v>
      </c>
      <c r="Y470" s="24">
        <f t="shared" si="70"/>
        <v>202112</v>
      </c>
      <c r="Z470" s="24">
        <v>0</v>
      </c>
      <c r="AA470" s="24">
        <v>0</v>
      </c>
      <c r="AB470" s="24">
        <v>0</v>
      </c>
      <c r="AC470" s="24">
        <v>1</v>
      </c>
      <c r="AD470" s="24">
        <v>0</v>
      </c>
      <c r="AE470" s="24">
        <v>0</v>
      </c>
      <c r="AF470" s="24">
        <v>0</v>
      </c>
      <c r="AG470" s="10" t="s">
        <v>2323</v>
      </c>
      <c r="AH470" s="10" t="s">
        <v>238</v>
      </c>
      <c r="AI470" s="10" t="s">
        <v>127</v>
      </c>
      <c r="AJ470" s="6" t="s">
        <v>127</v>
      </c>
      <c r="AK470" s="6" t="s">
        <v>127</v>
      </c>
      <c r="AL470" s="6" t="s">
        <v>127</v>
      </c>
      <c r="AM470" s="6" t="s">
        <v>127</v>
      </c>
      <c r="AN470" s="6" t="s">
        <v>127</v>
      </c>
      <c r="AO470" s="6" t="s">
        <v>127</v>
      </c>
      <c r="AP470" s="6" t="s">
        <v>127</v>
      </c>
      <c r="AQ470" s="6" t="s">
        <v>127</v>
      </c>
      <c r="AR470" s="6" t="s">
        <v>127</v>
      </c>
      <c r="AS470" s="6" t="s">
        <v>127</v>
      </c>
      <c r="AT470" s="6" t="s">
        <v>127</v>
      </c>
      <c r="AU470" s="6" t="s">
        <v>127</v>
      </c>
      <c r="AV470" s="6" t="s">
        <v>127</v>
      </c>
      <c r="AW470" s="6" t="s">
        <v>127</v>
      </c>
      <c r="AX470" s="6" t="s">
        <v>127</v>
      </c>
      <c r="AY470" s="99" t="s">
        <v>2415</v>
      </c>
      <c r="AZ470" s="6" t="s">
        <v>127</v>
      </c>
      <c r="BA470" s="6" t="s">
        <v>127</v>
      </c>
      <c r="BB470" s="6" t="s">
        <v>2416</v>
      </c>
      <c r="BC470" s="6" t="s">
        <v>2417</v>
      </c>
      <c r="BD470" s="6" t="s">
        <v>127</v>
      </c>
      <c r="BE470" s="6" t="s">
        <v>127</v>
      </c>
    </row>
    <row r="471" spans="1:58" ht="16" x14ac:dyDescent="0.4">
      <c r="A471" s="6" t="s">
        <v>2418</v>
      </c>
      <c r="B471" s="6" t="s">
        <v>2418</v>
      </c>
      <c r="C471" s="6" t="s">
        <v>127</v>
      </c>
      <c r="D471" s="6" t="s">
        <v>238</v>
      </c>
      <c r="E471" s="191">
        <v>44566</v>
      </c>
      <c r="F471" s="6">
        <f t="shared" si="69"/>
        <v>2022</v>
      </c>
      <c r="G471" s="4" t="s">
        <v>2419</v>
      </c>
      <c r="H471" s="22" t="str">
        <f>VLOOKUP($G471,'Item Classification'!B:C,2,0)</f>
        <v>Communication and digitalisation</v>
      </c>
      <c r="I471" s="6" t="str">
        <f>VLOOKUP($G471,'Item Classification'!B:D,3,0)</f>
        <v>Modernisation</v>
      </c>
      <c r="J471" s="23">
        <f>VLOOKUP($G471,'Item Classification'!B:E,4,0)</f>
        <v>13</v>
      </c>
      <c r="K471" s="195" t="s">
        <v>168</v>
      </c>
      <c r="L471" s="195" t="s">
        <v>169</v>
      </c>
      <c r="M471" s="116" t="str">
        <f>VLOOKUP(L471,'NATO Classifications'!$D$6:$E$647,2,0)</f>
        <v>ADPE System Configuration</v>
      </c>
      <c r="N471" s="25">
        <v>5</v>
      </c>
      <c r="O471" s="81">
        <f>S471/N471</f>
        <v>92000000</v>
      </c>
      <c r="P471" s="81">
        <f t="shared" ref="P471" si="86">U471/N471</f>
        <v>107884985.22444768</v>
      </c>
      <c r="Q471" s="25">
        <v>2022</v>
      </c>
      <c r="R471" s="25">
        <v>2027</v>
      </c>
      <c r="S471" s="82">
        <v>460000000</v>
      </c>
      <c r="T471" s="115" t="s">
        <v>2145</v>
      </c>
      <c r="U471" s="104">
        <f>_xlfn.IFNA(S471/INDEX('Exchange Rates'!$C$7:$F$14,MATCH('MAIN DATA, Orders'!F471,'Exchange Rates'!$B$7:$B$14,0),MATCH('MAIN DATA, Orders'!T471,'Exchange Rates'!$C$6:$F$6,0)), "-")</f>
        <v>539424926.1222384</v>
      </c>
      <c r="V471" s="6" t="s">
        <v>127</v>
      </c>
      <c r="W471" s="6" t="s">
        <v>127</v>
      </c>
      <c r="X471" s="6" t="s">
        <v>238</v>
      </c>
      <c r="Y471" s="24">
        <f t="shared" si="70"/>
        <v>202201</v>
      </c>
      <c r="Z471" s="24">
        <v>0</v>
      </c>
      <c r="AA471" s="24">
        <v>1</v>
      </c>
      <c r="AB471" s="24">
        <v>0</v>
      </c>
      <c r="AC471" s="24">
        <v>1</v>
      </c>
      <c r="AD471" s="24">
        <v>0</v>
      </c>
      <c r="AE471" s="24">
        <v>1</v>
      </c>
      <c r="AF471" s="24">
        <v>1</v>
      </c>
      <c r="AG471" s="10" t="s">
        <v>2312</v>
      </c>
      <c r="AH471" s="10" t="s">
        <v>238</v>
      </c>
      <c r="AI471" s="10" t="s">
        <v>127</v>
      </c>
      <c r="AJ471" s="6" t="s">
        <v>192</v>
      </c>
      <c r="AK471" s="6" t="s">
        <v>127</v>
      </c>
      <c r="AL471" s="6" t="s">
        <v>127</v>
      </c>
      <c r="AM471" s="6" t="s">
        <v>127</v>
      </c>
      <c r="AN471" s="6" t="s">
        <v>196</v>
      </c>
      <c r="AO471" s="6" t="s">
        <v>127</v>
      </c>
      <c r="AP471" s="6" t="s">
        <v>127</v>
      </c>
      <c r="AQ471" s="6" t="s">
        <v>127</v>
      </c>
      <c r="AR471" s="6" t="s">
        <v>127</v>
      </c>
      <c r="AS471" s="6" t="s">
        <v>127</v>
      </c>
      <c r="AT471" s="6" t="s">
        <v>127</v>
      </c>
      <c r="AU471" s="6" t="s">
        <v>127</v>
      </c>
      <c r="AV471" s="6" t="s">
        <v>127</v>
      </c>
      <c r="AW471" s="6" t="s">
        <v>127</v>
      </c>
      <c r="AX471" s="6" t="s">
        <v>127</v>
      </c>
      <c r="AY471" s="99" t="s">
        <v>2420</v>
      </c>
      <c r="AZ471" s="6" t="s">
        <v>127</v>
      </c>
      <c r="BA471" s="6" t="s">
        <v>127</v>
      </c>
      <c r="BB471" s="6" t="s">
        <v>2421</v>
      </c>
      <c r="BC471" s="6" t="s">
        <v>2422</v>
      </c>
      <c r="BD471" s="6" t="s">
        <v>127</v>
      </c>
      <c r="BE471" s="6" t="s">
        <v>127</v>
      </c>
    </row>
    <row r="472" spans="1:58" ht="16" x14ac:dyDescent="0.4">
      <c r="A472" s="6" t="s">
        <v>2423</v>
      </c>
      <c r="B472" s="6" t="s">
        <v>2423</v>
      </c>
      <c r="C472" s="6" t="s">
        <v>127</v>
      </c>
      <c r="D472" s="6" t="s">
        <v>238</v>
      </c>
      <c r="E472" s="191">
        <v>44568</v>
      </c>
      <c r="F472" s="6">
        <f t="shared" si="69"/>
        <v>2022</v>
      </c>
      <c r="G472" s="4" t="s">
        <v>2424</v>
      </c>
      <c r="H472" s="22" t="str">
        <f>VLOOKUP($G472,'Item Classification'!B:C,2,0)</f>
        <v>Communication and digitalisation</v>
      </c>
      <c r="I472" s="6" t="str">
        <f>VLOOKUP($G472,'Item Classification'!B:D,3,0)</f>
        <v>Modernisation</v>
      </c>
      <c r="J472" s="23">
        <f>VLOOKUP($G472,'Item Classification'!B:E,4,0)</f>
        <v>13</v>
      </c>
      <c r="K472" s="195" t="s">
        <v>158</v>
      </c>
      <c r="L472" s="195" t="s">
        <v>443</v>
      </c>
      <c r="M472" s="116" t="str">
        <f>VLOOKUP(L472,'NATO Classifications'!$D$6:$E$647,2,0)</f>
        <v>Communication, Detection, and Coherent Radiation Equipment (other)</v>
      </c>
      <c r="N472" s="25"/>
      <c r="O472" s="25"/>
      <c r="P472" s="25"/>
      <c r="Q472" s="25"/>
      <c r="R472" s="25">
        <v>2024</v>
      </c>
      <c r="S472" s="82">
        <v>1500000000</v>
      </c>
      <c r="T472" s="115" t="s">
        <v>2145</v>
      </c>
      <c r="U472" s="104">
        <f>_xlfn.IFNA(S472/INDEX('Exchange Rates'!$C$7:$F$14,MATCH('MAIN DATA, Orders'!F472,'Exchange Rates'!$B$7:$B$14,0),MATCH('MAIN DATA, Orders'!T472,'Exchange Rates'!$C$6:$F$6,0)), "-")</f>
        <v>1758994324.3116469</v>
      </c>
      <c r="V472" s="6" t="s">
        <v>127</v>
      </c>
      <c r="W472" s="6" t="s">
        <v>127</v>
      </c>
      <c r="X472" s="6" t="s">
        <v>238</v>
      </c>
      <c r="Y472" s="24">
        <f t="shared" si="70"/>
        <v>202201</v>
      </c>
      <c r="Z472" s="24">
        <v>0</v>
      </c>
      <c r="AA472" s="24">
        <v>0</v>
      </c>
      <c r="AB472" s="24">
        <v>0</v>
      </c>
      <c r="AC472" s="24">
        <v>1</v>
      </c>
      <c r="AD472" s="24">
        <v>1</v>
      </c>
      <c r="AE472" s="24">
        <v>0</v>
      </c>
      <c r="AF472" s="24">
        <v>1</v>
      </c>
      <c r="AG472" s="10" t="s">
        <v>2425</v>
      </c>
      <c r="AH472" s="10" t="s">
        <v>238</v>
      </c>
      <c r="AI472" s="10" t="s">
        <v>127</v>
      </c>
      <c r="AJ472" s="6" t="s">
        <v>2153</v>
      </c>
      <c r="AK472" s="6" t="s">
        <v>2426</v>
      </c>
      <c r="AL472" s="6" t="s">
        <v>148</v>
      </c>
      <c r="AM472" s="6" t="s">
        <v>127</v>
      </c>
      <c r="AN472" s="6" t="s">
        <v>151</v>
      </c>
      <c r="AO472" s="6" t="s">
        <v>127</v>
      </c>
      <c r="AP472" s="6" t="s">
        <v>127</v>
      </c>
      <c r="AQ472" s="6" t="s">
        <v>127</v>
      </c>
      <c r="AR472" s="6" t="s">
        <v>127</v>
      </c>
      <c r="AS472" s="6" t="s">
        <v>127</v>
      </c>
      <c r="AT472" s="6" t="s">
        <v>127</v>
      </c>
      <c r="AU472" s="6" t="s">
        <v>127</v>
      </c>
      <c r="AV472" s="6" t="s">
        <v>127</v>
      </c>
      <c r="AW472" s="6" t="s">
        <v>127</v>
      </c>
      <c r="AX472" s="6" t="s">
        <v>127</v>
      </c>
      <c r="AY472" s="99" t="s">
        <v>2427</v>
      </c>
      <c r="AZ472" s="6" t="s">
        <v>127</v>
      </c>
      <c r="BA472" s="6" t="s">
        <v>127</v>
      </c>
      <c r="BB472" s="6" t="s">
        <v>2428</v>
      </c>
      <c r="BC472" s="6" t="s">
        <v>2429</v>
      </c>
      <c r="BD472" s="6" t="s">
        <v>127</v>
      </c>
      <c r="BE472" s="6" t="s">
        <v>127</v>
      </c>
    </row>
    <row r="473" spans="1:58" ht="16" x14ac:dyDescent="0.4">
      <c r="A473" s="6" t="s">
        <v>2430</v>
      </c>
      <c r="B473" s="6" t="s">
        <v>2430</v>
      </c>
      <c r="C473" s="6" t="s">
        <v>127</v>
      </c>
      <c r="D473" s="6" t="s">
        <v>238</v>
      </c>
      <c r="E473" s="191">
        <v>44579</v>
      </c>
      <c r="F473" s="6">
        <f t="shared" si="69"/>
        <v>2022</v>
      </c>
      <c r="G473" s="4" t="s">
        <v>2431</v>
      </c>
      <c r="H473" s="22" t="str">
        <f>VLOOKUP($G473,'Item Classification'!B:C,2,0)</f>
        <v>Diving equipment</v>
      </c>
      <c r="I473" s="6" t="str">
        <f>VLOOKUP($G473,'Item Classification'!B:D,3,0)</f>
        <v>Other</v>
      </c>
      <c r="J473" s="23">
        <f>VLOOKUP($G473,'Item Classification'!B:E,4,0)</f>
        <v>16</v>
      </c>
      <c r="K473" s="195" t="s">
        <v>925</v>
      </c>
      <c r="L473" s="195" t="s">
        <v>2432</v>
      </c>
      <c r="M473" s="116" t="str">
        <f>VLOOKUP(L473,'NATO Classifications'!$D$6:$E$647,2,0)</f>
        <v>Marine Lifesaving and Diving Equipment</v>
      </c>
      <c r="N473" s="25"/>
      <c r="O473" s="25"/>
      <c r="P473" s="25"/>
      <c r="Q473" s="25"/>
      <c r="R473" s="25"/>
      <c r="S473" s="82">
        <v>23370000</v>
      </c>
      <c r="T473" s="115" t="s">
        <v>2145</v>
      </c>
      <c r="U473" s="104">
        <f>_xlfn.IFNA(S473/INDEX('Exchange Rates'!$C$7:$F$14,MATCH('MAIN DATA, Orders'!F473,'Exchange Rates'!$B$7:$B$14,0),MATCH('MAIN DATA, Orders'!T473,'Exchange Rates'!$C$6:$F$6,0)), "-")</f>
        <v>27405131.572775461</v>
      </c>
      <c r="V473" s="6" t="s">
        <v>127</v>
      </c>
      <c r="W473" s="6" t="s">
        <v>127</v>
      </c>
      <c r="X473" s="6" t="s">
        <v>238</v>
      </c>
      <c r="Y473" s="24">
        <f t="shared" si="70"/>
        <v>202201</v>
      </c>
      <c r="Z473" s="24">
        <v>0</v>
      </c>
      <c r="AA473" s="24">
        <v>0</v>
      </c>
      <c r="AB473" s="24">
        <v>0</v>
      </c>
      <c r="AC473" s="24">
        <v>1</v>
      </c>
      <c r="AD473" s="24">
        <v>0</v>
      </c>
      <c r="AE473" s="24">
        <v>0</v>
      </c>
      <c r="AF473" s="24">
        <v>0</v>
      </c>
      <c r="AG473" s="10" t="s">
        <v>2433</v>
      </c>
      <c r="AH473" s="10" t="s">
        <v>238</v>
      </c>
      <c r="AI473" s="10" t="s">
        <v>127</v>
      </c>
      <c r="AJ473" s="6" t="s">
        <v>127</v>
      </c>
      <c r="AK473" s="6" t="s">
        <v>127</v>
      </c>
      <c r="AL473" s="6" t="s">
        <v>127</v>
      </c>
      <c r="AM473" s="6" t="s">
        <v>127</v>
      </c>
      <c r="AN473" s="6" t="s">
        <v>127</v>
      </c>
      <c r="AO473" s="6" t="s">
        <v>127</v>
      </c>
      <c r="AP473" s="6" t="s">
        <v>127</v>
      </c>
      <c r="AQ473" s="6" t="s">
        <v>127</v>
      </c>
      <c r="AR473" s="6" t="s">
        <v>127</v>
      </c>
      <c r="AS473" s="6" t="s">
        <v>127</v>
      </c>
      <c r="AT473" s="6" t="s">
        <v>127</v>
      </c>
      <c r="AU473" s="6" t="s">
        <v>127</v>
      </c>
      <c r="AV473" s="6" t="s">
        <v>127</v>
      </c>
      <c r="AW473" s="6" t="s">
        <v>127</v>
      </c>
      <c r="AX473" s="6" t="s">
        <v>127</v>
      </c>
      <c r="AY473" s="99" t="s">
        <v>2434</v>
      </c>
      <c r="AZ473" s="99" t="s">
        <v>2435</v>
      </c>
      <c r="BA473" s="99" t="s">
        <v>2436</v>
      </c>
      <c r="BB473" s="6" t="s">
        <v>2437</v>
      </c>
      <c r="BC473" s="6" t="s">
        <v>2438</v>
      </c>
      <c r="BD473" s="6" t="s">
        <v>127</v>
      </c>
      <c r="BE473" s="6" t="s">
        <v>2439</v>
      </c>
      <c r="BF473" s="6" t="s">
        <v>127</v>
      </c>
    </row>
    <row r="474" spans="1:58" ht="16" x14ac:dyDescent="0.4">
      <c r="A474" s="6" t="s">
        <v>2440</v>
      </c>
      <c r="B474" s="6" t="s">
        <v>2440</v>
      </c>
      <c r="C474" s="6" t="s">
        <v>127</v>
      </c>
      <c r="D474" s="6" t="s">
        <v>238</v>
      </c>
      <c r="E474" s="191">
        <v>44582</v>
      </c>
      <c r="F474" s="6">
        <f t="shared" si="69"/>
        <v>2022</v>
      </c>
      <c r="G474" s="4" t="s">
        <v>2144</v>
      </c>
      <c r="H474" s="22" t="str">
        <f>VLOOKUP($G474,'Item Classification'!B:C,2,0)</f>
        <v>Training contract</v>
      </c>
      <c r="I474" s="6" t="str">
        <f>VLOOKUP($G474,'Item Classification'!B:D,3,0)</f>
        <v>Other</v>
      </c>
      <c r="J474" s="23">
        <f>VLOOKUP($G474,'Item Classification'!B:E,4,0)</f>
        <v>16</v>
      </c>
      <c r="K474" s="195" t="s">
        <v>941</v>
      </c>
      <c r="L474" s="195" t="s">
        <v>942</v>
      </c>
      <c r="M474" s="116" t="str">
        <f>VLOOKUP(L474,'NATO Classifications'!$D$6:$E$647,2,0)</f>
        <v>Training Aids</v>
      </c>
      <c r="N474" s="25">
        <v>3</v>
      </c>
      <c r="O474" s="81">
        <f>S474/N474</f>
        <v>95666666.666666672</v>
      </c>
      <c r="P474" s="81">
        <f t="shared" ref="P474:P475" si="87">U474/N474</f>
        <v>112184749.12832059</v>
      </c>
      <c r="Q474" s="25">
        <v>2022</v>
      </c>
      <c r="R474" s="25">
        <v>2025</v>
      </c>
      <c r="S474" s="82">
        <v>287000000</v>
      </c>
      <c r="T474" s="115" t="s">
        <v>2145</v>
      </c>
      <c r="U474" s="104">
        <f>_xlfn.IFNA(S474/INDEX('Exchange Rates'!$C$7:$F$14,MATCH('MAIN DATA, Orders'!F474,'Exchange Rates'!$B$7:$B$14,0),MATCH('MAIN DATA, Orders'!T474,'Exchange Rates'!$C$6:$F$6,0)), "-")</f>
        <v>336554247.38496178</v>
      </c>
      <c r="V474" s="6" t="s">
        <v>127</v>
      </c>
      <c r="W474" s="6" t="s">
        <v>127</v>
      </c>
      <c r="X474" s="6" t="s">
        <v>238</v>
      </c>
      <c r="Y474" s="24">
        <f t="shared" si="70"/>
        <v>202201</v>
      </c>
      <c r="Z474" s="24">
        <v>1</v>
      </c>
      <c r="AA474" s="24">
        <v>1</v>
      </c>
      <c r="AB474" s="24">
        <v>0</v>
      </c>
      <c r="AC474" s="24">
        <v>0</v>
      </c>
      <c r="AD474" s="24">
        <v>0</v>
      </c>
      <c r="AE474" s="24">
        <v>0</v>
      </c>
      <c r="AF474" s="24">
        <v>0</v>
      </c>
      <c r="AG474" s="10" t="s">
        <v>192</v>
      </c>
      <c r="AH474" s="10" t="s">
        <v>196</v>
      </c>
      <c r="AI474" s="10" t="s">
        <v>127</v>
      </c>
      <c r="AJ474" s="6" t="s">
        <v>127</v>
      </c>
      <c r="AK474" s="6" t="s">
        <v>127</v>
      </c>
      <c r="AL474" s="6" t="s">
        <v>127</v>
      </c>
      <c r="AM474" s="6" t="s">
        <v>127</v>
      </c>
      <c r="AN474" s="6" t="s">
        <v>127</v>
      </c>
      <c r="AO474" s="6" t="s">
        <v>127</v>
      </c>
      <c r="AP474" s="6" t="s">
        <v>127</v>
      </c>
      <c r="AQ474" s="6" t="s">
        <v>127</v>
      </c>
      <c r="AR474" s="6" t="s">
        <v>127</v>
      </c>
      <c r="AS474" s="6" t="s">
        <v>127</v>
      </c>
      <c r="AT474" s="6" t="s">
        <v>127</v>
      </c>
      <c r="AU474" s="6" t="s">
        <v>127</v>
      </c>
      <c r="AV474" s="6" t="s">
        <v>127</v>
      </c>
      <c r="AW474" s="6" t="s">
        <v>127</v>
      </c>
      <c r="AX474" s="6" t="s">
        <v>127</v>
      </c>
      <c r="AY474" s="99" t="s">
        <v>2441</v>
      </c>
      <c r="AZ474" s="99" t="s">
        <v>2442</v>
      </c>
      <c r="BA474" s="6" t="s">
        <v>127</v>
      </c>
      <c r="BB474" s="6" t="s">
        <v>2443</v>
      </c>
      <c r="BC474" s="6" t="s">
        <v>127</v>
      </c>
      <c r="BD474" s="6" t="s">
        <v>127</v>
      </c>
      <c r="BE474" s="6" t="s">
        <v>127</v>
      </c>
    </row>
    <row r="475" spans="1:58" ht="16" x14ac:dyDescent="0.4">
      <c r="A475" s="6" t="s">
        <v>2444</v>
      </c>
      <c r="B475" s="6" t="s">
        <v>2444</v>
      </c>
      <c r="C475" s="6" t="s">
        <v>127</v>
      </c>
      <c r="D475" s="6" t="s">
        <v>238</v>
      </c>
      <c r="E475" s="191">
        <v>44600</v>
      </c>
      <c r="F475" s="6">
        <f t="shared" si="69"/>
        <v>2022</v>
      </c>
      <c r="G475" s="4" t="s">
        <v>2445</v>
      </c>
      <c r="H475" s="22" t="str">
        <f>VLOOKUP($G475,'Item Classification'!B:C,2,0)</f>
        <v>Light aircraft</v>
      </c>
      <c r="I475" s="6" t="str">
        <f>VLOOKUP($G475,'Item Classification'!B:D,3,0)</f>
        <v>Aircraft</v>
      </c>
      <c r="J475" s="23">
        <f>VLOOKUP($G475,'Item Classification'!B:E,4,0)</f>
        <v>11</v>
      </c>
      <c r="K475" s="195" t="s">
        <v>130</v>
      </c>
      <c r="L475" s="195" t="s">
        <v>237</v>
      </c>
      <c r="M475" s="116" t="str">
        <f>VLOOKUP(L475,'NATO Classifications'!$D$6:$E$647,2,0)</f>
        <v>Aircraft, Fixed Wing</v>
      </c>
      <c r="N475" s="25">
        <v>2</v>
      </c>
      <c r="O475" s="81">
        <f>S475/N475</f>
        <v>40000000</v>
      </c>
      <c r="P475" s="81">
        <f t="shared" si="87"/>
        <v>46906515.314977251</v>
      </c>
      <c r="Q475" s="25"/>
      <c r="R475" s="25"/>
      <c r="S475" s="82">
        <v>80000000</v>
      </c>
      <c r="T475" s="115" t="s">
        <v>2145</v>
      </c>
      <c r="U475" s="104">
        <f>_xlfn.IFNA(S475/INDEX('Exchange Rates'!$C$7:$F$14,MATCH('MAIN DATA, Orders'!F475,'Exchange Rates'!$B$7:$B$14,0),MATCH('MAIN DATA, Orders'!T475,'Exchange Rates'!$C$6:$F$6,0)), "-")</f>
        <v>93813030.629954502</v>
      </c>
      <c r="V475" s="6" t="s">
        <v>127</v>
      </c>
      <c r="W475" s="6" t="s">
        <v>127</v>
      </c>
      <c r="X475" s="6" t="s">
        <v>238</v>
      </c>
      <c r="Y475" s="24">
        <f t="shared" si="70"/>
        <v>202202</v>
      </c>
      <c r="Z475" s="24">
        <v>0</v>
      </c>
      <c r="AA475" s="24">
        <v>0</v>
      </c>
      <c r="AB475" s="24">
        <v>0</v>
      </c>
      <c r="AC475" s="24">
        <v>1</v>
      </c>
      <c r="AD475" s="24">
        <v>0</v>
      </c>
      <c r="AE475" s="24">
        <v>0</v>
      </c>
      <c r="AF475" s="24">
        <v>0</v>
      </c>
      <c r="AG475" s="10" t="s">
        <v>2446</v>
      </c>
      <c r="AH475" s="10" t="s">
        <v>238</v>
      </c>
      <c r="AI475" s="10" t="s">
        <v>127</v>
      </c>
      <c r="AJ475" s="6" t="s">
        <v>127</v>
      </c>
      <c r="AK475" s="6" t="s">
        <v>127</v>
      </c>
      <c r="AL475" s="6" t="s">
        <v>127</v>
      </c>
      <c r="AM475" s="6" t="s">
        <v>127</v>
      </c>
      <c r="AN475" s="6" t="s">
        <v>127</v>
      </c>
      <c r="AO475" s="6" t="s">
        <v>127</v>
      </c>
      <c r="AP475" s="6" t="s">
        <v>127</v>
      </c>
      <c r="AQ475" s="6" t="s">
        <v>127</v>
      </c>
      <c r="AR475" s="6" t="s">
        <v>127</v>
      </c>
      <c r="AS475" s="6" t="s">
        <v>127</v>
      </c>
      <c r="AT475" s="6" t="s">
        <v>127</v>
      </c>
      <c r="AU475" s="6" t="s">
        <v>127</v>
      </c>
      <c r="AV475" s="6" t="s">
        <v>127</v>
      </c>
      <c r="AW475" s="6" t="s">
        <v>127</v>
      </c>
      <c r="AX475" s="6" t="s">
        <v>127</v>
      </c>
      <c r="AY475" s="99" t="s">
        <v>2447</v>
      </c>
      <c r="AZ475" s="6" t="s">
        <v>127</v>
      </c>
      <c r="BA475" s="6" t="s">
        <v>127</v>
      </c>
      <c r="BB475" s="6" t="s">
        <v>2448</v>
      </c>
      <c r="BC475" s="6" t="s">
        <v>2449</v>
      </c>
      <c r="BD475" s="6" t="s">
        <v>2450</v>
      </c>
      <c r="BE475" s="6" t="s">
        <v>127</v>
      </c>
    </row>
    <row r="476" spans="1:58" ht="16" x14ac:dyDescent="0.4">
      <c r="A476" s="6" t="s">
        <v>2451</v>
      </c>
      <c r="B476" s="6" t="s">
        <v>2451</v>
      </c>
      <c r="C476" s="6" t="s">
        <v>127</v>
      </c>
      <c r="D476" s="6" t="s">
        <v>238</v>
      </c>
      <c r="E476" s="191">
        <v>44650</v>
      </c>
      <c r="F476" s="6">
        <f t="shared" si="69"/>
        <v>2022</v>
      </c>
      <c r="G476" s="4" t="s">
        <v>2452</v>
      </c>
      <c r="H476" s="22" t="str">
        <f>VLOOKUP($G476,'Item Classification'!B:C,2,0)</f>
        <v>Aircraft maintenance</v>
      </c>
      <c r="I476" s="6" t="str">
        <f>VLOOKUP($G476,'Item Classification'!B:D,3,0)</f>
        <v>Maintenance</v>
      </c>
      <c r="J476" s="23">
        <f>VLOOKUP($G476,'Item Classification'!B:E,4,0)</f>
        <v>14</v>
      </c>
      <c r="K476" s="195" t="s">
        <v>130</v>
      </c>
      <c r="L476" s="195" t="s">
        <v>237</v>
      </c>
      <c r="M476" s="116" t="str">
        <f>VLOOKUP(L476,'NATO Classifications'!$D$6:$E$647,2,0)</f>
        <v>Aircraft, Fixed Wing</v>
      </c>
      <c r="N476" s="25">
        <v>11</v>
      </c>
      <c r="O476" s="81">
        <f>S476/N476</f>
        <v>53636363.636363633</v>
      </c>
      <c r="P476" s="81">
        <f t="shared" ref="P476" si="88">U476/N476</f>
        <v>62897372.808719493</v>
      </c>
      <c r="Q476" s="25">
        <v>2022</v>
      </c>
      <c r="R476" s="25">
        <v>2033</v>
      </c>
      <c r="S476" s="82">
        <v>590000000</v>
      </c>
      <c r="T476" s="115" t="s">
        <v>2145</v>
      </c>
      <c r="U476" s="104">
        <f>_xlfn.IFNA(S476/INDEX('Exchange Rates'!$C$7:$F$14,MATCH('MAIN DATA, Orders'!F476,'Exchange Rates'!$B$7:$B$14,0),MATCH('MAIN DATA, Orders'!T476,'Exchange Rates'!$C$6:$F$6,0)), "-")</f>
        <v>691871100.89591444</v>
      </c>
      <c r="V476" s="6" t="s">
        <v>127</v>
      </c>
      <c r="W476" s="6" t="s">
        <v>127</v>
      </c>
      <c r="X476" s="6" t="s">
        <v>238</v>
      </c>
      <c r="Y476" s="24">
        <f t="shared" si="70"/>
        <v>202203</v>
      </c>
      <c r="Z476" s="24">
        <v>0</v>
      </c>
      <c r="AA476" s="24">
        <v>1</v>
      </c>
      <c r="AB476" s="24">
        <v>0</v>
      </c>
      <c r="AC476" s="24">
        <v>1</v>
      </c>
      <c r="AD476" s="24">
        <v>0</v>
      </c>
      <c r="AE476" s="24">
        <v>0</v>
      </c>
      <c r="AF476" s="24">
        <v>0</v>
      </c>
      <c r="AG476" s="10" t="s">
        <v>1480</v>
      </c>
      <c r="AH476" s="10" t="s">
        <v>238</v>
      </c>
      <c r="AI476" s="10" t="s">
        <v>127</v>
      </c>
      <c r="AJ476" s="6" t="s">
        <v>127</v>
      </c>
      <c r="AK476" s="6" t="s">
        <v>127</v>
      </c>
      <c r="AL476" s="6" t="s">
        <v>127</v>
      </c>
      <c r="AM476" s="6" t="s">
        <v>127</v>
      </c>
      <c r="AN476" s="6" t="s">
        <v>127</v>
      </c>
      <c r="AO476" s="6" t="s">
        <v>127</v>
      </c>
      <c r="AP476" s="6" t="s">
        <v>127</v>
      </c>
      <c r="AQ476" s="6" t="s">
        <v>127</v>
      </c>
      <c r="AR476" s="6" t="s">
        <v>127</v>
      </c>
      <c r="AS476" s="6" t="s">
        <v>127</v>
      </c>
      <c r="AT476" s="6" t="s">
        <v>127</v>
      </c>
      <c r="AU476" s="6" t="s">
        <v>127</v>
      </c>
      <c r="AV476" s="6" t="s">
        <v>127</v>
      </c>
      <c r="AW476" s="6" t="s">
        <v>127</v>
      </c>
      <c r="AX476" s="6" t="s">
        <v>127</v>
      </c>
      <c r="AY476" s="99" t="s">
        <v>2453</v>
      </c>
      <c r="AZ476" s="6" t="s">
        <v>127</v>
      </c>
      <c r="BA476" s="6" t="s">
        <v>127</v>
      </c>
      <c r="BB476" s="6" t="s">
        <v>2454</v>
      </c>
      <c r="BC476" s="6" t="s">
        <v>2455</v>
      </c>
      <c r="BD476" s="6" t="s">
        <v>127</v>
      </c>
      <c r="BE476" s="6" t="s">
        <v>127</v>
      </c>
    </row>
    <row r="477" spans="1:58" ht="16" x14ac:dyDescent="0.4">
      <c r="A477" s="6" t="s">
        <v>2456</v>
      </c>
      <c r="B477" s="6" t="s">
        <v>2456</v>
      </c>
      <c r="C477" s="6" t="s">
        <v>127</v>
      </c>
      <c r="D477" s="6" t="s">
        <v>238</v>
      </c>
      <c r="E477" s="191">
        <v>44650</v>
      </c>
      <c r="F477" s="6">
        <f t="shared" si="69"/>
        <v>2022</v>
      </c>
      <c r="G477" s="4" t="s">
        <v>2457</v>
      </c>
      <c r="H477" s="22" t="str">
        <f>VLOOKUP($G477,'Item Classification'!B:C,2,0)</f>
        <v>Aircraft maintenance</v>
      </c>
      <c r="I477" s="6" t="str">
        <f>VLOOKUP($G477,'Item Classification'!B:D,3,0)</f>
        <v>Maintenance</v>
      </c>
      <c r="J477" s="23">
        <f>VLOOKUP($G477,'Item Classification'!B:E,4,0)</f>
        <v>14</v>
      </c>
      <c r="K477" s="195" t="s">
        <v>130</v>
      </c>
      <c r="L477" s="195" t="s">
        <v>237</v>
      </c>
      <c r="M477" s="116" t="str">
        <f>VLOOKUP(L477,'NATO Classifications'!$D$6:$E$647,2,0)</f>
        <v>Aircraft, Fixed Wing</v>
      </c>
      <c r="N477" s="25">
        <v>11</v>
      </c>
      <c r="O477" s="81">
        <f>S477/N477</f>
        <v>9545454.5454545449</v>
      </c>
      <c r="P477" s="81">
        <f t="shared" ref="P477" si="89">U477/N477</f>
        <v>11193600.245619573</v>
      </c>
      <c r="Q477" s="25">
        <v>2022</v>
      </c>
      <c r="R477" s="25">
        <v>2033</v>
      </c>
      <c r="S477" s="82">
        <v>105000000</v>
      </c>
      <c r="T477" s="115" t="s">
        <v>2145</v>
      </c>
      <c r="U477" s="104">
        <f>_xlfn.IFNA(S477/INDEX('Exchange Rates'!$C$7:$F$14,MATCH('MAIN DATA, Orders'!F477,'Exchange Rates'!$B$7:$B$14,0),MATCH('MAIN DATA, Orders'!T477,'Exchange Rates'!$C$6:$F$6,0)), "-")</f>
        <v>123129602.70181529</v>
      </c>
      <c r="V477" s="6" t="s">
        <v>127</v>
      </c>
      <c r="W477" s="6" t="s">
        <v>127</v>
      </c>
      <c r="X477" s="6" t="s">
        <v>238</v>
      </c>
      <c r="Y477" s="24">
        <f t="shared" si="70"/>
        <v>202203</v>
      </c>
      <c r="Z477" s="24">
        <v>0</v>
      </c>
      <c r="AA477" s="24">
        <v>1</v>
      </c>
      <c r="AB477" s="24">
        <v>0</v>
      </c>
      <c r="AC477" s="24">
        <v>1</v>
      </c>
      <c r="AD477" s="24">
        <v>0</v>
      </c>
      <c r="AE477" s="24">
        <v>0</v>
      </c>
      <c r="AF477" s="24">
        <v>0</v>
      </c>
      <c r="AG477" s="10" t="s">
        <v>2367</v>
      </c>
      <c r="AH477" s="10" t="s">
        <v>238</v>
      </c>
      <c r="AI477" s="10" t="s">
        <v>127</v>
      </c>
      <c r="AJ477" s="6" t="s">
        <v>127</v>
      </c>
      <c r="AK477" s="6" t="s">
        <v>127</v>
      </c>
      <c r="AL477" s="6" t="s">
        <v>127</v>
      </c>
      <c r="AM477" s="6" t="s">
        <v>127</v>
      </c>
      <c r="AN477" s="6" t="s">
        <v>127</v>
      </c>
      <c r="AO477" s="6" t="s">
        <v>127</v>
      </c>
      <c r="AP477" s="6" t="s">
        <v>127</v>
      </c>
      <c r="AQ477" s="6" t="s">
        <v>127</v>
      </c>
      <c r="AR477" s="6" t="s">
        <v>127</v>
      </c>
      <c r="AS477" s="6" t="s">
        <v>127</v>
      </c>
      <c r="AT477" s="6" t="s">
        <v>127</v>
      </c>
      <c r="AU477" s="6" t="s">
        <v>127</v>
      </c>
      <c r="AV477" s="6" t="s">
        <v>127</v>
      </c>
      <c r="AW477" s="6" t="s">
        <v>127</v>
      </c>
      <c r="AX477" s="6" t="s">
        <v>127</v>
      </c>
      <c r="AY477" s="99" t="s">
        <v>2453</v>
      </c>
      <c r="AZ477" s="6" t="s">
        <v>127</v>
      </c>
      <c r="BA477" s="6" t="s">
        <v>127</v>
      </c>
      <c r="BB477" s="6" t="s">
        <v>2458</v>
      </c>
      <c r="BC477" s="6" t="s">
        <v>2459</v>
      </c>
      <c r="BD477" s="6" t="s">
        <v>127</v>
      </c>
      <c r="BE477" s="6" t="s">
        <v>127</v>
      </c>
    </row>
    <row r="478" spans="1:58" ht="16" x14ac:dyDescent="0.4">
      <c r="A478" s="6" t="s">
        <v>2460</v>
      </c>
      <c r="B478" s="6" t="s">
        <v>2460</v>
      </c>
      <c r="C478" s="6" t="s">
        <v>127</v>
      </c>
      <c r="D478" s="6" t="s">
        <v>238</v>
      </c>
      <c r="E478" s="191">
        <v>44655</v>
      </c>
      <c r="F478" s="6">
        <f t="shared" ref="F478:F480" si="90">YEAR(E478)</f>
        <v>2022</v>
      </c>
      <c r="G478" s="4" t="s">
        <v>2461</v>
      </c>
      <c r="H478" s="22" t="str">
        <f>VLOOKUP($G478,'Item Classification'!B:C,2,0)</f>
        <v>Communication and digitalisation</v>
      </c>
      <c r="I478" s="6" t="str">
        <f>VLOOKUP($G478,'Item Classification'!B:D,3,0)</f>
        <v>Modernisation</v>
      </c>
      <c r="J478" s="23">
        <f>VLOOKUP($G478,'Item Classification'!B:E,4,0)</f>
        <v>13</v>
      </c>
      <c r="K478" s="195" t="s">
        <v>158</v>
      </c>
      <c r="L478" s="195" t="s">
        <v>354</v>
      </c>
      <c r="M478" s="116" t="str">
        <f>VLOOKUP(L478,'NATO Classifications'!$D$6:$E$647,2,0)</f>
        <v>Communication, Detection, and Coherent Radiation Equipment (other)</v>
      </c>
      <c r="N478" s="25"/>
      <c r="O478" s="25"/>
      <c r="P478" s="25"/>
      <c r="Q478" s="25"/>
      <c r="R478" s="25"/>
      <c r="S478" s="82">
        <v>22000000</v>
      </c>
      <c r="T478" s="115" t="s">
        <v>2145</v>
      </c>
      <c r="U478" s="104">
        <f>_xlfn.IFNA(S478/INDEX('Exchange Rates'!$C$7:$F$14,MATCH('MAIN DATA, Orders'!F478,'Exchange Rates'!$B$7:$B$14,0),MATCH('MAIN DATA, Orders'!T478,'Exchange Rates'!$C$6:$F$6,0)), "-")</f>
        <v>25798583.423237488</v>
      </c>
      <c r="V478" s="6" t="s">
        <v>127</v>
      </c>
      <c r="W478" s="6" t="s">
        <v>127</v>
      </c>
      <c r="X478" s="6" t="s">
        <v>238</v>
      </c>
      <c r="Y478" s="24">
        <f t="shared" si="70"/>
        <v>202204</v>
      </c>
      <c r="Z478" s="24">
        <v>0</v>
      </c>
      <c r="AA478" s="24">
        <v>0</v>
      </c>
      <c r="AB478" s="24">
        <v>0</v>
      </c>
      <c r="AC478" s="24">
        <v>1</v>
      </c>
      <c r="AD478" s="24">
        <v>0</v>
      </c>
      <c r="AE478" s="24">
        <v>0</v>
      </c>
      <c r="AF478" s="24">
        <v>0</v>
      </c>
      <c r="AG478" s="10" t="s">
        <v>2462</v>
      </c>
      <c r="AH478" s="10" t="s">
        <v>238</v>
      </c>
      <c r="AI478" s="10" t="s">
        <v>238</v>
      </c>
      <c r="AJ478" s="6" t="s">
        <v>127</v>
      </c>
      <c r="AK478" s="6" t="s">
        <v>127</v>
      </c>
      <c r="AL478" s="6" t="s">
        <v>127</v>
      </c>
      <c r="AM478" s="6" t="s">
        <v>127</v>
      </c>
      <c r="AN478" s="6" t="s">
        <v>127</v>
      </c>
      <c r="AO478" s="6" t="s">
        <v>127</v>
      </c>
      <c r="AP478" s="6" t="s">
        <v>127</v>
      </c>
      <c r="AQ478" s="6" t="s">
        <v>127</v>
      </c>
      <c r="AR478" s="6" t="s">
        <v>127</v>
      </c>
      <c r="AS478" s="6" t="s">
        <v>127</v>
      </c>
      <c r="AT478" s="6" t="s">
        <v>127</v>
      </c>
      <c r="AU478" s="6" t="s">
        <v>127</v>
      </c>
      <c r="AV478" s="6" t="s">
        <v>127</v>
      </c>
      <c r="AW478" s="6" t="s">
        <v>127</v>
      </c>
      <c r="AX478" s="6" t="s">
        <v>127</v>
      </c>
      <c r="AY478" s="99" t="s">
        <v>2463</v>
      </c>
      <c r="AZ478" s="6" t="s">
        <v>127</v>
      </c>
      <c r="BA478" s="6" t="s">
        <v>127</v>
      </c>
      <c r="BB478" s="6" t="s">
        <v>2464</v>
      </c>
      <c r="BC478" s="6" t="s">
        <v>2465</v>
      </c>
      <c r="BD478" s="6" t="s">
        <v>127</v>
      </c>
      <c r="BE478" s="6" t="s">
        <v>127</v>
      </c>
    </row>
    <row r="479" spans="1:58" ht="16" x14ac:dyDescent="0.4">
      <c r="A479" s="6" t="s">
        <v>2466</v>
      </c>
      <c r="B479" s="6" t="s">
        <v>2466</v>
      </c>
      <c r="C479" s="6" t="s">
        <v>127</v>
      </c>
      <c r="D479" s="6" t="s">
        <v>238</v>
      </c>
      <c r="E479" s="191">
        <v>44657</v>
      </c>
      <c r="F479" s="6">
        <f t="shared" si="90"/>
        <v>2022</v>
      </c>
      <c r="G479" s="4" t="s">
        <v>2144</v>
      </c>
      <c r="H479" s="22" t="str">
        <f>VLOOKUP($G479,'Item Classification'!B:C,2,0)</f>
        <v>Training contract</v>
      </c>
      <c r="I479" s="6" t="str">
        <f>VLOOKUP($G479,'Item Classification'!B:D,3,0)</f>
        <v>Other</v>
      </c>
      <c r="J479" s="23">
        <f>VLOOKUP($G479,'Item Classification'!B:E,4,0)</f>
        <v>16</v>
      </c>
      <c r="K479" s="195" t="s">
        <v>941</v>
      </c>
      <c r="L479" s="195" t="s">
        <v>942</v>
      </c>
      <c r="M479" s="116" t="str">
        <f>VLOOKUP(L479,'NATO Classifications'!$D$6:$E$647,2,0)</f>
        <v>Training Aids</v>
      </c>
      <c r="N479" s="25">
        <v>5</v>
      </c>
      <c r="O479" s="81">
        <f>S479/N479</f>
        <v>72000000</v>
      </c>
      <c r="P479" s="81">
        <f t="shared" ref="P479" si="91">U479/N479</f>
        <v>84431727.566959053</v>
      </c>
      <c r="Q479" s="25">
        <v>2022</v>
      </c>
      <c r="R479" s="25">
        <v>2027</v>
      </c>
      <c r="S479" s="82">
        <v>360000000</v>
      </c>
      <c r="T479" s="115" t="s">
        <v>2145</v>
      </c>
      <c r="U479" s="104">
        <f>_xlfn.IFNA(S479/INDEX('Exchange Rates'!$C$7:$F$14,MATCH('MAIN DATA, Orders'!F479,'Exchange Rates'!$B$7:$B$14,0),MATCH('MAIN DATA, Orders'!T479,'Exchange Rates'!$C$6:$F$6,0)), "-")</f>
        <v>422158637.8347953</v>
      </c>
      <c r="V479" s="6" t="s">
        <v>127</v>
      </c>
      <c r="W479" s="6" t="s">
        <v>127</v>
      </c>
      <c r="X479" s="6" t="s">
        <v>238</v>
      </c>
      <c r="Y479" s="24">
        <f t="shared" si="70"/>
        <v>202204</v>
      </c>
      <c r="Z479" s="24">
        <v>0</v>
      </c>
      <c r="AA479" s="24">
        <v>1</v>
      </c>
      <c r="AB479" s="24">
        <v>0</v>
      </c>
      <c r="AC479" s="24">
        <v>1</v>
      </c>
      <c r="AD479" s="24">
        <v>1</v>
      </c>
      <c r="AE479" s="24">
        <v>0</v>
      </c>
      <c r="AF479" s="24">
        <v>1</v>
      </c>
      <c r="AG479" s="10" t="s">
        <v>2212</v>
      </c>
      <c r="AH479" s="10" t="s">
        <v>238</v>
      </c>
      <c r="AI479" s="10" t="s">
        <v>127</v>
      </c>
      <c r="AJ479" s="6" t="s">
        <v>360</v>
      </c>
      <c r="AK479" s="6" t="s">
        <v>127</v>
      </c>
      <c r="AL479" s="6" t="s">
        <v>127</v>
      </c>
      <c r="AM479" s="6" t="s">
        <v>127</v>
      </c>
      <c r="AN479" s="6" t="s">
        <v>197</v>
      </c>
      <c r="AO479" s="6" t="s">
        <v>127</v>
      </c>
      <c r="AP479" s="6" t="s">
        <v>127</v>
      </c>
      <c r="AQ479" s="6" t="s">
        <v>127</v>
      </c>
      <c r="AR479" s="6" t="s">
        <v>127</v>
      </c>
      <c r="AS479" s="6" t="s">
        <v>127</v>
      </c>
      <c r="AT479" s="6" t="s">
        <v>127</v>
      </c>
      <c r="AU479" s="6" t="s">
        <v>127</v>
      </c>
      <c r="AV479" s="6" t="s">
        <v>127</v>
      </c>
      <c r="AW479" s="6" t="s">
        <v>127</v>
      </c>
      <c r="AX479" s="6" t="s">
        <v>127</v>
      </c>
      <c r="AY479" s="99" t="s">
        <v>2467</v>
      </c>
      <c r="AZ479" s="6" t="s">
        <v>127</v>
      </c>
      <c r="BA479" s="6" t="s">
        <v>127</v>
      </c>
      <c r="BB479" s="6" t="s">
        <v>2468</v>
      </c>
      <c r="BC479" s="6" t="s">
        <v>127</v>
      </c>
      <c r="BD479" s="6" t="s">
        <v>127</v>
      </c>
      <c r="BE479" s="6" t="s">
        <v>127</v>
      </c>
    </row>
    <row r="480" spans="1:58" ht="16" x14ac:dyDescent="0.4">
      <c r="A480" s="6" t="s">
        <v>2469</v>
      </c>
      <c r="B480" s="6" t="s">
        <v>2469</v>
      </c>
      <c r="C480" s="6" t="s">
        <v>127</v>
      </c>
      <c r="D480" s="6" t="s">
        <v>238</v>
      </c>
      <c r="E480" s="191">
        <v>44663</v>
      </c>
      <c r="F480" s="6">
        <f t="shared" si="90"/>
        <v>2022</v>
      </c>
      <c r="G480" s="4" t="s">
        <v>2470</v>
      </c>
      <c r="H480" s="22" t="str">
        <f>VLOOKUP($G480,'Item Classification'!B:C,2,0)</f>
        <v>Sea mine detection system</v>
      </c>
      <c r="I480" s="6" t="str">
        <f>VLOOKUP($G480,'Item Classification'!B:D,3,0)</f>
        <v>Drone</v>
      </c>
      <c r="J480" s="23">
        <f>VLOOKUP($G480,'Item Classification'!B:E,4,0)</f>
        <v>7</v>
      </c>
      <c r="K480" s="195" t="s">
        <v>158</v>
      </c>
      <c r="L480" s="195" t="s">
        <v>1135</v>
      </c>
      <c r="M480" s="116" t="str">
        <f>VLOOKUP(L480,'NATO Classifications'!$D$6:$E$647,2,0)</f>
        <v>Radar and Sensor</v>
      </c>
      <c r="N480" s="25">
        <v>3</v>
      </c>
      <c r="O480" s="81">
        <f>S480/N480</f>
        <v>10666666.666666666</v>
      </c>
      <c r="P480" s="81">
        <f t="shared" ref="P480" si="92">U480/N480</f>
        <v>12508404.083993934</v>
      </c>
      <c r="Q480" s="25">
        <v>2023</v>
      </c>
      <c r="R480" s="25"/>
      <c r="S480" s="82">
        <v>32000000</v>
      </c>
      <c r="T480" s="115" t="s">
        <v>2145</v>
      </c>
      <c r="U480" s="104">
        <f>_xlfn.IFNA(S480/INDEX('Exchange Rates'!$C$7:$F$14,MATCH('MAIN DATA, Orders'!F480,'Exchange Rates'!$B$7:$B$14,0),MATCH('MAIN DATA, Orders'!T480,'Exchange Rates'!$C$6:$F$6,0)), "-")</f>
        <v>37525212.251981802</v>
      </c>
      <c r="V480" s="6" t="s">
        <v>127</v>
      </c>
      <c r="W480" s="6" t="s">
        <v>127</v>
      </c>
      <c r="X480" s="6" t="s">
        <v>238</v>
      </c>
      <c r="Y480" s="24">
        <f t="shared" si="70"/>
        <v>202204</v>
      </c>
      <c r="Z480" s="24">
        <v>0</v>
      </c>
      <c r="AA480" s="24">
        <v>0</v>
      </c>
      <c r="AB480" s="24">
        <v>0</v>
      </c>
      <c r="AC480" s="24">
        <v>1</v>
      </c>
      <c r="AD480" s="24">
        <v>1</v>
      </c>
      <c r="AE480" s="24">
        <v>0</v>
      </c>
      <c r="AF480" s="24">
        <v>1</v>
      </c>
      <c r="AG480" s="10" t="s">
        <v>2260</v>
      </c>
      <c r="AH480" s="10" t="s">
        <v>238</v>
      </c>
      <c r="AI480" s="10" t="s">
        <v>127</v>
      </c>
      <c r="AJ480" s="6" t="s">
        <v>2261</v>
      </c>
      <c r="AK480" s="6" t="s">
        <v>127</v>
      </c>
      <c r="AL480" s="6" t="s">
        <v>127</v>
      </c>
      <c r="AM480" s="6" t="s">
        <v>127</v>
      </c>
      <c r="AN480" s="6" t="s">
        <v>128</v>
      </c>
      <c r="AO480" s="6" t="s">
        <v>127</v>
      </c>
      <c r="AP480" s="6" t="s">
        <v>127</v>
      </c>
      <c r="AQ480" s="6" t="s">
        <v>127</v>
      </c>
      <c r="AR480" s="6" t="s">
        <v>127</v>
      </c>
      <c r="AS480" s="6" t="s">
        <v>127</v>
      </c>
      <c r="AT480" s="6" t="s">
        <v>127</v>
      </c>
      <c r="AU480" s="6" t="s">
        <v>127</v>
      </c>
      <c r="AV480" s="6" t="s">
        <v>127</v>
      </c>
      <c r="AW480" s="6" t="s">
        <v>127</v>
      </c>
      <c r="AX480" s="6" t="s">
        <v>127</v>
      </c>
      <c r="AY480" s="99" t="s">
        <v>2471</v>
      </c>
      <c r="AZ480" s="6" t="s">
        <v>127</v>
      </c>
      <c r="BA480" s="6" t="s">
        <v>127</v>
      </c>
      <c r="BB480" s="6" t="s">
        <v>2472</v>
      </c>
      <c r="BC480" s="6" t="s">
        <v>2473</v>
      </c>
      <c r="BD480" s="6" t="s">
        <v>127</v>
      </c>
      <c r="BE480" s="6" t="s">
        <v>127</v>
      </c>
    </row>
    <row r="481" spans="1:57" ht="16" x14ac:dyDescent="0.4">
      <c r="A481" s="6" t="s">
        <v>2474</v>
      </c>
      <c r="B481" s="6" t="s">
        <v>2474</v>
      </c>
      <c r="C481" s="6" t="s">
        <v>2151</v>
      </c>
      <c r="D481" s="6" t="s">
        <v>238</v>
      </c>
      <c r="E481" s="191">
        <v>44690</v>
      </c>
      <c r="F481" s="6">
        <f t="shared" ref="F481:F543" si="93">YEAR(E481)</f>
        <v>2022</v>
      </c>
      <c r="G481" s="4" t="s">
        <v>2475</v>
      </c>
      <c r="H481" s="22" t="str">
        <f>VLOOKUP($G481,'Item Classification'!B:C,2,0)</f>
        <v>Submarine</v>
      </c>
      <c r="I481" s="6" t="str">
        <f>VLOOKUP($G481,'Item Classification'!B:D,3,0)</f>
        <v>Naval</v>
      </c>
      <c r="J481" s="23">
        <f>VLOOKUP($G481,'Item Classification'!B:E,4,0)</f>
        <v>12</v>
      </c>
      <c r="K481" s="195" t="s">
        <v>143</v>
      </c>
      <c r="L481" s="195" t="s">
        <v>144</v>
      </c>
      <c r="M481" s="116" t="str">
        <f>VLOOKUP(L481,'NATO Classifications'!$D$6:$E$647,2,0)</f>
        <v>Combat Ships and Landing Vessels</v>
      </c>
      <c r="N481" s="25"/>
      <c r="O481" s="25"/>
      <c r="P481" s="25"/>
      <c r="Q481" s="25"/>
      <c r="R481" s="25"/>
      <c r="S481" s="82">
        <v>2000000000</v>
      </c>
      <c r="T481" s="115" t="s">
        <v>2145</v>
      </c>
      <c r="U481" s="104">
        <f>_xlfn.IFNA(S481/INDEX('Exchange Rates'!$C$7:$F$14,MATCH('MAIN DATA, Orders'!F481,'Exchange Rates'!$B$7:$B$14,0),MATCH('MAIN DATA, Orders'!T481,'Exchange Rates'!$C$6:$F$6,0)), "-")</f>
        <v>2345325765.7488627</v>
      </c>
      <c r="V481" s="6" t="s">
        <v>127</v>
      </c>
      <c r="W481" s="6" t="s">
        <v>127</v>
      </c>
      <c r="X481" s="6" t="s">
        <v>238</v>
      </c>
      <c r="Y481" s="24">
        <f t="shared" si="70"/>
        <v>202205</v>
      </c>
      <c r="Z481" s="24">
        <v>0</v>
      </c>
      <c r="AA481" s="24">
        <v>0</v>
      </c>
      <c r="AB481" s="24">
        <v>0</v>
      </c>
      <c r="AC481" s="24">
        <v>1</v>
      </c>
      <c r="AD481" s="24">
        <v>0</v>
      </c>
      <c r="AE481" s="24">
        <v>0</v>
      </c>
      <c r="AF481" s="24">
        <v>0</v>
      </c>
      <c r="AG481" s="10" t="s">
        <v>1480</v>
      </c>
      <c r="AH481" s="10" t="s">
        <v>238</v>
      </c>
      <c r="AI481" s="10" t="s">
        <v>238</v>
      </c>
      <c r="AJ481" s="6" t="s">
        <v>2367</v>
      </c>
      <c r="AK481" s="6" t="s">
        <v>127</v>
      </c>
      <c r="AL481" s="6" t="s">
        <v>127</v>
      </c>
      <c r="AM481" s="6" t="s">
        <v>127</v>
      </c>
      <c r="AN481" s="6" t="s">
        <v>127</v>
      </c>
      <c r="AO481" s="6" t="s">
        <v>127</v>
      </c>
      <c r="AP481" s="6" t="s">
        <v>127</v>
      </c>
      <c r="AQ481" s="6" t="s">
        <v>127</v>
      </c>
      <c r="AR481" s="6" t="s">
        <v>127</v>
      </c>
      <c r="AS481" s="6" t="s">
        <v>127</v>
      </c>
      <c r="AT481" s="6" t="s">
        <v>127</v>
      </c>
      <c r="AU481" s="6" t="s">
        <v>127</v>
      </c>
      <c r="AV481" s="6" t="s">
        <v>127</v>
      </c>
      <c r="AW481" s="6" t="s">
        <v>127</v>
      </c>
      <c r="AX481" s="6" t="s">
        <v>127</v>
      </c>
      <c r="AY481" s="99" t="s">
        <v>2476</v>
      </c>
      <c r="AZ481" s="6" t="s">
        <v>127</v>
      </c>
      <c r="BA481" s="6" t="s">
        <v>127</v>
      </c>
      <c r="BB481" s="6" t="s">
        <v>2477</v>
      </c>
      <c r="BC481" s="6" t="s">
        <v>2478</v>
      </c>
      <c r="BD481" s="6" t="s">
        <v>127</v>
      </c>
      <c r="BE481" s="6" t="s">
        <v>127</v>
      </c>
    </row>
    <row r="482" spans="1:57" ht="16" x14ac:dyDescent="0.4">
      <c r="A482" s="6" t="s">
        <v>2479</v>
      </c>
      <c r="B482" s="6" t="s">
        <v>2479</v>
      </c>
      <c r="C482" s="6" t="s">
        <v>127</v>
      </c>
      <c r="D482" s="6" t="s">
        <v>238</v>
      </c>
      <c r="E482" s="191">
        <v>44705</v>
      </c>
      <c r="F482" s="6">
        <f t="shared" si="93"/>
        <v>2022</v>
      </c>
      <c r="G482" s="4" t="s">
        <v>2480</v>
      </c>
      <c r="H482" s="22" t="str">
        <f>VLOOKUP($G482,'Item Classification'!B:C,2,0)</f>
        <v>Air defence missile system</v>
      </c>
      <c r="I482" s="6" t="str">
        <f>VLOOKUP($G482,'Item Classification'!B:D,3,0)</f>
        <v>Missile (Naval)</v>
      </c>
      <c r="J482" s="23">
        <f>VLOOKUP($G482,'Item Classification'!B:E,4,0)</f>
        <v>6</v>
      </c>
      <c r="K482" s="195" t="s">
        <v>211</v>
      </c>
      <c r="L482" s="195" t="s">
        <v>211</v>
      </c>
      <c r="M482" s="116" t="str">
        <f>VLOOKUP(L482,'NATO Classifications'!$D$6:$E$647,2,0)</f>
        <v>Guided Missiles</v>
      </c>
      <c r="N482" s="25"/>
      <c r="O482" s="25"/>
      <c r="P482" s="25"/>
      <c r="Q482" s="25"/>
      <c r="R482" s="25"/>
      <c r="S482" s="82">
        <v>300000000</v>
      </c>
      <c r="T482" s="115" t="s">
        <v>2145</v>
      </c>
      <c r="U482" s="104">
        <f>_xlfn.IFNA(S482/INDEX('Exchange Rates'!$C$7:$F$14,MATCH('MAIN DATA, Orders'!F482,'Exchange Rates'!$B$7:$B$14,0),MATCH('MAIN DATA, Orders'!T482,'Exchange Rates'!$C$6:$F$6,0)), "-")</f>
        <v>351798864.86232936</v>
      </c>
      <c r="V482" s="6" t="s">
        <v>127</v>
      </c>
      <c r="W482" s="6" t="s">
        <v>127</v>
      </c>
      <c r="X482" s="6" t="s">
        <v>238</v>
      </c>
      <c r="Y482" s="24">
        <f t="shared" si="70"/>
        <v>202205</v>
      </c>
      <c r="Z482" s="24">
        <v>0</v>
      </c>
      <c r="AA482" s="24">
        <v>0</v>
      </c>
      <c r="AB482" s="24">
        <v>0</v>
      </c>
      <c r="AC482" s="24">
        <v>1</v>
      </c>
      <c r="AD482" s="24">
        <v>1</v>
      </c>
      <c r="AE482" s="24">
        <v>0</v>
      </c>
      <c r="AF482" s="24">
        <v>1</v>
      </c>
      <c r="AG482" s="10" t="s">
        <v>475</v>
      </c>
      <c r="AH482" s="10" t="s">
        <v>238</v>
      </c>
      <c r="AI482" s="10" t="s">
        <v>127</v>
      </c>
      <c r="AJ482" s="6" t="s">
        <v>127</v>
      </c>
      <c r="AK482" s="6" t="s">
        <v>127</v>
      </c>
      <c r="AL482" s="6" t="s">
        <v>127</v>
      </c>
      <c r="AM482" s="6" t="s">
        <v>127</v>
      </c>
      <c r="AN482" s="6" t="s">
        <v>151</v>
      </c>
      <c r="AO482" s="6" t="s">
        <v>197</v>
      </c>
      <c r="AP482" s="6" t="s">
        <v>128</v>
      </c>
      <c r="AQ482" s="6" t="s">
        <v>162</v>
      </c>
      <c r="AR482" s="6" t="s">
        <v>127</v>
      </c>
      <c r="AS482" s="6" t="s">
        <v>127</v>
      </c>
      <c r="AT482" s="6" t="s">
        <v>127</v>
      </c>
      <c r="AU482" s="6" t="s">
        <v>127</v>
      </c>
      <c r="AV482" s="6" t="s">
        <v>127</v>
      </c>
      <c r="AW482" s="6" t="s">
        <v>127</v>
      </c>
      <c r="AX482" s="6" t="s">
        <v>127</v>
      </c>
      <c r="AY482" s="99" t="s">
        <v>2481</v>
      </c>
      <c r="AZ482" s="6" t="s">
        <v>127</v>
      </c>
      <c r="BA482" s="6" t="s">
        <v>127</v>
      </c>
      <c r="BB482" s="6" t="s">
        <v>2482</v>
      </c>
      <c r="BC482" s="6" t="s">
        <v>2483</v>
      </c>
      <c r="BD482" s="6" t="s">
        <v>127</v>
      </c>
      <c r="BE482" s="6" t="s">
        <v>127</v>
      </c>
    </row>
    <row r="483" spans="1:57" ht="16" x14ac:dyDescent="0.4">
      <c r="A483" s="6" t="s">
        <v>2484</v>
      </c>
      <c r="B483" s="6" t="s">
        <v>2484</v>
      </c>
      <c r="C483" s="6" t="s">
        <v>127</v>
      </c>
      <c r="D483" s="6" t="s">
        <v>238</v>
      </c>
      <c r="E483" s="191">
        <v>44712</v>
      </c>
      <c r="F483" s="6">
        <f t="shared" si="93"/>
        <v>2022</v>
      </c>
      <c r="G483" s="4" t="s">
        <v>2485</v>
      </c>
      <c r="H483" s="22" t="str">
        <f>VLOOKUP($G483,'Item Classification'!B:C,2,0)</f>
        <v>Surface-to-surface (SSM) missile</v>
      </c>
      <c r="I483" s="6" t="str">
        <f>VLOOKUP($G483,'Item Classification'!B:D,3,0)</f>
        <v>Missile (Naval)</v>
      </c>
      <c r="J483" s="23">
        <f>VLOOKUP($G483,'Item Classification'!B:E,4,0)</f>
        <v>6</v>
      </c>
      <c r="K483" s="195" t="s">
        <v>211</v>
      </c>
      <c r="L483" s="195" t="s">
        <v>211</v>
      </c>
      <c r="M483" s="116" t="str">
        <f>VLOOKUP(L483,'NATO Classifications'!$D$6:$E$647,2,0)</f>
        <v>Guided Missiles</v>
      </c>
      <c r="N483" s="25"/>
      <c r="O483" s="25"/>
      <c r="P483" s="25"/>
      <c r="Q483" s="25">
        <v>2024</v>
      </c>
      <c r="R483" s="25"/>
      <c r="S483" s="82">
        <v>265000000</v>
      </c>
      <c r="T483" s="115" t="s">
        <v>2145</v>
      </c>
      <c r="U483" s="104">
        <f>_xlfn.IFNA(S483/INDEX('Exchange Rates'!$C$7:$F$14,MATCH('MAIN DATA, Orders'!F483,'Exchange Rates'!$B$7:$B$14,0),MATCH('MAIN DATA, Orders'!T483,'Exchange Rates'!$C$6:$F$6,0)), "-")</f>
        <v>310755663.96172428</v>
      </c>
      <c r="V483" s="6" t="s">
        <v>127</v>
      </c>
      <c r="W483" s="6" t="s">
        <v>127</v>
      </c>
      <c r="X483" s="6" t="s">
        <v>238</v>
      </c>
      <c r="Y483" s="24">
        <f t="shared" si="70"/>
        <v>202205</v>
      </c>
      <c r="Z483" s="24">
        <v>0</v>
      </c>
      <c r="AA483" s="24">
        <v>0</v>
      </c>
      <c r="AB483" s="24">
        <v>0</v>
      </c>
      <c r="AC483" s="24">
        <v>1</v>
      </c>
      <c r="AD483" s="24">
        <v>0</v>
      </c>
      <c r="AE483" s="24">
        <v>1</v>
      </c>
      <c r="AF483" s="24">
        <v>1</v>
      </c>
      <c r="AG483" s="10" t="s">
        <v>718</v>
      </c>
      <c r="AH483" s="10" t="s">
        <v>196</v>
      </c>
      <c r="AI483" s="10" t="s">
        <v>127</v>
      </c>
      <c r="AJ483" s="6" t="s">
        <v>1480</v>
      </c>
      <c r="AK483" s="6" t="s">
        <v>2393</v>
      </c>
      <c r="AL483" s="6" t="s">
        <v>795</v>
      </c>
      <c r="AM483" s="6" t="s">
        <v>127</v>
      </c>
      <c r="AN483" s="6" t="s">
        <v>238</v>
      </c>
      <c r="AO483" s="6" t="s">
        <v>127</v>
      </c>
      <c r="AP483" s="6" t="s">
        <v>127</v>
      </c>
      <c r="AQ483" s="6" t="s">
        <v>127</v>
      </c>
      <c r="AR483" s="6" t="s">
        <v>127</v>
      </c>
      <c r="AS483" s="6" t="s">
        <v>127</v>
      </c>
      <c r="AT483" s="6" t="s">
        <v>127</v>
      </c>
      <c r="AU483" s="6" t="s">
        <v>127</v>
      </c>
      <c r="AV483" s="6" t="s">
        <v>127</v>
      </c>
      <c r="AW483" s="6" t="s">
        <v>127</v>
      </c>
      <c r="AX483" s="6" t="s">
        <v>127</v>
      </c>
      <c r="AY483" s="99" t="s">
        <v>2486</v>
      </c>
      <c r="AZ483" s="6" t="s">
        <v>127</v>
      </c>
      <c r="BA483" s="6" t="s">
        <v>127</v>
      </c>
      <c r="BB483" s="6" t="s">
        <v>2487</v>
      </c>
      <c r="BC483" s="6" t="s">
        <v>2488</v>
      </c>
      <c r="BD483" s="6" t="s">
        <v>2489</v>
      </c>
      <c r="BE483" s="6" t="s">
        <v>127</v>
      </c>
    </row>
    <row r="484" spans="1:57" ht="16" x14ac:dyDescent="0.4">
      <c r="A484" s="6" t="s">
        <v>2490</v>
      </c>
      <c r="B484" s="6" t="s">
        <v>2490</v>
      </c>
      <c r="C484" s="6" t="s">
        <v>127</v>
      </c>
      <c r="D484" s="6" t="s">
        <v>238</v>
      </c>
      <c r="E484" s="191">
        <v>44719</v>
      </c>
      <c r="F484" s="6">
        <f t="shared" si="93"/>
        <v>2022</v>
      </c>
      <c r="G484" s="4" t="s">
        <v>2491</v>
      </c>
      <c r="H484" s="22" t="str">
        <f>VLOOKUP($G484,'Item Classification'!B:C,2,0)</f>
        <v>Development (unspecified)</v>
      </c>
      <c r="I484" s="6" t="str">
        <f>VLOOKUP($G484,'Item Classification'!B:D,3,0)</f>
        <v>Development - Modernisation</v>
      </c>
      <c r="J484" s="23">
        <f>VLOOKUP($G484,'Item Classification'!B:E,4,0)</f>
        <v>15</v>
      </c>
      <c r="K484" s="195" t="s">
        <v>229</v>
      </c>
      <c r="L484" s="195" t="s">
        <v>230</v>
      </c>
      <c r="M484" s="116" t="str">
        <f>VLOOKUP(L484,'NATO Classifications'!$D$6:$E$647,2,0)</f>
        <v>Miscellaneous Items</v>
      </c>
      <c r="N484" s="25">
        <v>4</v>
      </c>
      <c r="O484" s="81">
        <f>S484/N484</f>
        <v>500000000</v>
      </c>
      <c r="P484" s="81">
        <f t="shared" ref="P484" si="94">U484/N484</f>
        <v>586331441.43721569</v>
      </c>
      <c r="Q484" s="25">
        <v>2022</v>
      </c>
      <c r="R484" s="25">
        <v>2026</v>
      </c>
      <c r="S484" s="82">
        <v>2000000000</v>
      </c>
      <c r="T484" s="115" t="s">
        <v>2145</v>
      </c>
      <c r="U484" s="104">
        <f>_xlfn.IFNA(S484/INDEX('Exchange Rates'!$C$7:$F$14,MATCH('MAIN DATA, Orders'!F484,'Exchange Rates'!$B$7:$B$14,0),MATCH('MAIN DATA, Orders'!T484,'Exchange Rates'!$C$6:$F$6,0)), "-")</f>
        <v>2345325765.7488627</v>
      </c>
      <c r="V484" s="6" t="s">
        <v>127</v>
      </c>
      <c r="W484" s="6" t="s">
        <v>127</v>
      </c>
      <c r="X484" s="6" t="s">
        <v>238</v>
      </c>
      <c r="Y484" s="24">
        <f t="shared" si="70"/>
        <v>202206</v>
      </c>
      <c r="Z484" s="24">
        <v>0</v>
      </c>
      <c r="AA484" s="24">
        <v>1</v>
      </c>
      <c r="AB484" s="24">
        <v>0</v>
      </c>
      <c r="AC484" s="24" t="s">
        <v>127</v>
      </c>
      <c r="AD484" s="24" t="s">
        <v>127</v>
      </c>
      <c r="AE484" s="24" t="s">
        <v>127</v>
      </c>
      <c r="AF484" s="24" t="s">
        <v>127</v>
      </c>
      <c r="AG484" s="10" t="s">
        <v>127</v>
      </c>
      <c r="AH484" s="10" t="s">
        <v>127</v>
      </c>
      <c r="AI484" s="10" t="s">
        <v>127</v>
      </c>
      <c r="AJ484" s="6" t="s">
        <v>127</v>
      </c>
      <c r="AK484" s="6" t="s">
        <v>127</v>
      </c>
      <c r="AL484" s="6" t="s">
        <v>127</v>
      </c>
      <c r="AM484" s="6" t="s">
        <v>127</v>
      </c>
      <c r="AN484" s="6" t="s">
        <v>127</v>
      </c>
      <c r="AO484" s="6" t="s">
        <v>127</v>
      </c>
      <c r="AP484" s="6" t="s">
        <v>127</v>
      </c>
      <c r="AQ484" s="6" t="s">
        <v>127</v>
      </c>
      <c r="AR484" s="6" t="s">
        <v>127</v>
      </c>
      <c r="AS484" s="6" t="s">
        <v>127</v>
      </c>
      <c r="AT484" s="6" t="s">
        <v>127</v>
      </c>
      <c r="AU484" s="6" t="s">
        <v>127</v>
      </c>
      <c r="AV484" s="6" t="s">
        <v>127</v>
      </c>
      <c r="AW484" s="6" t="s">
        <v>127</v>
      </c>
      <c r="AX484" s="6" t="s">
        <v>127</v>
      </c>
      <c r="AY484" s="99" t="s">
        <v>2492</v>
      </c>
      <c r="AZ484" s="6" t="s">
        <v>127</v>
      </c>
      <c r="BA484" s="6" t="s">
        <v>127</v>
      </c>
      <c r="BB484" s="6" t="s">
        <v>2493</v>
      </c>
      <c r="BC484" s="6" t="s">
        <v>2494</v>
      </c>
      <c r="BD484" s="6" t="s">
        <v>127</v>
      </c>
      <c r="BE484" s="6" t="s">
        <v>127</v>
      </c>
    </row>
    <row r="485" spans="1:57" ht="16" x14ac:dyDescent="0.4">
      <c r="A485" s="6" t="s">
        <v>2495</v>
      </c>
      <c r="B485" s="6" t="s">
        <v>2495</v>
      </c>
      <c r="C485" s="6" t="s">
        <v>127</v>
      </c>
      <c r="D485" s="6" t="s">
        <v>238</v>
      </c>
      <c r="E485" s="191">
        <v>44722</v>
      </c>
      <c r="F485" s="6">
        <f t="shared" si="93"/>
        <v>2022</v>
      </c>
      <c r="G485" s="4" t="s">
        <v>2496</v>
      </c>
      <c r="H485" s="22" t="str">
        <f>VLOOKUP($G485,'Item Classification'!B:C,2,0)</f>
        <v>Wargaming software</v>
      </c>
      <c r="I485" s="6" t="str">
        <f>VLOOKUP($G485,'Item Classification'!B:D,3,0)</f>
        <v>Other</v>
      </c>
      <c r="J485" s="23">
        <f>VLOOKUP($G485,'Item Classification'!B:E,4,0)</f>
        <v>16</v>
      </c>
      <c r="K485" s="195" t="s">
        <v>941</v>
      </c>
      <c r="L485" s="195" t="s">
        <v>942</v>
      </c>
      <c r="M485" s="116" t="str">
        <f>VLOOKUP(L485,'NATO Classifications'!$D$6:$E$647,2,0)</f>
        <v>Training Aids</v>
      </c>
      <c r="N485" s="25"/>
      <c r="O485" s="25"/>
      <c r="P485" s="25"/>
      <c r="Q485" s="25"/>
      <c r="R485" s="25"/>
      <c r="S485" s="82">
        <v>7200000</v>
      </c>
      <c r="T485" s="115" t="s">
        <v>2145</v>
      </c>
      <c r="U485" s="104">
        <f>_xlfn.IFNA(S485/INDEX('Exchange Rates'!$C$7:$F$14,MATCH('MAIN DATA, Orders'!F485,'Exchange Rates'!$B$7:$B$14,0),MATCH('MAIN DATA, Orders'!T485,'Exchange Rates'!$C$6:$F$6,0)), "-")</f>
        <v>8443172.7566959057</v>
      </c>
      <c r="V485" s="6" t="s">
        <v>127</v>
      </c>
      <c r="W485" s="6" t="s">
        <v>127</v>
      </c>
      <c r="X485" s="6" t="s">
        <v>238</v>
      </c>
      <c r="Y485" s="24">
        <f t="shared" si="70"/>
        <v>202206</v>
      </c>
      <c r="Z485" s="24">
        <v>0</v>
      </c>
      <c r="AA485" s="24">
        <v>0</v>
      </c>
      <c r="AB485" s="24">
        <v>0</v>
      </c>
      <c r="AC485" s="24">
        <v>1</v>
      </c>
      <c r="AD485" s="24">
        <v>0</v>
      </c>
      <c r="AE485" s="24">
        <v>0</v>
      </c>
      <c r="AF485" s="24">
        <v>0</v>
      </c>
      <c r="AG485" s="10" t="s">
        <v>2497</v>
      </c>
      <c r="AH485" s="10" t="s">
        <v>238</v>
      </c>
      <c r="AI485" s="10" t="s">
        <v>238</v>
      </c>
      <c r="AJ485" s="6" t="s">
        <v>1480</v>
      </c>
      <c r="AK485" s="6" t="s">
        <v>127</v>
      </c>
      <c r="AL485" s="6" t="s">
        <v>127</v>
      </c>
      <c r="AM485" s="6" t="s">
        <v>127</v>
      </c>
      <c r="AN485" s="6" t="s">
        <v>127</v>
      </c>
      <c r="AO485" s="6" t="s">
        <v>127</v>
      </c>
      <c r="AP485" s="6" t="s">
        <v>127</v>
      </c>
      <c r="AQ485" s="6" t="s">
        <v>127</v>
      </c>
      <c r="AR485" s="6" t="s">
        <v>127</v>
      </c>
      <c r="AS485" s="6" t="s">
        <v>127</v>
      </c>
      <c r="AT485" s="6" t="s">
        <v>127</v>
      </c>
      <c r="AU485" s="6" t="s">
        <v>127</v>
      </c>
      <c r="AV485" s="6" t="s">
        <v>127</v>
      </c>
      <c r="AW485" s="6" t="s">
        <v>127</v>
      </c>
      <c r="AX485" s="6" t="s">
        <v>127</v>
      </c>
      <c r="AY485" s="99" t="s">
        <v>2498</v>
      </c>
      <c r="AZ485" s="6" t="s">
        <v>127</v>
      </c>
      <c r="BA485" s="6" t="s">
        <v>127</v>
      </c>
      <c r="BB485" s="6" t="s">
        <v>2499</v>
      </c>
      <c r="BC485" s="6" t="s">
        <v>127</v>
      </c>
      <c r="BD485" s="6" t="s">
        <v>127</v>
      </c>
      <c r="BE485" s="6" t="s">
        <v>127</v>
      </c>
    </row>
    <row r="486" spans="1:57" ht="16" x14ac:dyDescent="0.4">
      <c r="A486" s="6" t="s">
        <v>2500</v>
      </c>
      <c r="B486" s="6" t="s">
        <v>2500</v>
      </c>
      <c r="C486" s="6" t="s">
        <v>127</v>
      </c>
      <c r="D486" s="6" t="s">
        <v>238</v>
      </c>
      <c r="E486" s="191">
        <v>44757</v>
      </c>
      <c r="F486" s="6">
        <f t="shared" si="93"/>
        <v>2022</v>
      </c>
      <c r="G486" s="4" t="s">
        <v>157</v>
      </c>
      <c r="H486" s="22" t="str">
        <f>VLOOKUP($G486,'Item Classification'!B:C,2,0)</f>
        <v>Radar technology for fighter jet</v>
      </c>
      <c r="I486" s="6" t="str">
        <f>VLOOKUP($G486,'Item Classification'!B:D,3,0)</f>
        <v>Aircraft</v>
      </c>
      <c r="J486" s="23">
        <f>VLOOKUP($G486,'Item Classification'!B:E,4,0)</f>
        <v>11</v>
      </c>
      <c r="K486" s="195" t="s">
        <v>158</v>
      </c>
      <c r="L486" s="195" t="s">
        <v>159</v>
      </c>
      <c r="M486" s="116" t="str">
        <f>VLOOKUP(L486,'NATO Classifications'!$D$6:$E$647,2,0)</f>
        <v>Radar and Sensor</v>
      </c>
      <c r="N486" s="25"/>
      <c r="O486" s="25"/>
      <c r="P486" s="25"/>
      <c r="Q486" s="25"/>
      <c r="R486" s="25"/>
      <c r="S486" s="82">
        <v>2350000000</v>
      </c>
      <c r="T486" s="115" t="s">
        <v>2145</v>
      </c>
      <c r="U486" s="104">
        <f>_xlfn.IFNA(S486/INDEX('Exchange Rates'!$C$7:$F$14,MATCH('MAIN DATA, Orders'!F486,'Exchange Rates'!$B$7:$B$14,0),MATCH('MAIN DATA, Orders'!T486,'Exchange Rates'!$C$6:$F$6,0)), "-")</f>
        <v>2755757774.7549138</v>
      </c>
      <c r="V486" s="6" t="s">
        <v>127</v>
      </c>
      <c r="W486" s="6" t="s">
        <v>127</v>
      </c>
      <c r="X486" s="6" t="s">
        <v>238</v>
      </c>
      <c r="Y486" s="24">
        <f t="shared" si="70"/>
        <v>202207</v>
      </c>
      <c r="Z486" s="24">
        <v>0</v>
      </c>
      <c r="AA486" s="24">
        <v>0</v>
      </c>
      <c r="AB486" s="24">
        <v>0</v>
      </c>
      <c r="AC486" s="24">
        <v>1</v>
      </c>
      <c r="AD486" s="24">
        <v>1</v>
      </c>
      <c r="AE486" s="24">
        <v>0</v>
      </c>
      <c r="AF486" s="24">
        <v>1</v>
      </c>
      <c r="AG486" s="10" t="s">
        <v>1480</v>
      </c>
      <c r="AH486" s="10" t="s">
        <v>238</v>
      </c>
      <c r="AI486" s="10" t="s">
        <v>238</v>
      </c>
      <c r="AJ486" s="6" t="s">
        <v>2212</v>
      </c>
      <c r="AK486" s="6" t="s">
        <v>360</v>
      </c>
      <c r="AL486" s="6" t="s">
        <v>127</v>
      </c>
      <c r="AM486" s="6" t="s">
        <v>127</v>
      </c>
      <c r="AN486" s="6" t="s">
        <v>197</v>
      </c>
      <c r="AO486" s="6" t="s">
        <v>127</v>
      </c>
      <c r="AP486" s="6" t="s">
        <v>127</v>
      </c>
      <c r="AQ486" s="6" t="s">
        <v>127</v>
      </c>
      <c r="AR486" s="6" t="s">
        <v>127</v>
      </c>
      <c r="AS486" s="6" t="s">
        <v>127</v>
      </c>
      <c r="AT486" s="6" t="s">
        <v>127</v>
      </c>
      <c r="AU486" s="6" t="s">
        <v>127</v>
      </c>
      <c r="AV486" s="6" t="s">
        <v>127</v>
      </c>
      <c r="AW486" s="6" t="s">
        <v>127</v>
      </c>
      <c r="AX486" s="6" t="s">
        <v>127</v>
      </c>
      <c r="AY486" s="99" t="s">
        <v>2501</v>
      </c>
      <c r="AZ486" s="6" t="s">
        <v>127</v>
      </c>
      <c r="BA486" s="6" t="s">
        <v>127</v>
      </c>
      <c r="BB486" s="6" t="s">
        <v>2502</v>
      </c>
      <c r="BC486" s="6" t="s">
        <v>2503</v>
      </c>
      <c r="BD486" s="6" t="s">
        <v>2504</v>
      </c>
      <c r="BE486" s="6" t="s">
        <v>127</v>
      </c>
    </row>
    <row r="487" spans="1:57" ht="16" x14ac:dyDescent="0.4">
      <c r="A487" s="6" t="s">
        <v>2505</v>
      </c>
      <c r="B487" s="6" t="s">
        <v>2505</v>
      </c>
      <c r="C487" s="6" t="s">
        <v>127</v>
      </c>
      <c r="D487" s="6" t="s">
        <v>238</v>
      </c>
      <c r="E487" s="191">
        <v>44762</v>
      </c>
      <c r="F487" s="6">
        <f t="shared" si="93"/>
        <v>2022</v>
      </c>
      <c r="G487" s="4" t="s">
        <v>2506</v>
      </c>
      <c r="H487" s="22" t="str">
        <f>VLOOKUP($G487,'Item Classification'!B:C,2,0)</f>
        <v>Space capability development</v>
      </c>
      <c r="I487" s="6" t="str">
        <f>VLOOKUP($G487,'Item Classification'!B:D,3,0)</f>
        <v>Development - Modernisation</v>
      </c>
      <c r="J487" s="23">
        <f>VLOOKUP($G487,'Item Classification'!B:E,4,0)</f>
        <v>15</v>
      </c>
      <c r="K487" s="195" t="s">
        <v>158</v>
      </c>
      <c r="L487" s="195" t="s">
        <v>354</v>
      </c>
      <c r="M487" s="116" t="str">
        <f>VLOOKUP(L487,'NATO Classifications'!$D$6:$E$647,2,0)</f>
        <v>Communication, Detection, and Coherent Radiation Equipment (other)</v>
      </c>
      <c r="N487" s="25"/>
      <c r="O487" s="25"/>
      <c r="P487" s="25"/>
      <c r="Q487" s="25"/>
      <c r="R487" s="25"/>
      <c r="S487" s="82">
        <v>1000000</v>
      </c>
      <c r="T487" s="115" t="s">
        <v>2145</v>
      </c>
      <c r="U487" s="104">
        <f>_xlfn.IFNA(S487/INDEX('Exchange Rates'!$C$7:$F$14,MATCH('MAIN DATA, Orders'!F487,'Exchange Rates'!$B$7:$B$14,0),MATCH('MAIN DATA, Orders'!T487,'Exchange Rates'!$C$6:$F$6,0)), "-")</f>
        <v>1172662.8828744313</v>
      </c>
      <c r="V487" s="6" t="s">
        <v>127</v>
      </c>
      <c r="W487" s="6" t="s">
        <v>127</v>
      </c>
      <c r="X487" s="6" t="s">
        <v>238</v>
      </c>
      <c r="Y487" s="24">
        <f t="shared" si="70"/>
        <v>202207</v>
      </c>
      <c r="Z487" s="24">
        <v>0</v>
      </c>
      <c r="AA487" s="24">
        <v>0</v>
      </c>
      <c r="AB487" s="24">
        <v>0</v>
      </c>
      <c r="AC487" s="24">
        <v>1</v>
      </c>
      <c r="AD487" s="24">
        <v>0</v>
      </c>
      <c r="AE487" s="24">
        <v>1</v>
      </c>
      <c r="AF487" s="24">
        <v>1</v>
      </c>
      <c r="AG487" s="10" t="s">
        <v>2507</v>
      </c>
      <c r="AH487" s="10" t="s">
        <v>238</v>
      </c>
      <c r="AI487" s="10" t="s">
        <v>127</v>
      </c>
      <c r="AJ487" s="6" t="s">
        <v>2508</v>
      </c>
      <c r="AK487" s="6" t="s">
        <v>2509</v>
      </c>
      <c r="AL487" s="6" t="s">
        <v>2510</v>
      </c>
      <c r="AM487" s="6" t="s">
        <v>2511</v>
      </c>
      <c r="AN487" s="6" t="s">
        <v>2512</v>
      </c>
      <c r="AO487" s="6" t="s">
        <v>127</v>
      </c>
      <c r="AP487" s="6" t="s">
        <v>127</v>
      </c>
      <c r="AQ487" s="6" t="s">
        <v>127</v>
      </c>
      <c r="AR487" s="6" t="s">
        <v>127</v>
      </c>
      <c r="AS487" s="6" t="s">
        <v>127</v>
      </c>
      <c r="AT487" s="6" t="s">
        <v>127</v>
      </c>
      <c r="AU487" s="6" t="s">
        <v>127</v>
      </c>
      <c r="AV487" s="6" t="s">
        <v>127</v>
      </c>
      <c r="AW487" s="6" t="s">
        <v>127</v>
      </c>
      <c r="AX487" s="6" t="s">
        <v>127</v>
      </c>
      <c r="AY487" s="99" t="s">
        <v>2513</v>
      </c>
      <c r="AZ487" s="99" t="s">
        <v>2514</v>
      </c>
      <c r="BA487" s="6" t="s">
        <v>127</v>
      </c>
      <c r="BB487" s="6" t="s">
        <v>2515</v>
      </c>
      <c r="BC487" s="6" t="s">
        <v>2516</v>
      </c>
      <c r="BD487" s="6" t="s">
        <v>2517</v>
      </c>
      <c r="BE487" s="6" t="s">
        <v>127</v>
      </c>
    </row>
    <row r="488" spans="1:57" ht="16" x14ac:dyDescent="0.4">
      <c r="A488" s="6" t="s">
        <v>2518</v>
      </c>
      <c r="B488" s="6" t="s">
        <v>2518</v>
      </c>
      <c r="C488" s="6" t="s">
        <v>127</v>
      </c>
      <c r="D488" s="6" t="s">
        <v>238</v>
      </c>
      <c r="E488" s="191">
        <v>44763</v>
      </c>
      <c r="F488" s="6">
        <f t="shared" si="93"/>
        <v>2022</v>
      </c>
      <c r="G488" s="4" t="s">
        <v>2519</v>
      </c>
      <c r="H488" s="22" t="str">
        <f>VLOOKUP($G488,'Item Classification'!B:C,2,0)</f>
        <v>Drone development</v>
      </c>
      <c r="I488" s="6" t="str">
        <f>VLOOKUP($G488,'Item Classification'!B:D,3,0)</f>
        <v>Development - Drone</v>
      </c>
      <c r="J488" s="23">
        <f>VLOOKUP($G488,'Item Classification'!B:E,4,0)</f>
        <v>15</v>
      </c>
      <c r="K488" s="195" t="s">
        <v>130</v>
      </c>
      <c r="L488" s="195" t="s">
        <v>131</v>
      </c>
      <c r="M488" s="116" t="str">
        <f>VLOOKUP(L488,'NATO Classifications'!$D$6:$E$647,2,0)</f>
        <v>Unmanned Aircraft</v>
      </c>
      <c r="N488" s="25"/>
      <c r="O488" s="25"/>
      <c r="P488" s="25"/>
      <c r="Q488" s="25">
        <v>2025</v>
      </c>
      <c r="R488" s="25"/>
      <c r="S488" s="82">
        <v>60000000</v>
      </c>
      <c r="T488" s="115" t="s">
        <v>2145</v>
      </c>
      <c r="U488" s="104">
        <f>_xlfn.IFNA(S488/INDEX('Exchange Rates'!$C$7:$F$14,MATCH('MAIN DATA, Orders'!F488,'Exchange Rates'!$B$7:$B$14,0),MATCH('MAIN DATA, Orders'!T488,'Exchange Rates'!$C$6:$F$6,0)), "-")</f>
        <v>70359772.972465873</v>
      </c>
      <c r="V488" s="6" t="s">
        <v>127</v>
      </c>
      <c r="W488" s="6" t="s">
        <v>127</v>
      </c>
      <c r="X488" s="6" t="s">
        <v>238</v>
      </c>
      <c r="Y488" s="24">
        <f t="shared" si="70"/>
        <v>202207</v>
      </c>
      <c r="Z488" s="24">
        <v>0</v>
      </c>
      <c r="AA488" s="24">
        <v>0</v>
      </c>
      <c r="AB488" s="24">
        <v>0</v>
      </c>
      <c r="AC488" s="24">
        <v>1</v>
      </c>
      <c r="AD488" s="24">
        <v>1</v>
      </c>
      <c r="AE488" s="24">
        <v>0</v>
      </c>
      <c r="AF488" s="24">
        <v>1</v>
      </c>
      <c r="AG488" s="10" t="s">
        <v>360</v>
      </c>
      <c r="AH488" s="10" t="s">
        <v>197</v>
      </c>
      <c r="AI488" s="10" t="s">
        <v>127</v>
      </c>
      <c r="AJ488" s="6" t="s">
        <v>2212</v>
      </c>
      <c r="AK488" s="6" t="s">
        <v>127</v>
      </c>
      <c r="AL488" s="6" t="s">
        <v>127</v>
      </c>
      <c r="AM488" s="6" t="s">
        <v>127</v>
      </c>
      <c r="AN488" s="6" t="s">
        <v>238</v>
      </c>
      <c r="AO488" s="6" t="s">
        <v>127</v>
      </c>
      <c r="AP488" s="6" t="s">
        <v>127</v>
      </c>
      <c r="AQ488" s="6" t="s">
        <v>127</v>
      </c>
      <c r="AR488" s="6" t="s">
        <v>127</v>
      </c>
      <c r="AS488" s="6" t="s">
        <v>127</v>
      </c>
      <c r="AT488" s="6" t="s">
        <v>127</v>
      </c>
      <c r="AU488" s="6" t="s">
        <v>127</v>
      </c>
      <c r="AV488" s="6" t="s">
        <v>127</v>
      </c>
      <c r="AW488" s="6" t="s">
        <v>127</v>
      </c>
      <c r="AX488" s="6" t="s">
        <v>127</v>
      </c>
      <c r="AY488" s="99" t="s">
        <v>2520</v>
      </c>
      <c r="AZ488" s="6" t="s">
        <v>127</v>
      </c>
      <c r="BA488" s="6" t="s">
        <v>127</v>
      </c>
      <c r="BB488" s="6" t="s">
        <v>2521</v>
      </c>
      <c r="BC488" s="6" t="s">
        <v>2522</v>
      </c>
      <c r="BD488" s="6" t="s">
        <v>127</v>
      </c>
      <c r="BE488" s="6" t="s">
        <v>127</v>
      </c>
    </row>
    <row r="489" spans="1:57" ht="16" x14ac:dyDescent="0.4">
      <c r="A489" s="6" t="s">
        <v>2523</v>
      </c>
      <c r="B489" s="6" t="s">
        <v>2523</v>
      </c>
      <c r="C489" s="6" t="s">
        <v>127</v>
      </c>
      <c r="D489" s="6" t="s">
        <v>238</v>
      </c>
      <c r="E489" s="191">
        <v>44767</v>
      </c>
      <c r="F489" s="6">
        <f t="shared" si="93"/>
        <v>2022</v>
      </c>
      <c r="G489" s="4" t="s">
        <v>2524</v>
      </c>
      <c r="H489" s="22" t="str">
        <f>VLOOKUP($G489,'Item Classification'!B:C,2,0)</f>
        <v>Military equipment</v>
      </c>
      <c r="I489" s="6" t="str">
        <f>VLOOKUP($G489,'Item Classification'!B:D,3,0)</f>
        <v>Other</v>
      </c>
      <c r="J489" s="23">
        <f>VLOOKUP($G489,'Item Classification'!B:E,4,0)</f>
        <v>16</v>
      </c>
      <c r="K489" s="195" t="s">
        <v>189</v>
      </c>
      <c r="L489" s="195" t="s">
        <v>2233</v>
      </c>
      <c r="M489" s="116" t="str">
        <f>VLOOKUP(L489,'NATO Classifications'!$D$6:$E$647,2,0)</f>
        <v>Ammunition and Explosives (other)</v>
      </c>
      <c r="N489" s="25"/>
      <c r="O489" s="25"/>
      <c r="P489" s="25"/>
      <c r="Q489" s="25">
        <v>2024</v>
      </c>
      <c r="R489" s="25">
        <v>2025</v>
      </c>
      <c r="S489" s="82">
        <v>41000000</v>
      </c>
      <c r="T489" s="115" t="s">
        <v>2145</v>
      </c>
      <c r="U489" s="104">
        <f>_xlfn.IFNA(S489/INDEX('Exchange Rates'!$C$7:$F$14,MATCH('MAIN DATA, Orders'!F489,'Exchange Rates'!$B$7:$B$14,0),MATCH('MAIN DATA, Orders'!T489,'Exchange Rates'!$C$6:$F$6,0)), "-")</f>
        <v>48079178.19785168</v>
      </c>
      <c r="V489" s="6" t="s">
        <v>127</v>
      </c>
      <c r="W489" s="6" t="s">
        <v>127</v>
      </c>
      <c r="X489" s="6" t="s">
        <v>238</v>
      </c>
      <c r="Y489" s="24">
        <f t="shared" ref="Y489:Y552" si="95">_xlfn.NUMBERVALUE(_xlfn.CONCAT(YEAR(E489),TEXT(E489, "mm")))</f>
        <v>202207</v>
      </c>
      <c r="Z489" s="24">
        <v>0</v>
      </c>
      <c r="AA489" s="24">
        <v>0</v>
      </c>
      <c r="AB489" s="24">
        <v>0</v>
      </c>
      <c r="AC489" s="24">
        <v>1</v>
      </c>
      <c r="AD489" s="24">
        <v>1</v>
      </c>
      <c r="AE489" s="24">
        <v>0</v>
      </c>
      <c r="AF489" s="24">
        <v>1</v>
      </c>
      <c r="AG489" s="10" t="s">
        <v>360</v>
      </c>
      <c r="AH489" s="10" t="s">
        <v>197</v>
      </c>
      <c r="AI489" s="10" t="s">
        <v>127</v>
      </c>
      <c r="AJ489" s="6" t="s">
        <v>2212</v>
      </c>
      <c r="AK489" s="6" t="s">
        <v>127</v>
      </c>
      <c r="AL489" s="6" t="s">
        <v>127</v>
      </c>
      <c r="AM489" s="6" t="s">
        <v>127</v>
      </c>
      <c r="AN489" s="6" t="s">
        <v>238</v>
      </c>
      <c r="AO489" s="6" t="s">
        <v>127</v>
      </c>
      <c r="AP489" s="6" t="s">
        <v>127</v>
      </c>
      <c r="AQ489" s="6" t="s">
        <v>127</v>
      </c>
      <c r="AR489" s="6" t="s">
        <v>127</v>
      </c>
      <c r="AS489" s="6" t="s">
        <v>127</v>
      </c>
      <c r="AT489" s="6" t="s">
        <v>127</v>
      </c>
      <c r="AU489" s="6" t="s">
        <v>127</v>
      </c>
      <c r="AV489" s="6" t="s">
        <v>127</v>
      </c>
      <c r="AW489" s="6" t="s">
        <v>127</v>
      </c>
      <c r="AX489" s="6" t="s">
        <v>127</v>
      </c>
      <c r="AY489" s="99" t="s">
        <v>2525</v>
      </c>
      <c r="AZ489" s="6" t="s">
        <v>127</v>
      </c>
      <c r="BA489" s="6" t="s">
        <v>127</v>
      </c>
      <c r="BB489" s="6" t="s">
        <v>2526</v>
      </c>
      <c r="BC489" s="6" t="s">
        <v>2527</v>
      </c>
      <c r="BD489" s="6" t="s">
        <v>127</v>
      </c>
      <c r="BE489" s="6" t="s">
        <v>127</v>
      </c>
    </row>
    <row r="490" spans="1:57" ht="16" x14ac:dyDescent="0.4">
      <c r="A490" s="6" t="s">
        <v>2528</v>
      </c>
      <c r="B490" s="6" t="s">
        <v>2529</v>
      </c>
      <c r="C490" s="6" t="s">
        <v>127</v>
      </c>
      <c r="D490" s="6" t="s">
        <v>238</v>
      </c>
      <c r="E490" s="191">
        <v>44825</v>
      </c>
      <c r="F490" s="6">
        <f t="shared" si="93"/>
        <v>2022</v>
      </c>
      <c r="G490" s="4" t="s">
        <v>2530</v>
      </c>
      <c r="H490" s="22" t="str">
        <f>VLOOKUP($G490,'Item Classification'!B:C,2,0)</f>
        <v>Armoured vehicle development</v>
      </c>
      <c r="I490" s="6" t="str">
        <f>VLOOKUP($G490,'Item Classification'!B:D,3,0)</f>
        <v>Development - Armoured vehicle</v>
      </c>
      <c r="J490" s="23">
        <f>VLOOKUP($G490,'Item Classification'!B:E,4,0)</f>
        <v>15</v>
      </c>
      <c r="K490" s="195" t="s">
        <v>274</v>
      </c>
      <c r="L490" s="195" t="s">
        <v>1503</v>
      </c>
      <c r="M490" s="116" t="str">
        <f>VLOOKUP(L490,'NATO Classifications'!$D$6:$E$647,2,0)</f>
        <v>Vehicular Furniture and Accessories</v>
      </c>
      <c r="N490" s="25"/>
      <c r="O490" s="25"/>
      <c r="P490" s="25"/>
      <c r="Q490" s="25"/>
      <c r="R490" s="25">
        <v>2040</v>
      </c>
      <c r="S490" s="82">
        <v>15000000</v>
      </c>
      <c r="T490" s="115" t="s">
        <v>2145</v>
      </c>
      <c r="U490" s="104">
        <f>_xlfn.IFNA(S490/INDEX('Exchange Rates'!$C$7:$F$14,MATCH('MAIN DATA, Orders'!F490,'Exchange Rates'!$B$7:$B$14,0),MATCH('MAIN DATA, Orders'!T490,'Exchange Rates'!$C$6:$F$6,0)), "-")</f>
        <v>17589943.243116468</v>
      </c>
      <c r="V490" s="6" t="s">
        <v>127</v>
      </c>
      <c r="W490" s="6" t="s">
        <v>127</v>
      </c>
      <c r="X490" s="6" t="s">
        <v>238</v>
      </c>
      <c r="Y490" s="24">
        <f t="shared" si="95"/>
        <v>202209</v>
      </c>
      <c r="Z490" s="24">
        <v>0</v>
      </c>
      <c r="AA490" s="24">
        <v>1</v>
      </c>
      <c r="AB490" s="24">
        <v>0</v>
      </c>
      <c r="AC490" s="24">
        <v>1</v>
      </c>
      <c r="AD490" s="24">
        <v>0</v>
      </c>
      <c r="AE490" s="24">
        <v>0</v>
      </c>
      <c r="AF490" s="24">
        <v>0</v>
      </c>
      <c r="AG490" s="10" t="s">
        <v>2323</v>
      </c>
      <c r="AH490" s="10" t="s">
        <v>238</v>
      </c>
      <c r="AI490" s="10" t="s">
        <v>127</v>
      </c>
      <c r="AJ490" s="6" t="s">
        <v>127</v>
      </c>
      <c r="AK490" s="6" t="s">
        <v>127</v>
      </c>
      <c r="AL490" s="6" t="s">
        <v>127</v>
      </c>
      <c r="AM490" s="6" t="s">
        <v>127</v>
      </c>
      <c r="AN490" s="6" t="s">
        <v>127</v>
      </c>
      <c r="AO490" s="6" t="s">
        <v>127</v>
      </c>
      <c r="AP490" s="6" t="s">
        <v>127</v>
      </c>
      <c r="AQ490" s="6" t="s">
        <v>127</v>
      </c>
      <c r="AR490" s="6" t="s">
        <v>127</v>
      </c>
      <c r="AS490" s="6" t="s">
        <v>127</v>
      </c>
      <c r="AT490" s="6" t="s">
        <v>127</v>
      </c>
      <c r="AU490" s="6" t="s">
        <v>127</v>
      </c>
      <c r="AV490" s="6" t="s">
        <v>127</v>
      </c>
      <c r="AW490" s="6" t="s">
        <v>127</v>
      </c>
      <c r="AX490" s="6" t="s">
        <v>127</v>
      </c>
      <c r="AY490" s="99" t="s">
        <v>2531</v>
      </c>
      <c r="AZ490" s="6" t="s">
        <v>127</v>
      </c>
      <c r="BA490" s="6" t="s">
        <v>127</v>
      </c>
      <c r="BB490" s="6" t="s">
        <v>2532</v>
      </c>
      <c r="BC490" s="6" t="s">
        <v>2533</v>
      </c>
      <c r="BD490" s="6" t="s">
        <v>127</v>
      </c>
      <c r="BE490" s="6" t="s">
        <v>127</v>
      </c>
    </row>
    <row r="491" spans="1:57" ht="16" x14ac:dyDescent="0.4">
      <c r="A491" s="6" t="s">
        <v>2534</v>
      </c>
      <c r="B491" s="6" t="s">
        <v>2534</v>
      </c>
      <c r="C491" s="6" t="s">
        <v>127</v>
      </c>
      <c r="D491" s="6" t="s">
        <v>238</v>
      </c>
      <c r="E491" s="191">
        <v>44841</v>
      </c>
      <c r="F491" s="6">
        <f t="shared" si="93"/>
        <v>2022</v>
      </c>
      <c r="G491" s="4" t="s">
        <v>2535</v>
      </c>
      <c r="H491" s="22" t="str">
        <f>VLOOKUP($G491,'Item Classification'!B:C,2,0)</f>
        <v>Frigate modernization</v>
      </c>
      <c r="I491" s="6" t="str">
        <f>VLOOKUP($G491,'Item Classification'!B:D,3,0)</f>
        <v>Naval</v>
      </c>
      <c r="J491" s="23">
        <f>VLOOKUP($G491,'Item Classification'!B:E,4,0)</f>
        <v>12</v>
      </c>
      <c r="K491" s="195" t="s">
        <v>143</v>
      </c>
      <c r="L491" s="195" t="s">
        <v>144</v>
      </c>
      <c r="M491" s="116" t="str">
        <f>VLOOKUP(L491,'NATO Classifications'!$D$6:$E$647,2,0)</f>
        <v>Combat Ships and Landing Vessels</v>
      </c>
      <c r="N491" s="25"/>
      <c r="O491" s="25"/>
      <c r="P491" s="25"/>
      <c r="Q491" s="25"/>
      <c r="R491" s="25">
        <v>2027</v>
      </c>
      <c r="S491" s="82">
        <v>34000000</v>
      </c>
      <c r="T491" s="115" t="s">
        <v>2145</v>
      </c>
      <c r="U491" s="104">
        <f>_xlfn.IFNA(S491/INDEX('Exchange Rates'!$C$7:$F$14,MATCH('MAIN DATA, Orders'!F491,'Exchange Rates'!$B$7:$B$14,0),MATCH('MAIN DATA, Orders'!T491,'Exchange Rates'!$C$6:$F$6,0)), "-")</f>
        <v>39870538.017730668</v>
      </c>
      <c r="V491" s="6" t="s">
        <v>127</v>
      </c>
      <c r="W491" s="6" t="s">
        <v>127</v>
      </c>
      <c r="X491" s="6" t="s">
        <v>238</v>
      </c>
      <c r="Y491" s="24">
        <f t="shared" si="95"/>
        <v>202210</v>
      </c>
      <c r="Z491" s="24">
        <v>0</v>
      </c>
      <c r="AA491" s="24">
        <v>0</v>
      </c>
      <c r="AB491" s="24">
        <v>0</v>
      </c>
      <c r="AC491" s="24">
        <v>1</v>
      </c>
      <c r="AD491" s="24">
        <v>0</v>
      </c>
      <c r="AE491" s="24">
        <v>0</v>
      </c>
      <c r="AF491" s="24">
        <v>0</v>
      </c>
      <c r="AG491" s="10" t="s">
        <v>2536</v>
      </c>
      <c r="AH491" s="10" t="s">
        <v>238</v>
      </c>
      <c r="AI491" s="10" t="s">
        <v>127</v>
      </c>
      <c r="AJ491" s="6" t="s">
        <v>127</v>
      </c>
      <c r="AK491" s="6" t="s">
        <v>127</v>
      </c>
      <c r="AL491" s="6" t="s">
        <v>127</v>
      </c>
      <c r="AM491" s="6" t="s">
        <v>127</v>
      </c>
      <c r="AN491" s="6" t="s">
        <v>127</v>
      </c>
      <c r="AO491" s="6" t="s">
        <v>127</v>
      </c>
      <c r="AP491" s="6" t="s">
        <v>127</v>
      </c>
      <c r="AQ491" s="6" t="s">
        <v>127</v>
      </c>
      <c r="AR491" s="6" t="s">
        <v>127</v>
      </c>
      <c r="AS491" s="6" t="s">
        <v>127</v>
      </c>
      <c r="AT491" s="6" t="s">
        <v>127</v>
      </c>
      <c r="AU491" s="6" t="s">
        <v>127</v>
      </c>
      <c r="AV491" s="6" t="s">
        <v>127</v>
      </c>
      <c r="AW491" s="6" t="s">
        <v>127</v>
      </c>
      <c r="AX491" s="6" t="s">
        <v>127</v>
      </c>
      <c r="AY491" s="99" t="s">
        <v>2537</v>
      </c>
      <c r="AZ491" s="6" t="s">
        <v>127</v>
      </c>
      <c r="BA491" s="6" t="s">
        <v>127</v>
      </c>
      <c r="BB491" s="6" t="s">
        <v>2538</v>
      </c>
      <c r="BC491" s="6" t="s">
        <v>2539</v>
      </c>
      <c r="BD491" s="6" t="s">
        <v>2540</v>
      </c>
      <c r="BE491" s="6" t="s">
        <v>127</v>
      </c>
    </row>
    <row r="492" spans="1:57" ht="16" x14ac:dyDescent="0.4">
      <c r="A492" s="6" t="s">
        <v>2541</v>
      </c>
      <c r="B492" s="6" t="s">
        <v>2541</v>
      </c>
      <c r="C492" s="6" t="s">
        <v>127</v>
      </c>
      <c r="D492" s="6" t="s">
        <v>238</v>
      </c>
      <c r="E492" s="191">
        <v>44862</v>
      </c>
      <c r="F492" s="6">
        <f t="shared" si="93"/>
        <v>2022</v>
      </c>
      <c r="G492" s="4" t="s">
        <v>2542</v>
      </c>
      <c r="H492" s="22" t="str">
        <f>VLOOKUP($G492,'Item Classification'!B:C,2,0)</f>
        <v>Military equipment</v>
      </c>
      <c r="I492" s="6" t="str">
        <f>VLOOKUP($G492,'Item Classification'!B:D,3,0)</f>
        <v>Other</v>
      </c>
      <c r="J492" s="23">
        <f>VLOOKUP($G492,'Item Classification'!B:E,4,0)</f>
        <v>16</v>
      </c>
      <c r="K492" s="195" t="s">
        <v>189</v>
      </c>
      <c r="L492" s="195" t="s">
        <v>2233</v>
      </c>
      <c r="M492" s="116" t="str">
        <f>VLOOKUP(L492,'NATO Classifications'!$D$6:$E$647,2,0)</f>
        <v>Ammunition and Explosives (other)</v>
      </c>
      <c r="N492" s="25"/>
      <c r="O492" s="25"/>
      <c r="P492" s="25"/>
      <c r="Q492" s="25">
        <v>2026</v>
      </c>
      <c r="R492" s="25"/>
      <c r="S492" s="82">
        <v>45000000</v>
      </c>
      <c r="T492" s="115" t="s">
        <v>2145</v>
      </c>
      <c r="U492" s="104">
        <f>_xlfn.IFNA(S492/INDEX('Exchange Rates'!$C$7:$F$14,MATCH('MAIN DATA, Orders'!F492,'Exchange Rates'!$B$7:$B$14,0),MATCH('MAIN DATA, Orders'!T492,'Exchange Rates'!$C$6:$F$6,0)), "-")</f>
        <v>52769829.729349412</v>
      </c>
      <c r="V492" s="6" t="s">
        <v>127</v>
      </c>
      <c r="W492" s="6" t="s">
        <v>127</v>
      </c>
      <c r="X492" s="6" t="s">
        <v>238</v>
      </c>
      <c r="Y492" s="24">
        <f t="shared" si="95"/>
        <v>202210</v>
      </c>
      <c r="Z492" s="24">
        <v>0</v>
      </c>
      <c r="AA492" s="24">
        <v>0</v>
      </c>
      <c r="AB492" s="24">
        <v>0</v>
      </c>
      <c r="AC492" s="24">
        <v>1</v>
      </c>
      <c r="AD492" s="24">
        <v>1</v>
      </c>
      <c r="AE492" s="24">
        <v>0</v>
      </c>
      <c r="AF492" s="24">
        <v>1</v>
      </c>
      <c r="AG492" s="10" t="s">
        <v>2543</v>
      </c>
      <c r="AH492" s="10" t="s">
        <v>238</v>
      </c>
      <c r="AI492" s="10" t="s">
        <v>127</v>
      </c>
      <c r="AJ492" s="6" t="s">
        <v>2544</v>
      </c>
      <c r="AK492" s="6" t="s">
        <v>360</v>
      </c>
      <c r="AL492" s="6" t="s">
        <v>2545</v>
      </c>
      <c r="AM492" s="6" t="s">
        <v>2546</v>
      </c>
      <c r="AN492" s="6" t="s">
        <v>197</v>
      </c>
      <c r="AO492" s="6" t="s">
        <v>196</v>
      </c>
      <c r="AP492" s="6" t="s">
        <v>127</v>
      </c>
      <c r="AQ492" s="6" t="s">
        <v>127</v>
      </c>
      <c r="AR492" s="6" t="s">
        <v>127</v>
      </c>
      <c r="AS492" s="6" t="s">
        <v>127</v>
      </c>
      <c r="AT492" s="6" t="s">
        <v>127</v>
      </c>
      <c r="AU492" s="6" t="s">
        <v>127</v>
      </c>
      <c r="AV492" s="6" t="s">
        <v>127</v>
      </c>
      <c r="AW492" s="6" t="s">
        <v>127</v>
      </c>
      <c r="AX492" s="6" t="s">
        <v>127</v>
      </c>
      <c r="AY492" s="99" t="s">
        <v>2547</v>
      </c>
      <c r="AZ492" s="6" t="s">
        <v>127</v>
      </c>
      <c r="BA492" s="6" t="s">
        <v>127</v>
      </c>
      <c r="BB492" s="6" t="s">
        <v>2548</v>
      </c>
      <c r="BC492" s="6" t="s">
        <v>2549</v>
      </c>
      <c r="BD492" s="6" t="s">
        <v>127</v>
      </c>
      <c r="BE492" s="6" t="s">
        <v>127</v>
      </c>
    </row>
    <row r="493" spans="1:57" ht="16" x14ac:dyDescent="0.4">
      <c r="A493" s="6" t="s">
        <v>2550</v>
      </c>
      <c r="B493" s="6" t="s">
        <v>2550</v>
      </c>
      <c r="C493" s="6" t="s">
        <v>127</v>
      </c>
      <c r="D493" s="6" t="s">
        <v>238</v>
      </c>
      <c r="E493" s="191">
        <v>44880</v>
      </c>
      <c r="F493" s="6">
        <f t="shared" si="93"/>
        <v>2022</v>
      </c>
      <c r="G493" s="4" t="s">
        <v>2551</v>
      </c>
      <c r="H493" s="22" t="str">
        <f>VLOOKUP($G493,'Item Classification'!B:C,2,0)</f>
        <v>Frigate</v>
      </c>
      <c r="I493" s="6" t="str">
        <f>VLOOKUP($G493,'Item Classification'!B:D,3,0)</f>
        <v>Naval</v>
      </c>
      <c r="J493" s="23">
        <f>VLOOKUP($G493,'Item Classification'!B:E,4,0)</f>
        <v>12</v>
      </c>
      <c r="K493" s="195" t="s">
        <v>143</v>
      </c>
      <c r="L493" s="195" t="s">
        <v>144</v>
      </c>
      <c r="M493" s="116" t="str">
        <f>VLOOKUP(L493,'NATO Classifications'!$D$6:$E$647,2,0)</f>
        <v>Combat Ships and Landing Vessels</v>
      </c>
      <c r="N493" s="25">
        <v>8</v>
      </c>
      <c r="O493" s="81">
        <f>S493/N493</f>
        <v>525000000</v>
      </c>
      <c r="P493" s="81">
        <f t="shared" ref="P493" si="96">U493/N493</f>
        <v>615648013.50907648</v>
      </c>
      <c r="Q493" s="25">
        <v>2028</v>
      </c>
      <c r="R493" s="25"/>
      <c r="S493" s="82">
        <v>4200000000</v>
      </c>
      <c r="T493" s="115" t="s">
        <v>2145</v>
      </c>
      <c r="U493" s="104">
        <f>_xlfn.IFNA(S493/INDEX('Exchange Rates'!$C$7:$F$14,MATCH('MAIN DATA, Orders'!F493,'Exchange Rates'!$B$7:$B$14,0),MATCH('MAIN DATA, Orders'!T493,'Exchange Rates'!$C$6:$F$6,0)), "-")</f>
        <v>4925184108.0726118</v>
      </c>
      <c r="V493" s="6" t="s">
        <v>127</v>
      </c>
      <c r="W493" s="6" t="s">
        <v>127</v>
      </c>
      <c r="X493" s="6" t="s">
        <v>238</v>
      </c>
      <c r="Y493" s="24">
        <f t="shared" si="95"/>
        <v>202211</v>
      </c>
      <c r="Z493" s="24">
        <v>0</v>
      </c>
      <c r="AA493" s="24">
        <v>0</v>
      </c>
      <c r="AB493" s="24">
        <v>0</v>
      </c>
      <c r="AC493" s="24">
        <v>1</v>
      </c>
      <c r="AD493" s="24">
        <v>0</v>
      </c>
      <c r="AE493" s="24">
        <v>0</v>
      </c>
      <c r="AF493" s="24">
        <v>0</v>
      </c>
      <c r="AG493" s="10" t="s">
        <v>1480</v>
      </c>
      <c r="AH493" s="10" t="s">
        <v>238</v>
      </c>
      <c r="AI493" s="10" t="s">
        <v>238</v>
      </c>
      <c r="AJ493" s="6" t="s">
        <v>127</v>
      </c>
      <c r="AK493" s="6" t="s">
        <v>127</v>
      </c>
      <c r="AL493" s="6" t="s">
        <v>127</v>
      </c>
      <c r="AM493" s="6" t="s">
        <v>127</v>
      </c>
      <c r="AN493" s="6" t="s">
        <v>127</v>
      </c>
      <c r="AO493" s="6" t="s">
        <v>127</v>
      </c>
      <c r="AP493" s="6" t="s">
        <v>127</v>
      </c>
      <c r="AQ493" s="6" t="s">
        <v>127</v>
      </c>
      <c r="AR493" s="6" t="s">
        <v>127</v>
      </c>
      <c r="AS493" s="6" t="s">
        <v>127</v>
      </c>
      <c r="AT493" s="6" t="s">
        <v>127</v>
      </c>
      <c r="AU493" s="6" t="s">
        <v>127</v>
      </c>
      <c r="AV493" s="6" t="s">
        <v>127</v>
      </c>
      <c r="AW493" s="6" t="s">
        <v>127</v>
      </c>
      <c r="AX493" s="6" t="s">
        <v>127</v>
      </c>
      <c r="AY493" s="99" t="s">
        <v>2552</v>
      </c>
      <c r="AZ493" s="6" t="s">
        <v>127</v>
      </c>
      <c r="BA493" s="6" t="s">
        <v>127</v>
      </c>
      <c r="BB493" s="6" t="s">
        <v>2553</v>
      </c>
      <c r="BC493" s="6" t="s">
        <v>2554</v>
      </c>
      <c r="BD493" s="6" t="s">
        <v>127</v>
      </c>
      <c r="BE493" s="6" t="s">
        <v>127</v>
      </c>
    </row>
    <row r="494" spans="1:57" ht="16" x14ac:dyDescent="0.4">
      <c r="A494" s="6" t="s">
        <v>2555</v>
      </c>
      <c r="B494" s="6" t="s">
        <v>2555</v>
      </c>
      <c r="C494" s="6" t="s">
        <v>2556</v>
      </c>
      <c r="D494" s="6" t="s">
        <v>238</v>
      </c>
      <c r="E494" s="191">
        <v>44886</v>
      </c>
      <c r="F494" s="6">
        <f t="shared" si="93"/>
        <v>2022</v>
      </c>
      <c r="G494" s="4" t="s">
        <v>2557</v>
      </c>
      <c r="H494" s="22" t="str">
        <f>VLOOKUP($G494,'Item Classification'!B:C,2,0)</f>
        <v>Fighter jet development</v>
      </c>
      <c r="I494" s="6" t="str">
        <f>VLOOKUP($G494,'Item Classification'!B:D,3,0)</f>
        <v>Development - Aircraft</v>
      </c>
      <c r="J494" s="23">
        <f>VLOOKUP($G494,'Item Classification'!B:E,4,0)</f>
        <v>15</v>
      </c>
      <c r="K494" s="195" t="s">
        <v>130</v>
      </c>
      <c r="L494" s="195" t="s">
        <v>237</v>
      </c>
      <c r="M494" s="116" t="str">
        <f>VLOOKUP(L494,'NATO Classifications'!$D$6:$E$647,2,0)</f>
        <v>Aircraft, Fixed Wing</v>
      </c>
      <c r="N494" s="25">
        <v>3</v>
      </c>
      <c r="O494" s="81">
        <f>S494/N494</f>
        <v>10333333.333333334</v>
      </c>
      <c r="P494" s="81">
        <f t="shared" ref="P494" si="97">U494/N494</f>
        <v>12117516.456369124</v>
      </c>
      <c r="Q494" s="25">
        <v>2022</v>
      </c>
      <c r="R494" s="25">
        <v>2025</v>
      </c>
      <c r="S494" s="82">
        <v>31000000</v>
      </c>
      <c r="T494" s="115" t="s">
        <v>2145</v>
      </c>
      <c r="U494" s="104">
        <f>_xlfn.IFNA(S494/INDEX('Exchange Rates'!$C$7:$F$14,MATCH('MAIN DATA, Orders'!F494,'Exchange Rates'!$B$7:$B$14,0),MATCH('MAIN DATA, Orders'!T494,'Exchange Rates'!$C$6:$F$6,0)), "-")</f>
        <v>36352549.369107373</v>
      </c>
      <c r="V494" s="6" t="s">
        <v>127</v>
      </c>
      <c r="W494" s="6" t="s">
        <v>127</v>
      </c>
      <c r="X494" s="6" t="s">
        <v>238</v>
      </c>
      <c r="Y494" s="24">
        <f t="shared" si="95"/>
        <v>202211</v>
      </c>
      <c r="Z494" s="24">
        <v>0</v>
      </c>
      <c r="AA494" s="24">
        <v>1</v>
      </c>
      <c r="AB494" s="24">
        <v>0</v>
      </c>
      <c r="AC494" s="24">
        <v>1</v>
      </c>
      <c r="AD494" s="24">
        <v>0</v>
      </c>
      <c r="AE494" s="24">
        <v>0</v>
      </c>
      <c r="AF494" s="24">
        <v>0</v>
      </c>
      <c r="AG494" s="10" t="s">
        <v>2187</v>
      </c>
      <c r="AH494" s="10" t="s">
        <v>238</v>
      </c>
      <c r="AI494" s="10" t="s">
        <v>127</v>
      </c>
      <c r="AJ494" s="6" t="s">
        <v>127</v>
      </c>
      <c r="AK494" s="6" t="s">
        <v>127</v>
      </c>
      <c r="AL494" s="6" t="s">
        <v>127</v>
      </c>
      <c r="AM494" s="6" t="s">
        <v>127</v>
      </c>
      <c r="AN494" s="6" t="s">
        <v>127</v>
      </c>
      <c r="AO494" s="6" t="s">
        <v>127</v>
      </c>
      <c r="AP494" s="6" t="s">
        <v>127</v>
      </c>
      <c r="AQ494" s="6" t="s">
        <v>127</v>
      </c>
      <c r="AR494" s="6" t="s">
        <v>127</v>
      </c>
      <c r="AS494" s="6" t="s">
        <v>127</v>
      </c>
      <c r="AT494" s="6" t="s">
        <v>127</v>
      </c>
      <c r="AU494" s="6" t="s">
        <v>127</v>
      </c>
      <c r="AV494" s="6" t="s">
        <v>127</v>
      </c>
      <c r="AW494" s="6" t="s">
        <v>127</v>
      </c>
      <c r="AX494" s="6" t="s">
        <v>127</v>
      </c>
      <c r="AY494" s="99" t="s">
        <v>2558</v>
      </c>
      <c r="AZ494" s="6" t="s">
        <v>127</v>
      </c>
      <c r="BA494" s="6" t="s">
        <v>127</v>
      </c>
      <c r="BB494" s="6" t="s">
        <v>2559</v>
      </c>
      <c r="BC494" s="6" t="s">
        <v>2560</v>
      </c>
      <c r="BD494" s="6" t="s">
        <v>127</v>
      </c>
      <c r="BE494" s="6" t="s">
        <v>127</v>
      </c>
    </row>
    <row r="495" spans="1:57" ht="16" x14ac:dyDescent="0.4">
      <c r="A495" s="6" t="s">
        <v>2561</v>
      </c>
      <c r="B495" s="6" t="s">
        <v>2561</v>
      </c>
      <c r="C495" s="6" t="s">
        <v>127</v>
      </c>
      <c r="D495" s="6" t="s">
        <v>238</v>
      </c>
      <c r="E495" s="191">
        <v>44890</v>
      </c>
      <c r="F495" s="6">
        <f t="shared" si="93"/>
        <v>2022</v>
      </c>
      <c r="G495" s="4" t="s">
        <v>2562</v>
      </c>
      <c r="H495" s="22" t="str">
        <f>VLOOKUP($G495,'Item Classification'!B:C,2,0)</f>
        <v>Communication equipment</v>
      </c>
      <c r="I495" s="6" t="str">
        <f>VLOOKUP($G495,'Item Classification'!B:D,3,0)</f>
        <v>Modernisation</v>
      </c>
      <c r="J495" s="23">
        <f>VLOOKUP($G495,'Item Classification'!B:E,4,0)</f>
        <v>13</v>
      </c>
      <c r="K495" s="195" t="s">
        <v>158</v>
      </c>
      <c r="L495" s="195" t="s">
        <v>567</v>
      </c>
      <c r="M495" s="116" t="str">
        <f>VLOOKUP(L495,'NATO Classifications'!$D$6:$E$647,2,0)</f>
        <v>Communication, Detection, and Coherent Radiation Equipment (other)</v>
      </c>
      <c r="N495" s="25">
        <v>1300</v>
      </c>
      <c r="O495" s="81">
        <f>S495/N495</f>
        <v>69230.769230769234</v>
      </c>
      <c r="P495" s="81">
        <f t="shared" ref="P495" si="98">U495/N495</f>
        <v>81184.353429768322</v>
      </c>
      <c r="Q495" s="25">
        <v>2022</v>
      </c>
      <c r="R495" s="25">
        <v>2023</v>
      </c>
      <c r="S495" s="82">
        <v>90000000</v>
      </c>
      <c r="T495" s="115" t="s">
        <v>2145</v>
      </c>
      <c r="U495" s="104">
        <f>_xlfn.IFNA(S495/INDEX('Exchange Rates'!$C$7:$F$14,MATCH('MAIN DATA, Orders'!F495,'Exchange Rates'!$B$7:$B$14,0),MATCH('MAIN DATA, Orders'!T495,'Exchange Rates'!$C$6:$F$6,0)), "-")</f>
        <v>105539659.45869882</v>
      </c>
      <c r="V495" s="6" t="s">
        <v>127</v>
      </c>
      <c r="W495" s="6" t="s">
        <v>127</v>
      </c>
      <c r="X495" s="6" t="s">
        <v>238</v>
      </c>
      <c r="Y495" s="24">
        <f t="shared" si="95"/>
        <v>202211</v>
      </c>
      <c r="Z495" s="24">
        <v>0</v>
      </c>
      <c r="AA495" s="24">
        <v>0</v>
      </c>
      <c r="AB495" s="24">
        <v>0</v>
      </c>
      <c r="AC495" s="24">
        <v>1</v>
      </c>
      <c r="AD495" s="24">
        <v>0</v>
      </c>
      <c r="AE495" s="24">
        <v>1</v>
      </c>
      <c r="AF495" s="24">
        <v>1</v>
      </c>
      <c r="AG495" s="10" t="s">
        <v>2234</v>
      </c>
      <c r="AH495" s="10" t="s">
        <v>238</v>
      </c>
      <c r="AI495" s="10" t="s">
        <v>238</v>
      </c>
      <c r="AJ495" s="6" t="s">
        <v>2563</v>
      </c>
      <c r="AK495" s="6" t="s">
        <v>127</v>
      </c>
      <c r="AL495" s="6" t="s">
        <v>127</v>
      </c>
      <c r="AM495" s="6" t="s">
        <v>127</v>
      </c>
      <c r="AN495" s="6" t="s">
        <v>196</v>
      </c>
      <c r="AO495" s="6" t="s">
        <v>127</v>
      </c>
      <c r="AP495" s="6" t="s">
        <v>127</v>
      </c>
      <c r="AQ495" s="6" t="s">
        <v>127</v>
      </c>
      <c r="AR495" s="6" t="s">
        <v>127</v>
      </c>
      <c r="AS495" s="6" t="s">
        <v>127</v>
      </c>
      <c r="AT495" s="6" t="s">
        <v>127</v>
      </c>
      <c r="AU495" s="6" t="s">
        <v>127</v>
      </c>
      <c r="AV495" s="6" t="s">
        <v>127</v>
      </c>
      <c r="AW495" s="6" t="s">
        <v>127</v>
      </c>
      <c r="AX495" s="6" t="s">
        <v>127</v>
      </c>
      <c r="AY495" s="99" t="s">
        <v>2564</v>
      </c>
      <c r="AZ495" s="6" t="s">
        <v>127</v>
      </c>
      <c r="BA495" s="6" t="s">
        <v>127</v>
      </c>
      <c r="BB495" s="6" t="s">
        <v>2565</v>
      </c>
      <c r="BC495" s="6" t="s">
        <v>2566</v>
      </c>
      <c r="BD495" s="6" t="s">
        <v>127</v>
      </c>
      <c r="BE495" s="6" t="s">
        <v>127</v>
      </c>
    </row>
    <row r="496" spans="1:57" ht="16" x14ac:dyDescent="0.4">
      <c r="A496" s="6" t="s">
        <v>2567</v>
      </c>
      <c r="B496" s="6" t="s">
        <v>2567</v>
      </c>
      <c r="C496" s="6" t="s">
        <v>127</v>
      </c>
      <c r="D496" s="6" t="s">
        <v>238</v>
      </c>
      <c r="E496" s="191">
        <v>44896</v>
      </c>
      <c r="F496" s="6">
        <f t="shared" si="93"/>
        <v>2022</v>
      </c>
      <c r="G496" s="4" t="s">
        <v>2568</v>
      </c>
      <c r="H496" s="22" t="str">
        <f>VLOOKUP($G496,'Item Classification'!B:C,2,0)</f>
        <v>Naval drone</v>
      </c>
      <c r="I496" s="6" t="str">
        <f>VLOOKUP($G496,'Item Classification'!B:D,3,0)</f>
        <v>Drone</v>
      </c>
      <c r="J496" s="23">
        <f>VLOOKUP($G496,'Item Classification'!B:E,4,0)</f>
        <v>7</v>
      </c>
      <c r="K496" s="195" t="s">
        <v>143</v>
      </c>
      <c r="L496" s="195" t="s">
        <v>1052</v>
      </c>
      <c r="M496" s="116" t="str">
        <f>VLOOKUP(L496,'NATO Classifications'!$D$6:$E$647,2,0)</f>
        <v>Miscellaneous Vessels</v>
      </c>
      <c r="N496" s="25">
        <v>1</v>
      </c>
      <c r="O496" s="81">
        <f>S496/N496</f>
        <v>15400000</v>
      </c>
      <c r="P496" s="81">
        <f t="shared" ref="P496" si="99">U496/N496</f>
        <v>18059008.396266241</v>
      </c>
      <c r="Q496" s="25">
        <v>2024</v>
      </c>
      <c r="R496" s="25">
        <v>2024</v>
      </c>
      <c r="S496" s="82">
        <v>15400000</v>
      </c>
      <c r="T496" s="115" t="s">
        <v>2145</v>
      </c>
      <c r="U496" s="104">
        <f>_xlfn.IFNA(S496/INDEX('Exchange Rates'!$C$7:$F$14,MATCH('MAIN DATA, Orders'!F496,'Exchange Rates'!$B$7:$B$14,0),MATCH('MAIN DATA, Orders'!T496,'Exchange Rates'!$C$6:$F$6,0)), "-")</f>
        <v>18059008.396266241</v>
      </c>
      <c r="V496" s="6" t="s">
        <v>127</v>
      </c>
      <c r="W496" s="6" t="s">
        <v>127</v>
      </c>
      <c r="X496" s="6" t="s">
        <v>238</v>
      </c>
      <c r="Y496" s="24">
        <f t="shared" si="95"/>
        <v>202212</v>
      </c>
      <c r="Z496" s="24">
        <v>0</v>
      </c>
      <c r="AA496" s="24">
        <v>0</v>
      </c>
      <c r="AB496" s="24">
        <v>0</v>
      </c>
      <c r="AC496" s="24">
        <v>1</v>
      </c>
      <c r="AD496" s="24">
        <v>0</v>
      </c>
      <c r="AE496" s="24">
        <v>0</v>
      </c>
      <c r="AF496" s="24">
        <v>0</v>
      </c>
      <c r="AG496" s="10" t="s">
        <v>2569</v>
      </c>
      <c r="AH496" s="10" t="s">
        <v>238</v>
      </c>
      <c r="AI496" s="10" t="s">
        <v>238</v>
      </c>
      <c r="AJ496" s="6" t="s">
        <v>127</v>
      </c>
      <c r="AK496" s="6" t="s">
        <v>127</v>
      </c>
      <c r="AL496" s="6" t="s">
        <v>127</v>
      </c>
      <c r="AM496" s="6" t="s">
        <v>127</v>
      </c>
      <c r="AN496" s="6" t="s">
        <v>127</v>
      </c>
      <c r="AO496" s="6" t="s">
        <v>127</v>
      </c>
      <c r="AP496" s="6" t="s">
        <v>127</v>
      </c>
      <c r="AQ496" s="6" t="s">
        <v>127</v>
      </c>
      <c r="AR496" s="6" t="s">
        <v>127</v>
      </c>
      <c r="AS496" s="6" t="s">
        <v>127</v>
      </c>
      <c r="AT496" s="6" t="s">
        <v>127</v>
      </c>
      <c r="AU496" s="6" t="s">
        <v>127</v>
      </c>
      <c r="AV496" s="6" t="s">
        <v>127</v>
      </c>
      <c r="AW496" s="6" t="s">
        <v>127</v>
      </c>
      <c r="AX496" s="6" t="s">
        <v>127</v>
      </c>
      <c r="AY496" s="99" t="s">
        <v>2570</v>
      </c>
      <c r="AZ496" s="6" t="s">
        <v>127</v>
      </c>
      <c r="BA496" s="6" t="s">
        <v>127</v>
      </c>
      <c r="BB496" s="6" t="s">
        <v>2571</v>
      </c>
      <c r="BC496" s="6" t="s">
        <v>2572</v>
      </c>
      <c r="BD496" s="6" t="s">
        <v>127</v>
      </c>
      <c r="BE496" s="6" t="s">
        <v>127</v>
      </c>
    </row>
    <row r="497" spans="1:57" ht="16" x14ac:dyDescent="0.4">
      <c r="A497" s="6" t="s">
        <v>2573</v>
      </c>
      <c r="B497" s="6" t="s">
        <v>2573</v>
      </c>
      <c r="C497" s="6" t="s">
        <v>127</v>
      </c>
      <c r="D497" s="6" t="s">
        <v>238</v>
      </c>
      <c r="E497" s="191">
        <v>44902</v>
      </c>
      <c r="F497" s="6">
        <f t="shared" si="93"/>
        <v>2022</v>
      </c>
      <c r="G497" s="4" t="s">
        <v>2574</v>
      </c>
      <c r="H497" s="22" t="str">
        <f>VLOOKUP($G497,'Item Classification'!B:C,2,0)</f>
        <v>Anti-tank guided missile system</v>
      </c>
      <c r="I497" s="6" t="str">
        <f>VLOOKUP($G497,'Item Classification'!B:D,3,0)</f>
        <v>Missile (Land)</v>
      </c>
      <c r="J497" s="23">
        <f>VLOOKUP($G497,'Item Classification'!B:E,4,0)</f>
        <v>6</v>
      </c>
      <c r="K497" s="195" t="s">
        <v>211</v>
      </c>
      <c r="L497" s="195" t="s">
        <v>211</v>
      </c>
      <c r="M497" s="116" t="str">
        <f>VLOOKUP(L497,'NATO Classifications'!$D$6:$E$647,2,0)</f>
        <v>Guided Missiles</v>
      </c>
      <c r="N497" s="25"/>
      <c r="O497" s="25"/>
      <c r="P497" s="25"/>
      <c r="Q497" s="25">
        <v>2024</v>
      </c>
      <c r="R497" s="25">
        <v>2026</v>
      </c>
      <c r="S497" s="82">
        <v>229000000</v>
      </c>
      <c r="T497" s="115" t="s">
        <v>2145</v>
      </c>
      <c r="U497" s="104">
        <f>_xlfn.IFNA(S497/INDEX('Exchange Rates'!$C$7:$F$14,MATCH('MAIN DATA, Orders'!F497,'Exchange Rates'!$B$7:$B$14,0),MATCH('MAIN DATA, Orders'!T497,'Exchange Rates'!$C$6:$F$6,0)), "-")</f>
        <v>268539800.17824477</v>
      </c>
      <c r="V497" s="6" t="s">
        <v>127</v>
      </c>
      <c r="W497" s="6" t="s">
        <v>127</v>
      </c>
      <c r="X497" s="6" t="s">
        <v>238</v>
      </c>
      <c r="Y497" s="24">
        <f t="shared" si="95"/>
        <v>202212</v>
      </c>
      <c r="Z497" s="24">
        <v>0</v>
      </c>
      <c r="AA497" s="24">
        <v>0</v>
      </c>
      <c r="AB497" s="24">
        <v>0</v>
      </c>
      <c r="AC497" s="24">
        <v>1</v>
      </c>
      <c r="AD497" s="24">
        <v>1</v>
      </c>
      <c r="AE497" s="24">
        <v>0</v>
      </c>
      <c r="AF497" s="24">
        <v>1</v>
      </c>
      <c r="AG497" s="10" t="s">
        <v>212</v>
      </c>
      <c r="AH497" s="10" t="s">
        <v>213</v>
      </c>
      <c r="AI497" s="10" t="s">
        <v>238</v>
      </c>
      <c r="AJ497" s="6" t="s">
        <v>2153</v>
      </c>
      <c r="AK497" s="6" t="s">
        <v>148</v>
      </c>
      <c r="AL497" s="6" t="s">
        <v>127</v>
      </c>
      <c r="AM497" s="6" t="s">
        <v>127</v>
      </c>
      <c r="AN497" s="6" t="s">
        <v>151</v>
      </c>
      <c r="AO497" s="6" t="s">
        <v>127</v>
      </c>
      <c r="AP497" s="6" t="s">
        <v>127</v>
      </c>
      <c r="AQ497" s="6" t="s">
        <v>127</v>
      </c>
      <c r="AR497" s="6" t="s">
        <v>127</v>
      </c>
      <c r="AS497" s="6" t="s">
        <v>127</v>
      </c>
      <c r="AT497" s="6" t="s">
        <v>127</v>
      </c>
      <c r="AU497" s="6" t="s">
        <v>127</v>
      </c>
      <c r="AV497" s="6" t="s">
        <v>127</v>
      </c>
      <c r="AW497" s="6" t="s">
        <v>127</v>
      </c>
      <c r="AX497" s="6" t="s">
        <v>127</v>
      </c>
      <c r="AY497" s="99" t="s">
        <v>2575</v>
      </c>
      <c r="AZ497" s="6" t="s">
        <v>127</v>
      </c>
      <c r="BA497" s="6" t="s">
        <v>127</v>
      </c>
      <c r="BB497" s="6" t="s">
        <v>2576</v>
      </c>
      <c r="BC497" s="6" t="s">
        <v>2577</v>
      </c>
      <c r="BD497" s="6" t="s">
        <v>127</v>
      </c>
      <c r="BE497" s="6" t="s">
        <v>127</v>
      </c>
    </row>
    <row r="498" spans="1:57" ht="16" x14ac:dyDescent="0.4">
      <c r="A498" s="6" t="s">
        <v>2578</v>
      </c>
      <c r="B498" s="6" t="s">
        <v>2578</v>
      </c>
      <c r="C498" s="6" t="s">
        <v>127</v>
      </c>
      <c r="D498" s="6" t="s">
        <v>238</v>
      </c>
      <c r="E498" s="191">
        <v>44911</v>
      </c>
      <c r="F498" s="6">
        <f t="shared" si="93"/>
        <v>2022</v>
      </c>
      <c r="G498" s="6" t="s">
        <v>127</v>
      </c>
      <c r="H498" s="22" t="s">
        <v>2579</v>
      </c>
      <c r="I498" s="6" t="s">
        <v>2580</v>
      </c>
      <c r="J498" s="23">
        <v>7</v>
      </c>
      <c r="K498" s="195" t="s">
        <v>130</v>
      </c>
      <c r="L498" s="195" t="s">
        <v>131</v>
      </c>
      <c r="M498" s="116" t="str">
        <f>VLOOKUP(L498,'NATO Classifications'!$D$6:$E$647,2,0)</f>
        <v>Unmanned Aircraft</v>
      </c>
      <c r="N498" s="25"/>
      <c r="O498" s="25"/>
      <c r="P498" s="25"/>
      <c r="Q498" s="25"/>
      <c r="R498" s="25">
        <v>2024</v>
      </c>
      <c r="S498" s="82">
        <v>129000000</v>
      </c>
      <c r="T498" s="115" t="s">
        <v>2145</v>
      </c>
      <c r="U498" s="104">
        <f>_xlfn.IFNA(S498/INDEX('Exchange Rates'!$C$7:$F$14,MATCH('MAIN DATA, Orders'!F498,'Exchange Rates'!$B$7:$B$14,0),MATCH('MAIN DATA, Orders'!T498,'Exchange Rates'!$C$6:$F$6,0)), "-")</f>
        <v>151273511.89080164</v>
      </c>
      <c r="V498" s="6" t="s">
        <v>127</v>
      </c>
      <c r="W498" s="6" t="s">
        <v>127</v>
      </c>
      <c r="X498" s="6" t="s">
        <v>238</v>
      </c>
      <c r="Y498" s="24">
        <f t="shared" si="95"/>
        <v>202212</v>
      </c>
      <c r="Z498" s="24">
        <v>0</v>
      </c>
      <c r="AA498" s="24">
        <v>0</v>
      </c>
      <c r="AB498" s="24">
        <v>0</v>
      </c>
      <c r="AC498" s="24">
        <v>1</v>
      </c>
      <c r="AD498" s="24">
        <v>0</v>
      </c>
      <c r="AE498" s="24">
        <v>1</v>
      </c>
      <c r="AF498" s="24">
        <v>1</v>
      </c>
      <c r="AG498" s="10" t="s">
        <v>2581</v>
      </c>
      <c r="AH498" s="10" t="s">
        <v>238</v>
      </c>
      <c r="AI498" s="10" t="s">
        <v>127</v>
      </c>
      <c r="AJ498" s="6" t="s">
        <v>795</v>
      </c>
      <c r="AK498" s="6" t="s">
        <v>127</v>
      </c>
      <c r="AL498" s="6" t="s">
        <v>127</v>
      </c>
      <c r="AM498" s="6" t="s">
        <v>127</v>
      </c>
      <c r="AN498" s="6" t="s">
        <v>196</v>
      </c>
      <c r="AO498" s="6" t="s">
        <v>127</v>
      </c>
      <c r="AP498" s="6" t="s">
        <v>127</v>
      </c>
      <c r="AQ498" s="6" t="s">
        <v>127</v>
      </c>
      <c r="AR498" s="6" t="s">
        <v>127</v>
      </c>
      <c r="AS498" s="6" t="s">
        <v>127</v>
      </c>
      <c r="AT498" s="6" t="s">
        <v>127</v>
      </c>
      <c r="AU498" s="6" t="s">
        <v>127</v>
      </c>
      <c r="AV498" s="6" t="s">
        <v>127</v>
      </c>
      <c r="AW498" s="6" t="s">
        <v>127</v>
      </c>
      <c r="AX498" s="6" t="s">
        <v>127</v>
      </c>
      <c r="AY498" s="99" t="s">
        <v>2582</v>
      </c>
      <c r="AZ498" s="6" t="s">
        <v>127</v>
      </c>
      <c r="BA498" s="6" t="s">
        <v>127</v>
      </c>
      <c r="BB498" s="6" t="s">
        <v>2583</v>
      </c>
      <c r="BC498" s="6" t="s">
        <v>2584</v>
      </c>
      <c r="BD498" s="6" t="s">
        <v>2585</v>
      </c>
      <c r="BE498" s="6" t="s">
        <v>127</v>
      </c>
    </row>
    <row r="499" spans="1:57" ht="16" x14ac:dyDescent="0.4">
      <c r="A499" s="6" t="s">
        <v>2578</v>
      </c>
      <c r="B499" s="6" t="s">
        <v>2586</v>
      </c>
      <c r="C499" s="6" t="s">
        <v>127</v>
      </c>
      <c r="D499" s="6" t="s">
        <v>238</v>
      </c>
      <c r="E499" s="191">
        <v>44911</v>
      </c>
      <c r="F499" s="6">
        <f t="shared" si="93"/>
        <v>2022</v>
      </c>
      <c r="G499" s="4" t="s">
        <v>2587</v>
      </c>
      <c r="H499" s="22" t="str">
        <f>VLOOKUP($G499,'Item Classification'!B:C,2,0)</f>
        <v>Surveillance drone</v>
      </c>
      <c r="I499" s="6" t="str">
        <f>VLOOKUP($G499,'Item Classification'!B:D,3,0)</f>
        <v>Drone</v>
      </c>
      <c r="J499" s="23">
        <f>VLOOKUP($G499,'Item Classification'!B:E,4,0)</f>
        <v>7</v>
      </c>
      <c r="K499" s="195" t="s">
        <v>130</v>
      </c>
      <c r="L499" s="195" t="s">
        <v>131</v>
      </c>
      <c r="M499" s="116" t="str">
        <f>VLOOKUP(L499,'NATO Classifications'!$D$6:$E$647,2,0)</f>
        <v>Unmanned Aircraft</v>
      </c>
      <c r="N499" s="25">
        <v>159</v>
      </c>
      <c r="O499" s="25"/>
      <c r="P499" s="25"/>
      <c r="Q499" s="25"/>
      <c r="R499" s="25">
        <v>2024</v>
      </c>
      <c r="S499" s="25"/>
      <c r="T499" s="115" t="s">
        <v>2145</v>
      </c>
      <c r="U499" s="104">
        <f>_xlfn.IFNA(S499/INDEX('Exchange Rates'!$C$7:$F$14,MATCH('MAIN DATA, Orders'!F499,'Exchange Rates'!$B$7:$B$14,0),MATCH('MAIN DATA, Orders'!T499,'Exchange Rates'!$C$6:$F$6,0)), "-")</f>
        <v>0</v>
      </c>
      <c r="V499" s="6" t="s">
        <v>127</v>
      </c>
      <c r="W499" s="6" t="s">
        <v>127</v>
      </c>
      <c r="X499" s="6" t="s">
        <v>238</v>
      </c>
      <c r="Y499" s="24">
        <f t="shared" si="95"/>
        <v>202212</v>
      </c>
      <c r="Z499" s="24">
        <v>0</v>
      </c>
      <c r="AA499" s="24">
        <v>0</v>
      </c>
      <c r="AB499" s="24">
        <v>0</v>
      </c>
      <c r="AC499" s="24">
        <v>1</v>
      </c>
      <c r="AD499" s="24">
        <v>0</v>
      </c>
      <c r="AE499" s="24">
        <v>1</v>
      </c>
      <c r="AF499" s="24">
        <v>1</v>
      </c>
      <c r="AG499" s="10" t="s">
        <v>2581</v>
      </c>
      <c r="AH499" s="10" t="s">
        <v>238</v>
      </c>
      <c r="AI499" s="10" t="s">
        <v>127</v>
      </c>
      <c r="AJ499" s="6" t="s">
        <v>795</v>
      </c>
      <c r="AK499" s="6" t="s">
        <v>127</v>
      </c>
      <c r="AL499" s="6" t="s">
        <v>127</v>
      </c>
      <c r="AM499" s="6" t="s">
        <v>127</v>
      </c>
      <c r="AN499" s="6" t="s">
        <v>196</v>
      </c>
      <c r="AO499" s="6" t="s">
        <v>127</v>
      </c>
      <c r="AP499" s="6" t="s">
        <v>127</v>
      </c>
      <c r="AQ499" s="6" t="s">
        <v>127</v>
      </c>
      <c r="AR499" s="6" t="s">
        <v>127</v>
      </c>
      <c r="AS499" s="6" t="s">
        <v>127</v>
      </c>
      <c r="AT499" s="6" t="s">
        <v>127</v>
      </c>
      <c r="AU499" s="6" t="s">
        <v>127</v>
      </c>
      <c r="AV499" s="6" t="s">
        <v>127</v>
      </c>
      <c r="AW499" s="6" t="s">
        <v>127</v>
      </c>
      <c r="AX499" s="6" t="s">
        <v>127</v>
      </c>
      <c r="AY499" s="99" t="s">
        <v>2582</v>
      </c>
      <c r="AZ499" s="6" t="s">
        <v>127</v>
      </c>
      <c r="BA499" s="6" t="s">
        <v>127</v>
      </c>
      <c r="BB499" s="6" t="s">
        <v>2583</v>
      </c>
      <c r="BC499" s="6" t="s">
        <v>2584</v>
      </c>
      <c r="BD499" s="6" t="s">
        <v>2585</v>
      </c>
      <c r="BE499" s="6" t="s">
        <v>127</v>
      </c>
    </row>
    <row r="500" spans="1:57" ht="16" x14ac:dyDescent="0.4">
      <c r="A500" s="6" t="s">
        <v>2578</v>
      </c>
      <c r="B500" s="6" t="s">
        <v>2588</v>
      </c>
      <c r="C500" s="6" t="s">
        <v>127</v>
      </c>
      <c r="D500" s="6" t="s">
        <v>238</v>
      </c>
      <c r="E500" s="191">
        <v>44911</v>
      </c>
      <c r="F500" s="6">
        <f t="shared" si="93"/>
        <v>2022</v>
      </c>
      <c r="G500" s="4" t="s">
        <v>2589</v>
      </c>
      <c r="H500" s="22" t="str">
        <f>VLOOKUP($G500,'Item Classification'!B:C,2,0)</f>
        <v>Surveillance drone</v>
      </c>
      <c r="I500" s="6" t="str">
        <f>VLOOKUP($G500,'Item Classification'!B:D,3,0)</f>
        <v>Drone</v>
      </c>
      <c r="J500" s="23">
        <f>VLOOKUP($G500,'Item Classification'!B:E,4,0)</f>
        <v>7</v>
      </c>
      <c r="K500" s="195" t="s">
        <v>130</v>
      </c>
      <c r="L500" s="195" t="s">
        <v>131</v>
      </c>
      <c r="M500" s="116" t="str">
        <f>VLOOKUP(L500,'NATO Classifications'!$D$6:$E$647,2,0)</f>
        <v>Unmanned Aircraft</v>
      </c>
      <c r="N500" s="25">
        <v>105</v>
      </c>
      <c r="O500" s="25"/>
      <c r="P500" s="25"/>
      <c r="Q500" s="25"/>
      <c r="R500" s="25">
        <v>2024</v>
      </c>
      <c r="S500" s="25"/>
      <c r="T500" s="115" t="s">
        <v>2145</v>
      </c>
      <c r="U500" s="104">
        <f>_xlfn.IFNA(S500/INDEX('Exchange Rates'!$C$7:$F$14,MATCH('MAIN DATA, Orders'!F500,'Exchange Rates'!$B$7:$B$14,0),MATCH('MAIN DATA, Orders'!T500,'Exchange Rates'!$C$6:$F$6,0)), "-")</f>
        <v>0</v>
      </c>
      <c r="V500" s="6" t="s">
        <v>127</v>
      </c>
      <c r="W500" s="6" t="s">
        <v>127</v>
      </c>
      <c r="X500" s="6" t="s">
        <v>238</v>
      </c>
      <c r="Y500" s="24">
        <f t="shared" si="95"/>
        <v>202212</v>
      </c>
      <c r="Z500" s="24">
        <v>0</v>
      </c>
      <c r="AA500" s="24">
        <v>0</v>
      </c>
      <c r="AB500" s="24">
        <v>0</v>
      </c>
      <c r="AC500" s="24">
        <v>1</v>
      </c>
      <c r="AD500" s="24">
        <v>0</v>
      </c>
      <c r="AE500" s="24">
        <v>1</v>
      </c>
      <c r="AF500" s="24">
        <v>1</v>
      </c>
      <c r="AG500" s="10" t="s">
        <v>2581</v>
      </c>
      <c r="AH500" s="10" t="s">
        <v>238</v>
      </c>
      <c r="AI500" s="10" t="s">
        <v>127</v>
      </c>
      <c r="AJ500" s="6" t="s">
        <v>795</v>
      </c>
      <c r="AK500" s="6" t="s">
        <v>127</v>
      </c>
      <c r="AL500" s="6" t="s">
        <v>127</v>
      </c>
      <c r="AM500" s="6" t="s">
        <v>127</v>
      </c>
      <c r="AN500" s="6" t="s">
        <v>196</v>
      </c>
      <c r="AO500" s="6" t="s">
        <v>127</v>
      </c>
      <c r="AP500" s="6" t="s">
        <v>127</v>
      </c>
      <c r="AQ500" s="6" t="s">
        <v>127</v>
      </c>
      <c r="AR500" s="6" t="s">
        <v>127</v>
      </c>
      <c r="AS500" s="6" t="s">
        <v>127</v>
      </c>
      <c r="AT500" s="6" t="s">
        <v>127</v>
      </c>
      <c r="AU500" s="6" t="s">
        <v>127</v>
      </c>
      <c r="AV500" s="6" t="s">
        <v>127</v>
      </c>
      <c r="AW500" s="6" t="s">
        <v>127</v>
      </c>
      <c r="AX500" s="6" t="s">
        <v>127</v>
      </c>
      <c r="AY500" s="99" t="s">
        <v>2582</v>
      </c>
      <c r="AZ500" s="6" t="s">
        <v>127</v>
      </c>
      <c r="BA500" s="6" t="s">
        <v>127</v>
      </c>
      <c r="BB500" s="6" t="s">
        <v>2583</v>
      </c>
      <c r="BC500" s="6" t="s">
        <v>2584</v>
      </c>
      <c r="BD500" s="6" t="s">
        <v>2585</v>
      </c>
      <c r="BE500" s="6" t="s">
        <v>127</v>
      </c>
    </row>
    <row r="501" spans="1:57" ht="16" x14ac:dyDescent="0.4">
      <c r="A501" s="6" t="s">
        <v>2590</v>
      </c>
      <c r="B501" s="6" t="s">
        <v>2590</v>
      </c>
      <c r="C501" s="6" t="s">
        <v>774</v>
      </c>
      <c r="D501" s="6" t="s">
        <v>238</v>
      </c>
      <c r="E501" s="191">
        <v>44911</v>
      </c>
      <c r="F501" s="6">
        <f t="shared" si="93"/>
        <v>2022</v>
      </c>
      <c r="G501" s="4" t="s">
        <v>2591</v>
      </c>
      <c r="H501" s="22" t="str">
        <f>VLOOKUP($G501,'Item Classification'!B:C,2,0)</f>
        <v>All-terrain armoured vehicle</v>
      </c>
      <c r="I501" s="6" t="str">
        <f>VLOOKUP($G501,'Item Classification'!B:D,3,0)</f>
        <v>Armoured vehicle</v>
      </c>
      <c r="J501" s="23">
        <f>VLOOKUP($G501,'Item Classification'!B:E,4,0)</f>
        <v>2</v>
      </c>
      <c r="K501" s="195" t="s">
        <v>274</v>
      </c>
      <c r="L501" s="195" t="s">
        <v>493</v>
      </c>
      <c r="M501" s="116" t="str">
        <f>VLOOKUP(L501,'NATO Classifications'!$D$6:$E$647,2,0)</f>
        <v>Combat, Assault, and Tactical Vehicles, Wheeled</v>
      </c>
      <c r="N501" s="25">
        <v>60</v>
      </c>
      <c r="O501" s="81">
        <f>S501/N501</f>
        <v>2333333.3333333335</v>
      </c>
      <c r="P501" s="81">
        <f t="shared" ref="P501" si="100">U501/N501</f>
        <v>2736213.3933736733</v>
      </c>
      <c r="Q501" s="25">
        <v>2025</v>
      </c>
      <c r="R501" s="25"/>
      <c r="S501" s="82">
        <v>140000000</v>
      </c>
      <c r="T501" s="115" t="s">
        <v>2145</v>
      </c>
      <c r="U501" s="104">
        <f>_xlfn.IFNA(S501/INDEX('Exchange Rates'!$C$7:$F$14,MATCH('MAIN DATA, Orders'!F501,'Exchange Rates'!$B$7:$B$14,0),MATCH('MAIN DATA, Orders'!T501,'Exchange Rates'!$C$6:$F$6,0)), "-")</f>
        <v>164172803.60242039</v>
      </c>
      <c r="V501" s="6" t="s">
        <v>127</v>
      </c>
      <c r="W501" s="6" t="s">
        <v>127</v>
      </c>
      <c r="X501" s="6" t="s">
        <v>238</v>
      </c>
      <c r="Y501" s="24">
        <f t="shared" si="95"/>
        <v>202212</v>
      </c>
      <c r="Z501" s="24">
        <v>0</v>
      </c>
      <c r="AA501" s="24">
        <v>0</v>
      </c>
      <c r="AB501" s="24">
        <v>0</v>
      </c>
      <c r="AC501" s="24">
        <v>1</v>
      </c>
      <c r="AD501" s="24">
        <v>1</v>
      </c>
      <c r="AE501" s="24">
        <v>0</v>
      </c>
      <c r="AF501" s="24">
        <v>1</v>
      </c>
      <c r="AG501" s="10" t="s">
        <v>1480</v>
      </c>
      <c r="AH501" s="10" t="s">
        <v>238</v>
      </c>
      <c r="AI501" s="10" t="s">
        <v>127</v>
      </c>
      <c r="AJ501" s="6" t="s">
        <v>2592</v>
      </c>
      <c r="AK501" s="6" t="s">
        <v>127</v>
      </c>
      <c r="AL501" s="6" t="s">
        <v>127</v>
      </c>
      <c r="AM501" s="6" t="s">
        <v>127</v>
      </c>
      <c r="AN501" s="6" t="s">
        <v>213</v>
      </c>
      <c r="AO501" s="6" t="s">
        <v>128</v>
      </c>
      <c r="AP501" s="6" t="s">
        <v>127</v>
      </c>
      <c r="AQ501" s="6" t="s">
        <v>127</v>
      </c>
      <c r="AR501" s="6" t="s">
        <v>127</v>
      </c>
      <c r="AS501" s="6" t="s">
        <v>127</v>
      </c>
      <c r="AT501" s="6" t="s">
        <v>127</v>
      </c>
      <c r="AU501" s="6" t="s">
        <v>127</v>
      </c>
      <c r="AV501" s="6" t="s">
        <v>127</v>
      </c>
      <c r="AW501" s="6" t="s">
        <v>127</v>
      </c>
      <c r="AX501" s="6" t="s">
        <v>127</v>
      </c>
      <c r="AY501" s="99" t="s">
        <v>2593</v>
      </c>
      <c r="AZ501" s="6" t="s">
        <v>127</v>
      </c>
      <c r="BA501" s="6" t="s">
        <v>127</v>
      </c>
      <c r="BB501" s="6" t="s">
        <v>2594</v>
      </c>
      <c r="BC501" s="6" t="s">
        <v>2595</v>
      </c>
      <c r="BD501" s="6" t="s">
        <v>127</v>
      </c>
      <c r="BE501" s="6" t="s">
        <v>127</v>
      </c>
    </row>
    <row r="502" spans="1:57" ht="16" x14ac:dyDescent="0.4">
      <c r="A502" s="6" t="s">
        <v>2596</v>
      </c>
      <c r="B502" s="6" t="s">
        <v>2596</v>
      </c>
      <c r="C502" s="6" t="s">
        <v>127</v>
      </c>
      <c r="D502" s="6" t="s">
        <v>238</v>
      </c>
      <c r="E502" s="191">
        <v>44944</v>
      </c>
      <c r="F502" s="6">
        <f t="shared" si="93"/>
        <v>2023</v>
      </c>
      <c r="G502" s="4" t="s">
        <v>2597</v>
      </c>
      <c r="H502" s="22" t="str">
        <f>VLOOKUP($G502,'Item Classification'!B:C,2,0)</f>
        <v>Naval support vessel</v>
      </c>
      <c r="I502" s="6" t="str">
        <f>VLOOKUP($G502,'Item Classification'!B:D,3,0)</f>
        <v>Naval</v>
      </c>
      <c r="J502" s="23">
        <f>VLOOKUP($G502,'Item Classification'!B:E,4,0)</f>
        <v>12</v>
      </c>
      <c r="K502" s="195" t="s">
        <v>143</v>
      </c>
      <c r="L502" s="195" t="s">
        <v>460</v>
      </c>
      <c r="M502" s="116" t="str">
        <f>VLOOKUP(L502,'NATO Classifications'!$D$6:$E$647,2,0)</f>
        <v>Cargo and Tanker Vessels</v>
      </c>
      <c r="N502" s="25">
        <v>3</v>
      </c>
      <c r="O502" s="81">
        <f>S502/N502</f>
        <v>533333333.33333331</v>
      </c>
      <c r="P502" s="81">
        <f t="shared" ref="P502" si="101">U502/N502</f>
        <v>613174827.64038837</v>
      </c>
      <c r="Q502" s="25"/>
      <c r="R502" s="25">
        <v>2032</v>
      </c>
      <c r="S502" s="82">
        <v>1600000000</v>
      </c>
      <c r="T502" s="115" t="s">
        <v>2145</v>
      </c>
      <c r="U502" s="104">
        <f>_xlfn.IFNA(S502/INDEX('Exchange Rates'!$C$7:$F$14,MATCH('MAIN DATA, Orders'!F502,'Exchange Rates'!$B$7:$B$14,0),MATCH('MAIN DATA, Orders'!T502,'Exchange Rates'!$C$6:$F$6,0)), "-")</f>
        <v>1839524482.921165</v>
      </c>
      <c r="V502" s="6" t="s">
        <v>127</v>
      </c>
      <c r="W502" s="6" t="s">
        <v>127</v>
      </c>
      <c r="X502" s="6" t="s">
        <v>238</v>
      </c>
      <c r="Y502" s="24">
        <f t="shared" si="95"/>
        <v>202301</v>
      </c>
      <c r="Z502" s="24">
        <v>0</v>
      </c>
      <c r="AA502" s="24">
        <v>0</v>
      </c>
      <c r="AB502" s="24">
        <v>0</v>
      </c>
      <c r="AC502" s="24">
        <v>1</v>
      </c>
      <c r="AD502" s="24">
        <v>1</v>
      </c>
      <c r="AE502" s="24">
        <v>0</v>
      </c>
      <c r="AF502" s="24">
        <v>1</v>
      </c>
      <c r="AG502" s="10" t="s">
        <v>2598</v>
      </c>
      <c r="AH502" s="10" t="s">
        <v>238</v>
      </c>
      <c r="AI502" s="10" t="s">
        <v>238</v>
      </c>
      <c r="AJ502" s="6" t="s">
        <v>2599</v>
      </c>
      <c r="AK502" s="6" t="s">
        <v>2600</v>
      </c>
      <c r="AL502" s="6" t="s">
        <v>2601</v>
      </c>
      <c r="AM502" s="6" t="s">
        <v>127</v>
      </c>
      <c r="AN502" s="6" t="s">
        <v>162</v>
      </c>
      <c r="AO502" s="6" t="s">
        <v>127</v>
      </c>
      <c r="AP502" s="6" t="s">
        <v>127</v>
      </c>
      <c r="AQ502" s="6" t="s">
        <v>127</v>
      </c>
      <c r="AR502" s="6" t="s">
        <v>127</v>
      </c>
      <c r="AS502" s="6" t="s">
        <v>127</v>
      </c>
      <c r="AT502" s="6" t="s">
        <v>127</v>
      </c>
      <c r="AU502" s="6" t="s">
        <v>127</v>
      </c>
      <c r="AV502" s="6" t="s">
        <v>127</v>
      </c>
      <c r="AW502" s="6" t="s">
        <v>127</v>
      </c>
      <c r="AX502" s="6" t="s">
        <v>127</v>
      </c>
      <c r="AY502" s="99" t="s">
        <v>2602</v>
      </c>
      <c r="AZ502" s="6" t="s">
        <v>127</v>
      </c>
      <c r="BA502" s="6" t="s">
        <v>127</v>
      </c>
      <c r="BB502" s="6" t="s">
        <v>2603</v>
      </c>
      <c r="BC502" s="6" t="s">
        <v>2604</v>
      </c>
      <c r="BD502" s="6" t="s">
        <v>127</v>
      </c>
      <c r="BE502" s="6" t="s">
        <v>127</v>
      </c>
    </row>
    <row r="503" spans="1:57" ht="16" x14ac:dyDescent="0.4">
      <c r="A503" s="6" t="s">
        <v>2605</v>
      </c>
      <c r="B503" s="6" t="s">
        <v>2605</v>
      </c>
      <c r="C503" s="6" t="s">
        <v>127</v>
      </c>
      <c r="D503" s="6" t="s">
        <v>238</v>
      </c>
      <c r="E503" s="191">
        <v>44945</v>
      </c>
      <c r="F503" s="6">
        <f t="shared" si="93"/>
        <v>2023</v>
      </c>
      <c r="G503" s="4" t="s">
        <v>2606</v>
      </c>
      <c r="H503" s="22" t="str">
        <f>VLOOKUP($G503,'Item Classification'!B:C,2,0)</f>
        <v>Offshore patrol vessel</v>
      </c>
      <c r="I503" s="6" t="str">
        <f>VLOOKUP($G503,'Item Classification'!B:D,3,0)</f>
        <v>Naval</v>
      </c>
      <c r="J503" s="23">
        <f>VLOOKUP($G503,'Item Classification'!B:E,4,0)</f>
        <v>12</v>
      </c>
      <c r="K503" s="195" t="s">
        <v>143</v>
      </c>
      <c r="L503" s="195" t="s">
        <v>452</v>
      </c>
      <c r="M503" s="116" t="str">
        <f>VLOOKUP(L503,'NATO Classifications'!$D$6:$E$647,2,0)</f>
        <v>Special Service Vessels</v>
      </c>
      <c r="N503" s="25">
        <v>1</v>
      </c>
      <c r="O503" s="81">
        <f>S503/N503</f>
        <v>65000000</v>
      </c>
      <c r="P503" s="81">
        <f t="shared" ref="P503" si="102">U503/N503</f>
        <v>74730682.118672326</v>
      </c>
      <c r="Q503" s="25"/>
      <c r="R503" s="25"/>
      <c r="S503" s="82">
        <v>65000000</v>
      </c>
      <c r="T503" s="115" t="s">
        <v>2145</v>
      </c>
      <c r="U503" s="104">
        <f>_xlfn.IFNA(S503/INDEX('Exchange Rates'!$C$7:$F$14,MATCH('MAIN DATA, Orders'!F503,'Exchange Rates'!$B$7:$B$14,0),MATCH('MAIN DATA, Orders'!T503,'Exchange Rates'!$C$6:$F$6,0)), "-")</f>
        <v>74730682.118672326</v>
      </c>
      <c r="V503" s="6" t="s">
        <v>127</v>
      </c>
      <c r="W503" s="6" t="s">
        <v>127</v>
      </c>
      <c r="X503" s="6" t="s">
        <v>238</v>
      </c>
      <c r="Y503" s="24">
        <f t="shared" si="95"/>
        <v>202301</v>
      </c>
      <c r="Z503" s="24">
        <v>0</v>
      </c>
      <c r="AA503" s="24">
        <v>0</v>
      </c>
      <c r="AB503" s="24">
        <v>0</v>
      </c>
      <c r="AC503" s="24">
        <v>1</v>
      </c>
      <c r="AD503" s="24">
        <v>0</v>
      </c>
      <c r="AE503" s="24">
        <v>0</v>
      </c>
      <c r="AF503" s="24">
        <v>0</v>
      </c>
      <c r="AG503" s="10" t="s">
        <v>2607</v>
      </c>
      <c r="AH503" s="10" t="s">
        <v>468</v>
      </c>
      <c r="AI503" s="10" t="s">
        <v>127</v>
      </c>
      <c r="AJ503" s="6" t="s">
        <v>127</v>
      </c>
      <c r="AK503" s="6" t="s">
        <v>127</v>
      </c>
      <c r="AL503" s="6" t="s">
        <v>127</v>
      </c>
      <c r="AM503" s="6" t="s">
        <v>127</v>
      </c>
      <c r="AN503" s="6" t="s">
        <v>127</v>
      </c>
      <c r="AO503" s="6" t="s">
        <v>127</v>
      </c>
      <c r="AP503" s="6" t="s">
        <v>127</v>
      </c>
      <c r="AQ503" s="6" t="s">
        <v>127</v>
      </c>
      <c r="AR503" s="6" t="s">
        <v>127</v>
      </c>
      <c r="AS503" s="6" t="s">
        <v>127</v>
      </c>
      <c r="AT503" s="6" t="s">
        <v>127</v>
      </c>
      <c r="AU503" s="6" t="s">
        <v>127</v>
      </c>
      <c r="AV503" s="6" t="s">
        <v>127</v>
      </c>
      <c r="AW503" s="6" t="s">
        <v>127</v>
      </c>
      <c r="AX503" s="6" t="s">
        <v>127</v>
      </c>
      <c r="AY503" s="99" t="s">
        <v>2608</v>
      </c>
      <c r="AZ503" s="6" t="s">
        <v>127</v>
      </c>
      <c r="BA503" s="6" t="s">
        <v>127</v>
      </c>
      <c r="BB503" s="6" t="s">
        <v>2609</v>
      </c>
      <c r="BC503" s="6" t="s">
        <v>2610</v>
      </c>
      <c r="BD503" s="6" t="s">
        <v>127</v>
      </c>
      <c r="BE503" s="6" t="s">
        <v>127</v>
      </c>
    </row>
    <row r="504" spans="1:57" ht="16" x14ac:dyDescent="0.4">
      <c r="A504" s="6" t="s">
        <v>2611</v>
      </c>
      <c r="B504" s="6" t="s">
        <v>2611</v>
      </c>
      <c r="C504" s="6" t="s">
        <v>127</v>
      </c>
      <c r="D504" s="6" t="s">
        <v>238</v>
      </c>
      <c r="E504" s="191">
        <v>44967</v>
      </c>
      <c r="F504" s="6">
        <f t="shared" si="93"/>
        <v>2023</v>
      </c>
      <c r="G504" s="4" t="s">
        <v>2612</v>
      </c>
      <c r="H504" s="22" t="str">
        <f>VLOOKUP($G504,'Item Classification'!B:C,2,0)</f>
        <v>Surveillance drone</v>
      </c>
      <c r="I504" s="6" t="str">
        <f>VLOOKUP($G504,'Item Classification'!B:D,3,0)</f>
        <v>Drone</v>
      </c>
      <c r="J504" s="23">
        <f>VLOOKUP($G504,'Item Classification'!B:E,4,0)</f>
        <v>7</v>
      </c>
      <c r="K504" s="195" t="s">
        <v>130</v>
      </c>
      <c r="L504" s="195" t="s">
        <v>131</v>
      </c>
      <c r="M504" s="116" t="str">
        <f>VLOOKUP(L504,'NATO Classifications'!$D$6:$E$647,2,0)</f>
        <v>Unmanned Aircraft</v>
      </c>
      <c r="N504" s="25">
        <v>1</v>
      </c>
      <c r="O504" s="81">
        <f>S504/N504</f>
        <v>20000000</v>
      </c>
      <c r="P504" s="81">
        <f t="shared" ref="P504" si="103">U504/N504</f>
        <v>22994056.036514562</v>
      </c>
      <c r="Q504" s="25">
        <v>2024</v>
      </c>
      <c r="R504" s="25">
        <v>2024</v>
      </c>
      <c r="S504" s="82">
        <v>20000000</v>
      </c>
      <c r="T504" s="115" t="s">
        <v>2145</v>
      </c>
      <c r="U504" s="104">
        <f>_xlfn.IFNA(S504/INDEX('Exchange Rates'!$C$7:$F$14,MATCH('MAIN DATA, Orders'!F504,'Exchange Rates'!$B$7:$B$14,0),MATCH('MAIN DATA, Orders'!T504,'Exchange Rates'!$C$6:$F$6,0)), "-")</f>
        <v>22994056.036514562</v>
      </c>
      <c r="V504" s="6" t="s">
        <v>127</v>
      </c>
      <c r="W504" s="6" t="s">
        <v>127</v>
      </c>
      <c r="X504" s="6" t="s">
        <v>238</v>
      </c>
      <c r="Y504" s="24">
        <f t="shared" si="95"/>
        <v>202302</v>
      </c>
      <c r="Z504" s="24">
        <v>0</v>
      </c>
      <c r="AA504" s="24">
        <v>0</v>
      </c>
      <c r="AB504" s="24">
        <v>0</v>
      </c>
      <c r="AC504" s="24">
        <v>1</v>
      </c>
      <c r="AD504" s="24">
        <v>1</v>
      </c>
      <c r="AE504" s="24">
        <v>0</v>
      </c>
      <c r="AF504" s="24">
        <v>0</v>
      </c>
      <c r="AG504" s="10" t="s">
        <v>148</v>
      </c>
      <c r="AH504" s="10" t="s">
        <v>151</v>
      </c>
      <c r="AI504" s="10" t="s">
        <v>127</v>
      </c>
      <c r="AJ504" s="6" t="s">
        <v>2613</v>
      </c>
      <c r="AK504" s="6" t="s">
        <v>127</v>
      </c>
      <c r="AL504" s="6" t="s">
        <v>127</v>
      </c>
      <c r="AM504" s="6" t="s">
        <v>127</v>
      </c>
      <c r="AN504" s="6" t="s">
        <v>830</v>
      </c>
      <c r="AO504" s="6" t="s">
        <v>127</v>
      </c>
      <c r="AP504" s="6" t="s">
        <v>127</v>
      </c>
      <c r="AQ504" s="6" t="s">
        <v>127</v>
      </c>
      <c r="AR504" s="6" t="s">
        <v>127</v>
      </c>
      <c r="AS504" s="6" t="s">
        <v>127</v>
      </c>
      <c r="AT504" s="6" t="s">
        <v>127</v>
      </c>
      <c r="AU504" s="6" t="s">
        <v>127</v>
      </c>
      <c r="AV504" s="6" t="s">
        <v>127</v>
      </c>
      <c r="AW504" s="6" t="s">
        <v>127</v>
      </c>
      <c r="AX504" s="6" t="s">
        <v>127</v>
      </c>
      <c r="AY504" s="99" t="s">
        <v>2614</v>
      </c>
      <c r="AZ504" s="6" t="s">
        <v>127</v>
      </c>
      <c r="BA504" s="6" t="s">
        <v>127</v>
      </c>
      <c r="BB504" s="6" t="s">
        <v>2615</v>
      </c>
      <c r="BC504" s="6" t="s">
        <v>2616</v>
      </c>
      <c r="BD504" s="6" t="s">
        <v>127</v>
      </c>
      <c r="BE504" s="6" t="s">
        <v>127</v>
      </c>
    </row>
    <row r="505" spans="1:57" ht="16" x14ac:dyDescent="0.4">
      <c r="A505" s="6" t="s">
        <v>2617</v>
      </c>
      <c r="B505" s="6" t="s">
        <v>2617</v>
      </c>
      <c r="C505" s="6" t="s">
        <v>127</v>
      </c>
      <c r="D505" s="6" t="s">
        <v>238</v>
      </c>
      <c r="E505" s="191">
        <v>44972</v>
      </c>
      <c r="F505" s="6">
        <f t="shared" si="93"/>
        <v>2023</v>
      </c>
      <c r="G505" s="4" t="s">
        <v>2618</v>
      </c>
      <c r="H505" s="22" t="str">
        <f>VLOOKUP($G505,'Item Classification'!B:C,2,0)</f>
        <v>Communication and digitalisation</v>
      </c>
      <c r="I505" s="6" t="str">
        <f>VLOOKUP($G505,'Item Classification'!B:D,3,0)</f>
        <v>Modernisation</v>
      </c>
      <c r="J505" s="23">
        <f>VLOOKUP($G505,'Item Classification'!B:E,4,0)</f>
        <v>13</v>
      </c>
      <c r="K505" s="195" t="s">
        <v>158</v>
      </c>
      <c r="L505" s="195" t="s">
        <v>354</v>
      </c>
      <c r="M505" s="116" t="str">
        <f>VLOOKUP(L505,'NATO Classifications'!$D$6:$E$647,2,0)</f>
        <v>Communication, Detection, and Coherent Radiation Equipment (other)</v>
      </c>
      <c r="N505" s="25">
        <v>6</v>
      </c>
      <c r="O505" s="81">
        <f>S505/N505</f>
        <v>66666666.666666664</v>
      </c>
      <c r="P505" s="81">
        <f t="shared" ref="P505" si="104">U505/N505</f>
        <v>76646853.455048546</v>
      </c>
      <c r="Q505" s="25">
        <v>2023</v>
      </c>
      <c r="R505" s="25">
        <v>2029</v>
      </c>
      <c r="S505" s="82">
        <v>400000000</v>
      </c>
      <c r="T505" s="115" t="s">
        <v>2145</v>
      </c>
      <c r="U505" s="104">
        <f>_xlfn.IFNA(S505/INDEX('Exchange Rates'!$C$7:$F$14,MATCH('MAIN DATA, Orders'!F505,'Exchange Rates'!$B$7:$B$14,0),MATCH('MAIN DATA, Orders'!T505,'Exchange Rates'!$C$6:$F$6,0)), "-")</f>
        <v>459881120.73029125</v>
      </c>
      <c r="V505" s="6" t="s">
        <v>127</v>
      </c>
      <c r="W505" s="6" t="s">
        <v>127</v>
      </c>
      <c r="X505" s="6" t="s">
        <v>238</v>
      </c>
      <c r="Y505" s="24">
        <f t="shared" si="95"/>
        <v>202302</v>
      </c>
      <c r="Z505" s="24">
        <v>0</v>
      </c>
      <c r="AA505" s="24">
        <v>1</v>
      </c>
      <c r="AB505" s="24">
        <v>0</v>
      </c>
      <c r="AC505" s="24">
        <v>1</v>
      </c>
      <c r="AD505" s="24">
        <v>0</v>
      </c>
      <c r="AE505" s="24">
        <v>0</v>
      </c>
      <c r="AF505" s="24">
        <v>0</v>
      </c>
      <c r="AG505" s="10" t="s">
        <v>2393</v>
      </c>
      <c r="AH505" s="10" t="s">
        <v>238</v>
      </c>
      <c r="AI505" s="10" t="s">
        <v>127</v>
      </c>
      <c r="AJ505" s="6" t="s">
        <v>127</v>
      </c>
      <c r="AK505" s="6" t="s">
        <v>127</v>
      </c>
      <c r="AL505" s="6" t="s">
        <v>127</v>
      </c>
      <c r="AM505" s="6" t="s">
        <v>127</v>
      </c>
      <c r="AN505" s="6" t="s">
        <v>127</v>
      </c>
      <c r="AO505" s="6" t="s">
        <v>127</v>
      </c>
      <c r="AP505" s="6" t="s">
        <v>127</v>
      </c>
      <c r="AQ505" s="6" t="s">
        <v>127</v>
      </c>
      <c r="AR505" s="6" t="s">
        <v>127</v>
      </c>
      <c r="AS505" s="6" t="s">
        <v>127</v>
      </c>
      <c r="AT505" s="6" t="s">
        <v>127</v>
      </c>
      <c r="AU505" s="6" t="s">
        <v>127</v>
      </c>
      <c r="AV505" s="6" t="s">
        <v>127</v>
      </c>
      <c r="AW505" s="6" t="s">
        <v>127</v>
      </c>
      <c r="AX505" s="6" t="s">
        <v>127</v>
      </c>
      <c r="AY505" s="99" t="s">
        <v>2619</v>
      </c>
      <c r="AZ505" s="6" t="s">
        <v>127</v>
      </c>
      <c r="BA505" s="6" t="s">
        <v>127</v>
      </c>
      <c r="BB505" s="6" t="s">
        <v>2620</v>
      </c>
      <c r="BC505" s="6" t="s">
        <v>2621</v>
      </c>
      <c r="BD505" s="6" t="s">
        <v>2622</v>
      </c>
      <c r="BE505" s="6" t="s">
        <v>127</v>
      </c>
    </row>
    <row r="506" spans="1:57" ht="16" x14ac:dyDescent="0.4">
      <c r="A506" s="6" t="s">
        <v>2623</v>
      </c>
      <c r="B506" s="6" t="s">
        <v>2623</v>
      </c>
      <c r="C506" s="6" t="s">
        <v>2624</v>
      </c>
      <c r="D506" s="6" t="s">
        <v>2624</v>
      </c>
      <c r="E506" s="191">
        <v>44973</v>
      </c>
      <c r="F506" s="6">
        <f t="shared" si="93"/>
        <v>2023</v>
      </c>
      <c r="G506" s="6" t="s">
        <v>127</v>
      </c>
      <c r="H506" s="22" t="s">
        <v>1487</v>
      </c>
      <c r="I506" s="6" t="s">
        <v>287</v>
      </c>
      <c r="J506" s="23">
        <v>16</v>
      </c>
      <c r="K506" s="195" t="s">
        <v>229</v>
      </c>
      <c r="L506" s="195" t="s">
        <v>230</v>
      </c>
      <c r="M506" s="116" t="str">
        <f>VLOOKUP(L506,'NATO Classifications'!$D$6:$E$647,2,0)</f>
        <v>Miscellaneous Items</v>
      </c>
      <c r="N506" s="25"/>
      <c r="O506" s="25"/>
      <c r="P506" s="25"/>
      <c r="Q506" s="25"/>
      <c r="R506" s="25"/>
      <c r="S506" s="82">
        <v>200000000</v>
      </c>
      <c r="T506" s="115" t="s">
        <v>2145</v>
      </c>
      <c r="U506" s="104">
        <f>_xlfn.IFNA(S506/INDEX('Exchange Rates'!$C$7:$F$14,MATCH('MAIN DATA, Orders'!F506,'Exchange Rates'!$B$7:$B$14,0),MATCH('MAIN DATA, Orders'!T506,'Exchange Rates'!$C$6:$F$6,0)), "-")</f>
        <v>229940560.36514562</v>
      </c>
      <c r="V506" s="6" t="s">
        <v>127</v>
      </c>
      <c r="W506" s="6" t="s">
        <v>127</v>
      </c>
      <c r="X506" s="6" t="s">
        <v>809</v>
      </c>
      <c r="Y506" s="24">
        <f t="shared" si="95"/>
        <v>202302</v>
      </c>
      <c r="Z506" s="24">
        <v>1</v>
      </c>
      <c r="AA506" s="24">
        <v>0</v>
      </c>
      <c r="AB506" s="24">
        <v>0</v>
      </c>
      <c r="AC506" s="24">
        <v>1</v>
      </c>
      <c r="AD506" s="24">
        <v>1</v>
      </c>
      <c r="AE506" s="24">
        <v>0</v>
      </c>
      <c r="AF506" s="24">
        <v>1</v>
      </c>
      <c r="AG506" s="10" t="s">
        <v>127</v>
      </c>
      <c r="AH506" s="10" t="s">
        <v>127</v>
      </c>
      <c r="AI506" s="10" t="s">
        <v>127</v>
      </c>
      <c r="AJ506" s="6" t="s">
        <v>127</v>
      </c>
      <c r="AK506" s="6" t="s">
        <v>127</v>
      </c>
      <c r="AL506" s="6" t="s">
        <v>127</v>
      </c>
      <c r="AM506" s="6" t="s">
        <v>127</v>
      </c>
      <c r="AN506" s="6" t="s">
        <v>127</v>
      </c>
      <c r="AO506" s="6" t="s">
        <v>127</v>
      </c>
      <c r="AP506" s="6" t="s">
        <v>127</v>
      </c>
      <c r="AQ506" s="6" t="s">
        <v>127</v>
      </c>
      <c r="AR506" s="6" t="s">
        <v>127</v>
      </c>
      <c r="AS506" s="6" t="s">
        <v>127</v>
      </c>
      <c r="AT506" s="6" t="s">
        <v>127</v>
      </c>
      <c r="AU506" s="6" t="s">
        <v>127</v>
      </c>
      <c r="AV506" s="6" t="s">
        <v>127</v>
      </c>
      <c r="AW506" s="6" t="s">
        <v>127</v>
      </c>
      <c r="AX506" s="6" t="s">
        <v>127</v>
      </c>
      <c r="AY506" s="99" t="s">
        <v>2625</v>
      </c>
      <c r="AZ506" s="6" t="s">
        <v>127</v>
      </c>
      <c r="BA506" s="6" t="s">
        <v>127</v>
      </c>
      <c r="BB506" s="6" t="s">
        <v>2626</v>
      </c>
      <c r="BC506" s="6" t="s">
        <v>2627</v>
      </c>
      <c r="BD506" s="6" t="s">
        <v>2628</v>
      </c>
      <c r="BE506" s="6" t="s">
        <v>127</v>
      </c>
    </row>
    <row r="507" spans="1:57" ht="16" x14ac:dyDescent="0.4">
      <c r="A507" s="6" t="s">
        <v>2623</v>
      </c>
      <c r="B507" s="6" t="s">
        <v>2629</v>
      </c>
      <c r="C507" s="6" t="s">
        <v>2624</v>
      </c>
      <c r="D507" s="6" t="s">
        <v>2624</v>
      </c>
      <c r="E507" s="191">
        <v>44973</v>
      </c>
      <c r="F507" s="6">
        <f t="shared" si="93"/>
        <v>2023</v>
      </c>
      <c r="G507" s="4" t="s">
        <v>2630</v>
      </c>
      <c r="H507" s="22" t="str">
        <f>VLOOKUP($G507,'Item Classification'!B:C,2,0)</f>
        <v>Ammunition (unspecified)</v>
      </c>
      <c r="I507" s="6" t="str">
        <f>VLOOKUP($G507,'Item Classification'!B:D,3,0)</f>
        <v>Ammunition</v>
      </c>
      <c r="J507" s="23">
        <f>VLOOKUP($G507,'Item Classification'!B:E,4,0)</f>
        <v>4</v>
      </c>
      <c r="K507" s="195" t="s">
        <v>189</v>
      </c>
      <c r="L507" s="195" t="s">
        <v>2240</v>
      </c>
      <c r="M507" s="116" t="str">
        <f>VLOOKUP(L507,'NATO Classifications'!$D$6:$E$647,2,0)</f>
        <v>Ammunition and Explosives (other)</v>
      </c>
      <c r="N507" s="25"/>
      <c r="O507" s="25"/>
      <c r="P507" s="25"/>
      <c r="Q507" s="25"/>
      <c r="R507" s="25"/>
      <c r="S507" s="25"/>
      <c r="T507" s="115" t="s">
        <v>2145</v>
      </c>
      <c r="U507" s="104">
        <f>_xlfn.IFNA(S507/INDEX('Exchange Rates'!$C$7:$F$14,MATCH('MAIN DATA, Orders'!F507,'Exchange Rates'!$B$7:$B$14,0),MATCH('MAIN DATA, Orders'!T507,'Exchange Rates'!$C$6:$F$6,0)), "-")</f>
        <v>0</v>
      </c>
      <c r="V507" s="6" t="s">
        <v>127</v>
      </c>
      <c r="W507" s="6" t="s">
        <v>127</v>
      </c>
      <c r="X507" s="6" t="s">
        <v>809</v>
      </c>
      <c r="Y507" s="24">
        <f t="shared" si="95"/>
        <v>202302</v>
      </c>
      <c r="Z507" s="24">
        <v>1</v>
      </c>
      <c r="AA507" s="24">
        <v>0</v>
      </c>
      <c r="AB507" s="24">
        <v>0</v>
      </c>
      <c r="AC507" s="24">
        <v>1</v>
      </c>
      <c r="AD507" s="24">
        <v>1</v>
      </c>
      <c r="AE507" s="24">
        <v>0</v>
      </c>
      <c r="AF507" s="24">
        <v>1</v>
      </c>
      <c r="AG507" s="10" t="s">
        <v>127</v>
      </c>
      <c r="AH507" s="10" t="s">
        <v>127</v>
      </c>
      <c r="AI507" s="10" t="s">
        <v>127</v>
      </c>
      <c r="AJ507" s="6" t="s">
        <v>127</v>
      </c>
      <c r="AK507" s="6" t="s">
        <v>127</v>
      </c>
      <c r="AL507" s="6" t="s">
        <v>127</v>
      </c>
      <c r="AM507" s="6" t="s">
        <v>127</v>
      </c>
      <c r="AN507" s="6" t="s">
        <v>127</v>
      </c>
      <c r="AO507" s="6" t="s">
        <v>127</v>
      </c>
      <c r="AP507" s="6" t="s">
        <v>127</v>
      </c>
      <c r="AQ507" s="6" t="s">
        <v>127</v>
      </c>
      <c r="AR507" s="6" t="s">
        <v>127</v>
      </c>
      <c r="AS507" s="6" t="s">
        <v>127</v>
      </c>
      <c r="AT507" s="6" t="s">
        <v>127</v>
      </c>
      <c r="AU507" s="6" t="s">
        <v>127</v>
      </c>
      <c r="AV507" s="6" t="s">
        <v>127</v>
      </c>
      <c r="AW507" s="6" t="s">
        <v>127</v>
      </c>
      <c r="AX507" s="6" t="s">
        <v>127</v>
      </c>
      <c r="AY507" s="99" t="s">
        <v>2625</v>
      </c>
      <c r="AZ507" s="6" t="s">
        <v>127</v>
      </c>
      <c r="BA507" s="6" t="s">
        <v>127</v>
      </c>
      <c r="BB507" s="6" t="s">
        <v>2626</v>
      </c>
      <c r="BC507" s="6" t="s">
        <v>2627</v>
      </c>
      <c r="BD507" s="6" t="s">
        <v>2628</v>
      </c>
      <c r="BE507" s="6" t="s">
        <v>127</v>
      </c>
    </row>
    <row r="508" spans="1:57" ht="16" x14ac:dyDescent="0.4">
      <c r="A508" s="6" t="s">
        <v>2623</v>
      </c>
      <c r="B508" s="6" t="s">
        <v>2631</v>
      </c>
      <c r="C508" s="6" t="s">
        <v>2624</v>
      </c>
      <c r="D508" s="6" t="s">
        <v>2624</v>
      </c>
      <c r="E508" s="191">
        <v>44973</v>
      </c>
      <c r="F508" s="6">
        <f t="shared" si="93"/>
        <v>2023</v>
      </c>
      <c r="G508" s="4" t="s">
        <v>2632</v>
      </c>
      <c r="H508" s="22" t="str">
        <f>VLOOKUP($G508,'Item Classification'!B:C,2,0)</f>
        <v>Maintenance (unspecified)</v>
      </c>
      <c r="I508" s="6" t="str">
        <f>VLOOKUP($G508,'Item Classification'!B:D,3,0)</f>
        <v>Maintenance</v>
      </c>
      <c r="J508" s="23">
        <f>VLOOKUP($G508,'Item Classification'!B:E,4,0)</f>
        <v>14</v>
      </c>
      <c r="K508" s="195" t="s">
        <v>539</v>
      </c>
      <c r="L508" s="195" t="s">
        <v>2633</v>
      </c>
      <c r="M508" s="116" t="str">
        <f>VLOOKUP(L508,'NATO Classifications'!$D$6:$E$647,2,0)</f>
        <v>Miscellaneous Maintenance and Repair Shop Specialized Equipment</v>
      </c>
      <c r="N508" s="25"/>
      <c r="O508" s="25"/>
      <c r="P508" s="25"/>
      <c r="Q508" s="25"/>
      <c r="R508" s="25"/>
      <c r="S508" s="25"/>
      <c r="T508" s="115" t="s">
        <v>2145</v>
      </c>
      <c r="U508" s="104">
        <f>_xlfn.IFNA(S508/INDEX('Exchange Rates'!$C$7:$F$14,MATCH('MAIN DATA, Orders'!F508,'Exchange Rates'!$B$7:$B$14,0),MATCH('MAIN DATA, Orders'!T508,'Exchange Rates'!$C$6:$F$6,0)), "-")</f>
        <v>0</v>
      </c>
      <c r="V508" s="6" t="s">
        <v>127</v>
      </c>
      <c r="W508" s="6" t="s">
        <v>127</v>
      </c>
      <c r="X508" s="6" t="s">
        <v>809</v>
      </c>
      <c r="Y508" s="24">
        <f t="shared" si="95"/>
        <v>202302</v>
      </c>
      <c r="Z508" s="24">
        <v>1</v>
      </c>
      <c r="AA508" s="24">
        <v>0</v>
      </c>
      <c r="AB508" s="24">
        <v>0</v>
      </c>
      <c r="AC508" s="24">
        <v>1</v>
      </c>
      <c r="AD508" s="24">
        <v>1</v>
      </c>
      <c r="AE508" s="24">
        <v>0</v>
      </c>
      <c r="AF508" s="24">
        <v>1</v>
      </c>
      <c r="AG508" s="10" t="s">
        <v>127</v>
      </c>
      <c r="AH508" s="10" t="s">
        <v>127</v>
      </c>
      <c r="AI508" s="10" t="s">
        <v>127</v>
      </c>
      <c r="AJ508" s="6" t="s">
        <v>127</v>
      </c>
      <c r="AK508" s="6" t="s">
        <v>127</v>
      </c>
      <c r="AL508" s="6" t="s">
        <v>127</v>
      </c>
      <c r="AM508" s="6" t="s">
        <v>127</v>
      </c>
      <c r="AN508" s="6" t="s">
        <v>127</v>
      </c>
      <c r="AO508" s="6" t="s">
        <v>127</v>
      </c>
      <c r="AP508" s="6" t="s">
        <v>127</v>
      </c>
      <c r="AQ508" s="6" t="s">
        <v>127</v>
      </c>
      <c r="AR508" s="6" t="s">
        <v>127</v>
      </c>
      <c r="AS508" s="6" t="s">
        <v>127</v>
      </c>
      <c r="AT508" s="6" t="s">
        <v>127</v>
      </c>
      <c r="AU508" s="6" t="s">
        <v>127</v>
      </c>
      <c r="AV508" s="6" t="s">
        <v>127</v>
      </c>
      <c r="AW508" s="6" t="s">
        <v>127</v>
      </c>
      <c r="AX508" s="6" t="s">
        <v>127</v>
      </c>
      <c r="AY508" s="99" t="s">
        <v>2625</v>
      </c>
      <c r="AZ508" s="6" t="s">
        <v>127</v>
      </c>
      <c r="BA508" s="6" t="s">
        <v>127</v>
      </c>
      <c r="BB508" s="6" t="s">
        <v>2626</v>
      </c>
      <c r="BC508" s="6" t="s">
        <v>2627</v>
      </c>
      <c r="BD508" s="6" t="s">
        <v>2628</v>
      </c>
      <c r="BE508" s="6" t="s">
        <v>127</v>
      </c>
    </row>
    <row r="509" spans="1:57" ht="16" x14ac:dyDescent="0.4">
      <c r="A509" s="6" t="s">
        <v>2623</v>
      </c>
      <c r="B509" s="6" t="s">
        <v>2634</v>
      </c>
      <c r="C509" s="6" t="s">
        <v>2624</v>
      </c>
      <c r="D509" s="6" t="s">
        <v>2624</v>
      </c>
      <c r="E509" s="191">
        <v>44973</v>
      </c>
      <c r="F509" s="6">
        <f t="shared" si="93"/>
        <v>2023</v>
      </c>
      <c r="G509" s="4" t="s">
        <v>2635</v>
      </c>
      <c r="H509" s="22" t="str">
        <f>VLOOKUP($G509,'Item Classification'!B:C,2,0)</f>
        <v>Drone (unspecified)</v>
      </c>
      <c r="I509" s="6" t="str">
        <f>VLOOKUP($G509,'Item Classification'!B:D,3,0)</f>
        <v>Drone</v>
      </c>
      <c r="J509" s="23">
        <f>VLOOKUP($G509,'Item Classification'!B:E,4,0)</f>
        <v>7</v>
      </c>
      <c r="K509" s="195" t="s">
        <v>130</v>
      </c>
      <c r="L509" s="195" t="s">
        <v>131</v>
      </c>
      <c r="M509" s="116" t="str">
        <f>VLOOKUP(L509,'NATO Classifications'!$D$6:$E$647,2,0)</f>
        <v>Unmanned Aircraft</v>
      </c>
      <c r="N509" s="25"/>
      <c r="O509" s="25"/>
      <c r="P509" s="25"/>
      <c r="Q509" s="25"/>
      <c r="R509" s="25"/>
      <c r="S509" s="25"/>
      <c r="T509" s="115" t="s">
        <v>2145</v>
      </c>
      <c r="U509" s="104">
        <f>_xlfn.IFNA(S509/INDEX('Exchange Rates'!$C$7:$F$14,MATCH('MAIN DATA, Orders'!F509,'Exchange Rates'!$B$7:$B$14,0),MATCH('MAIN DATA, Orders'!T509,'Exchange Rates'!$C$6:$F$6,0)), "-")</f>
        <v>0</v>
      </c>
      <c r="V509" s="6" t="s">
        <v>127</v>
      </c>
      <c r="W509" s="6" t="s">
        <v>127</v>
      </c>
      <c r="X509" s="6" t="s">
        <v>809</v>
      </c>
      <c r="Y509" s="24">
        <f t="shared" si="95"/>
        <v>202302</v>
      </c>
      <c r="Z509" s="24">
        <v>1</v>
      </c>
      <c r="AA509" s="24">
        <v>0</v>
      </c>
      <c r="AB509" s="24">
        <v>0</v>
      </c>
      <c r="AC509" s="24">
        <v>1</v>
      </c>
      <c r="AD509" s="24">
        <v>1</v>
      </c>
      <c r="AE509" s="24">
        <v>0</v>
      </c>
      <c r="AF509" s="24">
        <v>1</v>
      </c>
      <c r="AG509" s="10" t="s">
        <v>127</v>
      </c>
      <c r="AH509" s="10" t="s">
        <v>127</v>
      </c>
      <c r="AI509" s="10" t="s">
        <v>127</v>
      </c>
      <c r="AJ509" s="6" t="s">
        <v>127</v>
      </c>
      <c r="AK509" s="6" t="s">
        <v>127</v>
      </c>
      <c r="AL509" s="6" t="s">
        <v>127</v>
      </c>
      <c r="AM509" s="6" t="s">
        <v>127</v>
      </c>
      <c r="AN509" s="6" t="s">
        <v>127</v>
      </c>
      <c r="AO509" s="6" t="s">
        <v>127</v>
      </c>
      <c r="AP509" s="6" t="s">
        <v>127</v>
      </c>
      <c r="AQ509" s="6" t="s">
        <v>127</v>
      </c>
      <c r="AR509" s="6" t="s">
        <v>127</v>
      </c>
      <c r="AS509" s="6" t="s">
        <v>127</v>
      </c>
      <c r="AT509" s="6" t="s">
        <v>127</v>
      </c>
      <c r="AU509" s="6" t="s">
        <v>127</v>
      </c>
      <c r="AV509" s="6" t="s">
        <v>127</v>
      </c>
      <c r="AW509" s="6" t="s">
        <v>127</v>
      </c>
      <c r="AX509" s="6" t="s">
        <v>127</v>
      </c>
      <c r="AY509" s="99" t="s">
        <v>2625</v>
      </c>
      <c r="AZ509" s="6" t="s">
        <v>127</v>
      </c>
      <c r="BA509" s="6" t="s">
        <v>127</v>
      </c>
      <c r="BB509" s="6" t="s">
        <v>2626</v>
      </c>
      <c r="BC509" s="6" t="s">
        <v>2627</v>
      </c>
      <c r="BD509" s="6" t="s">
        <v>2628</v>
      </c>
      <c r="BE509" s="6" t="s">
        <v>127</v>
      </c>
    </row>
    <row r="510" spans="1:57" ht="16" x14ac:dyDescent="0.4">
      <c r="A510" s="6" t="s">
        <v>2623</v>
      </c>
      <c r="B510" s="6" t="s">
        <v>2636</v>
      </c>
      <c r="C510" s="6" t="s">
        <v>2624</v>
      </c>
      <c r="D510" s="6" t="s">
        <v>2624</v>
      </c>
      <c r="E510" s="191">
        <v>44973</v>
      </c>
      <c r="F510" s="6">
        <f t="shared" si="93"/>
        <v>2023</v>
      </c>
      <c r="G510" s="4" t="s">
        <v>2637</v>
      </c>
      <c r="H510" s="22" t="str">
        <f>VLOOKUP($G510,'Item Classification'!B:C,2,0)</f>
        <v>Air defence system (unspecified)</v>
      </c>
      <c r="I510" s="6" t="str">
        <f>VLOOKUP($G510,'Item Classification'!B:D,3,0)</f>
        <v>Air defence system</v>
      </c>
      <c r="J510" s="23">
        <f>VLOOKUP($G510,'Item Classification'!B:E,4,0)</f>
        <v>5</v>
      </c>
      <c r="K510" s="195" t="s">
        <v>211</v>
      </c>
      <c r="L510" s="195" t="s">
        <v>326</v>
      </c>
      <c r="M510" s="116" t="str">
        <f>VLOOKUP(L510,'NATO Classifications'!$D$6:$E$647,2,0)</f>
        <v>Guided Missile Systems, Complete</v>
      </c>
      <c r="N510" s="25"/>
      <c r="O510" s="25"/>
      <c r="P510" s="25"/>
      <c r="Q510" s="25"/>
      <c r="R510" s="25"/>
      <c r="S510" s="25"/>
      <c r="T510" s="115" t="s">
        <v>2145</v>
      </c>
      <c r="U510" s="104">
        <f>_xlfn.IFNA(S510/INDEX('Exchange Rates'!$C$7:$F$14,MATCH('MAIN DATA, Orders'!F510,'Exchange Rates'!$B$7:$B$14,0),MATCH('MAIN DATA, Orders'!T510,'Exchange Rates'!$C$6:$F$6,0)), "-")</f>
        <v>0</v>
      </c>
      <c r="V510" s="6" t="s">
        <v>127</v>
      </c>
      <c r="W510" s="6" t="s">
        <v>127</v>
      </c>
      <c r="X510" s="6" t="s">
        <v>809</v>
      </c>
      <c r="Y510" s="24">
        <f t="shared" si="95"/>
        <v>202302</v>
      </c>
      <c r="Z510" s="24">
        <v>1</v>
      </c>
      <c r="AA510" s="24">
        <v>0</v>
      </c>
      <c r="AB510" s="24">
        <v>0</v>
      </c>
      <c r="AC510" s="24">
        <v>1</v>
      </c>
      <c r="AD510" s="24">
        <v>1</v>
      </c>
      <c r="AE510" s="24">
        <v>0</v>
      </c>
      <c r="AF510" s="24">
        <v>1</v>
      </c>
      <c r="AG510" s="10" t="s">
        <v>127</v>
      </c>
      <c r="AH510" s="10" t="s">
        <v>127</v>
      </c>
      <c r="AI510" s="10" t="s">
        <v>127</v>
      </c>
      <c r="AJ510" s="6" t="s">
        <v>127</v>
      </c>
      <c r="AK510" s="6" t="s">
        <v>127</v>
      </c>
      <c r="AL510" s="6" t="s">
        <v>127</v>
      </c>
      <c r="AM510" s="6" t="s">
        <v>127</v>
      </c>
      <c r="AN510" s="6" t="s">
        <v>127</v>
      </c>
      <c r="AO510" s="6" t="s">
        <v>127</v>
      </c>
      <c r="AP510" s="6" t="s">
        <v>127</v>
      </c>
      <c r="AQ510" s="6" t="s">
        <v>127</v>
      </c>
      <c r="AR510" s="6" t="s">
        <v>127</v>
      </c>
      <c r="AS510" s="6" t="s">
        <v>127</v>
      </c>
      <c r="AT510" s="6" t="s">
        <v>127</v>
      </c>
      <c r="AU510" s="6" t="s">
        <v>127</v>
      </c>
      <c r="AV510" s="6" t="s">
        <v>127</v>
      </c>
      <c r="AW510" s="6" t="s">
        <v>127</v>
      </c>
      <c r="AX510" s="6" t="s">
        <v>127</v>
      </c>
      <c r="AY510" s="99" t="s">
        <v>2625</v>
      </c>
      <c r="AZ510" s="6" t="s">
        <v>127</v>
      </c>
      <c r="BA510" s="6" t="s">
        <v>127</v>
      </c>
      <c r="BB510" s="6" t="s">
        <v>2626</v>
      </c>
      <c r="BC510" s="6" t="s">
        <v>2627</v>
      </c>
      <c r="BD510" s="6" t="s">
        <v>2628</v>
      </c>
      <c r="BE510" s="6" t="s">
        <v>127</v>
      </c>
    </row>
    <row r="511" spans="1:57" ht="16" x14ac:dyDescent="0.4">
      <c r="A511" s="6" t="s">
        <v>2638</v>
      </c>
      <c r="B511" s="6" t="s">
        <v>2638</v>
      </c>
      <c r="C511" s="6" t="s">
        <v>127</v>
      </c>
      <c r="D511" s="6" t="s">
        <v>238</v>
      </c>
      <c r="E511" s="191">
        <v>44980</v>
      </c>
      <c r="F511" s="6">
        <f t="shared" si="93"/>
        <v>2023</v>
      </c>
      <c r="G511" s="4" t="s">
        <v>2639</v>
      </c>
      <c r="H511" s="22" t="str">
        <f>VLOOKUP($G511,'Item Classification'!B:C,2,0)</f>
        <v>Light armoured reconnaissance vehicle</v>
      </c>
      <c r="I511" s="6" t="str">
        <f>VLOOKUP($G511,'Item Classification'!B:D,3,0)</f>
        <v>Armoured vehicle</v>
      </c>
      <c r="J511" s="23">
        <f>VLOOKUP($G511,'Item Classification'!B:E,4,0)</f>
        <v>2</v>
      </c>
      <c r="K511" s="195" t="s">
        <v>274</v>
      </c>
      <c r="L511" s="195" t="s">
        <v>275</v>
      </c>
      <c r="M511" s="116" t="str">
        <f>VLOOKUP(L511,'NATO Classifications'!$D$6:$E$647,2,0)</f>
        <v>Trucks and Truck Tractors, Wheeled</v>
      </c>
      <c r="N511" s="25">
        <v>70</v>
      </c>
      <c r="O511" s="81">
        <f>S511/N511</f>
        <v>1285714.2857142857</v>
      </c>
      <c r="P511" s="81">
        <f t="shared" ref="P511" si="105">U511/N511</f>
        <v>1478189.3166330792</v>
      </c>
      <c r="Q511" s="25"/>
      <c r="R511" s="25">
        <v>2024</v>
      </c>
      <c r="S511" s="82">
        <v>90000000</v>
      </c>
      <c r="T511" s="115" t="s">
        <v>2145</v>
      </c>
      <c r="U511" s="104">
        <f>_xlfn.IFNA(S511/INDEX('Exchange Rates'!$C$7:$F$14,MATCH('MAIN DATA, Orders'!F511,'Exchange Rates'!$B$7:$B$14,0),MATCH('MAIN DATA, Orders'!T511,'Exchange Rates'!$C$6:$F$6,0)), "-")</f>
        <v>103473252.16431554</v>
      </c>
      <c r="V511" s="6" t="s">
        <v>127</v>
      </c>
      <c r="W511" s="6" t="s">
        <v>127</v>
      </c>
      <c r="X511" s="6" t="s">
        <v>238</v>
      </c>
      <c r="Y511" s="24">
        <f t="shared" si="95"/>
        <v>202302</v>
      </c>
      <c r="Z511" s="24">
        <v>1</v>
      </c>
      <c r="AA511" s="24">
        <v>0</v>
      </c>
      <c r="AB511" s="24">
        <v>0</v>
      </c>
      <c r="AC511" s="24">
        <v>1</v>
      </c>
      <c r="AD511" s="24">
        <v>0</v>
      </c>
      <c r="AE511" s="24">
        <v>0</v>
      </c>
      <c r="AF511" s="24">
        <v>0</v>
      </c>
      <c r="AG511" s="10" t="s">
        <v>2640</v>
      </c>
      <c r="AH511" s="10" t="s">
        <v>238</v>
      </c>
      <c r="AI511" s="10" t="s">
        <v>238</v>
      </c>
      <c r="AJ511" s="6" t="s">
        <v>2393</v>
      </c>
      <c r="AK511" s="6" t="s">
        <v>127</v>
      </c>
      <c r="AL511" s="6" t="s">
        <v>127</v>
      </c>
      <c r="AM511" s="6" t="s">
        <v>127</v>
      </c>
      <c r="AN511" s="6" t="s">
        <v>127</v>
      </c>
      <c r="AO511" s="6" t="s">
        <v>127</v>
      </c>
      <c r="AP511" s="6" t="s">
        <v>127</v>
      </c>
      <c r="AQ511" s="6" t="s">
        <v>127</v>
      </c>
      <c r="AR511" s="6" t="s">
        <v>127</v>
      </c>
      <c r="AS511" s="6" t="s">
        <v>127</v>
      </c>
      <c r="AT511" s="6" t="s">
        <v>127</v>
      </c>
      <c r="AU511" s="6" t="s">
        <v>127</v>
      </c>
      <c r="AV511" s="6" t="s">
        <v>127</v>
      </c>
      <c r="AW511" s="6" t="s">
        <v>127</v>
      </c>
      <c r="AX511" s="6" t="s">
        <v>127</v>
      </c>
      <c r="AY511" s="99" t="s">
        <v>2641</v>
      </c>
      <c r="AZ511" s="99" t="s">
        <v>2642</v>
      </c>
      <c r="BA511" s="6" t="s">
        <v>127</v>
      </c>
      <c r="BB511" s="6" t="s">
        <v>2643</v>
      </c>
      <c r="BC511" s="6" t="s">
        <v>2644</v>
      </c>
      <c r="BD511" s="6" t="s">
        <v>2645</v>
      </c>
      <c r="BE511" s="6" t="s">
        <v>127</v>
      </c>
    </row>
    <row r="512" spans="1:57" ht="16" x14ac:dyDescent="0.4">
      <c r="A512" s="6" t="s">
        <v>2646</v>
      </c>
      <c r="B512" s="6" t="s">
        <v>2646</v>
      </c>
      <c r="C512" s="6" t="s">
        <v>127</v>
      </c>
      <c r="D512" s="6" t="s">
        <v>238</v>
      </c>
      <c r="E512" s="191">
        <v>44994</v>
      </c>
      <c r="F512" s="6">
        <f t="shared" si="93"/>
        <v>2023</v>
      </c>
      <c r="G512" s="4" t="s">
        <v>2647</v>
      </c>
      <c r="H512" s="22" t="str">
        <f>VLOOKUP($G512,'Item Classification'!B:C,2,0)</f>
        <v>Flight simulator software</v>
      </c>
      <c r="I512" s="6" t="str">
        <f>VLOOKUP($G512,'Item Classification'!B:D,3,0)</f>
        <v>Other</v>
      </c>
      <c r="J512" s="23">
        <f>VLOOKUP($G512,'Item Classification'!B:E,4,0)</f>
        <v>16</v>
      </c>
      <c r="K512" s="195" t="s">
        <v>941</v>
      </c>
      <c r="L512" s="195" t="s">
        <v>942</v>
      </c>
      <c r="M512" s="116" t="str">
        <f>VLOOKUP(L512,'NATO Classifications'!$D$6:$E$647,2,0)</f>
        <v>Training Aids</v>
      </c>
      <c r="N512" s="25">
        <v>1</v>
      </c>
      <c r="O512" s="81">
        <f>S512/N512</f>
        <v>11500000</v>
      </c>
      <c r="P512" s="81">
        <f t="shared" ref="P512" si="106">U512/N512</f>
        <v>13221582.220995873</v>
      </c>
      <c r="Q512" s="25"/>
      <c r="R512" s="25">
        <v>2024</v>
      </c>
      <c r="S512" s="82">
        <v>11500000</v>
      </c>
      <c r="T512" s="115" t="s">
        <v>2145</v>
      </c>
      <c r="U512" s="104">
        <f>_xlfn.IFNA(S512/INDEX('Exchange Rates'!$C$7:$F$14,MATCH('MAIN DATA, Orders'!F512,'Exchange Rates'!$B$7:$B$14,0),MATCH('MAIN DATA, Orders'!T512,'Exchange Rates'!$C$6:$F$6,0)), "-")</f>
        <v>13221582.220995873</v>
      </c>
      <c r="V512" s="6" t="s">
        <v>127</v>
      </c>
      <c r="W512" s="6" t="s">
        <v>127</v>
      </c>
      <c r="X512" s="6" t="s">
        <v>238</v>
      </c>
      <c r="Y512" s="24">
        <f t="shared" si="95"/>
        <v>202303</v>
      </c>
      <c r="Z512" s="24">
        <v>0</v>
      </c>
      <c r="AA512" s="24">
        <v>0</v>
      </c>
      <c r="AB512" s="24">
        <v>0</v>
      </c>
      <c r="AC512" s="24">
        <v>1</v>
      </c>
      <c r="AD512" s="24">
        <v>0</v>
      </c>
      <c r="AE512" s="24">
        <v>1</v>
      </c>
      <c r="AF512" s="24">
        <v>1</v>
      </c>
      <c r="AG512" s="10" t="s">
        <v>2382</v>
      </c>
      <c r="AH512" s="10" t="s">
        <v>238</v>
      </c>
      <c r="AI512" s="10" t="s">
        <v>127</v>
      </c>
      <c r="AJ512" s="6" t="s">
        <v>718</v>
      </c>
      <c r="AK512" s="6" t="s">
        <v>127</v>
      </c>
      <c r="AL512" s="6" t="s">
        <v>127</v>
      </c>
      <c r="AM512" s="6" t="s">
        <v>127</v>
      </c>
      <c r="AN512" s="6" t="s">
        <v>196</v>
      </c>
      <c r="AO512" s="6" t="s">
        <v>127</v>
      </c>
      <c r="AP512" s="6" t="s">
        <v>127</v>
      </c>
      <c r="AQ512" s="6" t="s">
        <v>127</v>
      </c>
      <c r="AR512" s="6" t="s">
        <v>127</v>
      </c>
      <c r="AS512" s="6" t="s">
        <v>127</v>
      </c>
      <c r="AT512" s="6" t="s">
        <v>127</v>
      </c>
      <c r="AU512" s="6" t="s">
        <v>127</v>
      </c>
      <c r="AV512" s="6" t="s">
        <v>127</v>
      </c>
      <c r="AW512" s="6" t="s">
        <v>127</v>
      </c>
      <c r="AX512" s="6" t="s">
        <v>127</v>
      </c>
      <c r="AY512" s="99" t="s">
        <v>2648</v>
      </c>
      <c r="AZ512" s="6" t="s">
        <v>127</v>
      </c>
      <c r="BA512" s="6" t="s">
        <v>127</v>
      </c>
      <c r="BB512" s="6" t="s">
        <v>2649</v>
      </c>
      <c r="BC512" s="6" t="s">
        <v>2650</v>
      </c>
      <c r="BD512" s="6" t="s">
        <v>127</v>
      </c>
      <c r="BE512" s="6" t="s">
        <v>127</v>
      </c>
    </row>
    <row r="513" spans="1:57" ht="16" x14ac:dyDescent="0.4">
      <c r="A513" s="6" t="s">
        <v>2651</v>
      </c>
      <c r="B513" s="6" t="s">
        <v>2651</v>
      </c>
      <c r="C513" s="6" t="s">
        <v>2652</v>
      </c>
      <c r="D513" s="6" t="s">
        <v>238</v>
      </c>
      <c r="E513" s="191">
        <v>45001</v>
      </c>
      <c r="F513" s="6">
        <f t="shared" si="93"/>
        <v>2023</v>
      </c>
      <c r="G513" s="4" t="s">
        <v>2653</v>
      </c>
      <c r="H513" s="22" t="str">
        <f>VLOOKUP($G513,'Item Classification'!B:C,2,0)</f>
        <v>155mm howitzer</v>
      </c>
      <c r="I513" s="6" t="str">
        <f>VLOOKUP($G513,'Item Classification'!B:D,3,0)</f>
        <v>Artillery</v>
      </c>
      <c r="J513" s="23">
        <f>VLOOKUP($G513,'Item Classification'!B:E,4,0)</f>
        <v>3</v>
      </c>
      <c r="K513" s="195" t="s">
        <v>763</v>
      </c>
      <c r="L513" s="195" t="s">
        <v>2021</v>
      </c>
      <c r="M513" s="116" t="str">
        <f>VLOOKUP(L513,'NATO Classifications'!$D$6:$E$647,2,0)</f>
        <v>Guns over 75mm</v>
      </c>
      <c r="N513" s="25">
        <v>14</v>
      </c>
      <c r="O513" s="25"/>
      <c r="P513" s="25"/>
      <c r="Q513" s="25"/>
      <c r="R513" s="25">
        <v>2024</v>
      </c>
      <c r="S513" s="25"/>
      <c r="T513" s="115" t="s">
        <v>2145</v>
      </c>
      <c r="U513" s="104">
        <f>_xlfn.IFNA(S513/INDEX('Exchange Rates'!$C$7:$F$14,MATCH('MAIN DATA, Orders'!F513,'Exchange Rates'!$B$7:$B$14,0),MATCH('MAIN DATA, Orders'!T513,'Exchange Rates'!$C$6:$F$6,0)), "-")</f>
        <v>0</v>
      </c>
      <c r="V513" s="6" t="s">
        <v>127</v>
      </c>
      <c r="W513" s="6" t="s">
        <v>127</v>
      </c>
      <c r="X513" s="6" t="s">
        <v>238</v>
      </c>
      <c r="Y513" s="24">
        <f t="shared" si="95"/>
        <v>202303</v>
      </c>
      <c r="Z513" s="24">
        <v>0</v>
      </c>
      <c r="AA513" s="24">
        <v>0</v>
      </c>
      <c r="AB513" s="24">
        <v>0</v>
      </c>
      <c r="AC513" s="24">
        <v>1</v>
      </c>
      <c r="AD513" s="24">
        <v>1</v>
      </c>
      <c r="AE513" s="24">
        <v>0</v>
      </c>
      <c r="AF513" s="24">
        <v>1</v>
      </c>
      <c r="AG513" s="10" t="s">
        <v>2654</v>
      </c>
      <c r="AH513" s="10" t="s">
        <v>213</v>
      </c>
      <c r="AI513" s="10" t="s">
        <v>213</v>
      </c>
      <c r="AJ513" s="6" t="s">
        <v>1480</v>
      </c>
      <c r="AK513" s="6" t="s">
        <v>127</v>
      </c>
      <c r="AL513" s="6" t="s">
        <v>127</v>
      </c>
      <c r="AM513" s="6" t="s">
        <v>127</v>
      </c>
      <c r="AN513" s="6" t="s">
        <v>238</v>
      </c>
      <c r="AO513" s="6" t="s">
        <v>127</v>
      </c>
      <c r="AP513" s="6" t="s">
        <v>127</v>
      </c>
      <c r="AQ513" s="6" t="s">
        <v>127</v>
      </c>
      <c r="AR513" s="6" t="s">
        <v>127</v>
      </c>
      <c r="AS513" s="6" t="s">
        <v>127</v>
      </c>
      <c r="AT513" s="6" t="s">
        <v>127</v>
      </c>
      <c r="AU513" s="6" t="s">
        <v>127</v>
      </c>
      <c r="AV513" s="6" t="s">
        <v>127</v>
      </c>
      <c r="AW513" s="6" t="s">
        <v>127</v>
      </c>
      <c r="AX513" s="6" t="s">
        <v>127</v>
      </c>
      <c r="AY513" s="99" t="s">
        <v>2655</v>
      </c>
      <c r="AZ513" s="6" t="s">
        <v>127</v>
      </c>
      <c r="BA513" s="6" t="s">
        <v>127</v>
      </c>
      <c r="BB513" s="6" t="s">
        <v>2656</v>
      </c>
      <c r="BC513" s="6" t="s">
        <v>2657</v>
      </c>
      <c r="BD513" s="6" t="s">
        <v>127</v>
      </c>
      <c r="BE513" s="6" t="s">
        <v>127</v>
      </c>
    </row>
    <row r="514" spans="1:57" ht="16" x14ac:dyDescent="0.4">
      <c r="A514" s="6" t="s">
        <v>2658</v>
      </c>
      <c r="B514" s="6" t="s">
        <v>2658</v>
      </c>
      <c r="C514" s="6" t="s">
        <v>127</v>
      </c>
      <c r="D514" s="6" t="s">
        <v>238</v>
      </c>
      <c r="E514" s="191">
        <v>45015</v>
      </c>
      <c r="F514" s="6">
        <f t="shared" si="93"/>
        <v>2023</v>
      </c>
      <c r="G514" s="4" t="s">
        <v>2659</v>
      </c>
      <c r="H514" s="22" t="str">
        <f>VLOOKUP($G514,'Item Classification'!B:C,2,0)</f>
        <v>Infantry support gun</v>
      </c>
      <c r="I514" s="6" t="str">
        <f>VLOOKUP($G514,'Item Classification'!B:D,3,0)</f>
        <v>Infantry</v>
      </c>
      <c r="J514" s="23">
        <f>VLOOKUP($G514,'Item Classification'!B:E,4,0)</f>
        <v>8</v>
      </c>
      <c r="K514" s="195" t="s">
        <v>763</v>
      </c>
      <c r="L514" s="195" t="s">
        <v>764</v>
      </c>
      <c r="M514" s="116" t="str">
        <f>VLOOKUP(L514,'NATO Classifications'!$D$6:$E$647,2,0)</f>
        <v>Guns below 75mm</v>
      </c>
      <c r="N514" s="25"/>
      <c r="O514" s="25"/>
      <c r="P514" s="25"/>
      <c r="Q514" s="25"/>
      <c r="R514" s="25"/>
      <c r="S514" s="82">
        <v>4600000</v>
      </c>
      <c r="T514" s="115" t="s">
        <v>2145</v>
      </c>
      <c r="U514" s="104">
        <f>_xlfn.IFNA(S514/INDEX('Exchange Rates'!$C$7:$F$14,MATCH('MAIN DATA, Orders'!F514,'Exchange Rates'!$B$7:$B$14,0),MATCH('MAIN DATA, Orders'!T514,'Exchange Rates'!$C$6:$F$6,0)), "-")</f>
        <v>5288632.8883983493</v>
      </c>
      <c r="V514" s="6" t="s">
        <v>127</v>
      </c>
      <c r="W514" s="6" t="s">
        <v>127</v>
      </c>
      <c r="X514" s="6" t="s">
        <v>238</v>
      </c>
      <c r="Y514" s="24">
        <f t="shared" si="95"/>
        <v>202303</v>
      </c>
      <c r="Z514" s="24">
        <v>0</v>
      </c>
      <c r="AA514" s="24">
        <v>0</v>
      </c>
      <c r="AB514" s="24">
        <v>0</v>
      </c>
      <c r="AC514" s="24">
        <v>1</v>
      </c>
      <c r="AD514" s="24">
        <v>0</v>
      </c>
      <c r="AE514" s="24">
        <v>0</v>
      </c>
      <c r="AF514" s="24">
        <v>0</v>
      </c>
      <c r="AG514" s="10" t="s">
        <v>212</v>
      </c>
      <c r="AH514" s="10" t="s">
        <v>213</v>
      </c>
      <c r="AI514" s="10" t="s">
        <v>213</v>
      </c>
      <c r="AJ514" s="6" t="s">
        <v>127</v>
      </c>
      <c r="AK514" s="6" t="s">
        <v>127</v>
      </c>
      <c r="AL514" s="6" t="s">
        <v>127</v>
      </c>
      <c r="AM514" s="6" t="s">
        <v>127</v>
      </c>
      <c r="AN514" s="6" t="s">
        <v>127</v>
      </c>
      <c r="AO514" s="6" t="s">
        <v>127</v>
      </c>
      <c r="AP514" s="6" t="s">
        <v>127</v>
      </c>
      <c r="AQ514" s="6" t="s">
        <v>127</v>
      </c>
      <c r="AR514" s="6" t="s">
        <v>127</v>
      </c>
      <c r="AS514" s="6" t="s">
        <v>127</v>
      </c>
      <c r="AT514" s="6" t="s">
        <v>127</v>
      </c>
      <c r="AU514" s="6" t="s">
        <v>127</v>
      </c>
      <c r="AV514" s="6" t="s">
        <v>127</v>
      </c>
      <c r="AW514" s="6" t="s">
        <v>127</v>
      </c>
      <c r="AX514" s="6" t="s">
        <v>127</v>
      </c>
      <c r="AY514" s="99" t="s">
        <v>2660</v>
      </c>
      <c r="AZ514" s="6" t="s">
        <v>127</v>
      </c>
      <c r="BA514" s="6" t="s">
        <v>127</v>
      </c>
      <c r="BB514" s="6" t="s">
        <v>2661</v>
      </c>
      <c r="BC514" s="6" t="s">
        <v>2662</v>
      </c>
      <c r="BD514" s="6" t="s">
        <v>127</v>
      </c>
      <c r="BE514" s="6" t="s">
        <v>127</v>
      </c>
    </row>
    <row r="515" spans="1:57" ht="16" x14ac:dyDescent="0.4">
      <c r="A515" s="6" t="s">
        <v>2663</v>
      </c>
      <c r="B515" s="6" t="s">
        <v>2663</v>
      </c>
      <c r="C515" s="6" t="s">
        <v>127</v>
      </c>
      <c r="D515" s="6" t="s">
        <v>238</v>
      </c>
      <c r="E515" s="191">
        <v>45020</v>
      </c>
      <c r="F515" s="6">
        <f t="shared" si="93"/>
        <v>2023</v>
      </c>
      <c r="G515" s="4" t="s">
        <v>2254</v>
      </c>
      <c r="H515" s="22" t="str">
        <f>VLOOKUP($G515,'Item Classification'!B:C,2,0)</f>
        <v>Fighter jet maintenance contract</v>
      </c>
      <c r="I515" s="6" t="str">
        <f>VLOOKUP($G515,'Item Classification'!B:D,3,0)</f>
        <v>Maintenance</v>
      </c>
      <c r="J515" s="23">
        <f>VLOOKUP($G515,'Item Classification'!B:E,4,0)</f>
        <v>14</v>
      </c>
      <c r="K515" s="195" t="s">
        <v>130</v>
      </c>
      <c r="L515" s="195" t="s">
        <v>237</v>
      </c>
      <c r="M515" s="116" t="str">
        <f>VLOOKUP(L515,'NATO Classifications'!$D$6:$E$647,2,0)</f>
        <v>Aircraft, Fixed Wing</v>
      </c>
      <c r="N515" s="25">
        <v>4</v>
      </c>
      <c r="O515" s="81">
        <f>S515/N515</f>
        <v>40250000</v>
      </c>
      <c r="P515" s="81">
        <f t="shared" ref="P515" si="107">U515/N515</f>
        <v>46275537.773485556</v>
      </c>
      <c r="Q515" s="25">
        <v>2023</v>
      </c>
      <c r="R515" s="25">
        <v>2027</v>
      </c>
      <c r="S515" s="82">
        <v>161000000</v>
      </c>
      <c r="T515" s="115" t="s">
        <v>2145</v>
      </c>
      <c r="U515" s="104">
        <f>_xlfn.IFNA(S515/INDEX('Exchange Rates'!$C$7:$F$14,MATCH('MAIN DATA, Orders'!F515,'Exchange Rates'!$B$7:$B$14,0),MATCH('MAIN DATA, Orders'!T515,'Exchange Rates'!$C$6:$F$6,0)), "-")</f>
        <v>185102151.09394222</v>
      </c>
      <c r="V515" s="6" t="s">
        <v>127</v>
      </c>
      <c r="W515" s="6" t="s">
        <v>127</v>
      </c>
      <c r="X515" s="6" t="s">
        <v>238</v>
      </c>
      <c r="Y515" s="24">
        <f t="shared" si="95"/>
        <v>202304</v>
      </c>
      <c r="Z515" s="24">
        <v>0</v>
      </c>
      <c r="AA515" s="24">
        <v>1</v>
      </c>
      <c r="AB515" s="24">
        <v>0</v>
      </c>
      <c r="AC515" s="24">
        <v>1</v>
      </c>
      <c r="AD515" s="24">
        <v>0</v>
      </c>
      <c r="AE515" s="24">
        <v>1</v>
      </c>
      <c r="AF515" s="24">
        <v>1</v>
      </c>
      <c r="AG515" s="10" t="s">
        <v>795</v>
      </c>
      <c r="AH515" s="10" t="s">
        <v>196</v>
      </c>
      <c r="AI515" s="10" t="s">
        <v>127</v>
      </c>
      <c r="AJ515" s="6" t="s">
        <v>1480</v>
      </c>
      <c r="AK515" s="6" t="s">
        <v>127</v>
      </c>
      <c r="AL515" s="6" t="s">
        <v>127</v>
      </c>
      <c r="AM515" s="6" t="s">
        <v>127</v>
      </c>
      <c r="AN515" s="6" t="s">
        <v>238</v>
      </c>
      <c r="AO515" s="6" t="s">
        <v>127</v>
      </c>
      <c r="AP515" s="6" t="s">
        <v>127</v>
      </c>
      <c r="AQ515" s="6" t="s">
        <v>127</v>
      </c>
      <c r="AR515" s="6" t="s">
        <v>127</v>
      </c>
      <c r="AS515" s="6" t="s">
        <v>127</v>
      </c>
      <c r="AT515" s="6" t="s">
        <v>127</v>
      </c>
      <c r="AU515" s="6" t="s">
        <v>127</v>
      </c>
      <c r="AV515" s="6" t="s">
        <v>127</v>
      </c>
      <c r="AW515" s="6" t="s">
        <v>127</v>
      </c>
      <c r="AX515" s="6" t="s">
        <v>127</v>
      </c>
      <c r="AY515" s="99" t="s">
        <v>2664</v>
      </c>
      <c r="AZ515" s="6" t="s">
        <v>127</v>
      </c>
      <c r="BA515" s="6" t="s">
        <v>127</v>
      </c>
      <c r="BB515" s="6" t="s">
        <v>2665</v>
      </c>
      <c r="BC515" s="6" t="s">
        <v>2666</v>
      </c>
      <c r="BD515" s="6" t="s">
        <v>127</v>
      </c>
      <c r="BE515" s="6" t="s">
        <v>127</v>
      </c>
    </row>
    <row r="516" spans="1:57" ht="16" x14ac:dyDescent="0.4">
      <c r="A516" s="6" t="s">
        <v>2667</v>
      </c>
      <c r="B516" s="6" t="s">
        <v>2667</v>
      </c>
      <c r="C516" s="6" t="s">
        <v>2668</v>
      </c>
      <c r="D516" s="6" t="s">
        <v>238</v>
      </c>
      <c r="E516" s="191">
        <v>45030</v>
      </c>
      <c r="F516" s="6">
        <f t="shared" si="93"/>
        <v>2023</v>
      </c>
      <c r="G516" s="4" t="s">
        <v>2669</v>
      </c>
      <c r="H516" s="22" t="str">
        <f>VLOOKUP($G516,'Item Classification'!B:C,2,0)</f>
        <v>Fighter jet development</v>
      </c>
      <c r="I516" s="6" t="str">
        <f>VLOOKUP($G516,'Item Classification'!B:D,3,0)</f>
        <v>Development - Aircraft</v>
      </c>
      <c r="J516" s="23">
        <f>VLOOKUP($G516,'Item Classification'!B:E,4,0)</f>
        <v>15</v>
      </c>
      <c r="K516" s="195" t="s">
        <v>130</v>
      </c>
      <c r="L516" s="195" t="s">
        <v>237</v>
      </c>
      <c r="M516" s="116" t="str">
        <f>VLOOKUP(L516,'NATO Classifications'!$D$6:$E$647,2,0)</f>
        <v>Aircraft, Fixed Wing</v>
      </c>
      <c r="N516" s="25"/>
      <c r="O516" s="25"/>
      <c r="P516" s="25"/>
      <c r="Q516" s="25"/>
      <c r="R516" s="25">
        <v>2025</v>
      </c>
      <c r="S516" s="82">
        <v>656000000</v>
      </c>
      <c r="T516" s="115" t="s">
        <v>2145</v>
      </c>
      <c r="U516" s="104">
        <f>_xlfn.IFNA(S516/INDEX('Exchange Rates'!$C$7:$F$14,MATCH('MAIN DATA, Orders'!F516,'Exchange Rates'!$B$7:$B$14,0),MATCH('MAIN DATA, Orders'!T516,'Exchange Rates'!$C$6:$F$6,0)), "-")</f>
        <v>754205037.99767768</v>
      </c>
      <c r="V516" s="6" t="s">
        <v>127</v>
      </c>
      <c r="W516" s="6" t="s">
        <v>127</v>
      </c>
      <c r="X516" s="6" t="s">
        <v>238</v>
      </c>
      <c r="Y516" s="24">
        <f t="shared" si="95"/>
        <v>202304</v>
      </c>
      <c r="Z516" s="24">
        <v>0</v>
      </c>
      <c r="AA516" s="24">
        <v>1</v>
      </c>
      <c r="AB516" s="24">
        <v>0</v>
      </c>
      <c r="AC516" s="24">
        <v>1</v>
      </c>
      <c r="AD516" s="24">
        <v>1</v>
      </c>
      <c r="AE516" s="24">
        <v>0</v>
      </c>
      <c r="AF516" s="24">
        <v>1</v>
      </c>
      <c r="AG516" s="10" t="s">
        <v>1480</v>
      </c>
      <c r="AH516" s="10" t="s">
        <v>238</v>
      </c>
      <c r="AI516" s="10" t="s">
        <v>127</v>
      </c>
      <c r="AJ516" s="6" t="s">
        <v>2212</v>
      </c>
      <c r="AK516" s="6" t="s">
        <v>2248</v>
      </c>
      <c r="AL516" s="6" t="s">
        <v>2367</v>
      </c>
      <c r="AM516" s="6" t="s">
        <v>127</v>
      </c>
      <c r="AN516" s="6" t="s">
        <v>197</v>
      </c>
      <c r="AO516" s="6" t="s">
        <v>151</v>
      </c>
      <c r="AP516" s="6" t="s">
        <v>128</v>
      </c>
      <c r="AQ516" s="6" t="s">
        <v>162</v>
      </c>
      <c r="AR516" s="6" t="s">
        <v>127</v>
      </c>
      <c r="AS516" s="6" t="s">
        <v>127</v>
      </c>
      <c r="AT516" s="6" t="s">
        <v>127</v>
      </c>
      <c r="AU516" s="6" t="s">
        <v>127</v>
      </c>
      <c r="AV516" s="6" t="s">
        <v>127</v>
      </c>
      <c r="AW516" s="6" t="s">
        <v>127</v>
      </c>
      <c r="AX516" s="6" t="s">
        <v>127</v>
      </c>
      <c r="AY516" s="99" t="s">
        <v>2670</v>
      </c>
      <c r="AZ516" s="6" t="s">
        <v>127</v>
      </c>
      <c r="BA516" s="6" t="s">
        <v>127</v>
      </c>
      <c r="BB516" s="6" t="s">
        <v>2671</v>
      </c>
      <c r="BC516" s="6" t="s">
        <v>2672</v>
      </c>
      <c r="BD516" s="6" t="s">
        <v>2673</v>
      </c>
      <c r="BE516" s="6" t="s">
        <v>127</v>
      </c>
    </row>
    <row r="517" spans="1:57" ht="16" x14ac:dyDescent="0.4">
      <c r="A517" s="6" t="s">
        <v>2674</v>
      </c>
      <c r="B517" s="6" t="s">
        <v>2674</v>
      </c>
      <c r="C517" s="6" t="s">
        <v>127</v>
      </c>
      <c r="D517" s="6" t="s">
        <v>238</v>
      </c>
      <c r="E517" s="191">
        <v>45065</v>
      </c>
      <c r="F517" s="6">
        <f t="shared" si="93"/>
        <v>2023</v>
      </c>
      <c r="G517" s="4" t="s">
        <v>2675</v>
      </c>
      <c r="H517" s="22" t="str">
        <f>VLOOKUP($G517,'Item Classification'!B:C,2,0)</f>
        <v>Naval maintenance contract</v>
      </c>
      <c r="I517" s="6" t="str">
        <f>VLOOKUP($G517,'Item Classification'!B:D,3,0)</f>
        <v>Maintenance</v>
      </c>
      <c r="J517" s="23">
        <f>VLOOKUP($G517,'Item Classification'!B:E,4,0)</f>
        <v>14</v>
      </c>
      <c r="K517" s="195" t="s">
        <v>143</v>
      </c>
      <c r="L517" s="195" t="s">
        <v>681</v>
      </c>
      <c r="M517" s="116" t="str">
        <f>VLOOKUP(L517,'NATO Classifications'!$D$6:$E$647,2,0)</f>
        <v>Small Craft</v>
      </c>
      <c r="N517" s="25">
        <v>5</v>
      </c>
      <c r="O517" s="81">
        <f>S517/N517</f>
        <v>14000000</v>
      </c>
      <c r="P517" s="81">
        <f t="shared" ref="P517" si="108">U517/N517</f>
        <v>16095839.225560194</v>
      </c>
      <c r="Q517" s="25">
        <v>2023</v>
      </c>
      <c r="R517" s="25">
        <v>2028</v>
      </c>
      <c r="S517" s="82">
        <v>70000000</v>
      </c>
      <c r="T517" s="115" t="s">
        <v>2145</v>
      </c>
      <c r="U517" s="104">
        <f>_xlfn.IFNA(S517/INDEX('Exchange Rates'!$C$7:$F$14,MATCH('MAIN DATA, Orders'!F517,'Exchange Rates'!$B$7:$B$14,0),MATCH('MAIN DATA, Orders'!T517,'Exchange Rates'!$C$6:$F$6,0)), "-")</f>
        <v>80479196.127800971</v>
      </c>
      <c r="V517" s="6" t="s">
        <v>127</v>
      </c>
      <c r="W517" s="6" t="s">
        <v>127</v>
      </c>
      <c r="X517" s="6" t="s">
        <v>238</v>
      </c>
      <c r="Y517" s="24">
        <f t="shared" si="95"/>
        <v>202305</v>
      </c>
      <c r="Z517" s="24">
        <v>0</v>
      </c>
      <c r="AA517" s="24">
        <v>1</v>
      </c>
      <c r="AB517" s="24">
        <v>0</v>
      </c>
      <c r="AC517" s="24">
        <v>1</v>
      </c>
      <c r="AD517" s="24">
        <v>0</v>
      </c>
      <c r="AE517" s="24">
        <v>0</v>
      </c>
      <c r="AF517" s="24">
        <v>0</v>
      </c>
      <c r="AG517" s="10" t="s">
        <v>1480</v>
      </c>
      <c r="AH517" s="10" t="s">
        <v>238</v>
      </c>
      <c r="AI517" s="10" t="s">
        <v>127</v>
      </c>
      <c r="AJ517" s="6" t="s">
        <v>127</v>
      </c>
      <c r="AK517" s="6" t="s">
        <v>127</v>
      </c>
      <c r="AL517" s="6" t="s">
        <v>127</v>
      </c>
      <c r="AM517" s="6" t="s">
        <v>127</v>
      </c>
      <c r="AN517" s="6" t="s">
        <v>127</v>
      </c>
      <c r="AO517" s="6" t="s">
        <v>127</v>
      </c>
      <c r="AP517" s="6" t="s">
        <v>127</v>
      </c>
      <c r="AQ517" s="6" t="s">
        <v>127</v>
      </c>
      <c r="AR517" s="6" t="s">
        <v>127</v>
      </c>
      <c r="AS517" s="6" t="s">
        <v>127</v>
      </c>
      <c r="AT517" s="6" t="s">
        <v>127</v>
      </c>
      <c r="AU517" s="6" t="s">
        <v>127</v>
      </c>
      <c r="AV517" s="6" t="s">
        <v>127</v>
      </c>
      <c r="AW517" s="6" t="s">
        <v>127</v>
      </c>
      <c r="AX517" s="6" t="s">
        <v>127</v>
      </c>
      <c r="AY517" s="99" t="s">
        <v>2676</v>
      </c>
      <c r="AZ517" s="6" t="s">
        <v>127</v>
      </c>
      <c r="BA517" s="6" t="s">
        <v>127</v>
      </c>
      <c r="BB517" s="6" t="s">
        <v>2677</v>
      </c>
      <c r="BC517" s="6" t="s">
        <v>2678</v>
      </c>
      <c r="BD517" s="6" t="s">
        <v>127</v>
      </c>
      <c r="BE517" s="6" t="s">
        <v>127</v>
      </c>
    </row>
    <row r="518" spans="1:57" ht="16" x14ac:dyDescent="0.4">
      <c r="A518" s="6" t="s">
        <v>2679</v>
      </c>
      <c r="B518" s="6" t="s">
        <v>2679</v>
      </c>
      <c r="C518" s="6" t="s">
        <v>127</v>
      </c>
      <c r="D518" s="6" t="s">
        <v>238</v>
      </c>
      <c r="E518" s="191">
        <v>45065</v>
      </c>
      <c r="F518" s="6">
        <f t="shared" si="93"/>
        <v>2023</v>
      </c>
      <c r="G518" s="4" t="s">
        <v>2675</v>
      </c>
      <c r="H518" s="22" t="str">
        <f>VLOOKUP($G518,'Item Classification'!B:C,2,0)</f>
        <v>Naval maintenance contract</v>
      </c>
      <c r="I518" s="6" t="str">
        <f>VLOOKUP($G518,'Item Classification'!B:D,3,0)</f>
        <v>Maintenance</v>
      </c>
      <c r="J518" s="23">
        <f>VLOOKUP($G518,'Item Classification'!B:E,4,0)</f>
        <v>14</v>
      </c>
      <c r="K518" s="195" t="s">
        <v>143</v>
      </c>
      <c r="L518" s="195" t="s">
        <v>681</v>
      </c>
      <c r="M518" s="116" t="str">
        <f>VLOOKUP(L518,'NATO Classifications'!$D$6:$E$647,2,0)</f>
        <v>Small Craft</v>
      </c>
      <c r="N518" s="25">
        <v>8</v>
      </c>
      <c r="O518" s="81">
        <f>S518/N518</f>
        <v>31250000</v>
      </c>
      <c r="P518" s="81">
        <f t="shared" ref="P518" si="109">U518/N518</f>
        <v>35928212.557054006</v>
      </c>
      <c r="Q518" s="25">
        <v>2023</v>
      </c>
      <c r="R518" s="25">
        <v>2031</v>
      </c>
      <c r="S518" s="82">
        <v>250000000</v>
      </c>
      <c r="T518" s="115" t="s">
        <v>2145</v>
      </c>
      <c r="U518" s="104">
        <f>_xlfn.IFNA(S518/INDEX('Exchange Rates'!$C$7:$F$14,MATCH('MAIN DATA, Orders'!F518,'Exchange Rates'!$B$7:$B$14,0),MATCH('MAIN DATA, Orders'!T518,'Exchange Rates'!$C$6:$F$6,0)), "-")</f>
        <v>287425700.45643204</v>
      </c>
      <c r="V518" s="6" t="s">
        <v>127</v>
      </c>
      <c r="W518" s="6" t="s">
        <v>127</v>
      </c>
      <c r="X518" s="6" t="s">
        <v>238</v>
      </c>
      <c r="Y518" s="24">
        <f t="shared" si="95"/>
        <v>202305</v>
      </c>
      <c r="Z518" s="24">
        <v>0</v>
      </c>
      <c r="AA518" s="24">
        <v>1</v>
      </c>
      <c r="AB518" s="24">
        <v>0</v>
      </c>
      <c r="AC518" s="24">
        <v>1</v>
      </c>
      <c r="AD518" s="24">
        <v>0</v>
      </c>
      <c r="AE518" s="24">
        <v>0</v>
      </c>
      <c r="AF518" s="24">
        <v>0</v>
      </c>
      <c r="AG518" s="10" t="s">
        <v>2680</v>
      </c>
      <c r="AH518" s="10" t="s">
        <v>238</v>
      </c>
      <c r="AI518" s="10" t="s">
        <v>127</v>
      </c>
      <c r="AJ518" s="6" t="s">
        <v>127</v>
      </c>
      <c r="AK518" s="6" t="s">
        <v>127</v>
      </c>
      <c r="AL518" s="6" t="s">
        <v>127</v>
      </c>
      <c r="AM518" s="6" t="s">
        <v>127</v>
      </c>
      <c r="AN518" s="6" t="s">
        <v>127</v>
      </c>
      <c r="AO518" s="6" t="s">
        <v>127</v>
      </c>
      <c r="AP518" s="6" t="s">
        <v>127</v>
      </c>
      <c r="AQ518" s="6" t="s">
        <v>127</v>
      </c>
      <c r="AR518" s="6" t="s">
        <v>127</v>
      </c>
      <c r="AS518" s="6" t="s">
        <v>127</v>
      </c>
      <c r="AT518" s="6" t="s">
        <v>127</v>
      </c>
      <c r="AU518" s="6" t="s">
        <v>127</v>
      </c>
      <c r="AV518" s="6" t="s">
        <v>127</v>
      </c>
      <c r="AW518" s="6" t="s">
        <v>127</v>
      </c>
      <c r="AX518" s="6" t="s">
        <v>127</v>
      </c>
      <c r="AY518" s="99" t="s">
        <v>2676</v>
      </c>
      <c r="AZ518" s="6" t="s">
        <v>127</v>
      </c>
      <c r="BA518" s="6" t="s">
        <v>127</v>
      </c>
      <c r="BB518" s="6" t="s">
        <v>2677</v>
      </c>
      <c r="BC518" s="6" t="s">
        <v>2681</v>
      </c>
      <c r="BD518" s="6" t="s">
        <v>127</v>
      </c>
      <c r="BE518" s="6" t="s">
        <v>127</v>
      </c>
    </row>
    <row r="519" spans="1:57" ht="16" x14ac:dyDescent="0.4">
      <c r="A519" s="6" t="s">
        <v>2682</v>
      </c>
      <c r="B519" s="6" t="s">
        <v>2682</v>
      </c>
      <c r="C519" s="6" t="s">
        <v>127</v>
      </c>
      <c r="D519" s="6" t="s">
        <v>238</v>
      </c>
      <c r="E519" s="191">
        <v>45082</v>
      </c>
      <c r="F519" s="6">
        <f t="shared" si="93"/>
        <v>2023</v>
      </c>
      <c r="G519" s="4" t="s">
        <v>2683</v>
      </c>
      <c r="H519" s="22" t="str">
        <f>VLOOKUP($G519,'Item Classification'!B:C,2,0)</f>
        <v>Training contract</v>
      </c>
      <c r="I519" s="6" t="str">
        <f>VLOOKUP($G519,'Item Classification'!B:D,3,0)</f>
        <v>Other</v>
      </c>
      <c r="J519" s="23">
        <f>VLOOKUP($G519,'Item Classification'!B:E,4,0)</f>
        <v>16</v>
      </c>
      <c r="K519" s="195" t="s">
        <v>941</v>
      </c>
      <c r="L519" s="195" t="s">
        <v>942</v>
      </c>
      <c r="M519" s="116" t="str">
        <f>VLOOKUP(L519,'NATO Classifications'!$D$6:$E$647,2,0)</f>
        <v>Training Aids</v>
      </c>
      <c r="N519" s="25">
        <v>3</v>
      </c>
      <c r="O519" s="81">
        <f>S519/N519</f>
        <v>41666666.666666664</v>
      </c>
      <c r="P519" s="81">
        <f t="shared" ref="P519" si="110">U519/N519</f>
        <v>47904283.409405343</v>
      </c>
      <c r="Q519" s="25">
        <v>2023</v>
      </c>
      <c r="R519" s="25">
        <v>2026</v>
      </c>
      <c r="S519" s="82">
        <v>125000000</v>
      </c>
      <c r="T519" s="115" t="s">
        <v>2145</v>
      </c>
      <c r="U519" s="104">
        <f>_xlfn.IFNA(S519/INDEX('Exchange Rates'!$C$7:$F$14,MATCH('MAIN DATA, Orders'!F519,'Exchange Rates'!$B$7:$B$14,0),MATCH('MAIN DATA, Orders'!T519,'Exchange Rates'!$C$6:$F$6,0)), "-")</f>
        <v>143712850.22821602</v>
      </c>
      <c r="V519" s="6" t="s">
        <v>127</v>
      </c>
      <c r="W519" s="6" t="s">
        <v>127</v>
      </c>
      <c r="X519" s="6" t="s">
        <v>238</v>
      </c>
      <c r="Y519" s="24">
        <f t="shared" si="95"/>
        <v>202306</v>
      </c>
      <c r="Z519" s="24">
        <v>0</v>
      </c>
      <c r="AA519" s="24">
        <v>1</v>
      </c>
      <c r="AB519" s="24">
        <v>0</v>
      </c>
      <c r="AC519" s="24">
        <v>1</v>
      </c>
      <c r="AD519" s="24">
        <v>0</v>
      </c>
      <c r="AE519" s="24">
        <v>1</v>
      </c>
      <c r="AF519" s="24">
        <v>1</v>
      </c>
      <c r="AG519" s="10" t="s">
        <v>2146</v>
      </c>
      <c r="AH519" s="10" t="s">
        <v>238</v>
      </c>
      <c r="AI519" s="10" t="s">
        <v>127</v>
      </c>
      <c r="AJ519" s="6" t="s">
        <v>795</v>
      </c>
      <c r="AK519" s="6" t="s">
        <v>2393</v>
      </c>
      <c r="AL519" s="6" t="s">
        <v>127</v>
      </c>
      <c r="AM519" s="6" t="s">
        <v>127</v>
      </c>
      <c r="AN519" s="6" t="s">
        <v>196</v>
      </c>
      <c r="AO519" s="6" t="s">
        <v>127</v>
      </c>
      <c r="AP519" s="6" t="s">
        <v>127</v>
      </c>
      <c r="AQ519" s="6" t="s">
        <v>127</v>
      </c>
      <c r="AR519" s="6" t="s">
        <v>127</v>
      </c>
      <c r="AS519" s="6" t="s">
        <v>127</v>
      </c>
      <c r="AT519" s="6" t="s">
        <v>127</v>
      </c>
      <c r="AU519" s="6" t="s">
        <v>127</v>
      </c>
      <c r="AV519" s="6" t="s">
        <v>127</v>
      </c>
      <c r="AW519" s="6" t="s">
        <v>127</v>
      </c>
      <c r="AX519" s="6" t="s">
        <v>127</v>
      </c>
      <c r="AY519" s="99" t="s">
        <v>2684</v>
      </c>
      <c r="AZ519" s="6" t="s">
        <v>127</v>
      </c>
      <c r="BA519" s="6" t="s">
        <v>127</v>
      </c>
      <c r="BB519" s="6" t="s">
        <v>2685</v>
      </c>
      <c r="BC519" s="6" t="s">
        <v>2686</v>
      </c>
      <c r="BD519" s="6" t="s">
        <v>2687</v>
      </c>
      <c r="BE519" s="6" t="s">
        <v>127</v>
      </c>
    </row>
    <row r="520" spans="1:57" ht="16" x14ac:dyDescent="0.4">
      <c r="A520" s="6" t="s">
        <v>2688</v>
      </c>
      <c r="B520" s="6" t="s">
        <v>2688</v>
      </c>
      <c r="C520" s="6" t="s">
        <v>127</v>
      </c>
      <c r="D520" s="6" t="s">
        <v>238</v>
      </c>
      <c r="E520" s="191">
        <v>45086</v>
      </c>
      <c r="F520" s="6">
        <f t="shared" si="93"/>
        <v>2023</v>
      </c>
      <c r="G520" s="4" t="s">
        <v>2689</v>
      </c>
      <c r="H520" s="22" t="str">
        <f>VLOOKUP($G520,'Item Classification'!B:C,2,0)</f>
        <v>Naval radar</v>
      </c>
      <c r="I520" s="6" t="str">
        <f>VLOOKUP($G520,'Item Classification'!B:D,3,0)</f>
        <v>Naval</v>
      </c>
      <c r="J520" s="23">
        <f>VLOOKUP($G520,'Item Classification'!B:E,4,0)</f>
        <v>12</v>
      </c>
      <c r="K520" s="195" t="s">
        <v>158</v>
      </c>
      <c r="L520" s="195" t="s">
        <v>399</v>
      </c>
      <c r="M520" s="116" t="str">
        <f>VLOOKUP(L520,'NATO Classifications'!$D$6:$E$647,2,0)</f>
        <v>Radar and Sensor</v>
      </c>
      <c r="N520" s="25">
        <v>10</v>
      </c>
      <c r="O520" s="81">
        <f>S520/N520</f>
        <v>27000000</v>
      </c>
      <c r="P520" s="81">
        <f t="shared" ref="P520" si="111">U520/N520</f>
        <v>31041975.649294656</v>
      </c>
      <c r="Q520" s="25">
        <v>2023</v>
      </c>
      <c r="R520" s="25">
        <v>2032</v>
      </c>
      <c r="S520" s="82">
        <v>270000000</v>
      </c>
      <c r="T520" s="115" t="s">
        <v>2145</v>
      </c>
      <c r="U520" s="104">
        <f>_xlfn.IFNA(S520/INDEX('Exchange Rates'!$C$7:$F$14,MATCH('MAIN DATA, Orders'!F520,'Exchange Rates'!$B$7:$B$14,0),MATCH('MAIN DATA, Orders'!T520,'Exchange Rates'!$C$6:$F$6,0)), "-")</f>
        <v>310419756.49294657</v>
      </c>
      <c r="V520" s="6" t="s">
        <v>127</v>
      </c>
      <c r="W520" s="6" t="s">
        <v>127</v>
      </c>
      <c r="X520" s="6" t="s">
        <v>238</v>
      </c>
      <c r="Y520" s="24">
        <f t="shared" si="95"/>
        <v>202306</v>
      </c>
      <c r="Z520" s="24">
        <v>0</v>
      </c>
      <c r="AA520" s="24">
        <v>1</v>
      </c>
      <c r="AB520" s="24">
        <v>0</v>
      </c>
      <c r="AC520" s="24">
        <v>1</v>
      </c>
      <c r="AD520" s="24">
        <v>0</v>
      </c>
      <c r="AE520" s="24">
        <v>0</v>
      </c>
      <c r="AF520" s="24">
        <v>0</v>
      </c>
      <c r="AG520" s="10" t="s">
        <v>1480</v>
      </c>
      <c r="AH520" s="10" t="s">
        <v>238</v>
      </c>
      <c r="AI520" s="10" t="s">
        <v>238</v>
      </c>
      <c r="AJ520" s="6" t="s">
        <v>127</v>
      </c>
      <c r="AK520" s="6" t="s">
        <v>127</v>
      </c>
      <c r="AL520" s="6" t="s">
        <v>127</v>
      </c>
      <c r="AM520" s="6" t="s">
        <v>127</v>
      </c>
      <c r="AN520" s="6" t="s">
        <v>127</v>
      </c>
      <c r="AO520" s="6" t="s">
        <v>127</v>
      </c>
      <c r="AP520" s="6" t="s">
        <v>127</v>
      </c>
      <c r="AQ520" s="6" t="s">
        <v>127</v>
      </c>
      <c r="AR520" s="6" t="s">
        <v>127</v>
      </c>
      <c r="AS520" s="6" t="s">
        <v>127</v>
      </c>
      <c r="AT520" s="6" t="s">
        <v>127</v>
      </c>
      <c r="AU520" s="6" t="s">
        <v>127</v>
      </c>
      <c r="AV520" s="6" t="s">
        <v>127</v>
      </c>
      <c r="AW520" s="6" t="s">
        <v>127</v>
      </c>
      <c r="AX520" s="6" t="s">
        <v>127</v>
      </c>
      <c r="AY520" s="99" t="s">
        <v>2690</v>
      </c>
      <c r="AZ520" s="6" t="s">
        <v>127</v>
      </c>
      <c r="BA520" s="6" t="s">
        <v>127</v>
      </c>
      <c r="BB520" s="6" t="s">
        <v>2691</v>
      </c>
      <c r="BC520" s="6" t="s">
        <v>2692</v>
      </c>
      <c r="BD520" s="6" t="s">
        <v>127</v>
      </c>
      <c r="BE520" s="6" t="s">
        <v>127</v>
      </c>
    </row>
    <row r="521" spans="1:57" ht="16" x14ac:dyDescent="0.4">
      <c r="A521" s="6" t="s">
        <v>2693</v>
      </c>
      <c r="B521" s="6" t="s">
        <v>2693</v>
      </c>
      <c r="C521" s="6" t="s">
        <v>2624</v>
      </c>
      <c r="D521" s="6" t="s">
        <v>2624</v>
      </c>
      <c r="E521" s="191">
        <v>45090</v>
      </c>
      <c r="F521" s="6">
        <f t="shared" si="93"/>
        <v>2023</v>
      </c>
      <c r="G521" s="6" t="s">
        <v>127</v>
      </c>
      <c r="H521" s="22" t="s">
        <v>1487</v>
      </c>
      <c r="I521" s="6" t="s">
        <v>287</v>
      </c>
      <c r="J521" s="23">
        <v>16</v>
      </c>
      <c r="K521" s="195" t="s">
        <v>229</v>
      </c>
      <c r="L521" s="195" t="s">
        <v>230</v>
      </c>
      <c r="M521" s="116" t="str">
        <f>VLOOKUP(L521,'NATO Classifications'!$D$6:$E$647,2,0)</f>
        <v>Miscellaneous Items</v>
      </c>
      <c r="N521" s="25"/>
      <c r="O521" s="25"/>
      <c r="P521" s="25"/>
      <c r="Q521" s="25"/>
      <c r="R521" s="25"/>
      <c r="S521" s="82">
        <v>92000000</v>
      </c>
      <c r="T521" s="115" t="s">
        <v>2145</v>
      </c>
      <c r="U521" s="104">
        <f>_xlfn.IFNA(S521/INDEX('Exchange Rates'!$C$7:$F$14,MATCH('MAIN DATA, Orders'!F521,'Exchange Rates'!$B$7:$B$14,0),MATCH('MAIN DATA, Orders'!T521,'Exchange Rates'!$C$6:$F$6,0)), "-")</f>
        <v>105772657.76796699</v>
      </c>
      <c r="V521" s="6" t="s">
        <v>127</v>
      </c>
      <c r="W521" s="6" t="s">
        <v>127</v>
      </c>
      <c r="X521" s="6" t="s">
        <v>809</v>
      </c>
      <c r="Y521" s="24">
        <f t="shared" si="95"/>
        <v>202306</v>
      </c>
      <c r="Z521" s="24">
        <v>0</v>
      </c>
      <c r="AA521" s="24">
        <v>0</v>
      </c>
      <c r="AB521" s="24">
        <v>0</v>
      </c>
      <c r="AC521" s="24" t="s">
        <v>127</v>
      </c>
      <c r="AD521" s="24" t="s">
        <v>127</v>
      </c>
      <c r="AE521" s="24" t="s">
        <v>127</v>
      </c>
      <c r="AF521" s="24" t="s">
        <v>127</v>
      </c>
      <c r="AG521" s="10" t="s">
        <v>127</v>
      </c>
      <c r="AH521" s="10" t="s">
        <v>127</v>
      </c>
      <c r="AI521" s="10" t="s">
        <v>127</v>
      </c>
      <c r="AJ521" s="6" t="s">
        <v>127</v>
      </c>
      <c r="AK521" s="6" t="s">
        <v>127</v>
      </c>
      <c r="AL521" s="6" t="s">
        <v>127</v>
      </c>
      <c r="AM521" s="6" t="s">
        <v>127</v>
      </c>
      <c r="AN521" s="6" t="s">
        <v>127</v>
      </c>
      <c r="AO521" s="6" t="s">
        <v>127</v>
      </c>
      <c r="AP521" s="6" t="s">
        <v>127</v>
      </c>
      <c r="AQ521" s="6" t="s">
        <v>127</v>
      </c>
      <c r="AR521" s="6" t="s">
        <v>127</v>
      </c>
      <c r="AS521" s="6" t="s">
        <v>127</v>
      </c>
      <c r="AT521" s="6" t="s">
        <v>127</v>
      </c>
      <c r="AU521" s="6" t="s">
        <v>127</v>
      </c>
      <c r="AV521" s="6" t="s">
        <v>127</v>
      </c>
      <c r="AW521" s="6" t="s">
        <v>127</v>
      </c>
      <c r="AX521" s="6" t="s">
        <v>127</v>
      </c>
      <c r="AY521" s="99" t="s">
        <v>2694</v>
      </c>
      <c r="AZ521" s="6" t="s">
        <v>127</v>
      </c>
      <c r="BA521" s="6" t="s">
        <v>127</v>
      </c>
      <c r="BB521" s="6" t="s">
        <v>2695</v>
      </c>
      <c r="BC521" s="6" t="s">
        <v>2696</v>
      </c>
      <c r="BD521" s="6" t="s">
        <v>127</v>
      </c>
      <c r="BE521" s="6" t="s">
        <v>127</v>
      </c>
    </row>
    <row r="522" spans="1:57" ht="16" x14ac:dyDescent="0.4">
      <c r="A522" s="6" t="s">
        <v>2693</v>
      </c>
      <c r="B522" s="6" t="s">
        <v>2697</v>
      </c>
      <c r="C522" s="6" t="s">
        <v>2624</v>
      </c>
      <c r="D522" s="6" t="s">
        <v>2624</v>
      </c>
      <c r="E522" s="191">
        <v>45090</v>
      </c>
      <c r="F522" s="6">
        <f t="shared" si="93"/>
        <v>2023</v>
      </c>
      <c r="G522" s="4" t="s">
        <v>2630</v>
      </c>
      <c r="H522" s="22" t="str">
        <f>VLOOKUP($G522,'Item Classification'!B:C,2,0)</f>
        <v>Ammunition (unspecified)</v>
      </c>
      <c r="I522" s="6" t="str">
        <f>VLOOKUP($G522,'Item Classification'!B:D,3,0)</f>
        <v>Ammunition</v>
      </c>
      <c r="J522" s="23">
        <f>VLOOKUP($G522,'Item Classification'!B:E,4,0)</f>
        <v>4</v>
      </c>
      <c r="K522" s="195" t="s">
        <v>189</v>
      </c>
      <c r="L522" s="195" t="s">
        <v>2240</v>
      </c>
      <c r="M522" s="116" t="str">
        <f>VLOOKUP(L522,'NATO Classifications'!$D$6:$E$647,2,0)</f>
        <v>Ammunition and Explosives (other)</v>
      </c>
      <c r="N522" s="25"/>
      <c r="O522" s="25"/>
      <c r="P522" s="25"/>
      <c r="Q522" s="25"/>
      <c r="R522" s="25"/>
      <c r="S522" s="25"/>
      <c r="T522" s="115" t="s">
        <v>2145</v>
      </c>
      <c r="U522" s="104">
        <f>_xlfn.IFNA(S522/INDEX('Exchange Rates'!$C$7:$F$14,MATCH('MAIN DATA, Orders'!F522,'Exchange Rates'!$B$7:$B$14,0),MATCH('MAIN DATA, Orders'!T522,'Exchange Rates'!$C$6:$F$6,0)), "-")</f>
        <v>0</v>
      </c>
      <c r="V522" s="6" t="s">
        <v>127</v>
      </c>
      <c r="W522" s="6" t="s">
        <v>127</v>
      </c>
      <c r="X522" s="6" t="s">
        <v>809</v>
      </c>
      <c r="Y522" s="24">
        <f t="shared" si="95"/>
        <v>202306</v>
      </c>
      <c r="Z522" s="24">
        <v>0</v>
      </c>
      <c r="AA522" s="24">
        <v>0</v>
      </c>
      <c r="AB522" s="24">
        <v>0</v>
      </c>
      <c r="AC522" s="24" t="s">
        <v>127</v>
      </c>
      <c r="AD522" s="24" t="s">
        <v>127</v>
      </c>
      <c r="AE522" s="24" t="s">
        <v>127</v>
      </c>
      <c r="AF522" s="24" t="s">
        <v>127</v>
      </c>
      <c r="AG522" s="10" t="s">
        <v>127</v>
      </c>
      <c r="AH522" s="10" t="s">
        <v>127</v>
      </c>
      <c r="AI522" s="10" t="s">
        <v>127</v>
      </c>
      <c r="AJ522" s="6" t="s">
        <v>127</v>
      </c>
      <c r="AK522" s="6" t="s">
        <v>127</v>
      </c>
      <c r="AL522" s="6" t="s">
        <v>127</v>
      </c>
      <c r="AM522" s="6" t="s">
        <v>127</v>
      </c>
      <c r="AN522" s="6" t="s">
        <v>127</v>
      </c>
      <c r="AO522" s="6" t="s">
        <v>127</v>
      </c>
      <c r="AP522" s="6" t="s">
        <v>127</v>
      </c>
      <c r="AQ522" s="6" t="s">
        <v>127</v>
      </c>
      <c r="AR522" s="6" t="s">
        <v>127</v>
      </c>
      <c r="AS522" s="6" t="s">
        <v>127</v>
      </c>
      <c r="AT522" s="6" t="s">
        <v>127</v>
      </c>
      <c r="AU522" s="6" t="s">
        <v>127</v>
      </c>
      <c r="AV522" s="6" t="s">
        <v>127</v>
      </c>
      <c r="AW522" s="6" t="s">
        <v>127</v>
      </c>
      <c r="AX522" s="6" t="s">
        <v>127</v>
      </c>
      <c r="AY522" s="99" t="s">
        <v>2694</v>
      </c>
      <c r="AZ522" s="6" t="s">
        <v>127</v>
      </c>
      <c r="BA522" s="6" t="s">
        <v>127</v>
      </c>
      <c r="BB522" s="6" t="s">
        <v>2695</v>
      </c>
      <c r="BC522" s="6" t="s">
        <v>2696</v>
      </c>
      <c r="BD522" s="6" t="s">
        <v>127</v>
      </c>
      <c r="BE522" s="6" t="s">
        <v>127</v>
      </c>
    </row>
    <row r="523" spans="1:57" ht="16" x14ac:dyDescent="0.4">
      <c r="A523" s="6" t="s">
        <v>2693</v>
      </c>
      <c r="B523" s="6" t="s">
        <v>2698</v>
      </c>
      <c r="C523" s="6" t="s">
        <v>2624</v>
      </c>
      <c r="D523" s="6" t="s">
        <v>2624</v>
      </c>
      <c r="E523" s="191">
        <v>45090</v>
      </c>
      <c r="F523" s="6">
        <f t="shared" si="93"/>
        <v>2023</v>
      </c>
      <c r="G523" s="4" t="s">
        <v>2699</v>
      </c>
      <c r="H523" s="22" t="str">
        <f>VLOOKUP($G523,'Item Classification'!B:C,2,0)</f>
        <v>Radar</v>
      </c>
      <c r="I523" s="6" t="str">
        <f>VLOOKUP($G523,'Item Classification'!B:D,3,0)</f>
        <v>Air defence system</v>
      </c>
      <c r="J523" s="23">
        <f>VLOOKUP($G523,'Item Classification'!B:E,4,0)</f>
        <v>5</v>
      </c>
      <c r="K523" s="195" t="s">
        <v>158</v>
      </c>
      <c r="L523" s="195" t="s">
        <v>399</v>
      </c>
      <c r="M523" s="116" t="str">
        <f>VLOOKUP(L523,'NATO Classifications'!$D$6:$E$647,2,0)</f>
        <v>Radar and Sensor</v>
      </c>
      <c r="N523" s="25"/>
      <c r="O523" s="25"/>
      <c r="P523" s="25"/>
      <c r="Q523" s="25"/>
      <c r="R523" s="25"/>
      <c r="S523" s="25"/>
      <c r="T523" s="115" t="s">
        <v>2145</v>
      </c>
      <c r="U523" s="104">
        <f>_xlfn.IFNA(S523/INDEX('Exchange Rates'!$C$7:$F$14,MATCH('MAIN DATA, Orders'!F523,'Exchange Rates'!$B$7:$B$14,0),MATCH('MAIN DATA, Orders'!T523,'Exchange Rates'!$C$6:$F$6,0)), "-")</f>
        <v>0</v>
      </c>
      <c r="V523" s="6" t="s">
        <v>127</v>
      </c>
      <c r="W523" s="6" t="s">
        <v>127</v>
      </c>
      <c r="X523" s="6" t="s">
        <v>809</v>
      </c>
      <c r="Y523" s="24">
        <f t="shared" si="95"/>
        <v>202306</v>
      </c>
      <c r="Z523" s="24">
        <v>0</v>
      </c>
      <c r="AA523" s="24">
        <v>0</v>
      </c>
      <c r="AB523" s="24">
        <v>0</v>
      </c>
      <c r="AC523" s="24" t="s">
        <v>127</v>
      </c>
      <c r="AD523" s="24" t="s">
        <v>127</v>
      </c>
      <c r="AE523" s="24" t="s">
        <v>127</v>
      </c>
      <c r="AF523" s="24" t="s">
        <v>127</v>
      </c>
      <c r="AG523" s="10" t="s">
        <v>127</v>
      </c>
      <c r="AH523" s="10" t="s">
        <v>127</v>
      </c>
      <c r="AI523" s="10" t="s">
        <v>127</v>
      </c>
      <c r="AJ523" s="6" t="s">
        <v>127</v>
      </c>
      <c r="AK523" s="6" t="s">
        <v>127</v>
      </c>
      <c r="AL523" s="6" t="s">
        <v>127</v>
      </c>
      <c r="AM523" s="6" t="s">
        <v>127</v>
      </c>
      <c r="AN523" s="6" t="s">
        <v>127</v>
      </c>
      <c r="AO523" s="6" t="s">
        <v>127</v>
      </c>
      <c r="AP523" s="6" t="s">
        <v>127</v>
      </c>
      <c r="AQ523" s="6" t="s">
        <v>127</v>
      </c>
      <c r="AR523" s="6" t="s">
        <v>127</v>
      </c>
      <c r="AS523" s="6" t="s">
        <v>127</v>
      </c>
      <c r="AT523" s="6" t="s">
        <v>127</v>
      </c>
      <c r="AU523" s="6" t="s">
        <v>127</v>
      </c>
      <c r="AV523" s="6" t="s">
        <v>127</v>
      </c>
      <c r="AW523" s="6" t="s">
        <v>127</v>
      </c>
      <c r="AX523" s="6" t="s">
        <v>127</v>
      </c>
      <c r="AY523" s="99" t="s">
        <v>2694</v>
      </c>
      <c r="AZ523" s="6" t="s">
        <v>127</v>
      </c>
      <c r="BA523" s="6" t="s">
        <v>127</v>
      </c>
      <c r="BB523" s="6" t="s">
        <v>2695</v>
      </c>
      <c r="BC523" s="6" t="s">
        <v>2696</v>
      </c>
      <c r="BD523" s="6" t="s">
        <v>127</v>
      </c>
      <c r="BE523" s="6" t="s">
        <v>127</v>
      </c>
    </row>
    <row r="524" spans="1:57" ht="16" x14ac:dyDescent="0.4">
      <c r="A524" s="6" t="s">
        <v>2693</v>
      </c>
      <c r="B524" s="6" t="s">
        <v>2700</v>
      </c>
      <c r="C524" s="6" t="s">
        <v>2624</v>
      </c>
      <c r="D524" s="6" t="s">
        <v>2624</v>
      </c>
      <c r="E524" s="191">
        <v>45090</v>
      </c>
      <c r="F524" s="6">
        <f t="shared" si="93"/>
        <v>2023</v>
      </c>
      <c r="G524" s="4" t="s">
        <v>2701</v>
      </c>
      <c r="H524" s="22" t="str">
        <f>VLOOKUP($G524,'Item Classification'!B:C,2,0)</f>
        <v>Small Arms and Light Weapons (SALW)</v>
      </c>
      <c r="I524" s="6" t="str">
        <f>VLOOKUP($G524,'Item Classification'!B:D,3,0)</f>
        <v>Infantry</v>
      </c>
      <c r="J524" s="23">
        <f>VLOOKUP($G524,'Item Classification'!B:E,4,0)</f>
        <v>8</v>
      </c>
      <c r="K524" s="195" t="s">
        <v>763</v>
      </c>
      <c r="L524" s="195" t="s">
        <v>764</v>
      </c>
      <c r="M524" s="116" t="str">
        <f>VLOOKUP(L524,'NATO Classifications'!$D$6:$E$647,2,0)</f>
        <v>Guns below 75mm</v>
      </c>
      <c r="N524" s="25"/>
      <c r="O524" s="25"/>
      <c r="P524" s="25"/>
      <c r="Q524" s="25"/>
      <c r="R524" s="25"/>
      <c r="S524" s="25"/>
      <c r="T524" s="115" t="s">
        <v>2145</v>
      </c>
      <c r="U524" s="104">
        <f>_xlfn.IFNA(S524/INDEX('Exchange Rates'!$C$7:$F$14,MATCH('MAIN DATA, Orders'!F524,'Exchange Rates'!$B$7:$B$14,0),MATCH('MAIN DATA, Orders'!T524,'Exchange Rates'!$C$6:$F$6,0)), "-")</f>
        <v>0</v>
      </c>
      <c r="V524" s="6" t="s">
        <v>127</v>
      </c>
      <c r="W524" s="6" t="s">
        <v>127</v>
      </c>
      <c r="X524" s="6" t="s">
        <v>809</v>
      </c>
      <c r="Y524" s="24">
        <f t="shared" si="95"/>
        <v>202306</v>
      </c>
      <c r="Z524" s="24">
        <v>0</v>
      </c>
      <c r="AA524" s="24">
        <v>0</v>
      </c>
      <c r="AB524" s="24">
        <v>0</v>
      </c>
      <c r="AC524" s="24" t="s">
        <v>127</v>
      </c>
      <c r="AD524" s="24" t="s">
        <v>127</v>
      </c>
      <c r="AE524" s="24" t="s">
        <v>127</v>
      </c>
      <c r="AF524" s="24" t="s">
        <v>127</v>
      </c>
      <c r="AG524" s="10" t="s">
        <v>127</v>
      </c>
      <c r="AH524" s="10" t="s">
        <v>127</v>
      </c>
      <c r="AI524" s="10" t="s">
        <v>127</v>
      </c>
      <c r="AJ524" s="6" t="s">
        <v>127</v>
      </c>
      <c r="AK524" s="6" t="s">
        <v>127</v>
      </c>
      <c r="AL524" s="6" t="s">
        <v>127</v>
      </c>
      <c r="AM524" s="6" t="s">
        <v>127</v>
      </c>
      <c r="AN524" s="6" t="s">
        <v>127</v>
      </c>
      <c r="AO524" s="6" t="s">
        <v>127</v>
      </c>
      <c r="AP524" s="6" t="s">
        <v>127</v>
      </c>
      <c r="AQ524" s="6" t="s">
        <v>127</v>
      </c>
      <c r="AR524" s="6" t="s">
        <v>127</v>
      </c>
      <c r="AS524" s="6" t="s">
        <v>127</v>
      </c>
      <c r="AT524" s="6" t="s">
        <v>127</v>
      </c>
      <c r="AU524" s="6" t="s">
        <v>127</v>
      </c>
      <c r="AV524" s="6" t="s">
        <v>127</v>
      </c>
      <c r="AW524" s="6" t="s">
        <v>127</v>
      </c>
      <c r="AX524" s="6" t="s">
        <v>127</v>
      </c>
      <c r="AY524" s="99" t="s">
        <v>2694</v>
      </c>
      <c r="AZ524" s="6" t="s">
        <v>127</v>
      </c>
      <c r="BA524" s="6" t="s">
        <v>127</v>
      </c>
      <c r="BB524" s="6" t="s">
        <v>2695</v>
      </c>
      <c r="BC524" s="6" t="s">
        <v>2696</v>
      </c>
      <c r="BD524" s="6" t="s">
        <v>127</v>
      </c>
      <c r="BE524" s="6" t="s">
        <v>127</v>
      </c>
    </row>
    <row r="525" spans="1:57" ht="16" x14ac:dyDescent="0.4">
      <c r="A525" s="6" t="s">
        <v>2702</v>
      </c>
      <c r="B525" s="6" t="s">
        <v>2702</v>
      </c>
      <c r="C525" s="6" t="s">
        <v>127</v>
      </c>
      <c r="D525" s="6" t="s">
        <v>238</v>
      </c>
      <c r="E525" s="191">
        <v>45092</v>
      </c>
      <c r="F525" s="6">
        <f t="shared" si="93"/>
        <v>2023</v>
      </c>
      <c r="G525" s="4" t="s">
        <v>2703</v>
      </c>
      <c r="H525" s="22" t="str">
        <f>VLOOKUP($G525,'Item Classification'!B:C,2,0)</f>
        <v>Communication and digitalisation</v>
      </c>
      <c r="I525" s="6" t="str">
        <f>VLOOKUP($G525,'Item Classification'!B:D,3,0)</f>
        <v>Modernisation</v>
      </c>
      <c r="J525" s="23">
        <f>VLOOKUP($G525,'Item Classification'!B:E,4,0)</f>
        <v>13</v>
      </c>
      <c r="K525" s="195" t="s">
        <v>168</v>
      </c>
      <c r="L525" s="195" t="s">
        <v>182</v>
      </c>
      <c r="M525" s="116" t="str">
        <f>VLOOKUP(L525,'NATO Classifications'!$D$6:$E$647,2,0)</f>
        <v>ADP Software</v>
      </c>
      <c r="N525" s="25"/>
      <c r="O525" s="25"/>
      <c r="P525" s="25"/>
      <c r="Q525" s="25"/>
      <c r="R525" s="25"/>
      <c r="S525" s="82">
        <v>46000000</v>
      </c>
      <c r="T525" s="115" t="s">
        <v>2145</v>
      </c>
      <c r="U525" s="104">
        <f>_xlfn.IFNA(S525/INDEX('Exchange Rates'!$C$7:$F$14,MATCH('MAIN DATA, Orders'!F525,'Exchange Rates'!$B$7:$B$14,0),MATCH('MAIN DATA, Orders'!T525,'Exchange Rates'!$C$6:$F$6,0)), "-")</f>
        <v>52886328.883983493</v>
      </c>
      <c r="V525" s="6" t="s">
        <v>127</v>
      </c>
      <c r="W525" s="6" t="s">
        <v>127</v>
      </c>
      <c r="X525" s="6" t="s">
        <v>238</v>
      </c>
      <c r="Y525" s="24">
        <f t="shared" si="95"/>
        <v>202306</v>
      </c>
      <c r="Z525" s="24">
        <v>0</v>
      </c>
      <c r="AA525" s="24">
        <v>0</v>
      </c>
      <c r="AB525" s="24">
        <v>0</v>
      </c>
      <c r="AC525" s="24">
        <v>1</v>
      </c>
      <c r="AD525" s="24">
        <v>0</v>
      </c>
      <c r="AE525" s="24">
        <v>1</v>
      </c>
      <c r="AF525" s="24">
        <v>1</v>
      </c>
      <c r="AG525" s="6" t="s">
        <v>2704</v>
      </c>
      <c r="AH525" s="10" t="s">
        <v>238</v>
      </c>
      <c r="AI525" s="10" t="s">
        <v>127</v>
      </c>
      <c r="AJ525" s="10" t="s">
        <v>2705</v>
      </c>
      <c r="AK525" s="6" t="s">
        <v>127</v>
      </c>
      <c r="AL525" s="6" t="s">
        <v>127</v>
      </c>
      <c r="AM525" s="6" t="s">
        <v>127</v>
      </c>
      <c r="AN525" s="6" t="s">
        <v>196</v>
      </c>
      <c r="AO525" s="6" t="s">
        <v>127</v>
      </c>
      <c r="AP525" s="6" t="s">
        <v>127</v>
      </c>
      <c r="AQ525" s="6" t="s">
        <v>127</v>
      </c>
      <c r="AR525" s="6" t="s">
        <v>127</v>
      </c>
      <c r="AS525" s="6" t="s">
        <v>127</v>
      </c>
      <c r="AT525" s="6" t="s">
        <v>127</v>
      </c>
      <c r="AU525" s="6" t="s">
        <v>127</v>
      </c>
      <c r="AV525" s="6" t="s">
        <v>127</v>
      </c>
      <c r="AW525" s="6" t="s">
        <v>127</v>
      </c>
      <c r="AX525" s="6" t="s">
        <v>127</v>
      </c>
      <c r="AY525" s="99" t="s">
        <v>2706</v>
      </c>
      <c r="AZ525" s="6" t="s">
        <v>127</v>
      </c>
      <c r="BA525" s="6" t="s">
        <v>127</v>
      </c>
      <c r="BB525" s="6" t="s">
        <v>2707</v>
      </c>
      <c r="BC525" s="6" t="s">
        <v>2708</v>
      </c>
      <c r="BD525" s="6" t="s">
        <v>2709</v>
      </c>
      <c r="BE525" s="6" t="s">
        <v>127</v>
      </c>
    </row>
    <row r="526" spans="1:57" ht="16" x14ac:dyDescent="0.4">
      <c r="A526" s="6" t="s">
        <v>2710</v>
      </c>
      <c r="B526" s="6" t="s">
        <v>2710</v>
      </c>
      <c r="C526" s="6" t="s">
        <v>127</v>
      </c>
      <c r="D526" s="6" t="s">
        <v>238</v>
      </c>
      <c r="E526" s="191">
        <v>45119</v>
      </c>
      <c r="F526" s="6">
        <f t="shared" si="93"/>
        <v>2023</v>
      </c>
      <c r="G526" s="4" t="s">
        <v>2711</v>
      </c>
      <c r="H526" s="22" t="str">
        <f>VLOOKUP($G526,'Item Classification'!B:C,2,0)</f>
        <v>Military vehicle maintentance</v>
      </c>
      <c r="I526" s="6" t="str">
        <f>VLOOKUP($G526,'Item Classification'!B:D,3,0)</f>
        <v>Maintenance</v>
      </c>
      <c r="J526" s="23">
        <f>VLOOKUP($G526,'Item Classification'!B:E,4,0)</f>
        <v>14</v>
      </c>
      <c r="K526" s="195" t="s">
        <v>274</v>
      </c>
      <c r="L526" s="195" t="s">
        <v>275</v>
      </c>
      <c r="M526" s="116" t="str">
        <f>VLOOKUP(L526,'NATO Classifications'!$D$6:$E$647,2,0)</f>
        <v>Trucks and Truck Tractors, Wheeled</v>
      </c>
      <c r="N526" s="25">
        <v>1</v>
      </c>
      <c r="O526" s="81">
        <f>S526/N526</f>
        <v>50000000</v>
      </c>
      <c r="P526" s="81">
        <f t="shared" ref="P526" si="112">U526/N526</f>
        <v>57485140.091286406</v>
      </c>
      <c r="Q526" s="25">
        <v>2023</v>
      </c>
      <c r="R526" s="25">
        <v>2024</v>
      </c>
      <c r="S526" s="82">
        <v>50000000</v>
      </c>
      <c r="T526" s="115" t="s">
        <v>2145</v>
      </c>
      <c r="U526" s="104">
        <f>_xlfn.IFNA(S526/INDEX('Exchange Rates'!$C$7:$F$14,MATCH('MAIN DATA, Orders'!F526,'Exchange Rates'!$B$7:$B$14,0),MATCH('MAIN DATA, Orders'!T526,'Exchange Rates'!$C$6:$F$6,0)), "-")</f>
        <v>57485140.091286406</v>
      </c>
      <c r="V526" s="6" t="s">
        <v>127</v>
      </c>
      <c r="W526" s="6" t="s">
        <v>127</v>
      </c>
      <c r="X526" s="6" t="s">
        <v>809</v>
      </c>
      <c r="Y526" s="24">
        <f t="shared" si="95"/>
        <v>202307</v>
      </c>
      <c r="Z526" s="24">
        <v>0</v>
      </c>
      <c r="AA526" s="24">
        <v>0</v>
      </c>
      <c r="AB526" s="24">
        <v>0</v>
      </c>
      <c r="AC526" s="24">
        <v>1</v>
      </c>
      <c r="AD526" s="24">
        <v>0</v>
      </c>
      <c r="AE526" s="24">
        <v>0</v>
      </c>
      <c r="AF526" s="24">
        <v>0</v>
      </c>
      <c r="AG526" s="10" t="s">
        <v>2393</v>
      </c>
      <c r="AH526" s="10" t="s">
        <v>238</v>
      </c>
      <c r="AI526" s="10" t="s">
        <v>127</v>
      </c>
      <c r="AJ526" s="6" t="s">
        <v>127</v>
      </c>
      <c r="AK526" s="6" t="s">
        <v>127</v>
      </c>
      <c r="AL526" s="6" t="s">
        <v>127</v>
      </c>
      <c r="AM526" s="6" t="s">
        <v>127</v>
      </c>
      <c r="AN526" s="6" t="s">
        <v>127</v>
      </c>
      <c r="AO526" s="6" t="s">
        <v>127</v>
      </c>
      <c r="AP526" s="6" t="s">
        <v>127</v>
      </c>
      <c r="AQ526" s="6" t="s">
        <v>127</v>
      </c>
      <c r="AR526" s="6" t="s">
        <v>127</v>
      </c>
      <c r="AS526" s="6" t="s">
        <v>127</v>
      </c>
      <c r="AT526" s="6" t="s">
        <v>127</v>
      </c>
      <c r="AU526" s="6" t="s">
        <v>127</v>
      </c>
      <c r="AV526" s="6" t="s">
        <v>127</v>
      </c>
      <c r="AW526" s="6" t="s">
        <v>127</v>
      </c>
      <c r="AX526" s="6" t="s">
        <v>127</v>
      </c>
      <c r="AY526" s="99" t="s">
        <v>2712</v>
      </c>
      <c r="AZ526" s="6" t="s">
        <v>127</v>
      </c>
      <c r="BA526" s="6" t="s">
        <v>127</v>
      </c>
      <c r="BB526" s="6" t="s">
        <v>2713</v>
      </c>
      <c r="BC526" s="6" t="s">
        <v>127</v>
      </c>
      <c r="BD526" s="6" t="s">
        <v>127</v>
      </c>
      <c r="BE526" s="6" t="s">
        <v>127</v>
      </c>
    </row>
    <row r="527" spans="1:57" ht="16" x14ac:dyDescent="0.4">
      <c r="A527" s="6" t="s">
        <v>2714</v>
      </c>
      <c r="B527" s="6" t="s">
        <v>2714</v>
      </c>
      <c r="C527" s="6" t="s">
        <v>127</v>
      </c>
      <c r="D527" s="6" t="s">
        <v>238</v>
      </c>
      <c r="E527" s="191">
        <v>45120</v>
      </c>
      <c r="F527" s="6">
        <f t="shared" si="93"/>
        <v>2023</v>
      </c>
      <c r="G527" s="4" t="s">
        <v>2715</v>
      </c>
      <c r="H527" s="22" t="str">
        <f>VLOOKUP($G527,'Item Classification'!B:C,2,0)</f>
        <v>Tank equipment</v>
      </c>
      <c r="I527" s="6" t="str">
        <f>VLOOKUP($G527,'Item Classification'!B:D,3,0)</f>
        <v>Tank</v>
      </c>
      <c r="J527" s="23">
        <f>VLOOKUP($G527,'Item Classification'!B:E,4,0)</f>
        <v>1</v>
      </c>
      <c r="K527" s="195" t="s">
        <v>158</v>
      </c>
      <c r="L527" s="195" t="s">
        <v>379</v>
      </c>
      <c r="M527" s="116" t="str">
        <f>VLOOKUP(L527,'NATO Classifications'!$D$6:$E$647,2,0)</f>
        <v>Communication, Detection, and Coherent Radiation Equipment (other)</v>
      </c>
      <c r="N527" s="25"/>
      <c r="O527" s="25"/>
      <c r="P527" s="25"/>
      <c r="Q527" s="25">
        <v>2024</v>
      </c>
      <c r="R527" s="25">
        <v>2027</v>
      </c>
      <c r="S527" s="82">
        <v>20000000</v>
      </c>
      <c r="T527" s="115" t="s">
        <v>2145</v>
      </c>
      <c r="U527" s="104">
        <f>_xlfn.IFNA(S527/INDEX('Exchange Rates'!$C$7:$F$14,MATCH('MAIN DATA, Orders'!F527,'Exchange Rates'!$B$7:$B$14,0),MATCH('MAIN DATA, Orders'!T527,'Exchange Rates'!$C$6:$F$6,0)), "-")</f>
        <v>22994056.036514562</v>
      </c>
      <c r="V527" s="6" t="s">
        <v>127</v>
      </c>
      <c r="W527" s="6" t="s">
        <v>127</v>
      </c>
      <c r="X527" s="6" t="s">
        <v>238</v>
      </c>
      <c r="Y527" s="24">
        <f t="shared" si="95"/>
        <v>202307</v>
      </c>
      <c r="Z527" s="24">
        <v>0</v>
      </c>
      <c r="AA527" s="24">
        <v>0</v>
      </c>
      <c r="AB527" s="24">
        <v>0</v>
      </c>
      <c r="AC527" s="24">
        <v>0</v>
      </c>
      <c r="AD527" s="24">
        <v>0</v>
      </c>
      <c r="AE527" s="24">
        <v>0</v>
      </c>
      <c r="AF527" s="24">
        <v>0</v>
      </c>
      <c r="AG527" s="10" t="s">
        <v>317</v>
      </c>
      <c r="AH527" s="10" t="s">
        <v>135</v>
      </c>
      <c r="AI527" s="10" t="s">
        <v>135</v>
      </c>
      <c r="AJ527" s="6" t="s">
        <v>127</v>
      </c>
      <c r="AK527" s="6" t="s">
        <v>127</v>
      </c>
      <c r="AL527" s="6" t="s">
        <v>127</v>
      </c>
      <c r="AM527" s="6" t="s">
        <v>127</v>
      </c>
      <c r="AN527" s="6" t="s">
        <v>127</v>
      </c>
      <c r="AO527" s="6" t="s">
        <v>127</v>
      </c>
      <c r="AP527" s="6" t="s">
        <v>127</v>
      </c>
      <c r="AQ527" s="6" t="s">
        <v>127</v>
      </c>
      <c r="AR527" s="6" t="s">
        <v>127</v>
      </c>
      <c r="AS527" s="6" t="s">
        <v>127</v>
      </c>
      <c r="AT527" s="6" t="s">
        <v>127</v>
      </c>
      <c r="AU527" s="6" t="s">
        <v>127</v>
      </c>
      <c r="AV527" s="6" t="s">
        <v>127</v>
      </c>
      <c r="AW527" s="6" t="s">
        <v>127</v>
      </c>
      <c r="AX527" s="6" t="s">
        <v>127</v>
      </c>
      <c r="AY527" s="99" t="s">
        <v>2716</v>
      </c>
      <c r="AZ527" s="6" t="s">
        <v>127</v>
      </c>
      <c r="BA527" s="6" t="s">
        <v>127</v>
      </c>
      <c r="BB527" s="6" t="s">
        <v>2717</v>
      </c>
      <c r="BC527" s="6" t="s">
        <v>127</v>
      </c>
      <c r="BD527" s="6" t="s">
        <v>127</v>
      </c>
    </row>
    <row r="528" spans="1:57" ht="16" x14ac:dyDescent="0.4">
      <c r="A528" s="6" t="s">
        <v>2718</v>
      </c>
      <c r="B528" s="6" t="s">
        <v>2718</v>
      </c>
      <c r="C528" s="6" t="s">
        <v>2151</v>
      </c>
      <c r="D528" s="6" t="s">
        <v>238</v>
      </c>
      <c r="E528" s="191">
        <v>45120</v>
      </c>
      <c r="F528" s="6">
        <f t="shared" si="93"/>
        <v>2023</v>
      </c>
      <c r="G528" s="4" t="s">
        <v>2719</v>
      </c>
      <c r="H528" s="22" t="str">
        <f>VLOOKUP($G528,'Item Classification'!B:C,2,0)</f>
        <v>Submarine mast</v>
      </c>
      <c r="I528" s="6" t="str">
        <f>VLOOKUP($G528,'Item Classification'!B:D,3,0)</f>
        <v>Naval</v>
      </c>
      <c r="J528" s="23">
        <f>VLOOKUP($G528,'Item Classification'!B:E,4,0)</f>
        <v>12</v>
      </c>
      <c r="K528" s="195" t="s">
        <v>727</v>
      </c>
      <c r="L528" s="195" t="s">
        <v>2720</v>
      </c>
      <c r="M528" s="116" t="str">
        <f>VLOOKUP(L528,'NATO Classifications'!$D$6:$E$647,2,0)</f>
        <v>Semiconductor Devices and Associated Hardware</v>
      </c>
      <c r="N528" s="25">
        <v>4</v>
      </c>
      <c r="O528" s="81">
        <f>S528/N528</f>
        <v>42250000</v>
      </c>
      <c r="P528" s="81">
        <f t="shared" ref="P528" si="113">U528/N528</f>
        <v>48574943.377137013</v>
      </c>
      <c r="Q528" s="25"/>
      <c r="R528" s="25"/>
      <c r="S528" s="82">
        <v>169000000</v>
      </c>
      <c r="T528" s="115" t="s">
        <v>2145</v>
      </c>
      <c r="U528" s="104">
        <f>_xlfn.IFNA(S528/INDEX('Exchange Rates'!$C$7:$F$14,MATCH('MAIN DATA, Orders'!F528,'Exchange Rates'!$B$7:$B$14,0),MATCH('MAIN DATA, Orders'!T528,'Exchange Rates'!$C$6:$F$6,0)), "-")</f>
        <v>194299773.50854805</v>
      </c>
      <c r="V528" s="6" t="s">
        <v>127</v>
      </c>
      <c r="W528" s="6" t="s">
        <v>127</v>
      </c>
      <c r="X528" s="6" t="s">
        <v>238</v>
      </c>
      <c r="Y528" s="24">
        <f t="shared" si="95"/>
        <v>202307</v>
      </c>
      <c r="Z528" s="24">
        <v>0</v>
      </c>
      <c r="AA528" s="24">
        <v>0</v>
      </c>
      <c r="AB528" s="24">
        <v>0</v>
      </c>
      <c r="AC528" s="24">
        <v>1</v>
      </c>
      <c r="AD528" s="24">
        <v>1</v>
      </c>
      <c r="AE528" s="24">
        <v>0</v>
      </c>
      <c r="AF528" s="24">
        <v>1</v>
      </c>
      <c r="AG528" s="10" t="s">
        <v>2153</v>
      </c>
      <c r="AH528" s="10" t="s">
        <v>238</v>
      </c>
      <c r="AI528" s="10" t="s">
        <v>238</v>
      </c>
      <c r="AJ528" s="6" t="s">
        <v>1480</v>
      </c>
      <c r="AK528" s="6" t="s">
        <v>148</v>
      </c>
      <c r="AL528" s="6" t="s">
        <v>127</v>
      </c>
      <c r="AM528" s="6" t="s">
        <v>127</v>
      </c>
      <c r="AN528" s="6" t="s">
        <v>151</v>
      </c>
      <c r="AO528" s="6" t="s">
        <v>127</v>
      </c>
      <c r="AP528" s="6" t="s">
        <v>127</v>
      </c>
      <c r="AQ528" s="6" t="s">
        <v>127</v>
      </c>
      <c r="AR528" s="6" t="s">
        <v>127</v>
      </c>
      <c r="AS528" s="6" t="s">
        <v>127</v>
      </c>
      <c r="AT528" s="6" t="s">
        <v>127</v>
      </c>
      <c r="AU528" s="6" t="s">
        <v>127</v>
      </c>
      <c r="AV528" s="6" t="s">
        <v>127</v>
      </c>
      <c r="AW528" s="6" t="s">
        <v>127</v>
      </c>
      <c r="AX528" s="6" t="s">
        <v>127</v>
      </c>
      <c r="AY528" s="99" t="s">
        <v>2721</v>
      </c>
      <c r="AZ528" s="99" t="s">
        <v>2722</v>
      </c>
      <c r="BA528" s="6" t="s">
        <v>127</v>
      </c>
      <c r="BB528" s="6" t="s">
        <v>2723</v>
      </c>
      <c r="BC528" s="6" t="s">
        <v>2724</v>
      </c>
      <c r="BD528" s="6" t="s">
        <v>127</v>
      </c>
      <c r="BE528" s="6" t="s">
        <v>127</v>
      </c>
    </row>
    <row r="529" spans="1:58" ht="16" x14ac:dyDescent="0.4">
      <c r="A529" s="6" t="s">
        <v>2725</v>
      </c>
      <c r="B529" s="6" t="s">
        <v>2725</v>
      </c>
      <c r="C529" s="6" t="s">
        <v>2668</v>
      </c>
      <c r="D529" s="6" t="s">
        <v>238</v>
      </c>
      <c r="E529" s="191">
        <v>45121</v>
      </c>
      <c r="F529" s="6">
        <f t="shared" si="93"/>
        <v>2023</v>
      </c>
      <c r="G529" s="4" t="s">
        <v>2726</v>
      </c>
      <c r="H529" s="22" t="str">
        <f>VLOOKUP($G529,'Item Classification'!B:C,2,0)</f>
        <v>Overhauled Boeing 757 for GCAP research</v>
      </c>
      <c r="I529" s="6" t="str">
        <f>VLOOKUP($G529,'Item Classification'!B:D,3,0)</f>
        <v>Development - Aircraft</v>
      </c>
      <c r="J529" s="23">
        <f>VLOOKUP($G529,'Item Classification'!B:E,4,0)</f>
        <v>15</v>
      </c>
      <c r="K529" s="195" t="s">
        <v>1511</v>
      </c>
      <c r="L529" s="195" t="s">
        <v>2414</v>
      </c>
      <c r="M529" s="116" t="str">
        <f>VLOOKUP(L529,'NATO Classifications'!$D$6:$E$647,2,0)</f>
        <v>Laboratory Equipment and Supplies</v>
      </c>
      <c r="N529" s="25">
        <v>1</v>
      </c>
      <c r="O529" s="81">
        <f>S529/N529</f>
        <v>115000000</v>
      </c>
      <c r="P529" s="81">
        <f t="shared" ref="P529" si="114">U529/N529</f>
        <v>132215822.20995873</v>
      </c>
      <c r="Q529" s="25"/>
      <c r="R529" s="25">
        <v>2026</v>
      </c>
      <c r="S529" s="82">
        <v>115000000</v>
      </c>
      <c r="T529" s="115" t="s">
        <v>2145</v>
      </c>
      <c r="U529" s="104">
        <f>_xlfn.IFNA(S529/INDEX('Exchange Rates'!$C$7:$F$14,MATCH('MAIN DATA, Orders'!F529,'Exchange Rates'!$B$7:$B$14,0),MATCH('MAIN DATA, Orders'!T529,'Exchange Rates'!$C$6:$F$6,0)), "-")</f>
        <v>132215822.20995873</v>
      </c>
      <c r="V529" s="6" t="s">
        <v>127</v>
      </c>
      <c r="W529" s="6" t="s">
        <v>127</v>
      </c>
      <c r="X529" s="6" t="s">
        <v>238</v>
      </c>
      <c r="Y529" s="24">
        <f t="shared" si="95"/>
        <v>202307</v>
      </c>
      <c r="Z529" s="24">
        <v>0</v>
      </c>
      <c r="AA529" s="24">
        <v>0</v>
      </c>
      <c r="AB529" s="24">
        <v>0</v>
      </c>
      <c r="AC529" s="24">
        <v>1</v>
      </c>
      <c r="AD529" s="24">
        <v>1</v>
      </c>
      <c r="AE529" s="24">
        <v>0</v>
      </c>
      <c r="AF529" s="24">
        <v>1</v>
      </c>
      <c r="AG529" s="10" t="s">
        <v>360</v>
      </c>
      <c r="AH529" s="10" t="s">
        <v>197</v>
      </c>
      <c r="AI529" s="10" t="s">
        <v>127</v>
      </c>
      <c r="AJ529" s="6" t="s">
        <v>2727</v>
      </c>
      <c r="AK529" s="6" t="s">
        <v>127</v>
      </c>
      <c r="AL529" s="6" t="s">
        <v>127</v>
      </c>
      <c r="AM529" s="6" t="s">
        <v>127</v>
      </c>
      <c r="AN529" s="6" t="s">
        <v>238</v>
      </c>
      <c r="AO529" s="6" t="s">
        <v>127</v>
      </c>
      <c r="AP529" s="6" t="s">
        <v>127</v>
      </c>
      <c r="AQ529" s="6" t="s">
        <v>127</v>
      </c>
      <c r="AR529" s="6" t="s">
        <v>127</v>
      </c>
      <c r="AS529" s="6" t="s">
        <v>127</v>
      </c>
      <c r="AT529" s="6" t="s">
        <v>127</v>
      </c>
      <c r="AU529" s="6" t="s">
        <v>127</v>
      </c>
      <c r="AV529" s="6" t="s">
        <v>127</v>
      </c>
      <c r="AW529" s="6" t="s">
        <v>127</v>
      </c>
      <c r="AX529" s="6" t="s">
        <v>127</v>
      </c>
      <c r="AY529" s="99" t="s">
        <v>2728</v>
      </c>
      <c r="AZ529" s="6" t="s">
        <v>127</v>
      </c>
      <c r="BA529" s="6" t="s">
        <v>127</v>
      </c>
      <c r="BB529" s="6" t="s">
        <v>2729</v>
      </c>
      <c r="BC529" s="6" t="s">
        <v>2730</v>
      </c>
      <c r="BD529" s="6" t="s">
        <v>2731</v>
      </c>
      <c r="BE529" s="6" t="s">
        <v>127</v>
      </c>
    </row>
    <row r="530" spans="1:58" ht="16" x14ac:dyDescent="0.4">
      <c r="A530" s="6" t="s">
        <v>2732</v>
      </c>
      <c r="B530" s="6" t="s">
        <v>2732</v>
      </c>
      <c r="C530" s="6" t="s">
        <v>127</v>
      </c>
      <c r="D530" s="6" t="s">
        <v>238</v>
      </c>
      <c r="E530" s="191">
        <v>45160</v>
      </c>
      <c r="F530" s="6">
        <f t="shared" si="93"/>
        <v>2023</v>
      </c>
      <c r="G530" s="4" t="s">
        <v>2733</v>
      </c>
      <c r="H530" s="22" t="str">
        <f>VLOOKUP($G530,'Item Classification'!B:C,2,0)</f>
        <v>Communication equipment development</v>
      </c>
      <c r="I530" s="6" t="str">
        <f>VLOOKUP($G530,'Item Classification'!B:D,3,0)</f>
        <v>Development - Modernisation</v>
      </c>
      <c r="J530" s="23">
        <f>VLOOKUP($G530,'Item Classification'!B:E,4,0)</f>
        <v>15</v>
      </c>
      <c r="K530" s="195" t="s">
        <v>168</v>
      </c>
      <c r="L530" s="195" t="s">
        <v>169</v>
      </c>
      <c r="M530" s="116" t="str">
        <f>VLOOKUP(L530,'NATO Classifications'!$D$6:$E$647,2,0)</f>
        <v>ADPE System Configuration</v>
      </c>
      <c r="N530" s="25"/>
      <c r="O530" s="81"/>
      <c r="P530" s="81"/>
      <c r="Q530" s="25">
        <v>2025</v>
      </c>
      <c r="R530" s="25"/>
      <c r="S530" s="82">
        <v>89000000</v>
      </c>
      <c r="T530" s="115" t="s">
        <v>2145</v>
      </c>
      <c r="U530" s="104">
        <f>_xlfn.IFNA(S530/INDEX('Exchange Rates'!$C$7:$F$14,MATCH('MAIN DATA, Orders'!F530,'Exchange Rates'!$B$7:$B$14,0),MATCH('MAIN DATA, Orders'!T530,'Exchange Rates'!$C$6:$F$6,0)), "-")</f>
        <v>102323549.3624898</v>
      </c>
      <c r="V530" s="6" t="s">
        <v>127</v>
      </c>
      <c r="W530" s="6" t="s">
        <v>127</v>
      </c>
      <c r="X530" s="6" t="s">
        <v>238</v>
      </c>
      <c r="Y530" s="24">
        <f t="shared" si="95"/>
        <v>202308</v>
      </c>
      <c r="Z530" s="24">
        <v>0</v>
      </c>
      <c r="AA530" s="24">
        <v>0</v>
      </c>
      <c r="AB530" s="24">
        <v>0</v>
      </c>
      <c r="AC530" s="24">
        <v>1</v>
      </c>
      <c r="AD530" s="24">
        <v>0</v>
      </c>
      <c r="AE530" s="24">
        <v>1</v>
      </c>
      <c r="AF530" s="24">
        <v>1</v>
      </c>
      <c r="AG530" s="10" t="s">
        <v>1480</v>
      </c>
      <c r="AH530" s="10" t="s">
        <v>238</v>
      </c>
      <c r="AI530" s="10" t="s">
        <v>127</v>
      </c>
      <c r="AJ530" s="6" t="s">
        <v>2563</v>
      </c>
      <c r="AK530" s="6" t="s">
        <v>2734</v>
      </c>
      <c r="AL530" s="6" t="s">
        <v>2544</v>
      </c>
      <c r="AM530" s="6" t="s">
        <v>127</v>
      </c>
      <c r="AN530" s="6" t="s">
        <v>196</v>
      </c>
      <c r="AO530" s="6" t="s">
        <v>127</v>
      </c>
      <c r="AP530" s="6" t="s">
        <v>127</v>
      </c>
      <c r="AQ530" s="6" t="s">
        <v>127</v>
      </c>
      <c r="AR530" s="6" t="s">
        <v>127</v>
      </c>
      <c r="AS530" s="6" t="s">
        <v>127</v>
      </c>
      <c r="AT530" s="6" t="s">
        <v>127</v>
      </c>
      <c r="AU530" s="6" t="s">
        <v>127</v>
      </c>
      <c r="AV530" s="6" t="s">
        <v>127</v>
      </c>
      <c r="AW530" s="6" t="s">
        <v>127</v>
      </c>
      <c r="AX530" s="6" t="s">
        <v>127</v>
      </c>
      <c r="AY530" s="99" t="s">
        <v>2735</v>
      </c>
      <c r="AZ530" s="6" t="s">
        <v>127</v>
      </c>
      <c r="BA530" s="6" t="s">
        <v>127</v>
      </c>
      <c r="BB530" s="6" t="s">
        <v>2736</v>
      </c>
      <c r="BC530" s="6" t="s">
        <v>2737</v>
      </c>
      <c r="BD530" s="6" t="s">
        <v>2738</v>
      </c>
      <c r="BE530" s="6" t="s">
        <v>127</v>
      </c>
    </row>
    <row r="531" spans="1:58" ht="16" x14ac:dyDescent="0.4">
      <c r="A531" s="6" t="s">
        <v>2739</v>
      </c>
      <c r="B531" s="6" t="s">
        <v>2739</v>
      </c>
      <c r="C531" s="6" t="s">
        <v>127</v>
      </c>
      <c r="D531" s="6" t="s">
        <v>238</v>
      </c>
      <c r="E531" s="191">
        <v>45176</v>
      </c>
      <c r="F531" s="6">
        <f t="shared" si="93"/>
        <v>2023</v>
      </c>
      <c r="G531" s="4" t="s">
        <v>2740</v>
      </c>
      <c r="H531" s="22" t="str">
        <f>VLOOKUP($G531,'Item Classification'!B:C,2,0)</f>
        <v>Small Arms and Light Weapons (SALW)</v>
      </c>
      <c r="I531" s="6" t="str">
        <f>VLOOKUP($G531,'Item Classification'!B:D,3,0)</f>
        <v>Infantry</v>
      </c>
      <c r="J531" s="23">
        <f>VLOOKUP($G531,'Item Classification'!B:E,4,0)</f>
        <v>8</v>
      </c>
      <c r="K531" s="195" t="s">
        <v>763</v>
      </c>
      <c r="L531" s="195" t="s">
        <v>764</v>
      </c>
      <c r="M531" s="116" t="str">
        <f>VLOOKUP(L531,'NATO Classifications'!$D$6:$E$647,2,0)</f>
        <v>Guns below 75mm</v>
      </c>
      <c r="N531" s="25">
        <v>1620</v>
      </c>
      <c r="O531" s="81">
        <f>S531/N531</f>
        <v>9259.2592592592591</v>
      </c>
      <c r="P531" s="81">
        <f t="shared" ref="P531" si="115">U531/N531</f>
        <v>10645.396313201185</v>
      </c>
      <c r="Q531" s="25">
        <v>2023</v>
      </c>
      <c r="R531" s="25"/>
      <c r="S531" s="82">
        <v>15000000</v>
      </c>
      <c r="T531" s="115" t="s">
        <v>2145</v>
      </c>
      <c r="U531" s="104">
        <f>_xlfn.IFNA(S531/INDEX('Exchange Rates'!$C$7:$F$14,MATCH('MAIN DATA, Orders'!F531,'Exchange Rates'!$B$7:$B$14,0),MATCH('MAIN DATA, Orders'!T531,'Exchange Rates'!$C$6:$F$6,0)), "-")</f>
        <v>17245542.02738592</v>
      </c>
      <c r="V531" s="6" t="s">
        <v>127</v>
      </c>
      <c r="W531" s="6" t="s">
        <v>127</v>
      </c>
      <c r="X531" s="6" t="s">
        <v>238</v>
      </c>
      <c r="Y531" s="24">
        <f t="shared" si="95"/>
        <v>202309</v>
      </c>
      <c r="Z531" s="24">
        <v>1</v>
      </c>
      <c r="AA531" s="24">
        <v>0</v>
      </c>
      <c r="AB531" s="24">
        <v>0</v>
      </c>
      <c r="AC531" s="24">
        <v>1</v>
      </c>
      <c r="AD531" s="24">
        <v>0</v>
      </c>
      <c r="AE531" s="24">
        <v>1</v>
      </c>
      <c r="AF531" s="24">
        <v>1</v>
      </c>
      <c r="AG531" s="10" t="s">
        <v>2741</v>
      </c>
      <c r="AH531" s="10" t="s">
        <v>238</v>
      </c>
      <c r="AI531" s="10" t="s">
        <v>238</v>
      </c>
      <c r="AJ531" s="6" t="s">
        <v>2742</v>
      </c>
      <c r="AK531" s="6" t="s">
        <v>2743</v>
      </c>
      <c r="AL531" s="6" t="s">
        <v>127</v>
      </c>
      <c r="AM531" s="6" t="s">
        <v>127</v>
      </c>
      <c r="AN531" s="6" t="s">
        <v>196</v>
      </c>
      <c r="AO531" s="6" t="s">
        <v>127</v>
      </c>
      <c r="AP531" s="6" t="s">
        <v>127</v>
      </c>
      <c r="AQ531" s="6" t="s">
        <v>127</v>
      </c>
      <c r="AR531" s="6" t="s">
        <v>127</v>
      </c>
      <c r="AS531" s="6" t="s">
        <v>127</v>
      </c>
      <c r="AT531" s="6" t="s">
        <v>127</v>
      </c>
      <c r="AU531" s="6" t="s">
        <v>127</v>
      </c>
      <c r="AV531" s="6" t="s">
        <v>127</v>
      </c>
      <c r="AW531" s="6" t="s">
        <v>127</v>
      </c>
      <c r="AX531" s="6" t="s">
        <v>127</v>
      </c>
      <c r="AY531" s="99" t="s">
        <v>2744</v>
      </c>
      <c r="AZ531" s="6" t="s">
        <v>127</v>
      </c>
      <c r="BA531" s="6" t="s">
        <v>127</v>
      </c>
      <c r="BB531" s="6" t="s">
        <v>2745</v>
      </c>
      <c r="BC531" s="6" t="s">
        <v>2746</v>
      </c>
      <c r="BD531" s="6" t="s">
        <v>2747</v>
      </c>
      <c r="BE531" s="6" t="s">
        <v>127</v>
      </c>
    </row>
    <row r="532" spans="1:58" ht="16" x14ac:dyDescent="0.4">
      <c r="A532" s="6" t="s">
        <v>2748</v>
      </c>
      <c r="B532" s="6" t="s">
        <v>2748</v>
      </c>
      <c r="C532" s="6" t="s">
        <v>127</v>
      </c>
      <c r="D532" s="6" t="s">
        <v>238</v>
      </c>
      <c r="E532" s="191">
        <v>45182</v>
      </c>
      <c r="F532" s="6">
        <f t="shared" si="93"/>
        <v>2023</v>
      </c>
      <c r="G532" s="4" t="s">
        <v>1479</v>
      </c>
      <c r="H532" s="22" t="str">
        <f>VLOOKUP($G532,'Item Classification'!B:C,2,0)</f>
        <v>Fighter aircraft display development</v>
      </c>
      <c r="I532" s="6" t="str">
        <f>VLOOKUP($G532,'Item Classification'!B:D,3,0)</f>
        <v>Development - Aircraft</v>
      </c>
      <c r="J532" s="23">
        <f>VLOOKUP($G532,'Item Classification'!B:E,4,0)</f>
        <v>15</v>
      </c>
      <c r="K532" s="195" t="s">
        <v>221</v>
      </c>
      <c r="L532" s="195" t="s">
        <v>222</v>
      </c>
      <c r="M532" s="116" t="str">
        <f>VLOOKUP(L532,'NATO Classifications'!$D$6:$E$647,2,0)</f>
        <v>Clothing, Special Purpose</v>
      </c>
      <c r="N532" s="25"/>
      <c r="O532" s="25"/>
      <c r="P532" s="25"/>
      <c r="Q532" s="25"/>
      <c r="R532" s="25"/>
      <c r="S532" s="82">
        <v>40000000</v>
      </c>
      <c r="T532" s="115" t="s">
        <v>2145</v>
      </c>
      <c r="U532" s="104">
        <f>_xlfn.IFNA(S532/INDEX('Exchange Rates'!$C$7:$F$14,MATCH('MAIN DATA, Orders'!F532,'Exchange Rates'!$B$7:$B$14,0),MATCH('MAIN DATA, Orders'!T532,'Exchange Rates'!$C$6:$F$6,0)), "-")</f>
        <v>45988112.073029123</v>
      </c>
      <c r="V532" s="6" t="s">
        <v>127</v>
      </c>
      <c r="W532" s="6" t="s">
        <v>127</v>
      </c>
      <c r="X532" s="6" t="s">
        <v>238</v>
      </c>
      <c r="Y532" s="24">
        <f t="shared" si="95"/>
        <v>202309</v>
      </c>
      <c r="Z532" s="24">
        <v>0</v>
      </c>
      <c r="AA532" s="24">
        <v>0</v>
      </c>
      <c r="AB532" s="24">
        <v>0</v>
      </c>
      <c r="AC532" s="24">
        <v>1</v>
      </c>
      <c r="AD532" s="24">
        <v>0</v>
      </c>
      <c r="AE532" s="24">
        <v>0</v>
      </c>
      <c r="AF532" s="24">
        <v>0</v>
      </c>
      <c r="AG532" s="10" t="s">
        <v>1480</v>
      </c>
      <c r="AH532" s="10" t="s">
        <v>238</v>
      </c>
      <c r="AI532" s="10" t="s">
        <v>127</v>
      </c>
      <c r="AJ532" s="6" t="s">
        <v>127</v>
      </c>
      <c r="AK532" s="6" t="s">
        <v>127</v>
      </c>
      <c r="AL532" s="6" t="s">
        <v>127</v>
      </c>
      <c r="AM532" s="6" t="s">
        <v>127</v>
      </c>
      <c r="AN532" s="6" t="s">
        <v>127</v>
      </c>
      <c r="AO532" s="6" t="s">
        <v>127</v>
      </c>
      <c r="AP532" s="6" t="s">
        <v>127</v>
      </c>
      <c r="AQ532" s="6" t="s">
        <v>127</v>
      </c>
      <c r="AR532" s="6" t="s">
        <v>127</v>
      </c>
      <c r="AS532" s="6" t="s">
        <v>127</v>
      </c>
      <c r="AT532" s="6" t="s">
        <v>127</v>
      </c>
      <c r="AU532" s="6" t="s">
        <v>127</v>
      </c>
      <c r="AV532" s="6" t="s">
        <v>127</v>
      </c>
      <c r="AW532" s="6" t="s">
        <v>127</v>
      </c>
      <c r="AX532" s="6" t="s">
        <v>127</v>
      </c>
      <c r="AY532" s="99" t="s">
        <v>2749</v>
      </c>
      <c r="AZ532" s="6" t="s">
        <v>127</v>
      </c>
      <c r="BA532" s="6" t="s">
        <v>127</v>
      </c>
      <c r="BB532" s="6" t="s">
        <v>2750</v>
      </c>
      <c r="BC532" s="6" t="s">
        <v>127</v>
      </c>
      <c r="BD532" s="6" t="s">
        <v>127</v>
      </c>
      <c r="BE532" s="6" t="s">
        <v>127</v>
      </c>
    </row>
    <row r="533" spans="1:58" ht="16" x14ac:dyDescent="0.4">
      <c r="A533" s="6" t="s">
        <v>2751</v>
      </c>
      <c r="B533" s="6" t="s">
        <v>2751</v>
      </c>
      <c r="C533" s="6" t="s">
        <v>2752</v>
      </c>
      <c r="D533" s="6" t="s">
        <v>238</v>
      </c>
      <c r="E533" s="191">
        <v>45200</v>
      </c>
      <c r="F533" s="6">
        <f t="shared" si="93"/>
        <v>2023</v>
      </c>
      <c r="G533" s="4" t="s">
        <v>2753</v>
      </c>
      <c r="H533" s="22" t="str">
        <f>VLOOKUP($G533,'Item Classification'!B:C,2,0)</f>
        <v>Submarine long lead parts purchase</v>
      </c>
      <c r="I533" s="6" t="str">
        <f>VLOOKUP($G533,'Item Classification'!B:D,3,0)</f>
        <v>Naval</v>
      </c>
      <c r="J533" s="23">
        <f>VLOOKUP($G533,'Item Classification'!B:E,4,0)</f>
        <v>12</v>
      </c>
      <c r="K533" s="195" t="s">
        <v>143</v>
      </c>
      <c r="L533" s="195" t="s">
        <v>144</v>
      </c>
      <c r="M533" s="116" t="str">
        <f>VLOOKUP(L533,'NATO Classifications'!$D$6:$E$647,2,0)</f>
        <v>Combat Ships and Landing Vessels</v>
      </c>
      <c r="N533" s="25"/>
      <c r="O533" s="25"/>
      <c r="P533" s="25"/>
      <c r="Q533" s="25"/>
      <c r="R533" s="25"/>
      <c r="S533" s="82">
        <v>4000000000</v>
      </c>
      <c r="T533" s="115" t="s">
        <v>2145</v>
      </c>
      <c r="U533" s="104">
        <f>_xlfn.IFNA(S533/INDEX('Exchange Rates'!$C$7:$F$14,MATCH('MAIN DATA, Orders'!F533,'Exchange Rates'!$B$7:$B$14,0),MATCH('MAIN DATA, Orders'!T533,'Exchange Rates'!$C$6:$F$6,0)), "-")</f>
        <v>4598811207.3029127</v>
      </c>
      <c r="V533" s="6" t="s">
        <v>127</v>
      </c>
      <c r="W533" s="6" t="s">
        <v>127</v>
      </c>
      <c r="X533" s="6" t="s">
        <v>238</v>
      </c>
      <c r="Y533" s="24">
        <f t="shared" si="95"/>
        <v>202310</v>
      </c>
      <c r="Z533" s="24">
        <v>0</v>
      </c>
      <c r="AA533" s="24">
        <v>0</v>
      </c>
      <c r="AB533" s="24">
        <v>0</v>
      </c>
      <c r="AC533" s="24">
        <v>1</v>
      </c>
      <c r="AD533" s="24">
        <v>0</v>
      </c>
      <c r="AE533" s="24">
        <v>0</v>
      </c>
      <c r="AF533" s="24">
        <v>0</v>
      </c>
      <c r="AG533" s="10" t="s">
        <v>1480</v>
      </c>
      <c r="AH533" s="10" t="s">
        <v>238</v>
      </c>
      <c r="AI533" s="10" t="s">
        <v>238</v>
      </c>
      <c r="AJ533" s="6" t="s">
        <v>2367</v>
      </c>
      <c r="AK533" s="6" t="s">
        <v>2393</v>
      </c>
      <c r="AL533" s="6" t="s">
        <v>127</v>
      </c>
      <c r="AM533" s="6" t="s">
        <v>127</v>
      </c>
      <c r="AN533" s="6" t="s">
        <v>127</v>
      </c>
      <c r="AO533" s="6" t="s">
        <v>127</v>
      </c>
      <c r="AP533" s="6" t="s">
        <v>127</v>
      </c>
      <c r="AQ533" s="6" t="s">
        <v>127</v>
      </c>
      <c r="AR533" s="6" t="s">
        <v>127</v>
      </c>
      <c r="AS533" s="6" t="s">
        <v>127</v>
      </c>
      <c r="AT533" s="6" t="s">
        <v>127</v>
      </c>
      <c r="AU533" s="6" t="s">
        <v>127</v>
      </c>
      <c r="AV533" s="6" t="s">
        <v>127</v>
      </c>
      <c r="AW533" s="6" t="s">
        <v>127</v>
      </c>
      <c r="AX533" s="6" t="s">
        <v>127</v>
      </c>
      <c r="AY533" s="99" t="s">
        <v>2754</v>
      </c>
      <c r="AZ533" s="6" t="s">
        <v>127</v>
      </c>
      <c r="BA533" s="6" t="s">
        <v>127</v>
      </c>
      <c r="BB533" s="6" t="s">
        <v>2755</v>
      </c>
      <c r="BC533" s="6" t="s">
        <v>127</v>
      </c>
      <c r="BD533" s="6" t="s">
        <v>127</v>
      </c>
      <c r="BE533" s="6" t="s">
        <v>127</v>
      </c>
    </row>
    <row r="534" spans="1:58" ht="16" x14ac:dyDescent="0.4">
      <c r="A534" s="6" t="s">
        <v>2756</v>
      </c>
      <c r="B534" s="6" t="s">
        <v>2756</v>
      </c>
      <c r="C534" s="6" t="s">
        <v>127</v>
      </c>
      <c r="D534" s="6" t="s">
        <v>238</v>
      </c>
      <c r="E534" s="191">
        <v>45205</v>
      </c>
      <c r="F534" s="6">
        <f t="shared" si="93"/>
        <v>2023</v>
      </c>
      <c r="G534" s="4" t="s">
        <v>2757</v>
      </c>
      <c r="H534" s="22" t="str">
        <f>VLOOKUP($G534,'Item Classification'!B:C,2,0)</f>
        <v>Military equipment</v>
      </c>
      <c r="I534" s="6" t="str">
        <f>VLOOKUP($G534,'Item Classification'!B:D,3,0)</f>
        <v>Other</v>
      </c>
      <c r="J534" s="23">
        <f>VLOOKUP($G534,'Item Classification'!B:E,4,0)</f>
        <v>16</v>
      </c>
      <c r="K534" s="195" t="s">
        <v>925</v>
      </c>
      <c r="L534" s="195" t="s">
        <v>2758</v>
      </c>
      <c r="M534" s="116" t="str">
        <f>VLOOKUP(L534,'NATO Classifications'!$D$6:$E$647,2,0)</f>
        <v>Safety and Rescue Equipment</v>
      </c>
      <c r="N534" s="25"/>
      <c r="O534" s="25"/>
      <c r="P534" s="25"/>
      <c r="Q534" s="25"/>
      <c r="R534" s="25">
        <v>2028</v>
      </c>
      <c r="S534" s="82">
        <v>88000000</v>
      </c>
      <c r="T534" s="115" t="s">
        <v>2145</v>
      </c>
      <c r="U534" s="104">
        <f>_xlfn.IFNA(S534/INDEX('Exchange Rates'!$C$7:$F$14,MATCH('MAIN DATA, Orders'!F534,'Exchange Rates'!$B$7:$B$14,0),MATCH('MAIN DATA, Orders'!T534,'Exchange Rates'!$C$6:$F$6,0)), "-")</f>
        <v>101173846.56066407</v>
      </c>
      <c r="V534" s="6" t="s">
        <v>127</v>
      </c>
      <c r="W534" s="6" t="s">
        <v>127</v>
      </c>
      <c r="X534" s="6" t="s">
        <v>238</v>
      </c>
      <c r="Y534" s="24">
        <f t="shared" si="95"/>
        <v>202310</v>
      </c>
      <c r="Z534" s="24">
        <v>0</v>
      </c>
      <c r="AA534" s="24">
        <v>0</v>
      </c>
      <c r="AB534" s="24">
        <v>0</v>
      </c>
      <c r="AC534" s="24">
        <v>1</v>
      </c>
      <c r="AD534" s="24">
        <v>0</v>
      </c>
      <c r="AE534" s="24">
        <v>0</v>
      </c>
      <c r="AF534" s="24">
        <v>0</v>
      </c>
      <c r="AG534" s="10" t="s">
        <v>2759</v>
      </c>
      <c r="AH534" s="10" t="s">
        <v>238</v>
      </c>
      <c r="AI534" s="10" t="s">
        <v>238</v>
      </c>
      <c r="AJ534" s="6" t="s">
        <v>127</v>
      </c>
      <c r="AK534" s="6" t="s">
        <v>127</v>
      </c>
      <c r="AL534" s="6" t="s">
        <v>127</v>
      </c>
      <c r="AM534" s="6" t="s">
        <v>127</v>
      </c>
      <c r="AN534" s="6" t="s">
        <v>127</v>
      </c>
      <c r="AO534" s="6" t="s">
        <v>127</v>
      </c>
      <c r="AP534" s="6" t="s">
        <v>127</v>
      </c>
      <c r="AQ534" s="6" t="s">
        <v>127</v>
      </c>
      <c r="AR534" s="6" t="s">
        <v>127</v>
      </c>
      <c r="AS534" s="6" t="s">
        <v>127</v>
      </c>
      <c r="AT534" s="6" t="s">
        <v>127</v>
      </c>
      <c r="AU534" s="6" t="s">
        <v>127</v>
      </c>
      <c r="AV534" s="6" t="s">
        <v>127</v>
      </c>
      <c r="AW534" s="6" t="s">
        <v>127</v>
      </c>
      <c r="AX534" s="6" t="s">
        <v>127</v>
      </c>
      <c r="AY534" s="99" t="s">
        <v>2760</v>
      </c>
      <c r="AZ534" s="6" t="s">
        <v>127</v>
      </c>
      <c r="BA534" s="6" t="s">
        <v>127</v>
      </c>
      <c r="BB534" s="6" t="s">
        <v>2761</v>
      </c>
      <c r="BC534" s="6" t="s">
        <v>2762</v>
      </c>
      <c r="BD534" s="6" t="s">
        <v>127</v>
      </c>
      <c r="BE534" s="6" t="s">
        <v>127</v>
      </c>
    </row>
    <row r="535" spans="1:58" ht="16" x14ac:dyDescent="0.4">
      <c r="A535" s="6" t="s">
        <v>2763</v>
      </c>
      <c r="B535" s="6" t="s">
        <v>2763</v>
      </c>
      <c r="C535" s="6" t="s">
        <v>2624</v>
      </c>
      <c r="D535" s="6" t="s">
        <v>2624</v>
      </c>
      <c r="E535" s="191">
        <v>45210</v>
      </c>
      <c r="F535" s="6">
        <f t="shared" si="93"/>
        <v>2023</v>
      </c>
      <c r="G535" s="4" t="s">
        <v>127</v>
      </c>
      <c r="H535" s="22" t="s">
        <v>1487</v>
      </c>
      <c r="I535" s="4" t="s">
        <v>287</v>
      </c>
      <c r="J535" s="23">
        <v>16</v>
      </c>
      <c r="K535" s="195" t="s">
        <v>229</v>
      </c>
      <c r="L535" s="195" t="s">
        <v>230</v>
      </c>
      <c r="M535" s="116" t="str">
        <f>VLOOKUP(L535,'NATO Classifications'!$D$6:$E$647,2,0)</f>
        <v>Miscellaneous Items</v>
      </c>
      <c r="N535" s="25"/>
      <c r="O535" s="25"/>
      <c r="P535" s="25"/>
      <c r="Q535" s="25"/>
      <c r="R535" s="25"/>
      <c r="S535" s="82">
        <v>100000000</v>
      </c>
      <c r="T535" s="115" t="s">
        <v>2145</v>
      </c>
      <c r="U535" s="104">
        <f>_xlfn.IFNA(S535/INDEX('Exchange Rates'!$C$7:$F$14,MATCH('MAIN DATA, Orders'!F535,'Exchange Rates'!$B$7:$B$14,0),MATCH('MAIN DATA, Orders'!T535,'Exchange Rates'!$C$6:$F$6,0)), "-")</f>
        <v>114970280.18257281</v>
      </c>
      <c r="V535" s="6" t="s">
        <v>127</v>
      </c>
      <c r="W535" s="6" t="s">
        <v>127</v>
      </c>
      <c r="X535" s="6" t="s">
        <v>809</v>
      </c>
      <c r="Y535" s="24">
        <f t="shared" si="95"/>
        <v>202310</v>
      </c>
      <c r="Z535" s="24">
        <v>0</v>
      </c>
      <c r="AA535" s="24">
        <v>0</v>
      </c>
      <c r="AB535" s="24">
        <v>0</v>
      </c>
      <c r="AC535" s="24" t="s">
        <v>127</v>
      </c>
      <c r="AD535" s="24" t="s">
        <v>127</v>
      </c>
      <c r="AE535" s="24" t="s">
        <v>127</v>
      </c>
      <c r="AF535" s="24" t="s">
        <v>127</v>
      </c>
      <c r="AG535" s="10" t="s">
        <v>127</v>
      </c>
      <c r="AH535" s="10" t="s">
        <v>127</v>
      </c>
      <c r="AI535" s="10" t="s">
        <v>127</v>
      </c>
      <c r="AJ535" s="6" t="s">
        <v>127</v>
      </c>
      <c r="AK535" s="6" t="s">
        <v>127</v>
      </c>
      <c r="AL535" s="6" t="s">
        <v>127</v>
      </c>
      <c r="AM535" s="6" t="s">
        <v>127</v>
      </c>
      <c r="AN535" s="6" t="s">
        <v>127</v>
      </c>
      <c r="AO535" s="6" t="s">
        <v>127</v>
      </c>
      <c r="AP535" s="6" t="s">
        <v>127</v>
      </c>
      <c r="AQ535" s="6" t="s">
        <v>127</v>
      </c>
      <c r="AR535" s="6" t="s">
        <v>127</v>
      </c>
      <c r="AS535" s="6" t="s">
        <v>127</v>
      </c>
      <c r="AT535" s="6" t="s">
        <v>127</v>
      </c>
      <c r="AU535" s="6" t="s">
        <v>127</v>
      </c>
      <c r="AV535" s="6" t="s">
        <v>127</v>
      </c>
      <c r="AW535" s="6" t="s">
        <v>127</v>
      </c>
      <c r="AX535" s="6" t="s">
        <v>127</v>
      </c>
      <c r="AY535" s="99" t="s">
        <v>2764</v>
      </c>
      <c r="AZ535" s="6" t="s">
        <v>127</v>
      </c>
      <c r="BA535" s="6" t="s">
        <v>127</v>
      </c>
      <c r="BB535" s="6" t="s">
        <v>2765</v>
      </c>
      <c r="BC535" s="6" t="s">
        <v>2766</v>
      </c>
      <c r="BD535" s="6" t="s">
        <v>127</v>
      </c>
      <c r="BE535" s="6" t="s">
        <v>127</v>
      </c>
    </row>
    <row r="536" spans="1:58" ht="16" x14ac:dyDescent="0.4">
      <c r="A536" s="6" t="s">
        <v>2763</v>
      </c>
      <c r="B536" s="6" t="s">
        <v>2767</v>
      </c>
      <c r="C536" s="6" t="s">
        <v>2624</v>
      </c>
      <c r="D536" s="6" t="s">
        <v>2624</v>
      </c>
      <c r="E536" s="191">
        <v>45210</v>
      </c>
      <c r="F536" s="6">
        <f t="shared" si="93"/>
        <v>2023</v>
      </c>
      <c r="G536" s="4" t="s">
        <v>2768</v>
      </c>
      <c r="H536" s="22" t="str">
        <f>VLOOKUP($G536,'Item Classification'!B:C,2,0)</f>
        <v>Mine clearing equipment</v>
      </c>
      <c r="I536" s="6" t="str">
        <f>VLOOKUP($G536,'Item Classification'!B:D,3,0)</f>
        <v>Other</v>
      </c>
      <c r="J536" s="23">
        <f>VLOOKUP($G536,'Item Classification'!B:E,4,0)</f>
        <v>16</v>
      </c>
      <c r="K536" s="195" t="s">
        <v>189</v>
      </c>
      <c r="L536" s="195" t="s">
        <v>2233</v>
      </c>
      <c r="M536" s="116" t="str">
        <f>VLOOKUP(L536,'NATO Classifications'!$D$6:$E$647,2,0)</f>
        <v>Ammunition and Explosives (other)</v>
      </c>
      <c r="N536" s="25"/>
      <c r="O536" s="25"/>
      <c r="P536" s="25"/>
      <c r="Q536" s="25"/>
      <c r="R536" s="25"/>
      <c r="S536" s="25"/>
      <c r="T536" s="115" t="s">
        <v>2145</v>
      </c>
      <c r="U536" s="104">
        <f>_xlfn.IFNA(S536/INDEX('Exchange Rates'!$C$7:$F$14,MATCH('MAIN DATA, Orders'!F536,'Exchange Rates'!$B$7:$B$14,0),MATCH('MAIN DATA, Orders'!T536,'Exchange Rates'!$C$6:$F$6,0)), "-")</f>
        <v>0</v>
      </c>
      <c r="V536" s="6" t="s">
        <v>127</v>
      </c>
      <c r="W536" s="6" t="s">
        <v>127</v>
      </c>
      <c r="X536" s="6" t="s">
        <v>809</v>
      </c>
      <c r="Y536" s="24">
        <f t="shared" si="95"/>
        <v>202310</v>
      </c>
      <c r="Z536" s="24">
        <v>0</v>
      </c>
      <c r="AA536" s="24">
        <v>0</v>
      </c>
      <c r="AB536" s="24">
        <v>0</v>
      </c>
      <c r="AC536" s="24" t="s">
        <v>127</v>
      </c>
      <c r="AD536" s="24" t="s">
        <v>127</v>
      </c>
      <c r="AE536" s="24" t="s">
        <v>127</v>
      </c>
      <c r="AF536" s="24" t="s">
        <v>127</v>
      </c>
      <c r="AG536" s="10" t="s">
        <v>127</v>
      </c>
      <c r="AH536" s="10" t="s">
        <v>127</v>
      </c>
      <c r="AI536" s="10" t="s">
        <v>127</v>
      </c>
      <c r="AJ536" s="6" t="s">
        <v>127</v>
      </c>
      <c r="AK536" s="6" t="s">
        <v>127</v>
      </c>
      <c r="AL536" s="6" t="s">
        <v>127</v>
      </c>
      <c r="AM536" s="6" t="s">
        <v>127</v>
      </c>
      <c r="AN536" s="6" t="s">
        <v>127</v>
      </c>
      <c r="AO536" s="6" t="s">
        <v>127</v>
      </c>
      <c r="AP536" s="6" t="s">
        <v>127</v>
      </c>
      <c r="AQ536" s="6" t="s">
        <v>127</v>
      </c>
      <c r="AR536" s="6" t="s">
        <v>127</v>
      </c>
      <c r="AS536" s="6" t="s">
        <v>127</v>
      </c>
      <c r="AT536" s="6" t="s">
        <v>127</v>
      </c>
      <c r="AU536" s="6" t="s">
        <v>127</v>
      </c>
      <c r="AV536" s="6" t="s">
        <v>127</v>
      </c>
      <c r="AW536" s="6" t="s">
        <v>127</v>
      </c>
      <c r="AX536" s="6" t="s">
        <v>127</v>
      </c>
      <c r="AY536" s="99" t="s">
        <v>2764</v>
      </c>
      <c r="AZ536" s="6" t="s">
        <v>127</v>
      </c>
      <c r="BA536" s="6" t="s">
        <v>127</v>
      </c>
      <c r="BB536" s="6" t="s">
        <v>2765</v>
      </c>
      <c r="BC536" s="6" t="s">
        <v>2766</v>
      </c>
      <c r="BD536" s="6" t="s">
        <v>127</v>
      </c>
      <c r="BE536" s="6" t="s">
        <v>127</v>
      </c>
    </row>
    <row r="537" spans="1:58" ht="16" x14ac:dyDescent="0.4">
      <c r="A537" s="6" t="s">
        <v>2763</v>
      </c>
      <c r="B537" s="6" t="s">
        <v>2769</v>
      </c>
      <c r="C537" s="6" t="s">
        <v>2624</v>
      </c>
      <c r="D537" s="6" t="s">
        <v>2624</v>
      </c>
      <c r="E537" s="191">
        <v>45210</v>
      </c>
      <c r="F537" s="6">
        <f t="shared" si="93"/>
        <v>2023</v>
      </c>
      <c r="G537" s="4" t="s">
        <v>2632</v>
      </c>
      <c r="H537" s="22" t="str">
        <f>VLOOKUP($G537,'Item Classification'!B:C,2,0)</f>
        <v>Maintenance (unspecified)</v>
      </c>
      <c r="I537" s="6" t="str">
        <f>VLOOKUP($G537,'Item Classification'!B:D,3,0)</f>
        <v>Maintenance</v>
      </c>
      <c r="J537" s="23">
        <f>VLOOKUP($G537,'Item Classification'!B:E,4,0)</f>
        <v>14</v>
      </c>
      <c r="K537" s="195" t="s">
        <v>539</v>
      </c>
      <c r="L537" s="195" t="s">
        <v>2633</v>
      </c>
      <c r="M537" s="116" t="str">
        <f>VLOOKUP(L537,'NATO Classifications'!$D$6:$E$647,2,0)</f>
        <v>Miscellaneous Maintenance and Repair Shop Specialized Equipment</v>
      </c>
      <c r="N537" s="25"/>
      <c r="O537" s="25"/>
      <c r="P537" s="25"/>
      <c r="Q537" s="25"/>
      <c r="R537" s="25"/>
      <c r="S537" s="25"/>
      <c r="T537" s="115" t="s">
        <v>2145</v>
      </c>
      <c r="U537" s="104">
        <f>_xlfn.IFNA(S537/INDEX('Exchange Rates'!$C$7:$F$14,MATCH('MAIN DATA, Orders'!F537,'Exchange Rates'!$B$7:$B$14,0),MATCH('MAIN DATA, Orders'!T537,'Exchange Rates'!$C$6:$F$6,0)), "-")</f>
        <v>0</v>
      </c>
      <c r="V537" s="6" t="s">
        <v>127</v>
      </c>
      <c r="W537" s="6" t="s">
        <v>127</v>
      </c>
      <c r="X537" s="6" t="s">
        <v>809</v>
      </c>
      <c r="Y537" s="24">
        <f t="shared" si="95"/>
        <v>202310</v>
      </c>
      <c r="Z537" s="24">
        <v>0</v>
      </c>
      <c r="AA537" s="24">
        <v>0</v>
      </c>
      <c r="AB537" s="24">
        <v>0</v>
      </c>
      <c r="AC537" s="24" t="s">
        <v>127</v>
      </c>
      <c r="AD537" s="24" t="s">
        <v>127</v>
      </c>
      <c r="AE537" s="24" t="s">
        <v>127</v>
      </c>
      <c r="AF537" s="24" t="s">
        <v>127</v>
      </c>
      <c r="AG537" s="10" t="s">
        <v>127</v>
      </c>
      <c r="AH537" s="10" t="s">
        <v>127</v>
      </c>
      <c r="AI537" s="10" t="s">
        <v>127</v>
      </c>
      <c r="AJ537" s="6" t="s">
        <v>127</v>
      </c>
      <c r="AK537" s="6" t="s">
        <v>127</v>
      </c>
      <c r="AL537" s="6" t="s">
        <v>127</v>
      </c>
      <c r="AM537" s="6" t="s">
        <v>127</v>
      </c>
      <c r="AN537" s="6" t="s">
        <v>127</v>
      </c>
      <c r="AO537" s="6" t="s">
        <v>127</v>
      </c>
      <c r="AP537" s="6" t="s">
        <v>127</v>
      </c>
      <c r="AQ537" s="6" t="s">
        <v>127</v>
      </c>
      <c r="AR537" s="6" t="s">
        <v>127</v>
      </c>
      <c r="AS537" s="6" t="s">
        <v>127</v>
      </c>
      <c r="AT537" s="6" t="s">
        <v>127</v>
      </c>
      <c r="AU537" s="6" t="s">
        <v>127</v>
      </c>
      <c r="AV537" s="6" t="s">
        <v>127</v>
      </c>
      <c r="AW537" s="6" t="s">
        <v>127</v>
      </c>
      <c r="AX537" s="6" t="s">
        <v>127</v>
      </c>
      <c r="AY537" s="99" t="s">
        <v>2764</v>
      </c>
      <c r="AZ537" s="6" t="s">
        <v>127</v>
      </c>
      <c r="BA537" s="6" t="s">
        <v>127</v>
      </c>
      <c r="BB537" s="6" t="s">
        <v>2765</v>
      </c>
      <c r="BC537" s="6" t="s">
        <v>2766</v>
      </c>
      <c r="BD537" s="6" t="s">
        <v>127</v>
      </c>
      <c r="BE537" s="6" t="s">
        <v>127</v>
      </c>
    </row>
    <row r="538" spans="1:58" ht="16" x14ac:dyDescent="0.4">
      <c r="A538" s="6" t="s">
        <v>2763</v>
      </c>
      <c r="B538" s="6" t="s">
        <v>2770</v>
      </c>
      <c r="C538" s="6" t="s">
        <v>2624</v>
      </c>
      <c r="D538" s="6" t="s">
        <v>2624</v>
      </c>
      <c r="E538" s="191">
        <v>45210</v>
      </c>
      <c r="F538" s="6">
        <f t="shared" si="93"/>
        <v>2023</v>
      </c>
      <c r="G538" s="4" t="s">
        <v>2637</v>
      </c>
      <c r="H538" s="22" t="str">
        <f>VLOOKUP($G538,'Item Classification'!B:C,2,0)</f>
        <v>Air defence system (unspecified)</v>
      </c>
      <c r="I538" s="6" t="str">
        <f>VLOOKUP($G538,'Item Classification'!B:D,3,0)</f>
        <v>Air defence system</v>
      </c>
      <c r="J538" s="23">
        <f>VLOOKUP($G538,'Item Classification'!B:E,4,0)</f>
        <v>5</v>
      </c>
      <c r="K538" s="195" t="s">
        <v>211</v>
      </c>
      <c r="L538" s="195" t="s">
        <v>326</v>
      </c>
      <c r="M538" s="116" t="str">
        <f>VLOOKUP(L538,'NATO Classifications'!$D$6:$E$647,2,0)</f>
        <v>Guided Missile Systems, Complete</v>
      </c>
      <c r="N538" s="25"/>
      <c r="O538" s="25"/>
      <c r="P538" s="25"/>
      <c r="Q538" s="25"/>
      <c r="R538" s="25"/>
      <c r="S538" s="25"/>
      <c r="T538" s="115" t="s">
        <v>2145</v>
      </c>
      <c r="U538" s="104">
        <f>_xlfn.IFNA(S538/INDEX('Exchange Rates'!$C$7:$F$14,MATCH('MAIN DATA, Orders'!F538,'Exchange Rates'!$B$7:$B$14,0),MATCH('MAIN DATA, Orders'!T538,'Exchange Rates'!$C$6:$F$6,0)), "-")</f>
        <v>0</v>
      </c>
      <c r="V538" s="6" t="s">
        <v>127</v>
      </c>
      <c r="W538" s="6" t="s">
        <v>127</v>
      </c>
      <c r="X538" s="6" t="s">
        <v>809</v>
      </c>
      <c r="Y538" s="24">
        <f t="shared" si="95"/>
        <v>202310</v>
      </c>
      <c r="Z538" s="24">
        <v>0</v>
      </c>
      <c r="AA538" s="24">
        <v>0</v>
      </c>
      <c r="AB538" s="24">
        <v>0</v>
      </c>
      <c r="AC538" s="24" t="s">
        <v>127</v>
      </c>
      <c r="AD538" s="24" t="s">
        <v>127</v>
      </c>
      <c r="AE538" s="24" t="s">
        <v>127</v>
      </c>
      <c r="AF538" s="24" t="s">
        <v>127</v>
      </c>
      <c r="AG538" s="10" t="s">
        <v>127</v>
      </c>
      <c r="AH538" s="10" t="s">
        <v>127</v>
      </c>
      <c r="AI538" s="10" t="s">
        <v>127</v>
      </c>
      <c r="AJ538" s="6" t="s">
        <v>127</v>
      </c>
      <c r="AK538" s="6" t="s">
        <v>127</v>
      </c>
      <c r="AL538" s="6" t="s">
        <v>127</v>
      </c>
      <c r="AM538" s="6" t="s">
        <v>127</v>
      </c>
      <c r="AN538" s="6" t="s">
        <v>127</v>
      </c>
      <c r="AO538" s="6" t="s">
        <v>127</v>
      </c>
      <c r="AP538" s="6" t="s">
        <v>127</v>
      </c>
      <c r="AQ538" s="6" t="s">
        <v>127</v>
      </c>
      <c r="AR538" s="6" t="s">
        <v>127</v>
      </c>
      <c r="AS538" s="6" t="s">
        <v>127</v>
      </c>
      <c r="AT538" s="6" t="s">
        <v>127</v>
      </c>
      <c r="AU538" s="6" t="s">
        <v>127</v>
      </c>
      <c r="AV538" s="6" t="s">
        <v>127</v>
      </c>
      <c r="AW538" s="6" t="s">
        <v>127</v>
      </c>
      <c r="AX538" s="6" t="s">
        <v>127</v>
      </c>
      <c r="AY538" s="99" t="s">
        <v>2764</v>
      </c>
      <c r="AZ538" s="6" t="s">
        <v>127</v>
      </c>
      <c r="BA538" s="6" t="s">
        <v>127</v>
      </c>
      <c r="BB538" s="6" t="s">
        <v>2765</v>
      </c>
      <c r="BC538" s="6" t="s">
        <v>2766</v>
      </c>
      <c r="BD538" s="6" t="s">
        <v>127</v>
      </c>
      <c r="BE538" s="6" t="s">
        <v>127</v>
      </c>
    </row>
    <row r="539" spans="1:58" ht="16" x14ac:dyDescent="0.4">
      <c r="A539" s="6" t="s">
        <v>2763</v>
      </c>
      <c r="B539" s="6" t="s">
        <v>2771</v>
      </c>
      <c r="C539" s="6" t="s">
        <v>2624</v>
      </c>
      <c r="D539" s="6" t="s">
        <v>2624</v>
      </c>
      <c r="E539" s="191">
        <v>45210</v>
      </c>
      <c r="F539" s="6">
        <f t="shared" si="93"/>
        <v>2023</v>
      </c>
      <c r="G539" s="4" t="s">
        <v>2226</v>
      </c>
      <c r="H539" s="22" t="str">
        <f>VLOOKUP($G539,'Item Classification'!B:C,2,0)</f>
        <v>Vehicle-mounted bridge system</v>
      </c>
      <c r="I539" s="6" t="str">
        <f>VLOOKUP($G539,'Item Classification'!B:D,3,0)</f>
        <v>Other</v>
      </c>
      <c r="J539" s="23">
        <f>VLOOKUP($G539,'Item Classification'!B:E,4,0)</f>
        <v>16</v>
      </c>
      <c r="K539" s="195" t="s">
        <v>1549</v>
      </c>
      <c r="L539" s="195" t="s">
        <v>1790</v>
      </c>
      <c r="M539" s="116" t="str">
        <f>VLOOKUP(L539,'NATO Classifications'!$D$6:$E$647,2,0)</f>
        <v>Bridges, Fixed and Floating</v>
      </c>
      <c r="N539" s="25"/>
      <c r="O539" s="25"/>
      <c r="P539" s="25"/>
      <c r="Q539" s="25"/>
      <c r="R539" s="25"/>
      <c r="S539" s="25"/>
      <c r="T539" s="115" t="s">
        <v>2145</v>
      </c>
      <c r="U539" s="104">
        <f>_xlfn.IFNA(S539/INDEX('Exchange Rates'!$C$7:$F$14,MATCH('MAIN DATA, Orders'!F539,'Exchange Rates'!$B$7:$B$14,0),MATCH('MAIN DATA, Orders'!T539,'Exchange Rates'!$C$6:$F$6,0)), "-")</f>
        <v>0</v>
      </c>
      <c r="V539" s="6" t="s">
        <v>127</v>
      </c>
      <c r="W539" s="6" t="s">
        <v>127</v>
      </c>
      <c r="X539" s="6" t="s">
        <v>809</v>
      </c>
      <c r="Y539" s="24">
        <f t="shared" si="95"/>
        <v>202310</v>
      </c>
      <c r="Z539" s="24">
        <v>0</v>
      </c>
      <c r="AA539" s="24">
        <v>0</v>
      </c>
      <c r="AB539" s="24">
        <v>0</v>
      </c>
      <c r="AC539" s="24" t="s">
        <v>127</v>
      </c>
      <c r="AD539" s="24" t="s">
        <v>127</v>
      </c>
      <c r="AE539" s="24" t="s">
        <v>127</v>
      </c>
      <c r="AF539" s="24" t="s">
        <v>127</v>
      </c>
      <c r="AG539" s="10" t="s">
        <v>127</v>
      </c>
      <c r="AH539" s="10" t="s">
        <v>127</v>
      </c>
      <c r="AI539" s="10" t="s">
        <v>127</v>
      </c>
      <c r="AJ539" s="6" t="s">
        <v>127</v>
      </c>
      <c r="AK539" s="6" t="s">
        <v>127</v>
      </c>
      <c r="AL539" s="6" t="s">
        <v>127</v>
      </c>
      <c r="AM539" s="6" t="s">
        <v>127</v>
      </c>
      <c r="AN539" s="6" t="s">
        <v>127</v>
      </c>
      <c r="AO539" s="6" t="s">
        <v>127</v>
      </c>
      <c r="AP539" s="6" t="s">
        <v>127</v>
      </c>
      <c r="AQ539" s="6" t="s">
        <v>127</v>
      </c>
      <c r="AR539" s="6" t="s">
        <v>127</v>
      </c>
      <c r="AS539" s="6" t="s">
        <v>127</v>
      </c>
      <c r="AT539" s="6" t="s">
        <v>127</v>
      </c>
      <c r="AU539" s="6" t="s">
        <v>127</v>
      </c>
      <c r="AV539" s="6" t="s">
        <v>127</v>
      </c>
      <c r="AW539" s="6" t="s">
        <v>127</v>
      </c>
      <c r="AX539" s="6" t="s">
        <v>127</v>
      </c>
      <c r="AY539" s="99" t="s">
        <v>2764</v>
      </c>
      <c r="AZ539" s="6" t="s">
        <v>127</v>
      </c>
      <c r="BA539" s="6" t="s">
        <v>127</v>
      </c>
      <c r="BB539" s="6" t="s">
        <v>2765</v>
      </c>
      <c r="BC539" s="6" t="s">
        <v>2766</v>
      </c>
      <c r="BD539" s="6" t="s">
        <v>127</v>
      </c>
      <c r="BE539" s="6" t="s">
        <v>127</v>
      </c>
    </row>
    <row r="540" spans="1:58" ht="16" x14ac:dyDescent="0.4">
      <c r="A540" s="6" t="s">
        <v>2772</v>
      </c>
      <c r="B540" s="6" t="s">
        <v>2772</v>
      </c>
      <c r="C540" s="6" t="s">
        <v>127</v>
      </c>
      <c r="D540" s="6" t="s">
        <v>238</v>
      </c>
      <c r="E540" s="191">
        <v>45232</v>
      </c>
      <c r="F540" s="6">
        <f t="shared" si="93"/>
        <v>2023</v>
      </c>
      <c r="G540" s="4" t="s">
        <v>780</v>
      </c>
      <c r="H540" s="22" t="str">
        <f>VLOOKUP($G540,'Item Classification'!B:C,2,0)</f>
        <v>Communication equipment</v>
      </c>
      <c r="I540" s="6" t="str">
        <f>VLOOKUP($G540,'Item Classification'!B:D,3,0)</f>
        <v>Modernisation</v>
      </c>
      <c r="J540" s="23">
        <f>VLOOKUP($G540,'Item Classification'!B:E,4,0)</f>
        <v>13</v>
      </c>
      <c r="K540" s="195" t="s">
        <v>158</v>
      </c>
      <c r="L540" s="195" t="s">
        <v>354</v>
      </c>
      <c r="M540" s="116" t="str">
        <f>VLOOKUP(L540,'NATO Classifications'!$D$6:$E$647,2,0)</f>
        <v>Communication, Detection, and Coherent Radiation Equipment (other)</v>
      </c>
      <c r="N540" s="25"/>
      <c r="O540" s="25"/>
      <c r="P540" s="25"/>
      <c r="Q540" s="25"/>
      <c r="R540" s="25"/>
      <c r="S540" s="82">
        <v>17000000</v>
      </c>
      <c r="T540" s="115" t="s">
        <v>2145</v>
      </c>
      <c r="U540" s="104">
        <f>_xlfn.IFNA(S540/INDEX('Exchange Rates'!$C$7:$F$14,MATCH('MAIN DATA, Orders'!F540,'Exchange Rates'!$B$7:$B$14,0),MATCH('MAIN DATA, Orders'!T540,'Exchange Rates'!$C$6:$F$6,0)), "-")</f>
        <v>19544947.631037377</v>
      </c>
      <c r="V540" s="6" t="s">
        <v>127</v>
      </c>
      <c r="W540" s="6" t="s">
        <v>127</v>
      </c>
      <c r="X540" s="6" t="s">
        <v>238</v>
      </c>
      <c r="Y540" s="24">
        <f t="shared" si="95"/>
        <v>202311</v>
      </c>
      <c r="Z540" s="24">
        <v>0</v>
      </c>
      <c r="AA540" s="24">
        <v>0</v>
      </c>
      <c r="AB540" s="24">
        <v>0</v>
      </c>
      <c r="AC540" s="24">
        <v>0</v>
      </c>
      <c r="AD540" s="24">
        <v>0</v>
      </c>
      <c r="AE540" s="24">
        <v>0</v>
      </c>
      <c r="AF540" s="24">
        <v>0</v>
      </c>
      <c r="AG540" s="10" t="s">
        <v>2773</v>
      </c>
      <c r="AH540" s="10" t="s">
        <v>196</v>
      </c>
      <c r="AI540" s="10" t="s">
        <v>127</v>
      </c>
      <c r="AJ540" s="6" t="s">
        <v>127</v>
      </c>
      <c r="AK540" s="6" t="s">
        <v>127</v>
      </c>
      <c r="AL540" s="6" t="s">
        <v>127</v>
      </c>
      <c r="AM540" s="6" t="s">
        <v>127</v>
      </c>
      <c r="AN540" s="6" t="s">
        <v>127</v>
      </c>
      <c r="AO540" s="6" t="s">
        <v>127</v>
      </c>
      <c r="AP540" s="6" t="s">
        <v>127</v>
      </c>
      <c r="AQ540" s="6" t="s">
        <v>127</v>
      </c>
      <c r="AR540" s="6" t="s">
        <v>127</v>
      </c>
      <c r="AS540" s="6" t="s">
        <v>127</v>
      </c>
      <c r="AT540" s="6" t="s">
        <v>127</v>
      </c>
      <c r="AU540" s="6" t="s">
        <v>127</v>
      </c>
      <c r="AV540" s="6" t="s">
        <v>127</v>
      </c>
      <c r="AW540" s="6" t="s">
        <v>127</v>
      </c>
      <c r="AX540" s="6" t="s">
        <v>127</v>
      </c>
      <c r="AY540" s="99" t="s">
        <v>2774</v>
      </c>
      <c r="AZ540" s="6" t="s">
        <v>127</v>
      </c>
      <c r="BA540" s="6" t="s">
        <v>127</v>
      </c>
      <c r="BB540" s="6" t="s">
        <v>2775</v>
      </c>
      <c r="BC540" s="6" t="s">
        <v>2776</v>
      </c>
      <c r="BD540" s="6" t="s">
        <v>127</v>
      </c>
      <c r="BE540" s="6" t="s">
        <v>127</v>
      </c>
    </row>
    <row r="541" spans="1:58" ht="16" x14ac:dyDescent="0.4">
      <c r="A541" s="6" t="s">
        <v>2777</v>
      </c>
      <c r="B541" s="6" t="s">
        <v>2777</v>
      </c>
      <c r="C541" s="6" t="s">
        <v>127</v>
      </c>
      <c r="D541" s="6" t="s">
        <v>238</v>
      </c>
      <c r="E541" s="191">
        <v>45246</v>
      </c>
      <c r="F541" s="6">
        <f t="shared" si="93"/>
        <v>2023</v>
      </c>
      <c r="G541" s="4" t="s">
        <v>127</v>
      </c>
      <c r="H541" s="22" t="s">
        <v>1310</v>
      </c>
      <c r="I541" s="4" t="s">
        <v>1311</v>
      </c>
      <c r="J541" s="23">
        <v>8</v>
      </c>
      <c r="K541" s="195" t="s">
        <v>189</v>
      </c>
      <c r="L541" s="195" t="s">
        <v>740</v>
      </c>
      <c r="M541" s="116" t="str">
        <f>VLOOKUP(L541,'NATO Classifications'!$D$6:$E$647,2,0)</f>
        <v>Ammunition below 75mm</v>
      </c>
      <c r="N541" s="25"/>
      <c r="O541" s="25"/>
      <c r="P541" s="25"/>
      <c r="Q541" s="25"/>
      <c r="R541" s="25"/>
      <c r="S541" s="82">
        <v>20000000</v>
      </c>
      <c r="T541" s="115" t="s">
        <v>2145</v>
      </c>
      <c r="U541" s="104">
        <f>_xlfn.IFNA(S541/INDEX('Exchange Rates'!$C$7:$F$14,MATCH('MAIN DATA, Orders'!F541,'Exchange Rates'!$B$7:$B$14,0),MATCH('MAIN DATA, Orders'!T541,'Exchange Rates'!$C$6:$F$6,0)), "-")</f>
        <v>22994056.036514562</v>
      </c>
      <c r="V541" s="6" t="s">
        <v>127</v>
      </c>
      <c r="W541" s="6" t="s">
        <v>127</v>
      </c>
      <c r="X541" s="6" t="s">
        <v>238</v>
      </c>
      <c r="Y541" s="24">
        <f t="shared" si="95"/>
        <v>202311</v>
      </c>
      <c r="Z541" s="24">
        <v>0</v>
      </c>
      <c r="AA541" s="24">
        <v>0</v>
      </c>
      <c r="AB541" s="24">
        <v>0</v>
      </c>
      <c r="AC541" s="24">
        <v>1</v>
      </c>
      <c r="AD541" s="24">
        <v>0</v>
      </c>
      <c r="AE541" s="24">
        <v>0</v>
      </c>
      <c r="AF541" s="24">
        <v>0</v>
      </c>
      <c r="AG541" s="10" t="s">
        <v>1480</v>
      </c>
      <c r="AH541" s="10" t="s">
        <v>238</v>
      </c>
      <c r="AI541" s="10" t="s">
        <v>238</v>
      </c>
      <c r="AJ541" s="6" t="s">
        <v>127</v>
      </c>
      <c r="AK541" s="6" t="s">
        <v>127</v>
      </c>
      <c r="AL541" s="6" t="s">
        <v>127</v>
      </c>
      <c r="AM541" s="6" t="s">
        <v>127</v>
      </c>
      <c r="AN541" s="6" t="s">
        <v>127</v>
      </c>
      <c r="AO541" s="6" t="s">
        <v>127</v>
      </c>
      <c r="AP541" s="6" t="s">
        <v>127</v>
      </c>
      <c r="AQ541" s="6" t="s">
        <v>127</v>
      </c>
      <c r="AR541" s="6" t="s">
        <v>127</v>
      </c>
      <c r="AS541" s="6" t="s">
        <v>127</v>
      </c>
      <c r="AT541" s="6" t="s">
        <v>127</v>
      </c>
      <c r="AU541" s="6" t="s">
        <v>127</v>
      </c>
      <c r="AV541" s="6" t="s">
        <v>127</v>
      </c>
      <c r="AW541" s="6" t="s">
        <v>127</v>
      </c>
      <c r="AX541" s="6" t="s">
        <v>127</v>
      </c>
      <c r="AY541" s="99" t="s">
        <v>2778</v>
      </c>
      <c r="AZ541" s="6" t="s">
        <v>127</v>
      </c>
      <c r="BA541" s="6" t="s">
        <v>127</v>
      </c>
      <c r="BB541" s="6" t="s">
        <v>2779</v>
      </c>
      <c r="BC541" s="6" t="s">
        <v>2780</v>
      </c>
      <c r="BD541" s="6" t="s">
        <v>127</v>
      </c>
      <c r="BE541" s="6" t="s">
        <v>127</v>
      </c>
    </row>
    <row r="542" spans="1:58" ht="16" x14ac:dyDescent="0.4">
      <c r="A542" s="6" t="s">
        <v>2777</v>
      </c>
      <c r="B542" s="6" t="s">
        <v>2781</v>
      </c>
      <c r="C542" s="6" t="s">
        <v>127</v>
      </c>
      <c r="D542" s="6" t="s">
        <v>238</v>
      </c>
      <c r="E542" s="191">
        <v>45246</v>
      </c>
      <c r="F542" s="6">
        <f t="shared" si="93"/>
        <v>2023</v>
      </c>
      <c r="G542" s="117" t="s">
        <v>1315</v>
      </c>
      <c r="H542" s="22" t="str">
        <f>VLOOKUP($G542,'Item Classification'!B:C,2,0)</f>
        <v>Small Arms and Light Weapons (SALW) ammunition</v>
      </c>
      <c r="I542" s="6" t="str">
        <f>VLOOKUP($G542,'Item Classification'!B:D,3,0)</f>
        <v>Infantry</v>
      </c>
      <c r="J542" s="23">
        <f>VLOOKUP($G542,'Item Classification'!B:E,4,0)</f>
        <v>8</v>
      </c>
      <c r="K542" s="195" t="s">
        <v>189</v>
      </c>
      <c r="L542" s="195" t="s">
        <v>740</v>
      </c>
      <c r="M542" s="116" t="str">
        <f>VLOOKUP(L542,'NATO Classifications'!$D$6:$E$647,2,0)</f>
        <v>Ammunition below 75mm</v>
      </c>
      <c r="N542" s="25"/>
      <c r="O542" s="25"/>
      <c r="P542" s="25"/>
      <c r="Q542" s="25"/>
      <c r="R542" s="25"/>
      <c r="S542" s="82"/>
      <c r="T542" s="115" t="s">
        <v>2145</v>
      </c>
      <c r="U542" s="104">
        <f>_xlfn.IFNA(S542/INDEX('Exchange Rates'!$C$7:$F$14,MATCH('MAIN DATA, Orders'!F542,'Exchange Rates'!$B$7:$B$14,0),MATCH('MAIN DATA, Orders'!T542,'Exchange Rates'!$C$6:$F$6,0)), "-")</f>
        <v>0</v>
      </c>
      <c r="V542" s="6" t="s">
        <v>127</v>
      </c>
      <c r="W542" s="6" t="s">
        <v>127</v>
      </c>
      <c r="X542" s="6" t="s">
        <v>238</v>
      </c>
      <c r="Y542" s="24">
        <f t="shared" si="95"/>
        <v>202311</v>
      </c>
      <c r="Z542" s="24">
        <v>0</v>
      </c>
      <c r="AA542" s="24">
        <v>0</v>
      </c>
      <c r="AB542" s="24">
        <v>0</v>
      </c>
      <c r="AC542" s="24">
        <v>1</v>
      </c>
      <c r="AD542" s="24">
        <v>0</v>
      </c>
      <c r="AE542" s="24">
        <v>0</v>
      </c>
      <c r="AF542" s="24">
        <v>0</v>
      </c>
      <c r="AG542" s="10" t="s">
        <v>1480</v>
      </c>
      <c r="AH542" s="10" t="s">
        <v>238</v>
      </c>
      <c r="AI542" s="10" t="s">
        <v>238</v>
      </c>
      <c r="AJ542" s="6" t="s">
        <v>127</v>
      </c>
      <c r="AK542" s="6" t="s">
        <v>127</v>
      </c>
      <c r="AL542" s="6" t="s">
        <v>127</v>
      </c>
      <c r="AM542" s="6" t="s">
        <v>127</v>
      </c>
      <c r="AN542" s="6" t="s">
        <v>127</v>
      </c>
      <c r="AO542" s="6" t="s">
        <v>127</v>
      </c>
      <c r="AP542" s="6" t="s">
        <v>127</v>
      </c>
      <c r="AQ542" s="6" t="s">
        <v>127</v>
      </c>
      <c r="AR542" s="6" t="s">
        <v>127</v>
      </c>
      <c r="AS542" s="6" t="s">
        <v>127</v>
      </c>
      <c r="AT542" s="6" t="s">
        <v>127</v>
      </c>
      <c r="AU542" s="6" t="s">
        <v>127</v>
      </c>
      <c r="AV542" s="6" t="s">
        <v>127</v>
      </c>
      <c r="AW542" s="6" t="s">
        <v>127</v>
      </c>
      <c r="AX542" s="6" t="s">
        <v>127</v>
      </c>
      <c r="AY542" s="99" t="s">
        <v>2778</v>
      </c>
      <c r="AZ542" s="6" t="s">
        <v>127</v>
      </c>
      <c r="BA542" s="6" t="s">
        <v>127</v>
      </c>
      <c r="BB542" s="6" t="s">
        <v>2779</v>
      </c>
      <c r="BC542" s="6" t="s">
        <v>2780</v>
      </c>
      <c r="BD542" s="6" t="s">
        <v>127</v>
      </c>
      <c r="BE542" s="6" t="s">
        <v>127</v>
      </c>
    </row>
    <row r="543" spans="1:58" ht="16" x14ac:dyDescent="0.4">
      <c r="A543" s="6" t="s">
        <v>2777</v>
      </c>
      <c r="B543" s="6" t="s">
        <v>2782</v>
      </c>
      <c r="C543" s="6" t="s">
        <v>127</v>
      </c>
      <c r="D543" s="6" t="s">
        <v>238</v>
      </c>
      <c r="E543" s="191">
        <v>45246</v>
      </c>
      <c r="F543" s="6">
        <f t="shared" si="93"/>
        <v>2023</v>
      </c>
      <c r="G543" s="117" t="s">
        <v>2783</v>
      </c>
      <c r="H543" s="22" t="str">
        <f>VLOOKUP($G543,'Item Classification'!B:C,2,0)</f>
        <v>Small Arms and Light Weapons (SALW) ammunition</v>
      </c>
      <c r="I543" s="6" t="str">
        <f>VLOOKUP($G543,'Item Classification'!B:D,3,0)</f>
        <v>Infantry</v>
      </c>
      <c r="J543" s="23">
        <f>VLOOKUP($G543,'Item Classification'!B:E,4,0)</f>
        <v>8</v>
      </c>
      <c r="K543" s="195" t="s">
        <v>189</v>
      </c>
      <c r="L543" s="195" t="s">
        <v>740</v>
      </c>
      <c r="M543" s="116" t="str">
        <f>VLOOKUP(L543,'NATO Classifications'!$D$6:$E$647,2,0)</f>
        <v>Ammunition below 75mm</v>
      </c>
      <c r="N543" s="25"/>
      <c r="O543" s="25"/>
      <c r="P543" s="25"/>
      <c r="Q543" s="25"/>
      <c r="R543" s="25"/>
      <c r="S543" s="82"/>
      <c r="T543" s="115" t="s">
        <v>2145</v>
      </c>
      <c r="U543" s="104">
        <f>_xlfn.IFNA(S543/INDEX('Exchange Rates'!$C$7:$F$14,MATCH('MAIN DATA, Orders'!F543,'Exchange Rates'!$B$7:$B$14,0),MATCH('MAIN DATA, Orders'!T543,'Exchange Rates'!$C$6:$F$6,0)), "-")</f>
        <v>0</v>
      </c>
      <c r="V543" s="6" t="s">
        <v>127</v>
      </c>
      <c r="W543" s="6" t="s">
        <v>127</v>
      </c>
      <c r="X543" s="6" t="s">
        <v>238</v>
      </c>
      <c r="Y543" s="24">
        <f t="shared" si="95"/>
        <v>202311</v>
      </c>
      <c r="Z543" s="24">
        <v>0</v>
      </c>
      <c r="AA543" s="24">
        <v>0</v>
      </c>
      <c r="AB543" s="24">
        <v>0</v>
      </c>
      <c r="AC543" s="24">
        <v>1</v>
      </c>
      <c r="AD543" s="24">
        <v>0</v>
      </c>
      <c r="AE543" s="24">
        <v>0</v>
      </c>
      <c r="AF543" s="24">
        <v>0</v>
      </c>
      <c r="AG543" s="10" t="s">
        <v>1480</v>
      </c>
      <c r="AH543" s="10" t="s">
        <v>238</v>
      </c>
      <c r="AI543" s="10" t="s">
        <v>238</v>
      </c>
      <c r="AJ543" s="6" t="s">
        <v>127</v>
      </c>
      <c r="AK543" s="6" t="s">
        <v>127</v>
      </c>
      <c r="AL543" s="6" t="s">
        <v>127</v>
      </c>
      <c r="AM543" s="6" t="s">
        <v>127</v>
      </c>
      <c r="AN543" s="6" t="s">
        <v>127</v>
      </c>
      <c r="AO543" s="6" t="s">
        <v>127</v>
      </c>
      <c r="AP543" s="6" t="s">
        <v>127</v>
      </c>
      <c r="AQ543" s="6" t="s">
        <v>127</v>
      </c>
      <c r="AR543" s="6" t="s">
        <v>127</v>
      </c>
      <c r="AS543" s="6" t="s">
        <v>127</v>
      </c>
      <c r="AT543" s="6" t="s">
        <v>127</v>
      </c>
      <c r="AU543" s="6" t="s">
        <v>127</v>
      </c>
      <c r="AV543" s="6" t="s">
        <v>127</v>
      </c>
      <c r="AW543" s="6" t="s">
        <v>127</v>
      </c>
      <c r="AX543" s="6" t="s">
        <v>127</v>
      </c>
      <c r="AY543" s="99" t="s">
        <v>2778</v>
      </c>
      <c r="AZ543" s="6" t="s">
        <v>127</v>
      </c>
      <c r="BA543" s="6" t="s">
        <v>127</v>
      </c>
      <c r="BB543" s="6" t="s">
        <v>2779</v>
      </c>
      <c r="BC543" s="6" t="s">
        <v>2780</v>
      </c>
      <c r="BD543" s="6" t="s">
        <v>127</v>
      </c>
      <c r="BE543" s="6" t="s">
        <v>127</v>
      </c>
    </row>
    <row r="544" spans="1:58" ht="16" x14ac:dyDescent="0.4">
      <c r="A544" s="6" t="s">
        <v>2784</v>
      </c>
      <c r="B544" s="6" t="s">
        <v>2784</v>
      </c>
      <c r="C544" s="6" t="s">
        <v>127</v>
      </c>
      <c r="D544" s="6" t="s">
        <v>238</v>
      </c>
      <c r="E544" s="191">
        <v>45282</v>
      </c>
      <c r="F544" s="6">
        <f t="shared" ref="F544:F564" si="116">YEAR(E544)</f>
        <v>2023</v>
      </c>
      <c r="G544" s="4" t="s">
        <v>127</v>
      </c>
      <c r="H544" s="22" t="s">
        <v>286</v>
      </c>
      <c r="I544" s="4" t="s">
        <v>287</v>
      </c>
      <c r="J544" s="23">
        <v>16</v>
      </c>
      <c r="K544" s="195" t="s">
        <v>274</v>
      </c>
      <c r="L544" s="195" t="s">
        <v>275</v>
      </c>
      <c r="M544" s="116" t="str">
        <f>VLOOKUP(L544,'NATO Classifications'!$D$6:$E$647,2,0)</f>
        <v>Trucks and Truck Tractors, Wheeled</v>
      </c>
      <c r="N544" s="25"/>
      <c r="O544" s="25"/>
      <c r="P544" s="25"/>
      <c r="Q544" s="25">
        <v>2025</v>
      </c>
      <c r="R544" s="25">
        <v>2040</v>
      </c>
      <c r="S544" s="82">
        <v>50000000</v>
      </c>
      <c r="T544" s="115" t="s">
        <v>2145</v>
      </c>
      <c r="U544" s="104">
        <f>_xlfn.IFNA(S544/INDEX('Exchange Rates'!$C$7:$F$14,MATCH('MAIN DATA, Orders'!F544,'Exchange Rates'!$B$7:$B$14,0),MATCH('MAIN DATA, Orders'!T544,'Exchange Rates'!$C$6:$F$6,0)), "-")</f>
        <v>57485140.091286406</v>
      </c>
      <c r="V544" s="6" t="s">
        <v>127</v>
      </c>
      <c r="W544" s="6" t="s">
        <v>127</v>
      </c>
      <c r="X544" s="6" t="s">
        <v>238</v>
      </c>
      <c r="Y544" s="24">
        <f t="shared" si="95"/>
        <v>202312</v>
      </c>
      <c r="Z544" s="24">
        <v>0</v>
      </c>
      <c r="AA544" s="24">
        <v>0</v>
      </c>
      <c r="AB544" s="24">
        <v>0</v>
      </c>
      <c r="AC544" s="24">
        <v>1</v>
      </c>
      <c r="AD544" s="24">
        <v>1</v>
      </c>
      <c r="AE544" s="24">
        <v>0</v>
      </c>
      <c r="AF544" s="24">
        <v>1</v>
      </c>
      <c r="AG544" s="10" t="s">
        <v>2785</v>
      </c>
      <c r="AH544" s="10" t="s">
        <v>238</v>
      </c>
      <c r="AI544" s="10" t="s">
        <v>127</v>
      </c>
      <c r="AJ544" s="6" t="s">
        <v>2786</v>
      </c>
      <c r="AK544" s="6" t="s">
        <v>127</v>
      </c>
      <c r="AL544" s="6" t="s">
        <v>127</v>
      </c>
      <c r="AM544" s="6" t="s">
        <v>127</v>
      </c>
      <c r="AN544" s="6" t="s">
        <v>146</v>
      </c>
      <c r="AO544" s="6" t="s">
        <v>127</v>
      </c>
      <c r="AP544" s="6" t="s">
        <v>127</v>
      </c>
      <c r="AQ544" s="6" t="s">
        <v>127</v>
      </c>
      <c r="AR544" s="6" t="s">
        <v>127</v>
      </c>
      <c r="AS544" s="6" t="s">
        <v>127</v>
      </c>
      <c r="AT544" s="6" t="s">
        <v>127</v>
      </c>
      <c r="AU544" s="6" t="s">
        <v>127</v>
      </c>
      <c r="AV544" s="6" t="s">
        <v>127</v>
      </c>
      <c r="AW544" s="6" t="s">
        <v>127</v>
      </c>
      <c r="AX544" s="6" t="s">
        <v>127</v>
      </c>
      <c r="AY544" s="99" t="s">
        <v>2787</v>
      </c>
      <c r="AZ544" s="6" t="s">
        <v>127</v>
      </c>
      <c r="BA544" s="6" t="s">
        <v>127</v>
      </c>
      <c r="BB544" s="6" t="s">
        <v>2788</v>
      </c>
      <c r="BC544" s="6" t="s">
        <v>127</v>
      </c>
      <c r="BD544" s="6" t="s">
        <v>127</v>
      </c>
      <c r="BE544" s="6" t="s">
        <v>2789</v>
      </c>
      <c r="BF544" s="6" t="s">
        <v>127</v>
      </c>
    </row>
    <row r="545" spans="1:58" ht="16" x14ac:dyDescent="0.4">
      <c r="A545" s="6" t="s">
        <v>2784</v>
      </c>
      <c r="B545" s="6" t="s">
        <v>2790</v>
      </c>
      <c r="C545" s="6" t="s">
        <v>127</v>
      </c>
      <c r="D545" s="6" t="s">
        <v>238</v>
      </c>
      <c r="E545" s="191">
        <v>45282</v>
      </c>
      <c r="F545" s="6">
        <f t="shared" si="116"/>
        <v>2023</v>
      </c>
      <c r="G545" s="4" t="s">
        <v>2791</v>
      </c>
      <c r="H545" s="22" t="str">
        <f>VLOOKUP($G545,'Item Classification'!B:C,2,0)</f>
        <v>Non-combat military vehicle</v>
      </c>
      <c r="I545" s="6" t="str">
        <f>VLOOKUP($G545,'Item Classification'!B:D,3,0)</f>
        <v>Other</v>
      </c>
      <c r="J545" s="23">
        <f>VLOOKUP($G545,'Item Classification'!B:E,4,0)</f>
        <v>16</v>
      </c>
      <c r="K545" s="195" t="s">
        <v>539</v>
      </c>
      <c r="L545" s="195" t="s">
        <v>2792</v>
      </c>
      <c r="M545" s="116" t="str">
        <f>VLOOKUP(L545,'NATO Classifications'!$D$6:$E$647,2,0)</f>
        <v>Lubrication and Fuel Dispensing Equipment</v>
      </c>
      <c r="N545" s="25">
        <v>90</v>
      </c>
      <c r="O545" s="25"/>
      <c r="P545" s="25"/>
      <c r="Q545" s="25">
        <v>2025</v>
      </c>
      <c r="R545" s="25">
        <v>2040</v>
      </c>
      <c r="S545" s="82"/>
      <c r="T545" s="115" t="s">
        <v>2145</v>
      </c>
      <c r="U545" s="104">
        <f>_xlfn.IFNA(S545/INDEX('Exchange Rates'!$C$7:$F$14,MATCH('MAIN DATA, Orders'!F545,'Exchange Rates'!$B$7:$B$14,0),MATCH('MAIN DATA, Orders'!T545,'Exchange Rates'!$C$6:$F$6,0)), "-")</f>
        <v>0</v>
      </c>
      <c r="V545" s="6" t="s">
        <v>127</v>
      </c>
      <c r="W545" s="6" t="s">
        <v>127</v>
      </c>
      <c r="X545" s="6" t="s">
        <v>238</v>
      </c>
      <c r="Y545" s="24">
        <f t="shared" si="95"/>
        <v>202312</v>
      </c>
      <c r="Z545" s="24">
        <v>0</v>
      </c>
      <c r="AA545" s="24">
        <v>0</v>
      </c>
      <c r="AB545" s="24">
        <v>0</v>
      </c>
      <c r="AC545" s="24">
        <v>1</v>
      </c>
      <c r="AD545" s="24">
        <v>1</v>
      </c>
      <c r="AE545" s="24">
        <v>0</v>
      </c>
      <c r="AF545" s="24">
        <v>1</v>
      </c>
      <c r="AG545" s="10" t="s">
        <v>2785</v>
      </c>
      <c r="AH545" s="10" t="s">
        <v>238</v>
      </c>
      <c r="AI545" s="10" t="s">
        <v>127</v>
      </c>
      <c r="AJ545" s="6" t="s">
        <v>2786</v>
      </c>
      <c r="AK545" s="6" t="s">
        <v>127</v>
      </c>
      <c r="AL545" s="6" t="s">
        <v>127</v>
      </c>
      <c r="AM545" s="6" t="s">
        <v>127</v>
      </c>
      <c r="AN545" s="6" t="s">
        <v>146</v>
      </c>
      <c r="AO545" s="6" t="s">
        <v>127</v>
      </c>
      <c r="AP545" s="6" t="s">
        <v>127</v>
      </c>
      <c r="AQ545" s="6" t="s">
        <v>127</v>
      </c>
      <c r="AR545" s="6" t="s">
        <v>127</v>
      </c>
      <c r="AS545" s="6" t="s">
        <v>127</v>
      </c>
      <c r="AT545" s="6" t="s">
        <v>127</v>
      </c>
      <c r="AU545" s="6" t="s">
        <v>127</v>
      </c>
      <c r="AV545" s="6" t="s">
        <v>127</v>
      </c>
      <c r="AW545" s="6" t="s">
        <v>127</v>
      </c>
      <c r="AX545" s="6" t="s">
        <v>127</v>
      </c>
      <c r="AY545" s="99" t="s">
        <v>2787</v>
      </c>
      <c r="AZ545" s="6" t="s">
        <v>127</v>
      </c>
      <c r="BA545" s="6" t="s">
        <v>127</v>
      </c>
      <c r="BB545" s="6" t="s">
        <v>2788</v>
      </c>
      <c r="BC545" s="6" t="s">
        <v>127</v>
      </c>
      <c r="BD545" s="6" t="s">
        <v>127</v>
      </c>
      <c r="BE545" s="6" t="s">
        <v>2789</v>
      </c>
      <c r="BF545" s="6" t="s">
        <v>127</v>
      </c>
    </row>
    <row r="546" spans="1:58" ht="16" x14ac:dyDescent="0.4">
      <c r="A546" s="6" t="s">
        <v>2784</v>
      </c>
      <c r="B546" s="6" t="s">
        <v>2793</v>
      </c>
      <c r="C546" s="6" t="s">
        <v>127</v>
      </c>
      <c r="D546" s="6" t="s">
        <v>238</v>
      </c>
      <c r="E546" s="191">
        <v>45282</v>
      </c>
      <c r="F546" s="6">
        <f t="shared" si="116"/>
        <v>2023</v>
      </c>
      <c r="G546" s="4" t="s">
        <v>2794</v>
      </c>
      <c r="H546" s="22" t="str">
        <f>VLOOKUP($G546,'Item Classification'!B:C,2,0)</f>
        <v>Non-combat military vehicle</v>
      </c>
      <c r="I546" s="6" t="str">
        <f>VLOOKUP($G546,'Item Classification'!B:D,3,0)</f>
        <v>Other</v>
      </c>
      <c r="J546" s="23">
        <f>VLOOKUP($G546,'Item Classification'!B:E,4,0)</f>
        <v>16</v>
      </c>
      <c r="K546" s="195" t="s">
        <v>539</v>
      </c>
      <c r="L546" s="195" t="s">
        <v>2792</v>
      </c>
      <c r="M546" s="116" t="str">
        <f>VLOOKUP(L546,'NATO Classifications'!$D$6:$E$647,2,0)</f>
        <v>Lubrication and Fuel Dispensing Equipment</v>
      </c>
      <c r="N546" s="25"/>
      <c r="O546" s="25"/>
      <c r="P546" s="25"/>
      <c r="Q546" s="25">
        <v>2025</v>
      </c>
      <c r="R546" s="25">
        <v>2040</v>
      </c>
      <c r="S546" s="82"/>
      <c r="T546" s="115" t="s">
        <v>2145</v>
      </c>
      <c r="U546" s="104">
        <f>_xlfn.IFNA(S546/INDEX('Exchange Rates'!$C$7:$F$14,MATCH('MAIN DATA, Orders'!F546,'Exchange Rates'!$B$7:$B$14,0),MATCH('MAIN DATA, Orders'!T546,'Exchange Rates'!$C$6:$F$6,0)), "-")</f>
        <v>0</v>
      </c>
      <c r="V546" s="6" t="s">
        <v>127</v>
      </c>
      <c r="W546" s="6" t="s">
        <v>127</v>
      </c>
      <c r="X546" s="6" t="s">
        <v>238</v>
      </c>
      <c r="Y546" s="24">
        <f t="shared" si="95"/>
        <v>202312</v>
      </c>
      <c r="Z546" s="24">
        <v>0</v>
      </c>
      <c r="AA546" s="24">
        <v>0</v>
      </c>
      <c r="AB546" s="24">
        <v>0</v>
      </c>
      <c r="AC546" s="24">
        <v>1</v>
      </c>
      <c r="AD546" s="24">
        <v>1</v>
      </c>
      <c r="AE546" s="24">
        <v>0</v>
      </c>
      <c r="AF546" s="24">
        <v>1</v>
      </c>
      <c r="AG546" s="10" t="s">
        <v>2785</v>
      </c>
      <c r="AH546" s="10" t="s">
        <v>238</v>
      </c>
      <c r="AI546" s="10" t="s">
        <v>127</v>
      </c>
      <c r="AJ546" s="6" t="s">
        <v>2786</v>
      </c>
      <c r="AK546" s="6" t="s">
        <v>127</v>
      </c>
      <c r="AL546" s="6" t="s">
        <v>127</v>
      </c>
      <c r="AM546" s="6" t="s">
        <v>127</v>
      </c>
      <c r="AN546" s="6" t="s">
        <v>146</v>
      </c>
      <c r="AO546" s="6" t="s">
        <v>127</v>
      </c>
      <c r="AP546" s="6" t="s">
        <v>127</v>
      </c>
      <c r="AQ546" s="6" t="s">
        <v>127</v>
      </c>
      <c r="AR546" s="6" t="s">
        <v>127</v>
      </c>
      <c r="AS546" s="6" t="s">
        <v>127</v>
      </c>
      <c r="AT546" s="6" t="s">
        <v>127</v>
      </c>
      <c r="AU546" s="6" t="s">
        <v>127</v>
      </c>
      <c r="AV546" s="6" t="s">
        <v>127</v>
      </c>
      <c r="AW546" s="6" t="s">
        <v>127</v>
      </c>
      <c r="AX546" s="6" t="s">
        <v>127</v>
      </c>
      <c r="AY546" s="99" t="s">
        <v>2787</v>
      </c>
      <c r="AZ546" s="6" t="s">
        <v>127</v>
      </c>
      <c r="BA546" s="6" t="s">
        <v>127</v>
      </c>
      <c r="BB546" s="6" t="s">
        <v>2788</v>
      </c>
      <c r="BC546" s="6" t="s">
        <v>127</v>
      </c>
      <c r="BD546" s="6" t="s">
        <v>127</v>
      </c>
      <c r="BE546" s="6" t="s">
        <v>2789</v>
      </c>
      <c r="BF546" s="6" t="s">
        <v>127</v>
      </c>
    </row>
    <row r="547" spans="1:58" ht="16" x14ac:dyDescent="0.4">
      <c r="A547" s="6" t="s">
        <v>2795</v>
      </c>
      <c r="B547" s="6" t="s">
        <v>2795</v>
      </c>
      <c r="C547" s="6" t="s">
        <v>127</v>
      </c>
      <c r="D547" s="6" t="s">
        <v>238</v>
      </c>
      <c r="E547" s="191">
        <v>45308</v>
      </c>
      <c r="F547" s="6">
        <f t="shared" si="116"/>
        <v>2024</v>
      </c>
      <c r="G547" s="4" t="s">
        <v>2796</v>
      </c>
      <c r="H547" s="22" t="str">
        <f>VLOOKUP($G547,'Item Classification'!B:C,2,0)</f>
        <v>Communication and digitalisation</v>
      </c>
      <c r="I547" s="6" t="str">
        <f>VLOOKUP($G547,'Item Classification'!B:D,3,0)</f>
        <v>Modernisation</v>
      </c>
      <c r="J547" s="23">
        <f>VLOOKUP($G547,'Item Classification'!B:E,4,0)</f>
        <v>13</v>
      </c>
      <c r="K547" s="195" t="s">
        <v>168</v>
      </c>
      <c r="L547" s="195" t="s">
        <v>182</v>
      </c>
      <c r="M547" s="116" t="str">
        <f>VLOOKUP(L547,'NATO Classifications'!$D$6:$E$647,2,0)</f>
        <v>ADP Software</v>
      </c>
      <c r="N547" s="25">
        <v>4</v>
      </c>
      <c r="O547" s="81">
        <f>S547/N547</f>
        <v>37500000</v>
      </c>
      <c r="P547" s="81">
        <f t="shared" ref="P547" si="117">U547/N547</f>
        <v>44293779.972124442</v>
      </c>
      <c r="Q547" s="6">
        <v>2024</v>
      </c>
      <c r="R547" s="6">
        <v>2028</v>
      </c>
      <c r="S547" s="82">
        <v>150000000</v>
      </c>
      <c r="T547" s="115" t="s">
        <v>2145</v>
      </c>
      <c r="U547" s="104">
        <f>_xlfn.IFNA(S547/INDEX('Exchange Rates'!$C$7:$F$14,MATCH('MAIN DATA, Orders'!F547,'Exchange Rates'!$B$7:$B$14,0),MATCH('MAIN DATA, Orders'!T547,'Exchange Rates'!$C$6:$F$6,0)), "-")</f>
        <v>177175119.88849777</v>
      </c>
      <c r="V547" s="6" t="s">
        <v>127</v>
      </c>
      <c r="W547" s="6" t="s">
        <v>127</v>
      </c>
      <c r="X547" s="6" t="s">
        <v>238</v>
      </c>
      <c r="Y547" s="24">
        <f t="shared" si="95"/>
        <v>202401</v>
      </c>
      <c r="Z547" s="24">
        <v>0</v>
      </c>
      <c r="AA547" s="24">
        <v>1</v>
      </c>
      <c r="AB547" s="24">
        <v>0</v>
      </c>
      <c r="AC547" s="24">
        <v>1</v>
      </c>
      <c r="AD547" s="24">
        <v>0</v>
      </c>
      <c r="AE547" s="24">
        <v>0</v>
      </c>
      <c r="AF547" s="24">
        <v>0</v>
      </c>
      <c r="AG547" s="10" t="s">
        <v>2797</v>
      </c>
      <c r="AH547" s="10" t="s">
        <v>238</v>
      </c>
      <c r="AI547" s="10" t="s">
        <v>127</v>
      </c>
      <c r="AJ547" s="6" t="s">
        <v>127</v>
      </c>
      <c r="AK547" s="6" t="s">
        <v>127</v>
      </c>
      <c r="AL547" s="6" t="s">
        <v>127</v>
      </c>
      <c r="AM547" s="6" t="s">
        <v>127</v>
      </c>
      <c r="AN547" s="6" t="s">
        <v>127</v>
      </c>
      <c r="AO547" s="6" t="s">
        <v>127</v>
      </c>
      <c r="AP547" s="6" t="s">
        <v>127</v>
      </c>
      <c r="AQ547" s="6" t="s">
        <v>127</v>
      </c>
      <c r="AR547" s="6" t="s">
        <v>127</v>
      </c>
      <c r="AS547" s="6" t="s">
        <v>127</v>
      </c>
      <c r="AT547" s="6" t="s">
        <v>127</v>
      </c>
      <c r="AU547" s="6" t="s">
        <v>127</v>
      </c>
      <c r="AV547" s="6" t="s">
        <v>127</v>
      </c>
      <c r="AW547" s="6" t="s">
        <v>127</v>
      </c>
      <c r="AX547" s="6" t="s">
        <v>127</v>
      </c>
      <c r="AY547" s="99" t="s">
        <v>2798</v>
      </c>
      <c r="AZ547" s="6" t="s">
        <v>127</v>
      </c>
      <c r="BA547" s="6" t="s">
        <v>127</v>
      </c>
      <c r="BB547" s="6" t="s">
        <v>2799</v>
      </c>
      <c r="BC547" s="6" t="s">
        <v>2800</v>
      </c>
      <c r="BD547" s="6" t="s">
        <v>127</v>
      </c>
      <c r="BE547" s="6" t="s">
        <v>127</v>
      </c>
    </row>
    <row r="548" spans="1:58" ht="16" x14ac:dyDescent="0.4">
      <c r="A548" s="6" t="s">
        <v>2801</v>
      </c>
      <c r="B548" s="6" t="s">
        <v>2801</v>
      </c>
      <c r="C548" s="6" t="s">
        <v>127</v>
      </c>
      <c r="D548" s="6" t="s">
        <v>238</v>
      </c>
      <c r="E548" s="191">
        <v>45312</v>
      </c>
      <c r="F548" s="6">
        <f t="shared" si="116"/>
        <v>2024</v>
      </c>
      <c r="G548" s="4" t="s">
        <v>2802</v>
      </c>
      <c r="H548" s="22" t="str">
        <f>VLOOKUP($G548,'Item Classification'!B:C,2,0)</f>
        <v>Naval surface-to-air missile (SAM) missile (long range)</v>
      </c>
      <c r="I548" s="6" t="str">
        <f>VLOOKUP($G548,'Item Classification'!B:D,3,0)</f>
        <v>Missile (Naval)</v>
      </c>
      <c r="J548" s="23">
        <f>VLOOKUP($G548,'Item Classification'!B:E,4,0)</f>
        <v>6</v>
      </c>
      <c r="K548" s="195" t="s">
        <v>211</v>
      </c>
      <c r="L548" s="195" t="s">
        <v>326</v>
      </c>
      <c r="M548" s="116" t="str">
        <f>VLOOKUP(L548,'NATO Classifications'!$D$6:$E$647,2,0)</f>
        <v>Guided Missile Systems, Complete</v>
      </c>
      <c r="N548" s="25"/>
      <c r="O548" s="25"/>
      <c r="P548" s="25"/>
      <c r="Q548" s="25"/>
      <c r="R548" s="25">
        <v>2032</v>
      </c>
      <c r="S548" s="82">
        <v>405000000</v>
      </c>
      <c r="T548" s="115" t="s">
        <v>2145</v>
      </c>
      <c r="U548" s="104">
        <f>_xlfn.IFNA(S548/INDEX('Exchange Rates'!$C$7:$F$14,MATCH('MAIN DATA, Orders'!F548,'Exchange Rates'!$B$7:$B$14,0),MATCH('MAIN DATA, Orders'!T548,'Exchange Rates'!$C$6:$F$6,0)), "-")</f>
        <v>478372823.69894403</v>
      </c>
      <c r="V548" s="6" t="s">
        <v>127</v>
      </c>
      <c r="W548" s="6" t="s">
        <v>127</v>
      </c>
      <c r="X548" s="6" t="s">
        <v>238</v>
      </c>
      <c r="Y548" s="24">
        <f t="shared" si="95"/>
        <v>202401</v>
      </c>
      <c r="Z548" s="24">
        <v>0</v>
      </c>
      <c r="AA548" s="24">
        <v>0</v>
      </c>
      <c r="AB548" s="24">
        <v>0</v>
      </c>
      <c r="AC548" s="24">
        <v>1</v>
      </c>
      <c r="AD548" s="24">
        <v>1</v>
      </c>
      <c r="AE548" s="24">
        <v>0</v>
      </c>
      <c r="AF548" s="24">
        <v>1</v>
      </c>
      <c r="AG548" s="10" t="s">
        <v>2248</v>
      </c>
      <c r="AH548" s="10" t="s">
        <v>238</v>
      </c>
      <c r="AI548" s="10" t="s">
        <v>238</v>
      </c>
      <c r="AJ548" s="6" t="s">
        <v>475</v>
      </c>
      <c r="AK548" s="6" t="s">
        <v>127</v>
      </c>
      <c r="AL548" s="6" t="s">
        <v>127</v>
      </c>
      <c r="AM548" s="6" t="s">
        <v>127</v>
      </c>
      <c r="AN548" s="6" t="s">
        <v>151</v>
      </c>
      <c r="AO548" s="6" t="s">
        <v>197</v>
      </c>
      <c r="AP548" s="6" t="s">
        <v>128</v>
      </c>
      <c r="AQ548" s="6" t="s">
        <v>162</v>
      </c>
      <c r="AR548" s="6" t="s">
        <v>127</v>
      </c>
      <c r="AS548" s="6" t="s">
        <v>127</v>
      </c>
      <c r="AT548" s="6" t="s">
        <v>127</v>
      </c>
      <c r="AU548" s="6" t="s">
        <v>127</v>
      </c>
      <c r="AV548" s="6" t="s">
        <v>127</v>
      </c>
      <c r="AW548" s="6" t="s">
        <v>127</v>
      </c>
      <c r="AX548" s="6" t="s">
        <v>127</v>
      </c>
      <c r="AY548" s="99" t="s">
        <v>2803</v>
      </c>
      <c r="AZ548" s="6" t="s">
        <v>127</v>
      </c>
      <c r="BA548" s="6" t="s">
        <v>127</v>
      </c>
      <c r="BB548" s="6" t="s">
        <v>2804</v>
      </c>
      <c r="BC548" s="6" t="s">
        <v>2805</v>
      </c>
      <c r="BD548" s="6" t="s">
        <v>127</v>
      </c>
      <c r="BE548" s="6" t="s">
        <v>127</v>
      </c>
    </row>
    <row r="549" spans="1:58" ht="16" x14ac:dyDescent="0.4">
      <c r="A549" s="6" t="s">
        <v>2806</v>
      </c>
      <c r="B549" s="6" t="s">
        <v>2806</v>
      </c>
      <c r="C549" s="6" t="s">
        <v>127</v>
      </c>
      <c r="D549" s="6" t="s">
        <v>238</v>
      </c>
      <c r="E549" s="191">
        <v>45316</v>
      </c>
      <c r="F549" s="6">
        <f t="shared" si="116"/>
        <v>2024</v>
      </c>
      <c r="G549" s="4" t="s">
        <v>2226</v>
      </c>
      <c r="H549" s="22" t="str">
        <f>VLOOKUP($G549,'Item Classification'!B:C,2,0)</f>
        <v>Vehicle-mounted bridge system</v>
      </c>
      <c r="I549" s="6" t="str">
        <f>VLOOKUP($G549,'Item Classification'!B:D,3,0)</f>
        <v>Other</v>
      </c>
      <c r="J549" s="23">
        <f>VLOOKUP($G549,'Item Classification'!B:E,4,0)</f>
        <v>16</v>
      </c>
      <c r="K549" s="195" t="s">
        <v>1549</v>
      </c>
      <c r="L549" s="195" t="s">
        <v>1790</v>
      </c>
      <c r="M549" s="116" t="str">
        <f>VLOOKUP(L549,'NATO Classifications'!$D$6:$E$647,2,0)</f>
        <v>Bridges, Fixed and Floating</v>
      </c>
      <c r="N549" s="25"/>
      <c r="O549" s="25"/>
      <c r="P549" s="25"/>
      <c r="Q549" s="25"/>
      <c r="R549" s="25"/>
      <c r="S549" s="82">
        <v>150000000</v>
      </c>
      <c r="T549" s="115" t="s">
        <v>2145</v>
      </c>
      <c r="U549" s="104">
        <f>_xlfn.IFNA(S549/INDEX('Exchange Rates'!$C$7:$F$14,MATCH('MAIN DATA, Orders'!F549,'Exchange Rates'!$B$7:$B$14,0),MATCH('MAIN DATA, Orders'!T549,'Exchange Rates'!$C$6:$F$6,0)), "-")</f>
        <v>177175119.88849777</v>
      </c>
      <c r="V549" s="6" t="s">
        <v>127</v>
      </c>
      <c r="W549" s="6" t="s">
        <v>127</v>
      </c>
      <c r="X549" s="6" t="s">
        <v>238</v>
      </c>
      <c r="Y549" s="24">
        <f t="shared" si="95"/>
        <v>202401</v>
      </c>
      <c r="Z549" s="24">
        <v>0</v>
      </c>
      <c r="AA549" s="24">
        <v>0</v>
      </c>
      <c r="AB549" s="24">
        <v>0</v>
      </c>
      <c r="AC549" s="24">
        <v>1</v>
      </c>
      <c r="AD549" s="24">
        <v>1</v>
      </c>
      <c r="AE549" s="24">
        <v>0</v>
      </c>
      <c r="AF549" s="24">
        <v>1</v>
      </c>
      <c r="AG549" s="10" t="s">
        <v>2807</v>
      </c>
      <c r="AH549" s="10" t="s">
        <v>238</v>
      </c>
      <c r="AI549" s="10" t="s">
        <v>127</v>
      </c>
      <c r="AJ549" s="6" t="s">
        <v>1213</v>
      </c>
      <c r="AK549" s="6" t="s">
        <v>127</v>
      </c>
      <c r="AL549" s="6" t="s">
        <v>127</v>
      </c>
      <c r="AM549" s="6" t="s">
        <v>127</v>
      </c>
      <c r="AN549" s="6" t="s">
        <v>146</v>
      </c>
      <c r="AO549" s="6" t="s">
        <v>151</v>
      </c>
      <c r="AP549" s="6" t="s">
        <v>128</v>
      </c>
      <c r="AQ549" s="6" t="s">
        <v>127</v>
      </c>
      <c r="AR549" s="6" t="s">
        <v>127</v>
      </c>
      <c r="AS549" s="6" t="s">
        <v>127</v>
      </c>
      <c r="AT549" s="6" t="s">
        <v>127</v>
      </c>
      <c r="AU549" s="6" t="s">
        <v>127</v>
      </c>
      <c r="AV549" s="6" t="s">
        <v>127</v>
      </c>
      <c r="AW549" s="6" t="s">
        <v>127</v>
      </c>
      <c r="AX549" s="6" t="s">
        <v>127</v>
      </c>
      <c r="AY549" s="99" t="s">
        <v>2808</v>
      </c>
      <c r="AZ549" s="6" t="s">
        <v>127</v>
      </c>
      <c r="BA549" s="6" t="s">
        <v>127</v>
      </c>
      <c r="BB549" s="6" t="s">
        <v>2809</v>
      </c>
      <c r="BC549" s="6" t="s">
        <v>2810</v>
      </c>
      <c r="BD549" s="6" t="s">
        <v>127</v>
      </c>
      <c r="BE549" s="6" t="s">
        <v>127</v>
      </c>
    </row>
    <row r="550" spans="1:58" ht="16" x14ac:dyDescent="0.4">
      <c r="A550" s="6" t="s">
        <v>2811</v>
      </c>
      <c r="B550" s="6" t="s">
        <v>2811</v>
      </c>
      <c r="C550" s="6" t="s">
        <v>127</v>
      </c>
      <c r="D550" s="6" t="s">
        <v>238</v>
      </c>
      <c r="E550" s="191">
        <v>45324</v>
      </c>
      <c r="F550" s="6">
        <f t="shared" si="116"/>
        <v>2024</v>
      </c>
      <c r="G550" s="4" t="s">
        <v>2812</v>
      </c>
      <c r="H550" s="22" t="str">
        <f>VLOOKUP($G550,'Item Classification'!B:C,2,0)</f>
        <v>Sonar and sensor equipment</v>
      </c>
      <c r="I550" s="6" t="str">
        <f>VLOOKUP($G550,'Item Classification'!B:D,3,0)</f>
        <v>Naval</v>
      </c>
      <c r="J550" s="23">
        <f>VLOOKUP($G550,'Item Classification'!B:E,4,0)</f>
        <v>12</v>
      </c>
      <c r="K550" s="195" t="s">
        <v>158</v>
      </c>
      <c r="L550" s="195" t="s">
        <v>354</v>
      </c>
      <c r="M550" s="116" t="str">
        <f>VLOOKUP(L550,'NATO Classifications'!$D$6:$E$647,2,0)</f>
        <v>Communication, Detection, and Coherent Radiation Equipment (other)</v>
      </c>
      <c r="N550" s="25">
        <v>15</v>
      </c>
      <c r="O550" s="81">
        <f>S550/N550</f>
        <v>123333333.33333333</v>
      </c>
      <c r="P550" s="81">
        <f t="shared" ref="P550" si="118">U550/N550</f>
        <v>145677320.79720929</v>
      </c>
      <c r="Q550" s="25">
        <v>2024</v>
      </c>
      <c r="R550" s="25">
        <v>2039</v>
      </c>
      <c r="S550" s="82">
        <v>1850000000</v>
      </c>
      <c r="T550" s="115" t="s">
        <v>2145</v>
      </c>
      <c r="U550" s="104">
        <f>_xlfn.IFNA(S550/INDEX('Exchange Rates'!$C$7:$F$14,MATCH('MAIN DATA, Orders'!F550,'Exchange Rates'!$B$7:$B$14,0),MATCH('MAIN DATA, Orders'!T550,'Exchange Rates'!$C$6:$F$6,0)), "-")</f>
        <v>2185159811.9581394</v>
      </c>
      <c r="V550" s="6" t="s">
        <v>127</v>
      </c>
      <c r="W550" s="6" t="s">
        <v>127</v>
      </c>
      <c r="X550" s="6" t="s">
        <v>238</v>
      </c>
      <c r="Y550" s="24">
        <f t="shared" si="95"/>
        <v>202402</v>
      </c>
      <c r="Z550" s="24">
        <v>0</v>
      </c>
      <c r="AA550" s="24">
        <v>1</v>
      </c>
      <c r="AB550" s="24">
        <v>0</v>
      </c>
      <c r="AC550" s="24">
        <v>1</v>
      </c>
      <c r="AD550" s="24">
        <v>1</v>
      </c>
      <c r="AE550" s="24">
        <v>0</v>
      </c>
      <c r="AF550" s="24">
        <v>1</v>
      </c>
      <c r="AG550" s="10" t="s">
        <v>2153</v>
      </c>
      <c r="AH550" s="10" t="s">
        <v>238</v>
      </c>
      <c r="AI550" s="10" t="s">
        <v>127</v>
      </c>
      <c r="AJ550" s="6" t="s">
        <v>148</v>
      </c>
      <c r="AK550" s="6" t="s">
        <v>127</v>
      </c>
      <c r="AL550" s="6" t="s">
        <v>127</v>
      </c>
      <c r="AM550" s="6" t="s">
        <v>127</v>
      </c>
      <c r="AN550" s="6" t="s">
        <v>151</v>
      </c>
      <c r="AO550" s="6" t="s">
        <v>127</v>
      </c>
      <c r="AP550" s="6" t="s">
        <v>127</v>
      </c>
      <c r="AQ550" s="6" t="s">
        <v>127</v>
      </c>
      <c r="AR550" s="6" t="s">
        <v>127</v>
      </c>
      <c r="AS550" s="6" t="s">
        <v>127</v>
      </c>
      <c r="AT550" s="6" t="s">
        <v>127</v>
      </c>
      <c r="AU550" s="6" t="s">
        <v>127</v>
      </c>
      <c r="AV550" s="6" t="s">
        <v>127</v>
      </c>
      <c r="AW550" s="6" t="s">
        <v>127</v>
      </c>
      <c r="AX550" s="6" t="s">
        <v>127</v>
      </c>
      <c r="AY550" s="99" t="s">
        <v>2813</v>
      </c>
      <c r="AZ550" s="99" t="s">
        <v>2814</v>
      </c>
      <c r="BA550" s="6" t="s">
        <v>127</v>
      </c>
      <c r="BB550" s="6" t="s">
        <v>2815</v>
      </c>
      <c r="BC550" s="6" t="s">
        <v>2816</v>
      </c>
      <c r="BD550" s="6" t="s">
        <v>2817</v>
      </c>
      <c r="BE550" s="6" t="s">
        <v>127</v>
      </c>
    </row>
    <row r="551" spans="1:58" ht="16" x14ac:dyDescent="0.4">
      <c r="A551" s="6" t="s">
        <v>2818</v>
      </c>
      <c r="B551" s="6" t="s">
        <v>2818</v>
      </c>
      <c r="C551" s="6" t="s">
        <v>127</v>
      </c>
      <c r="D551" s="6" t="s">
        <v>238</v>
      </c>
      <c r="E551" s="191">
        <v>45325</v>
      </c>
      <c r="F551" s="6">
        <f t="shared" si="116"/>
        <v>2024</v>
      </c>
      <c r="G551" s="4" t="s">
        <v>273</v>
      </c>
      <c r="H551" s="22" t="str">
        <f>VLOOKUP($G551,'Item Classification'!B:C,2,0)</f>
        <v>Armoured Utility Vehicle (AUV)</v>
      </c>
      <c r="I551" s="6" t="str">
        <f>VLOOKUP($G551,'Item Classification'!B:D,3,0)</f>
        <v>Armoured vehicle</v>
      </c>
      <c r="J551" s="23">
        <f>VLOOKUP($G551,'Item Classification'!B:E,4,0)</f>
        <v>2</v>
      </c>
      <c r="K551" s="195" t="s">
        <v>274</v>
      </c>
      <c r="L551" s="195" t="s">
        <v>275</v>
      </c>
      <c r="M551" s="116" t="str">
        <f>VLOOKUP(L551,'NATO Classifications'!$D$6:$E$647,2,0)</f>
        <v>Trucks and Truck Tractors, Wheeled</v>
      </c>
      <c r="N551" s="25">
        <v>500</v>
      </c>
      <c r="O551" s="81">
        <f>S551/N551</f>
        <v>564000</v>
      </c>
      <c r="P551" s="81">
        <f t="shared" ref="P551" si="119">U551/N551</f>
        <v>666178.45078075165</v>
      </c>
      <c r="Q551" s="25">
        <v>2024</v>
      </c>
      <c r="R551" s="25">
        <v>2024</v>
      </c>
      <c r="S551" s="82">
        <v>282000000</v>
      </c>
      <c r="T551" s="115" t="s">
        <v>2145</v>
      </c>
      <c r="U551" s="104">
        <f>_xlfn.IFNA(S551/INDEX('Exchange Rates'!$C$7:$F$14,MATCH('MAIN DATA, Orders'!F551,'Exchange Rates'!$B$7:$B$14,0),MATCH('MAIN DATA, Orders'!T551,'Exchange Rates'!$C$6:$F$6,0)), "-")</f>
        <v>333089225.39037585</v>
      </c>
      <c r="V551" s="6" t="s">
        <v>127</v>
      </c>
      <c r="W551" s="6" t="s">
        <v>127</v>
      </c>
      <c r="X551" s="6" t="s">
        <v>238</v>
      </c>
      <c r="Y551" s="24">
        <f t="shared" si="95"/>
        <v>202402</v>
      </c>
      <c r="Z551" s="24">
        <v>0</v>
      </c>
      <c r="AA551" s="24">
        <v>0</v>
      </c>
      <c r="AB551" s="24">
        <v>0</v>
      </c>
      <c r="AC551" s="24">
        <v>1</v>
      </c>
      <c r="AD551" s="24">
        <v>1</v>
      </c>
      <c r="AE551" s="24">
        <v>0</v>
      </c>
      <c r="AF551" s="24">
        <v>0</v>
      </c>
      <c r="AG551" s="10" t="s">
        <v>955</v>
      </c>
      <c r="AH551" s="10" t="s">
        <v>128</v>
      </c>
      <c r="AI551" s="10" t="s">
        <v>830</v>
      </c>
      <c r="AJ551" s="6" t="s">
        <v>127</v>
      </c>
      <c r="AK551" s="6" t="s">
        <v>127</v>
      </c>
      <c r="AL551" s="6" t="s">
        <v>127</v>
      </c>
      <c r="AM551" s="6" t="s">
        <v>127</v>
      </c>
      <c r="AN551" s="6" t="s">
        <v>127</v>
      </c>
      <c r="AO551" s="6" t="s">
        <v>127</v>
      </c>
      <c r="AP551" s="6" t="s">
        <v>127</v>
      </c>
      <c r="AQ551" s="6" t="s">
        <v>127</v>
      </c>
      <c r="AR551" s="6" t="s">
        <v>127</v>
      </c>
      <c r="AS551" s="6" t="s">
        <v>127</v>
      </c>
      <c r="AT551" s="6" t="s">
        <v>127</v>
      </c>
      <c r="AU551" s="6" t="s">
        <v>127</v>
      </c>
      <c r="AV551" s="6" t="s">
        <v>127</v>
      </c>
      <c r="AW551" s="6" t="s">
        <v>128</v>
      </c>
      <c r="AX551" s="6" t="s">
        <v>127</v>
      </c>
      <c r="AY551" s="99" t="s">
        <v>2819</v>
      </c>
      <c r="AZ551" s="6" t="s">
        <v>127</v>
      </c>
      <c r="BA551" s="6" t="s">
        <v>127</v>
      </c>
      <c r="BB551" s="6" t="s">
        <v>2820</v>
      </c>
      <c r="BC551" s="6" t="s">
        <v>127</v>
      </c>
      <c r="BD551" s="6" t="s">
        <v>127</v>
      </c>
      <c r="BE551" s="6" t="s">
        <v>127</v>
      </c>
    </row>
    <row r="552" spans="1:58" ht="16" x14ac:dyDescent="0.4">
      <c r="A552" s="6" t="s">
        <v>2821</v>
      </c>
      <c r="B552" s="6" t="s">
        <v>2821</v>
      </c>
      <c r="C552" s="6" t="s">
        <v>127</v>
      </c>
      <c r="D552" s="6" t="s">
        <v>238</v>
      </c>
      <c r="E552" s="191">
        <v>45336</v>
      </c>
      <c r="F552" s="6">
        <f t="shared" si="116"/>
        <v>2024</v>
      </c>
      <c r="G552" s="4" t="s">
        <v>2822</v>
      </c>
      <c r="H552" s="22" t="str">
        <f>VLOOKUP($G552,'Item Classification'!B:C,2,0)</f>
        <v>Communication and digitalisation development</v>
      </c>
      <c r="I552" s="6" t="str">
        <f>VLOOKUP($G552,'Item Classification'!B:D,3,0)</f>
        <v>Development - Modernisation</v>
      </c>
      <c r="J552" s="23">
        <f>VLOOKUP($G552,'Item Classification'!B:E,4,0)</f>
        <v>15</v>
      </c>
      <c r="K552" s="195" t="s">
        <v>158</v>
      </c>
      <c r="L552" s="195" t="s">
        <v>354</v>
      </c>
      <c r="M552" s="116" t="str">
        <f>VLOOKUP(L552,'NATO Classifications'!$D$6:$E$647,2,0)</f>
        <v>Communication, Detection, and Coherent Radiation Equipment (other)</v>
      </c>
      <c r="N552" s="25"/>
      <c r="O552" s="25"/>
      <c r="P552" s="25"/>
      <c r="Q552" s="25"/>
      <c r="R552" s="25"/>
      <c r="S552" s="82">
        <v>4000000</v>
      </c>
      <c r="T552" s="115" t="s">
        <v>2145</v>
      </c>
      <c r="U552" s="104">
        <f>_xlfn.IFNA(S552/INDEX('Exchange Rates'!$C$7:$F$14,MATCH('MAIN DATA, Orders'!F552,'Exchange Rates'!$B$7:$B$14,0),MATCH('MAIN DATA, Orders'!T552,'Exchange Rates'!$C$6:$F$6,0)), "-")</f>
        <v>4724669.8636932746</v>
      </c>
      <c r="V552" s="6" t="s">
        <v>127</v>
      </c>
      <c r="W552" s="6" t="s">
        <v>127</v>
      </c>
      <c r="X552" s="6" t="s">
        <v>238</v>
      </c>
      <c r="Y552" s="24">
        <f t="shared" si="95"/>
        <v>202402</v>
      </c>
      <c r="Z552" s="24">
        <v>0</v>
      </c>
      <c r="AA552" s="24">
        <v>0</v>
      </c>
      <c r="AB552" s="24">
        <v>0</v>
      </c>
      <c r="AC552" s="24">
        <v>1</v>
      </c>
      <c r="AD552" s="24">
        <v>0</v>
      </c>
      <c r="AE552" s="24">
        <v>1</v>
      </c>
      <c r="AF552" s="24">
        <v>1</v>
      </c>
      <c r="AG552" s="10" t="s">
        <v>2823</v>
      </c>
      <c r="AH552" s="10" t="s">
        <v>238</v>
      </c>
      <c r="AI552" s="10" t="s">
        <v>127</v>
      </c>
      <c r="AJ552" s="6" t="s">
        <v>2824</v>
      </c>
      <c r="AK552" s="6" t="s">
        <v>795</v>
      </c>
      <c r="AL552" s="6" t="s">
        <v>127</v>
      </c>
      <c r="AM552" s="6" t="s">
        <v>127</v>
      </c>
      <c r="AN552" s="6" t="s">
        <v>196</v>
      </c>
      <c r="AO552" s="6" t="s">
        <v>127</v>
      </c>
      <c r="AP552" s="6" t="s">
        <v>127</v>
      </c>
      <c r="AQ552" s="6" t="s">
        <v>127</v>
      </c>
      <c r="AR552" s="6" t="s">
        <v>127</v>
      </c>
      <c r="AS552" s="6" t="s">
        <v>127</v>
      </c>
      <c r="AT552" s="6" t="s">
        <v>127</v>
      </c>
      <c r="AU552" s="6" t="s">
        <v>127</v>
      </c>
      <c r="AV552" s="6" t="s">
        <v>127</v>
      </c>
      <c r="AW552" s="6" t="s">
        <v>127</v>
      </c>
      <c r="AX552" s="6" t="s">
        <v>127</v>
      </c>
      <c r="AY552" s="99" t="s">
        <v>2825</v>
      </c>
      <c r="AZ552" s="6" t="s">
        <v>127</v>
      </c>
      <c r="BA552" s="6" t="s">
        <v>127</v>
      </c>
      <c r="BB552" s="6" t="s">
        <v>2826</v>
      </c>
      <c r="BC552" s="6" t="s">
        <v>2827</v>
      </c>
      <c r="BD552" s="6" t="s">
        <v>127</v>
      </c>
      <c r="BE552" s="6" t="s">
        <v>127</v>
      </c>
    </row>
    <row r="553" spans="1:58" ht="16" x14ac:dyDescent="0.4">
      <c r="A553" s="6" t="s">
        <v>2828</v>
      </c>
      <c r="B553" s="6" t="s">
        <v>2828</v>
      </c>
      <c r="C553" s="6" t="s">
        <v>127</v>
      </c>
      <c r="D553" s="6" t="s">
        <v>238</v>
      </c>
      <c r="E553" s="191">
        <v>45346</v>
      </c>
      <c r="F553" s="6">
        <f t="shared" si="116"/>
        <v>2024</v>
      </c>
      <c r="G553" s="6" t="s">
        <v>2829</v>
      </c>
      <c r="H553" s="22" t="str">
        <f>VLOOKUP($G553,'Item Classification'!B:C,2,0)</f>
        <v>Howitzer ammunition (unspecified)</v>
      </c>
      <c r="I553" s="6" t="str">
        <f>VLOOKUP($G553,'Item Classification'!B:D,3,0)</f>
        <v>Ammunition</v>
      </c>
      <c r="J553" s="23">
        <f>VLOOKUP($G553,'Item Classification'!B:E,4,0)</f>
        <v>4</v>
      </c>
      <c r="K553" s="195" t="s">
        <v>189</v>
      </c>
      <c r="L553" s="195" t="s">
        <v>733</v>
      </c>
      <c r="M553" s="116" t="str">
        <f>VLOOKUP(L553,'NATO Classifications'!$D$6:$E$647,2,0)</f>
        <v>Ammunition over 75mm</v>
      </c>
      <c r="N553" s="25"/>
      <c r="O553" s="25"/>
      <c r="P553" s="25"/>
      <c r="Q553" s="25"/>
      <c r="R553" s="25"/>
      <c r="S553" s="82">
        <v>245000000</v>
      </c>
      <c r="T553" s="115" t="s">
        <v>2145</v>
      </c>
      <c r="U553" s="104">
        <f>_xlfn.IFNA(S553/INDEX('Exchange Rates'!$C$7:$F$14,MATCH('MAIN DATA, Orders'!F553,'Exchange Rates'!$B$7:$B$14,0),MATCH('MAIN DATA, Orders'!T553,'Exchange Rates'!$C$6:$F$6,0)), "-")</f>
        <v>289386029.15121305</v>
      </c>
      <c r="V553" s="6" t="s">
        <v>127</v>
      </c>
      <c r="W553" s="6" t="s">
        <v>127</v>
      </c>
      <c r="X553" s="6" t="s">
        <v>809</v>
      </c>
      <c r="Y553" s="24">
        <f t="shared" ref="Y553:Y616" si="120">_xlfn.NUMBERVALUE(_xlfn.CONCAT(YEAR(E553),TEXT(E553, "mm")))</f>
        <v>202402</v>
      </c>
      <c r="Z553" s="24">
        <v>0</v>
      </c>
      <c r="AA553" s="24">
        <v>0</v>
      </c>
      <c r="AB553" s="24">
        <v>0</v>
      </c>
      <c r="AC553" s="24" t="s">
        <v>127</v>
      </c>
      <c r="AD553" s="24" t="s">
        <v>127</v>
      </c>
      <c r="AE553" s="24" t="s">
        <v>127</v>
      </c>
      <c r="AF553" s="24" t="s">
        <v>127</v>
      </c>
      <c r="AG553" s="10" t="s">
        <v>127</v>
      </c>
      <c r="AH553" s="10" t="s">
        <v>127</v>
      </c>
      <c r="AI553" s="10" t="s">
        <v>127</v>
      </c>
      <c r="AJ553" s="6" t="s">
        <v>127</v>
      </c>
      <c r="AK553" s="6" t="s">
        <v>127</v>
      </c>
      <c r="AL553" s="6" t="s">
        <v>127</v>
      </c>
      <c r="AM553" s="6" t="s">
        <v>127</v>
      </c>
      <c r="AN553" s="6" t="s">
        <v>127</v>
      </c>
      <c r="AO553" s="6" t="s">
        <v>127</v>
      </c>
      <c r="AP553" s="6" t="s">
        <v>127</v>
      </c>
      <c r="AQ553" s="6" t="s">
        <v>127</v>
      </c>
      <c r="AR553" s="6" t="s">
        <v>127</v>
      </c>
      <c r="AS553" s="6" t="s">
        <v>127</v>
      </c>
      <c r="AT553" s="6" t="s">
        <v>127</v>
      </c>
      <c r="AU553" s="6" t="s">
        <v>127</v>
      </c>
      <c r="AV553" s="6" t="s">
        <v>127</v>
      </c>
      <c r="AW553" s="6" t="s">
        <v>127</v>
      </c>
      <c r="AX553" s="6" t="s">
        <v>127</v>
      </c>
      <c r="AY553" s="99" t="s">
        <v>2830</v>
      </c>
      <c r="AZ553" s="6" t="s">
        <v>127</v>
      </c>
      <c r="BA553" s="6" t="s">
        <v>127</v>
      </c>
      <c r="BB553" s="6" t="s">
        <v>2831</v>
      </c>
      <c r="BC553" s="6" t="s">
        <v>2832</v>
      </c>
      <c r="BD553" s="6" t="s">
        <v>127</v>
      </c>
      <c r="BE553" s="6" t="s">
        <v>127</v>
      </c>
    </row>
    <row r="554" spans="1:58" ht="16" x14ac:dyDescent="0.4">
      <c r="A554" s="6" t="s">
        <v>2833</v>
      </c>
      <c r="B554" s="6" t="s">
        <v>2833</v>
      </c>
      <c r="C554" s="6" t="s">
        <v>127</v>
      </c>
      <c r="D554" s="6" t="s">
        <v>238</v>
      </c>
      <c r="E554" s="191">
        <v>45346</v>
      </c>
      <c r="F554" s="6">
        <f t="shared" si="116"/>
        <v>2024</v>
      </c>
      <c r="G554" s="4" t="s">
        <v>2834</v>
      </c>
      <c r="H554" s="22" t="str">
        <f>VLOOKUP($G554,'Item Classification'!B:C,2,0)</f>
        <v>Caterpillar tracks</v>
      </c>
      <c r="I554" s="6" t="str">
        <f>VLOOKUP($G554,'Item Classification'!B:D,3,0)</f>
        <v>Armoured vehicle</v>
      </c>
      <c r="J554" s="23">
        <f>VLOOKUP($G554,'Item Classification'!B:E,4,0)</f>
        <v>2</v>
      </c>
      <c r="K554" s="195" t="s">
        <v>1280</v>
      </c>
      <c r="L554" s="195" t="s">
        <v>2835</v>
      </c>
      <c r="M554" s="116" t="str">
        <f>VLOOKUP(L554,'NATO Classifications'!$D$6:$E$647,2,0)</f>
        <v>Vehicular Brake, Steering, Axle, Wheel, and Track Components</v>
      </c>
      <c r="N554" s="25"/>
      <c r="O554" s="81"/>
      <c r="P554" s="25"/>
      <c r="Q554" s="25"/>
      <c r="R554" s="82"/>
      <c r="S554" s="25"/>
      <c r="T554" s="115" t="s">
        <v>2145</v>
      </c>
      <c r="U554" s="104">
        <f>_xlfn.IFNA(S554/INDEX('Exchange Rates'!$C$7:$F$14,MATCH('MAIN DATA, Orders'!F554,'Exchange Rates'!$B$7:$B$14,0),MATCH('MAIN DATA, Orders'!T554,'Exchange Rates'!$C$6:$F$6,0)), "-")</f>
        <v>0</v>
      </c>
      <c r="V554" s="6" t="s">
        <v>127</v>
      </c>
      <c r="W554" s="6" t="s">
        <v>127</v>
      </c>
      <c r="X554" s="6" t="s">
        <v>809</v>
      </c>
      <c r="Y554" s="24">
        <f t="shared" si="120"/>
        <v>202402</v>
      </c>
      <c r="Z554" s="24">
        <v>0</v>
      </c>
      <c r="AA554" s="24">
        <v>0</v>
      </c>
      <c r="AB554" s="24">
        <v>0</v>
      </c>
      <c r="AC554" s="24">
        <v>1</v>
      </c>
      <c r="AD554" s="24">
        <v>0</v>
      </c>
      <c r="AE554" s="24">
        <v>0</v>
      </c>
      <c r="AF554" s="24">
        <v>0</v>
      </c>
      <c r="AG554" s="10" t="s">
        <v>2836</v>
      </c>
      <c r="AH554" s="10" t="s">
        <v>238</v>
      </c>
      <c r="AI554" s="10" t="s">
        <v>127</v>
      </c>
      <c r="AJ554" s="6" t="s">
        <v>127</v>
      </c>
      <c r="AK554" s="6" t="s">
        <v>127</v>
      </c>
      <c r="AL554" s="6" t="s">
        <v>127</v>
      </c>
      <c r="AM554" s="6" t="s">
        <v>127</v>
      </c>
      <c r="AN554" s="6" t="s">
        <v>127</v>
      </c>
      <c r="AO554" s="6" t="s">
        <v>127</v>
      </c>
      <c r="AP554" s="6" t="s">
        <v>127</v>
      </c>
      <c r="AQ554" s="6" t="s">
        <v>127</v>
      </c>
      <c r="AR554" s="6" t="s">
        <v>127</v>
      </c>
      <c r="AS554" s="6" t="s">
        <v>127</v>
      </c>
      <c r="AT554" s="6" t="s">
        <v>127</v>
      </c>
      <c r="AU554" s="6" t="s">
        <v>127</v>
      </c>
      <c r="AV554" s="6" t="s">
        <v>127</v>
      </c>
      <c r="AW554" s="6" t="s">
        <v>127</v>
      </c>
      <c r="AX554" s="6" t="s">
        <v>127</v>
      </c>
      <c r="AY554" s="99" t="s">
        <v>2830</v>
      </c>
      <c r="AZ554" s="6" t="s">
        <v>127</v>
      </c>
      <c r="BA554" s="6" t="s">
        <v>127</v>
      </c>
      <c r="BB554" s="6" t="s">
        <v>2837</v>
      </c>
      <c r="BC554" s="6" t="s">
        <v>127</v>
      </c>
      <c r="BD554" s="6" t="s">
        <v>127</v>
      </c>
      <c r="BE554" s="6" t="s">
        <v>127</v>
      </c>
    </row>
    <row r="555" spans="1:58" ht="16" x14ac:dyDescent="0.4">
      <c r="A555" s="6" t="s">
        <v>2838</v>
      </c>
      <c r="B555" s="6" t="s">
        <v>2838</v>
      </c>
      <c r="C555" s="6" t="s">
        <v>127</v>
      </c>
      <c r="D555" s="6" t="s">
        <v>238</v>
      </c>
      <c r="E555" s="191">
        <v>45358</v>
      </c>
      <c r="F555" s="6">
        <f t="shared" si="116"/>
        <v>2024</v>
      </c>
      <c r="G555" s="4" t="s">
        <v>2839</v>
      </c>
      <c r="H555" s="22" t="str">
        <f>VLOOKUP($G555,'Item Classification'!B:C,2,0)</f>
        <v>First-person view (FPV) drone</v>
      </c>
      <c r="I555" s="6" t="str">
        <f>VLOOKUP($G555,'Item Classification'!B:D,3,0)</f>
        <v>Drone</v>
      </c>
      <c r="J555" s="23">
        <f>VLOOKUP($G555,'Item Classification'!B:E,4,0)</f>
        <v>7</v>
      </c>
      <c r="K555" s="195" t="s">
        <v>130</v>
      </c>
      <c r="L555" s="195" t="s">
        <v>131</v>
      </c>
      <c r="M555" s="116" t="str">
        <f>VLOOKUP(L555,'NATO Classifications'!$D$6:$E$647,2,0)</f>
        <v>Unmanned Aircraft</v>
      </c>
      <c r="N555" s="25">
        <v>10000</v>
      </c>
      <c r="O555" s="81">
        <f>S555/N555</f>
        <v>12500</v>
      </c>
      <c r="P555" s="81">
        <f t="shared" ref="P555" si="121">U555/N555</f>
        <v>14764.593324041483</v>
      </c>
      <c r="Q555" s="25">
        <v>2024</v>
      </c>
      <c r="R555" s="25">
        <v>2024</v>
      </c>
      <c r="S555" s="82">
        <v>125000000</v>
      </c>
      <c r="T555" s="115" t="s">
        <v>2145</v>
      </c>
      <c r="U555" s="104">
        <f>_xlfn.IFNA(S555/INDEX('Exchange Rates'!$C$7:$F$14,MATCH('MAIN DATA, Orders'!F555,'Exchange Rates'!$B$7:$B$14,0),MATCH('MAIN DATA, Orders'!T555,'Exchange Rates'!$C$6:$F$6,0)), "-")</f>
        <v>147645933.24041483</v>
      </c>
      <c r="V555" s="6" t="s">
        <v>127</v>
      </c>
      <c r="W555" s="6" t="s">
        <v>127</v>
      </c>
      <c r="X555" s="6" t="s">
        <v>809</v>
      </c>
      <c r="Y555" s="24">
        <f t="shared" si="120"/>
        <v>202403</v>
      </c>
      <c r="Z555" s="24">
        <v>0</v>
      </c>
      <c r="AA555" s="24">
        <v>0</v>
      </c>
      <c r="AB555" s="24">
        <v>0</v>
      </c>
      <c r="AC555" s="24" t="s">
        <v>127</v>
      </c>
      <c r="AD555" s="24" t="s">
        <v>127</v>
      </c>
      <c r="AE555" s="24" t="s">
        <v>127</v>
      </c>
      <c r="AF555" s="24" t="s">
        <v>127</v>
      </c>
      <c r="AG555" s="10" t="s">
        <v>127</v>
      </c>
      <c r="AH555" s="10" t="s">
        <v>127</v>
      </c>
      <c r="AI555" s="10" t="s">
        <v>127</v>
      </c>
      <c r="AJ555" s="6" t="s">
        <v>127</v>
      </c>
      <c r="AK555" s="6" t="s">
        <v>127</v>
      </c>
      <c r="AL555" s="6" t="s">
        <v>127</v>
      </c>
      <c r="AM555" s="6" t="s">
        <v>127</v>
      </c>
      <c r="AN555" s="6" t="s">
        <v>127</v>
      </c>
      <c r="AO555" s="6" t="s">
        <v>127</v>
      </c>
      <c r="AP555" s="6" t="s">
        <v>127</v>
      </c>
      <c r="AQ555" s="6" t="s">
        <v>127</v>
      </c>
      <c r="AR555" s="6" t="s">
        <v>127</v>
      </c>
      <c r="AS555" s="6" t="s">
        <v>127</v>
      </c>
      <c r="AT555" s="6" t="s">
        <v>127</v>
      </c>
      <c r="AU555" s="6" t="s">
        <v>127</v>
      </c>
      <c r="AV555" s="6" t="s">
        <v>127</v>
      </c>
      <c r="AW555" s="6" t="s">
        <v>127</v>
      </c>
      <c r="AX555" s="6" t="s">
        <v>127</v>
      </c>
      <c r="AY555" s="99" t="s">
        <v>2840</v>
      </c>
      <c r="AZ555" s="6" t="s">
        <v>127</v>
      </c>
      <c r="BA555" s="6" t="s">
        <v>127</v>
      </c>
      <c r="BB555" s="6" t="s">
        <v>2841</v>
      </c>
      <c r="BC555" s="6" t="s">
        <v>2842</v>
      </c>
      <c r="BD555" s="6" t="s">
        <v>127</v>
      </c>
      <c r="BE555" s="6" t="s">
        <v>127</v>
      </c>
    </row>
    <row r="556" spans="1:58" ht="16" x14ac:dyDescent="0.4">
      <c r="A556" s="6" t="s">
        <v>2843</v>
      </c>
      <c r="B556" s="6" t="s">
        <v>2843</v>
      </c>
      <c r="C556" s="6" t="s">
        <v>127</v>
      </c>
      <c r="D556" s="6" t="s">
        <v>238</v>
      </c>
      <c r="E556" s="191">
        <v>45363</v>
      </c>
      <c r="F556" s="6">
        <f t="shared" si="116"/>
        <v>2024</v>
      </c>
      <c r="G556" s="4" t="s">
        <v>2844</v>
      </c>
      <c r="H556" s="22" t="str">
        <f>VLOOKUP($G556,'Item Classification'!B:C,2,0)</f>
        <v>Electric vehicle infrastructure</v>
      </c>
      <c r="I556" s="6" t="str">
        <f>VLOOKUP($G556,'Item Classification'!B:D,3,0)</f>
        <v>Other</v>
      </c>
      <c r="J556" s="23">
        <f>VLOOKUP($G556,'Item Classification'!B:E,4,0)</f>
        <v>16</v>
      </c>
      <c r="K556" s="195" t="s">
        <v>539</v>
      </c>
      <c r="L556" s="195" t="s">
        <v>2792</v>
      </c>
      <c r="M556" s="116" t="str">
        <f>VLOOKUP(L556,'NATO Classifications'!$D$6:$E$647,2,0)</f>
        <v>Lubrication and Fuel Dispensing Equipment</v>
      </c>
      <c r="N556" s="25">
        <v>10</v>
      </c>
      <c r="O556" s="81">
        <f>S556/N556</f>
        <v>82000</v>
      </c>
      <c r="P556" s="81">
        <f t="shared" ref="P556" si="122">U556/N556</f>
        <v>96855.73220571212</v>
      </c>
      <c r="Q556" s="25"/>
      <c r="R556" s="25">
        <v>2024</v>
      </c>
      <c r="S556" s="82">
        <v>820000</v>
      </c>
      <c r="T556" s="115" t="s">
        <v>2145</v>
      </c>
      <c r="U556" s="104">
        <f>_xlfn.IFNA(S556/INDEX('Exchange Rates'!$C$7:$F$14,MATCH('MAIN DATA, Orders'!F556,'Exchange Rates'!$B$7:$B$14,0),MATCH('MAIN DATA, Orders'!T556,'Exchange Rates'!$C$6:$F$6,0)), "-")</f>
        <v>968557.3220571212</v>
      </c>
      <c r="V556" s="6" t="s">
        <v>127</v>
      </c>
      <c r="W556" s="6" t="s">
        <v>127</v>
      </c>
      <c r="X556" s="6" t="s">
        <v>238</v>
      </c>
      <c r="Y556" s="24">
        <f t="shared" si="120"/>
        <v>202403</v>
      </c>
      <c r="Z556" s="24">
        <v>0</v>
      </c>
      <c r="AA556" s="24">
        <v>0</v>
      </c>
      <c r="AB556" s="24">
        <v>0</v>
      </c>
      <c r="AC556" s="24">
        <v>0</v>
      </c>
      <c r="AD556" s="24">
        <v>0</v>
      </c>
      <c r="AE556" s="24">
        <v>0</v>
      </c>
      <c r="AF556" s="24">
        <v>0</v>
      </c>
      <c r="AG556" s="10" t="s">
        <v>2845</v>
      </c>
      <c r="AH556" s="10" t="s">
        <v>196</v>
      </c>
      <c r="AI556" s="10" t="s">
        <v>127</v>
      </c>
      <c r="AJ556" s="6" t="s">
        <v>127</v>
      </c>
      <c r="AK556" s="6" t="s">
        <v>127</v>
      </c>
      <c r="AL556" s="6" t="s">
        <v>127</v>
      </c>
      <c r="AM556" s="6" t="s">
        <v>127</v>
      </c>
      <c r="AN556" s="6" t="s">
        <v>127</v>
      </c>
      <c r="AO556" s="6" t="s">
        <v>127</v>
      </c>
      <c r="AP556" s="6" t="s">
        <v>127</v>
      </c>
      <c r="AQ556" s="6" t="s">
        <v>127</v>
      </c>
      <c r="AR556" s="6" t="s">
        <v>127</v>
      </c>
      <c r="AS556" s="6" t="s">
        <v>127</v>
      </c>
      <c r="AT556" s="6" t="s">
        <v>127</v>
      </c>
      <c r="AU556" s="6" t="s">
        <v>127</v>
      </c>
      <c r="AV556" s="6" t="s">
        <v>127</v>
      </c>
      <c r="AW556" s="6" t="s">
        <v>127</v>
      </c>
      <c r="AX556" s="6" t="s">
        <v>127</v>
      </c>
      <c r="AY556" s="99" t="s">
        <v>2846</v>
      </c>
      <c r="AZ556" s="6" t="s">
        <v>127</v>
      </c>
      <c r="BA556" s="6" t="s">
        <v>127</v>
      </c>
      <c r="BB556" s="6" t="s">
        <v>2847</v>
      </c>
      <c r="BC556" s="6" t="s">
        <v>2848</v>
      </c>
      <c r="BD556" s="6" t="s">
        <v>127</v>
      </c>
      <c r="BE556" s="6" t="s">
        <v>127</v>
      </c>
    </row>
    <row r="557" spans="1:58" ht="16" x14ac:dyDescent="0.4">
      <c r="A557" s="6" t="s">
        <v>2849</v>
      </c>
      <c r="B557" s="6" t="s">
        <v>2849</v>
      </c>
      <c r="C557" s="6" t="s">
        <v>127</v>
      </c>
      <c r="D557" s="6" t="s">
        <v>238</v>
      </c>
      <c r="E557" s="191">
        <v>45365</v>
      </c>
      <c r="F557" s="6">
        <f t="shared" si="116"/>
        <v>2024</v>
      </c>
      <c r="G557" s="4" t="s">
        <v>2850</v>
      </c>
      <c r="H557" s="22" t="str">
        <f>VLOOKUP($G557,'Item Classification'!B:C,2,0)</f>
        <v>Heavy transport helicopter</v>
      </c>
      <c r="I557" s="6" t="str">
        <f>VLOOKUP($G557,'Item Classification'!B:D,3,0)</f>
        <v>Helicopter</v>
      </c>
      <c r="J557" s="23">
        <f>VLOOKUP($G557,'Item Classification'!B:E,4,0)</f>
        <v>10</v>
      </c>
      <c r="K557" s="195" t="s">
        <v>130</v>
      </c>
      <c r="L557" s="195" t="s">
        <v>266</v>
      </c>
      <c r="M557" s="116" t="str">
        <f>VLOOKUP(L557,'NATO Classifications'!$D$6:$E$647,2,0)</f>
        <v>Aircraft, Rotary Wing</v>
      </c>
      <c r="N557" s="25">
        <v>14</v>
      </c>
      <c r="O557" s="81">
        <f>S557/N557</f>
        <v>142857142.85714287</v>
      </c>
      <c r="P557" s="81">
        <f t="shared" ref="P557" si="123">U557/N557</f>
        <v>168738209.41761693</v>
      </c>
      <c r="Q557" s="25">
        <v>2027</v>
      </c>
      <c r="R557" s="25"/>
      <c r="S557" s="82">
        <v>2000000000</v>
      </c>
      <c r="T557" s="115" t="s">
        <v>2145</v>
      </c>
      <c r="U557" s="104">
        <f>_xlfn.IFNA(S557/INDEX('Exchange Rates'!$C$7:$F$14,MATCH('MAIN DATA, Orders'!F557,'Exchange Rates'!$B$7:$B$14,0),MATCH('MAIN DATA, Orders'!T557,'Exchange Rates'!$C$6:$F$6,0)), "-")</f>
        <v>2362334931.8466372</v>
      </c>
      <c r="V557" s="6" t="s">
        <v>127</v>
      </c>
      <c r="W557" s="6" t="s">
        <v>127</v>
      </c>
      <c r="X557" s="6" t="s">
        <v>238</v>
      </c>
      <c r="Y557" s="24">
        <f t="shared" si="120"/>
        <v>202403</v>
      </c>
      <c r="Z557" s="24">
        <v>0</v>
      </c>
      <c r="AA557" s="24">
        <v>0</v>
      </c>
      <c r="AB557" s="24">
        <v>1</v>
      </c>
      <c r="AC557" s="24">
        <v>1</v>
      </c>
      <c r="AD557" s="24">
        <v>0</v>
      </c>
      <c r="AE557" s="24">
        <v>1</v>
      </c>
      <c r="AF557" s="24">
        <v>1</v>
      </c>
      <c r="AG557" s="6" t="s">
        <v>192</v>
      </c>
      <c r="AH557" s="6" t="s">
        <v>196</v>
      </c>
      <c r="AI557" s="10" t="s">
        <v>196</v>
      </c>
      <c r="AJ557" s="6" t="s">
        <v>127</v>
      </c>
      <c r="AK557" s="6" t="s">
        <v>127</v>
      </c>
      <c r="AL557" s="6" t="s">
        <v>127</v>
      </c>
      <c r="AM557" s="6" t="s">
        <v>127</v>
      </c>
      <c r="AN557" s="6" t="s">
        <v>127</v>
      </c>
      <c r="AO557" s="6" t="s">
        <v>127</v>
      </c>
      <c r="AP557" s="6" t="s">
        <v>127</v>
      </c>
      <c r="AQ557" s="6" t="s">
        <v>127</v>
      </c>
      <c r="AR557" s="6" t="s">
        <v>127</v>
      </c>
      <c r="AS557" s="6" t="s">
        <v>127</v>
      </c>
      <c r="AT557" s="6" t="s">
        <v>127</v>
      </c>
      <c r="AU557" s="6" t="s">
        <v>127</v>
      </c>
      <c r="AV557" s="6" t="s">
        <v>127</v>
      </c>
      <c r="AW557" s="6" t="s">
        <v>238</v>
      </c>
      <c r="AX557" s="6" t="s">
        <v>127</v>
      </c>
      <c r="AY557" s="99" t="s">
        <v>2851</v>
      </c>
      <c r="AZ557" s="99" t="s">
        <v>2852</v>
      </c>
      <c r="BA557" s="6" t="s">
        <v>127</v>
      </c>
      <c r="BB557" s="6" t="s">
        <v>2853</v>
      </c>
      <c r="BC557" s="6" t="s">
        <v>2854</v>
      </c>
      <c r="BD557" s="6" t="s">
        <v>2855</v>
      </c>
      <c r="BE557" s="6" t="s">
        <v>127</v>
      </c>
    </row>
    <row r="558" spans="1:58" ht="16" x14ac:dyDescent="0.4">
      <c r="A558" s="6" t="s">
        <v>2856</v>
      </c>
      <c r="B558" s="6" t="s">
        <v>2856</v>
      </c>
      <c r="C558" s="6" t="s">
        <v>2624</v>
      </c>
      <c r="D558" s="6" t="s">
        <v>2624</v>
      </c>
      <c r="E558" s="191">
        <v>45373</v>
      </c>
      <c r="F558" s="6">
        <f t="shared" si="116"/>
        <v>2024</v>
      </c>
      <c r="G558" s="22" t="s">
        <v>2579</v>
      </c>
      <c r="H558" s="22" t="str">
        <f>VLOOKUP($G558,'Item Classification'!B:C,2,0)</f>
        <v>Surveillance drone</v>
      </c>
      <c r="I558" s="6" t="str">
        <f>VLOOKUP($G558,'Item Classification'!B:D,3,0)</f>
        <v>Drone</v>
      </c>
      <c r="J558" s="23">
        <f>VLOOKUP($G558,'Item Classification'!B:E,4,0)</f>
        <v>7</v>
      </c>
      <c r="K558" s="195" t="s">
        <v>130</v>
      </c>
      <c r="L558" s="195" t="s">
        <v>131</v>
      </c>
      <c r="M558" s="116" t="str">
        <f>VLOOKUP(L558,'NATO Classifications'!$D$6:$E$647,2,0)</f>
        <v>Unmanned Aircraft</v>
      </c>
      <c r="N558" s="25">
        <v>150</v>
      </c>
      <c r="O558" s="81">
        <f>S558/N558</f>
        <v>266666.66666666669</v>
      </c>
      <c r="P558" s="81">
        <f t="shared" ref="P558" si="124">U558/N558</f>
        <v>314977.990912885</v>
      </c>
      <c r="Q558" s="25"/>
      <c r="R558" s="25"/>
      <c r="S558" s="82">
        <v>40000000</v>
      </c>
      <c r="T558" s="115" t="s">
        <v>2145</v>
      </c>
      <c r="U558" s="104">
        <f>_xlfn.IFNA(S558/INDEX('Exchange Rates'!$C$7:$F$14,MATCH('MAIN DATA, Orders'!F558,'Exchange Rates'!$B$7:$B$14,0),MATCH('MAIN DATA, Orders'!T558,'Exchange Rates'!$C$6:$F$6,0)), "-")</f>
        <v>47246698.636932746</v>
      </c>
      <c r="V558" s="6" t="s">
        <v>127</v>
      </c>
      <c r="W558" s="6" t="s">
        <v>127</v>
      </c>
      <c r="X558" s="6" t="s">
        <v>809</v>
      </c>
      <c r="Y558" s="24">
        <f t="shared" si="120"/>
        <v>202403</v>
      </c>
      <c r="Z558" s="24">
        <v>0</v>
      </c>
      <c r="AA558" s="24">
        <v>0</v>
      </c>
      <c r="AB558" s="24">
        <v>0</v>
      </c>
      <c r="AC558" s="24" t="s">
        <v>127</v>
      </c>
      <c r="AD558" s="24" t="s">
        <v>127</v>
      </c>
      <c r="AE558" s="24" t="s">
        <v>127</v>
      </c>
      <c r="AF558" s="24" t="s">
        <v>127</v>
      </c>
      <c r="AG558" s="10" t="s">
        <v>127</v>
      </c>
      <c r="AH558" s="10" t="s">
        <v>127</v>
      </c>
      <c r="AI558" s="6" t="s">
        <v>127</v>
      </c>
      <c r="AJ558" s="6" t="s">
        <v>127</v>
      </c>
      <c r="AK558" s="6" t="s">
        <v>127</v>
      </c>
      <c r="AL558" s="6" t="s">
        <v>127</v>
      </c>
      <c r="AM558" s="6" t="s">
        <v>127</v>
      </c>
      <c r="AN558" s="6" t="s">
        <v>127</v>
      </c>
      <c r="AO558" s="6" t="s">
        <v>127</v>
      </c>
      <c r="AP558" s="6" t="s">
        <v>127</v>
      </c>
      <c r="AQ558" s="6" t="s">
        <v>127</v>
      </c>
      <c r="AR558" s="6" t="s">
        <v>127</v>
      </c>
      <c r="AS558" s="6" t="s">
        <v>127</v>
      </c>
      <c r="AT558" s="6" t="s">
        <v>127</v>
      </c>
      <c r="AU558" s="6" t="s">
        <v>127</v>
      </c>
      <c r="AV558" s="6" t="s">
        <v>127</v>
      </c>
      <c r="AW558" s="6" t="s">
        <v>127</v>
      </c>
      <c r="AX558" s="6" t="s">
        <v>127</v>
      </c>
      <c r="AY558" s="99" t="s">
        <v>2857</v>
      </c>
      <c r="AZ558" s="6" t="s">
        <v>127</v>
      </c>
      <c r="BA558" s="6" t="s">
        <v>127</v>
      </c>
      <c r="BB558" s="6" t="s">
        <v>2858</v>
      </c>
      <c r="BC558" s="6" t="s">
        <v>127</v>
      </c>
      <c r="BD558" s="6" t="s">
        <v>127</v>
      </c>
      <c r="BE558" s="6" t="s">
        <v>127</v>
      </c>
    </row>
    <row r="559" spans="1:58" ht="16" x14ac:dyDescent="0.4">
      <c r="A559" s="6" t="s">
        <v>2859</v>
      </c>
      <c r="B559" s="6" t="s">
        <v>2859</v>
      </c>
      <c r="C559" s="6" t="s">
        <v>2624</v>
      </c>
      <c r="D559" s="6" t="s">
        <v>2624</v>
      </c>
      <c r="E559" s="191">
        <v>45373</v>
      </c>
      <c r="F559" s="6">
        <f t="shared" si="116"/>
        <v>2024</v>
      </c>
      <c r="G559" s="22" t="s">
        <v>2637</v>
      </c>
      <c r="H559" s="22" t="str">
        <f>VLOOKUP($G559,'Item Classification'!B:C,2,0)</f>
        <v>Air defence system (unspecified)</v>
      </c>
      <c r="I559" s="6" t="str">
        <f>VLOOKUP($G559,'Item Classification'!B:D,3,0)</f>
        <v>Air defence system</v>
      </c>
      <c r="J559" s="23">
        <f>VLOOKUP($G559,'Item Classification'!B:E,4,0)</f>
        <v>5</v>
      </c>
      <c r="K559" s="195" t="s">
        <v>211</v>
      </c>
      <c r="L559" s="195" t="s">
        <v>326</v>
      </c>
      <c r="M559" s="116" t="str">
        <f>VLOOKUP(L559,'NATO Classifications'!$D$6:$E$647,2,0)</f>
        <v>Guided Missile Systems, Complete</v>
      </c>
      <c r="N559" s="25"/>
      <c r="O559" s="81"/>
      <c r="P559" s="25"/>
      <c r="Q559" s="25"/>
      <c r="R559" s="25"/>
      <c r="S559" s="82">
        <v>20000000</v>
      </c>
      <c r="T559" s="115" t="s">
        <v>2145</v>
      </c>
      <c r="U559" s="104">
        <f>_xlfn.IFNA(S559/INDEX('Exchange Rates'!$C$7:$F$14,MATCH('MAIN DATA, Orders'!F559,'Exchange Rates'!$B$7:$B$14,0),MATCH('MAIN DATA, Orders'!T559,'Exchange Rates'!$C$6:$F$6,0)), "-")</f>
        <v>23623349.318466373</v>
      </c>
      <c r="V559" s="6" t="s">
        <v>127</v>
      </c>
      <c r="W559" s="6" t="s">
        <v>127</v>
      </c>
      <c r="X559" s="6" t="s">
        <v>809</v>
      </c>
      <c r="Y559" s="24">
        <f t="shared" si="120"/>
        <v>202403</v>
      </c>
      <c r="Z559" s="24">
        <v>0</v>
      </c>
      <c r="AA559" s="24">
        <v>0</v>
      </c>
      <c r="AB559" s="24">
        <v>0</v>
      </c>
      <c r="AC559" s="24" t="s">
        <v>127</v>
      </c>
      <c r="AD559" s="24" t="s">
        <v>127</v>
      </c>
      <c r="AE559" s="24" t="s">
        <v>127</v>
      </c>
      <c r="AF559" s="24" t="s">
        <v>127</v>
      </c>
      <c r="AG559" s="10" t="s">
        <v>127</v>
      </c>
      <c r="AH559" s="10" t="s">
        <v>127</v>
      </c>
      <c r="AI559" s="6" t="s">
        <v>127</v>
      </c>
      <c r="AJ559" s="6" t="s">
        <v>127</v>
      </c>
      <c r="AK559" s="6" t="s">
        <v>127</v>
      </c>
      <c r="AL559" s="6" t="s">
        <v>127</v>
      </c>
      <c r="AM559" s="6" t="s">
        <v>127</v>
      </c>
      <c r="AN559" s="6" t="s">
        <v>127</v>
      </c>
      <c r="AO559" s="6" t="s">
        <v>127</v>
      </c>
      <c r="AP559" s="6" t="s">
        <v>127</v>
      </c>
      <c r="AQ559" s="6" t="s">
        <v>127</v>
      </c>
      <c r="AR559" s="6" t="s">
        <v>127</v>
      </c>
      <c r="AS559" s="6" t="s">
        <v>127</v>
      </c>
      <c r="AT559" s="6" t="s">
        <v>127</v>
      </c>
      <c r="AU559" s="6" t="s">
        <v>127</v>
      </c>
      <c r="AV559" s="6" t="s">
        <v>127</v>
      </c>
      <c r="AW559" s="6" t="s">
        <v>127</v>
      </c>
      <c r="AX559" s="6" t="s">
        <v>127</v>
      </c>
      <c r="AY559" s="99" t="s">
        <v>2857</v>
      </c>
      <c r="AZ559" s="6" t="s">
        <v>127</v>
      </c>
      <c r="BA559" s="6" t="s">
        <v>127</v>
      </c>
      <c r="BB559" s="6" t="s">
        <v>2858</v>
      </c>
      <c r="BC559" s="6" t="s">
        <v>127</v>
      </c>
      <c r="BD559" s="6" t="s">
        <v>127</v>
      </c>
      <c r="BE559" s="6" t="s">
        <v>127</v>
      </c>
    </row>
    <row r="560" spans="1:58" ht="16" x14ac:dyDescent="0.4">
      <c r="A560" s="6" t="s">
        <v>2860</v>
      </c>
      <c r="B560" s="6" t="s">
        <v>2860</v>
      </c>
      <c r="C560" s="6" t="s">
        <v>127</v>
      </c>
      <c r="D560" s="6" t="s">
        <v>238</v>
      </c>
      <c r="E560" s="191">
        <v>45377</v>
      </c>
      <c r="F560" s="6">
        <f t="shared" si="116"/>
        <v>2024</v>
      </c>
      <c r="G560" s="4" t="s">
        <v>2861</v>
      </c>
      <c r="H560" s="22" t="str">
        <f>VLOOKUP($G560,'Item Classification'!B:C,2,0)</f>
        <v>Anti-missile countermeasure system for warship</v>
      </c>
      <c r="I560" s="6" t="str">
        <f>VLOOKUP($G560,'Item Classification'!B:D,3,0)</f>
        <v>Naval</v>
      </c>
      <c r="J560" s="23">
        <f>VLOOKUP($G560,'Item Classification'!B:E,4,0)</f>
        <v>12</v>
      </c>
      <c r="K560" s="195" t="s">
        <v>763</v>
      </c>
      <c r="L560" s="195" t="s">
        <v>1580</v>
      </c>
      <c r="M560" s="116" t="str">
        <f>VLOOKUP(L560,'NATO Classifications'!$D$6:$E$647,2,0)</f>
        <v>Launchers, Rocket and Pyrotechnic</v>
      </c>
      <c r="N560" s="25"/>
      <c r="O560" s="25"/>
      <c r="P560" s="25"/>
      <c r="Q560" s="25"/>
      <c r="R560" s="25"/>
      <c r="S560" s="82">
        <v>135000000</v>
      </c>
      <c r="T560" s="115" t="s">
        <v>2145</v>
      </c>
      <c r="U560" s="104">
        <f>_xlfn.IFNA(S560/INDEX('Exchange Rates'!$C$7:$F$14,MATCH('MAIN DATA, Orders'!F560,'Exchange Rates'!$B$7:$B$14,0),MATCH('MAIN DATA, Orders'!T560,'Exchange Rates'!$C$6:$F$6,0)), "-")</f>
        <v>159457607.89964801</v>
      </c>
      <c r="V560" s="6" t="s">
        <v>127</v>
      </c>
      <c r="W560" s="6" t="s">
        <v>127</v>
      </c>
      <c r="X560" s="6" t="s">
        <v>238</v>
      </c>
      <c r="Y560" s="24">
        <f t="shared" si="120"/>
        <v>202403</v>
      </c>
      <c r="Z560" s="24">
        <v>0</v>
      </c>
      <c r="AA560" s="24">
        <v>0</v>
      </c>
      <c r="AB560" s="24">
        <v>0</v>
      </c>
      <c r="AC560" s="24">
        <v>1</v>
      </c>
      <c r="AD560" s="24">
        <v>0</v>
      </c>
      <c r="AE560" s="24">
        <v>0</v>
      </c>
      <c r="AF560" s="24">
        <v>0</v>
      </c>
      <c r="AG560" s="10" t="s">
        <v>2536</v>
      </c>
      <c r="AH560" s="10" t="s">
        <v>238</v>
      </c>
      <c r="AI560" s="6" t="s">
        <v>127</v>
      </c>
      <c r="AJ560" s="6" t="s">
        <v>2862</v>
      </c>
      <c r="AK560" s="6" t="s">
        <v>2863</v>
      </c>
      <c r="AL560" s="6" t="s">
        <v>127</v>
      </c>
      <c r="AM560" s="6" t="s">
        <v>127</v>
      </c>
      <c r="AN560" s="6" t="s">
        <v>127</v>
      </c>
      <c r="AO560" s="6" t="s">
        <v>127</v>
      </c>
      <c r="AP560" s="6" t="s">
        <v>127</v>
      </c>
      <c r="AQ560" s="6" t="s">
        <v>127</v>
      </c>
      <c r="AR560" s="6" t="s">
        <v>127</v>
      </c>
      <c r="AS560" s="6" t="s">
        <v>127</v>
      </c>
      <c r="AT560" s="6" t="s">
        <v>127</v>
      </c>
      <c r="AU560" s="6" t="s">
        <v>127</v>
      </c>
      <c r="AV560" s="6" t="s">
        <v>127</v>
      </c>
      <c r="AW560" s="6" t="s">
        <v>127</v>
      </c>
      <c r="AX560" s="6" t="s">
        <v>127</v>
      </c>
      <c r="AY560" s="99" t="s">
        <v>2864</v>
      </c>
      <c r="AZ560" s="6" t="s">
        <v>127</v>
      </c>
      <c r="BA560" s="6" t="s">
        <v>127</v>
      </c>
      <c r="BB560" s="6" t="s">
        <v>2865</v>
      </c>
      <c r="BC560" s="6" t="s">
        <v>2866</v>
      </c>
      <c r="BD560" s="6" t="s">
        <v>127</v>
      </c>
      <c r="BE560" s="6" t="s">
        <v>127</v>
      </c>
    </row>
    <row r="561" spans="1:57" ht="16" x14ac:dyDescent="0.4">
      <c r="A561" s="6" t="s">
        <v>2867</v>
      </c>
      <c r="B561" s="6" t="s">
        <v>2867</v>
      </c>
      <c r="C561" s="6" t="s">
        <v>127</v>
      </c>
      <c r="D561" s="6" t="s">
        <v>238</v>
      </c>
      <c r="E561" s="191">
        <v>45354</v>
      </c>
      <c r="F561" s="6">
        <f t="shared" si="116"/>
        <v>2024</v>
      </c>
      <c r="G561" s="4" t="s">
        <v>2868</v>
      </c>
      <c r="H561" s="22" t="str">
        <f>VLOOKUP($G561,'Item Classification'!B:C,2,0)</f>
        <v>Naval helicopter maintenance</v>
      </c>
      <c r="I561" s="6" t="str">
        <f>VLOOKUP($G561,'Item Classification'!B:D,3,0)</f>
        <v>Maintenance</v>
      </c>
      <c r="J561" s="23">
        <f>VLOOKUP($G561,'Item Classification'!B:E,4,0)</f>
        <v>14</v>
      </c>
      <c r="K561" s="195" t="s">
        <v>130</v>
      </c>
      <c r="L561" s="195" t="s">
        <v>266</v>
      </c>
      <c r="M561" s="116" t="str">
        <f>VLOOKUP(L561,'NATO Classifications'!$D$6:$E$647,2,0)</f>
        <v>Aircraft, Rotary Wing</v>
      </c>
      <c r="N561" s="25">
        <v>6</v>
      </c>
      <c r="O561" s="81">
        <f>S561/N561</f>
        <v>40166666.666666664</v>
      </c>
      <c r="P561" s="81">
        <f t="shared" ref="P561" si="125">U561/N561</f>
        <v>47443559.881253295</v>
      </c>
      <c r="Q561" s="25">
        <v>2024</v>
      </c>
      <c r="R561" s="25">
        <v>2030</v>
      </c>
      <c r="S561" s="82">
        <v>241000000</v>
      </c>
      <c r="T561" s="115" t="s">
        <v>2145</v>
      </c>
      <c r="U561" s="104">
        <f>_xlfn.IFNA(S561/INDEX('Exchange Rates'!$C$7:$F$14,MATCH('MAIN DATA, Orders'!F561,'Exchange Rates'!$B$7:$B$14,0),MATCH('MAIN DATA, Orders'!T561,'Exchange Rates'!$C$6:$F$6,0)), "-")</f>
        <v>284661359.28751975</v>
      </c>
      <c r="V561" s="6" t="s">
        <v>127</v>
      </c>
      <c r="W561" s="6" t="s">
        <v>127</v>
      </c>
      <c r="X561" s="6" t="s">
        <v>238</v>
      </c>
      <c r="Y561" s="24">
        <f t="shared" si="120"/>
        <v>202403</v>
      </c>
      <c r="Z561" s="24">
        <v>0</v>
      </c>
      <c r="AA561" s="24">
        <v>1</v>
      </c>
      <c r="AB561" s="24">
        <v>0</v>
      </c>
      <c r="AC561" s="24">
        <v>1</v>
      </c>
      <c r="AD561" s="24">
        <v>1</v>
      </c>
      <c r="AE561" s="24">
        <v>0</v>
      </c>
      <c r="AF561" s="24">
        <v>1</v>
      </c>
      <c r="AG561" s="10" t="s">
        <v>2869</v>
      </c>
      <c r="AH561" s="10" t="s">
        <v>238</v>
      </c>
      <c r="AI561" s="6" t="s">
        <v>127</v>
      </c>
      <c r="AJ561" s="10" t="s">
        <v>2870</v>
      </c>
      <c r="AK561" s="6" t="s">
        <v>127</v>
      </c>
      <c r="AL561" s="6" t="s">
        <v>127</v>
      </c>
      <c r="AM561" s="6" t="s">
        <v>127</v>
      </c>
      <c r="AN561" s="6" t="s">
        <v>151</v>
      </c>
      <c r="AO561" s="6" t="s">
        <v>127</v>
      </c>
      <c r="AP561" s="6" t="s">
        <v>127</v>
      </c>
      <c r="AQ561" s="6" t="s">
        <v>127</v>
      </c>
      <c r="AR561" s="6" t="s">
        <v>127</v>
      </c>
      <c r="AS561" s="6" t="s">
        <v>127</v>
      </c>
      <c r="AT561" s="6" t="s">
        <v>127</v>
      </c>
      <c r="AU561" s="6" t="s">
        <v>127</v>
      </c>
      <c r="AV561" s="6" t="s">
        <v>127</v>
      </c>
      <c r="AW561" s="6" t="s">
        <v>127</v>
      </c>
      <c r="AX561" s="6" t="s">
        <v>127</v>
      </c>
      <c r="AY561" s="99" t="s">
        <v>2871</v>
      </c>
      <c r="AZ561" s="6" t="s">
        <v>127</v>
      </c>
      <c r="BA561" s="6" t="s">
        <v>127</v>
      </c>
      <c r="BB561" s="6" t="s">
        <v>2872</v>
      </c>
      <c r="BC561" s="6" t="s">
        <v>127</v>
      </c>
      <c r="BD561" s="6" t="s">
        <v>127</v>
      </c>
      <c r="BE561" s="6" t="s">
        <v>127</v>
      </c>
    </row>
    <row r="562" spans="1:57" ht="16" x14ac:dyDescent="0.4">
      <c r="A562" s="6" t="s">
        <v>2873</v>
      </c>
      <c r="B562" s="6" t="s">
        <v>2873</v>
      </c>
      <c r="C562" s="6" t="s">
        <v>127</v>
      </c>
      <c r="D562" s="6" t="s">
        <v>238</v>
      </c>
      <c r="E562" s="191">
        <v>45390</v>
      </c>
      <c r="F562" s="6">
        <f t="shared" si="116"/>
        <v>2024</v>
      </c>
      <c r="G562" s="4" t="s">
        <v>2874</v>
      </c>
      <c r="H562" s="22" t="str">
        <f>VLOOKUP($G562,'Item Classification'!B:C,2,0)</f>
        <v>Snowmobile</v>
      </c>
      <c r="I562" s="6" t="str">
        <f>VLOOKUP($G562,'Item Classification'!B:D,3,0)</f>
        <v>Other</v>
      </c>
      <c r="J562" s="23">
        <f>VLOOKUP($G562,'Item Classification'!B:E,4,0)</f>
        <v>16</v>
      </c>
      <c r="K562" s="195" t="s">
        <v>274</v>
      </c>
      <c r="L562" s="195" t="s">
        <v>275</v>
      </c>
      <c r="M562" s="116" t="str">
        <f>VLOOKUP(L562,'NATO Classifications'!$D$6:$E$647,2,0)</f>
        <v>Trucks and Truck Tractors, Wheeled</v>
      </c>
      <c r="N562" s="25">
        <v>159</v>
      </c>
      <c r="O562" s="81">
        <f>S562/N562</f>
        <v>62893.081761006288</v>
      </c>
      <c r="P562" s="81">
        <f t="shared" ref="P562" si="126">U562/N562</f>
        <v>74287.262007755882</v>
      </c>
      <c r="Q562" s="25">
        <v>2025</v>
      </c>
      <c r="R562" s="25"/>
      <c r="S562" s="82">
        <v>10000000</v>
      </c>
      <c r="T562" s="115" t="s">
        <v>2145</v>
      </c>
      <c r="U562" s="104">
        <f>_xlfn.IFNA(S562/INDEX('Exchange Rates'!$C$7:$F$14,MATCH('MAIN DATA, Orders'!F562,'Exchange Rates'!$B$7:$B$14,0),MATCH('MAIN DATA, Orders'!T562,'Exchange Rates'!$C$6:$F$6,0)), "-")</f>
        <v>11811674.659233186</v>
      </c>
      <c r="V562" s="6" t="s">
        <v>127</v>
      </c>
      <c r="W562" s="6" t="s">
        <v>127</v>
      </c>
      <c r="X562" s="6" t="s">
        <v>238</v>
      </c>
      <c r="Y562" s="24">
        <f t="shared" si="120"/>
        <v>202404</v>
      </c>
      <c r="Z562" s="24">
        <v>0</v>
      </c>
      <c r="AA562" s="24">
        <v>0</v>
      </c>
      <c r="AB562" s="24">
        <v>0</v>
      </c>
      <c r="AC562" s="24">
        <v>1</v>
      </c>
      <c r="AD562" s="24">
        <v>0</v>
      </c>
      <c r="AE562" s="24">
        <v>1</v>
      </c>
      <c r="AF562" s="24">
        <v>0</v>
      </c>
      <c r="AG562" s="10" t="s">
        <v>2875</v>
      </c>
      <c r="AH562" s="10" t="s">
        <v>684</v>
      </c>
      <c r="AI562" s="6" t="s">
        <v>684</v>
      </c>
      <c r="AJ562" s="6" t="s">
        <v>127</v>
      </c>
      <c r="AK562" s="6" t="s">
        <v>127</v>
      </c>
      <c r="AL562" s="6" t="s">
        <v>127</v>
      </c>
      <c r="AM562" s="6" t="s">
        <v>127</v>
      </c>
      <c r="AN562" s="6" t="s">
        <v>431</v>
      </c>
      <c r="AO562" s="6" t="s">
        <v>127</v>
      </c>
      <c r="AP562" s="6" t="s">
        <v>127</v>
      </c>
      <c r="AQ562" s="6" t="s">
        <v>127</v>
      </c>
      <c r="AR562" s="6" t="s">
        <v>127</v>
      </c>
      <c r="AS562" s="6" t="s">
        <v>127</v>
      </c>
      <c r="AT562" s="6" t="s">
        <v>127</v>
      </c>
      <c r="AU562" s="6" t="s">
        <v>127</v>
      </c>
      <c r="AV562" s="6" t="s">
        <v>127</v>
      </c>
      <c r="AW562" s="6" t="s">
        <v>127</v>
      </c>
      <c r="AX562" s="6" t="s">
        <v>127</v>
      </c>
      <c r="AY562" s="99" t="s">
        <v>2876</v>
      </c>
      <c r="AZ562" s="6" t="s">
        <v>127</v>
      </c>
      <c r="BA562" s="6" t="s">
        <v>127</v>
      </c>
      <c r="BB562" s="6" t="s">
        <v>2877</v>
      </c>
      <c r="BC562" s="6" t="s">
        <v>127</v>
      </c>
      <c r="BD562" s="6" t="s">
        <v>127</v>
      </c>
      <c r="BE562" s="6" t="s">
        <v>127</v>
      </c>
    </row>
    <row r="563" spans="1:57" ht="16" x14ac:dyDescent="0.4">
      <c r="A563" s="6" t="s">
        <v>2878</v>
      </c>
      <c r="B563" s="6" t="s">
        <v>2878</v>
      </c>
      <c r="C563" s="6" t="s">
        <v>127</v>
      </c>
      <c r="D563" s="6" t="s">
        <v>238</v>
      </c>
      <c r="E563" s="191">
        <v>45400</v>
      </c>
      <c r="F563" s="6">
        <f t="shared" si="116"/>
        <v>2024</v>
      </c>
      <c r="G563" s="4" t="s">
        <v>2879</v>
      </c>
      <c r="H563" s="22" t="str">
        <f>VLOOKUP($G563,'Item Classification'!B:C,2,0)</f>
        <v>Light utility helicopter</v>
      </c>
      <c r="I563" s="6" t="str">
        <f>VLOOKUP($G563,'Item Classification'!B:D,3,0)</f>
        <v>Helicopter</v>
      </c>
      <c r="J563" s="23">
        <f>VLOOKUP($G563,'Item Classification'!B:E,4,0)</f>
        <v>10</v>
      </c>
      <c r="K563" s="195" t="s">
        <v>130</v>
      </c>
      <c r="L563" s="195" t="s">
        <v>266</v>
      </c>
      <c r="M563" s="116" t="str">
        <f>VLOOKUP(L563,'NATO Classifications'!$D$6:$E$647,2,0)</f>
        <v>Aircraft, Rotary Wing</v>
      </c>
      <c r="N563" s="25">
        <v>6</v>
      </c>
      <c r="O563" s="81">
        <f>S563/N563</f>
        <v>20333333.333333332</v>
      </c>
      <c r="P563" s="81">
        <f t="shared" ref="P563" si="127">U563/N563</f>
        <v>24017071.807107478</v>
      </c>
      <c r="Q563" s="25"/>
      <c r="R563" s="25">
        <v>2026</v>
      </c>
      <c r="S563" s="82">
        <v>122000000</v>
      </c>
      <c r="T563" s="115" t="s">
        <v>2145</v>
      </c>
      <c r="U563" s="104">
        <f>_xlfn.IFNA(S563/INDEX('Exchange Rates'!$C$7:$F$14,MATCH('MAIN DATA, Orders'!F563,'Exchange Rates'!$B$7:$B$14,0),MATCH('MAIN DATA, Orders'!T563,'Exchange Rates'!$C$6:$F$6,0)), "-")</f>
        <v>144102430.84264487</v>
      </c>
      <c r="V563" s="6" t="s">
        <v>127</v>
      </c>
      <c r="W563" s="6" t="s">
        <v>127</v>
      </c>
      <c r="X563" s="6" t="s">
        <v>238</v>
      </c>
      <c r="Y563" s="24">
        <f t="shared" si="120"/>
        <v>202404</v>
      </c>
      <c r="Z563" s="24">
        <v>0</v>
      </c>
      <c r="AA563" s="24">
        <v>0</v>
      </c>
      <c r="AB563" s="24">
        <v>0</v>
      </c>
      <c r="AC563" s="24">
        <v>1</v>
      </c>
      <c r="AD563" s="24">
        <v>1</v>
      </c>
      <c r="AE563" s="24">
        <v>0</v>
      </c>
      <c r="AF563" s="24">
        <v>0</v>
      </c>
      <c r="AG563" s="10" t="s">
        <v>267</v>
      </c>
      <c r="AH563" s="10" t="s">
        <v>128</v>
      </c>
      <c r="AI563" s="6" t="s">
        <v>127</v>
      </c>
      <c r="AJ563" s="6" t="s">
        <v>127</v>
      </c>
      <c r="AK563" s="6" t="s">
        <v>127</v>
      </c>
      <c r="AL563" s="6" t="s">
        <v>127</v>
      </c>
      <c r="AM563" s="6" t="s">
        <v>127</v>
      </c>
      <c r="AN563" s="6" t="s">
        <v>151</v>
      </c>
      <c r="AO563" s="6" t="s">
        <v>127</v>
      </c>
      <c r="AP563" s="6" t="s">
        <v>127</v>
      </c>
      <c r="AQ563" s="6" t="s">
        <v>127</v>
      </c>
      <c r="AR563" s="6" t="s">
        <v>127</v>
      </c>
      <c r="AS563" s="6" t="s">
        <v>127</v>
      </c>
      <c r="AT563" s="6" t="s">
        <v>127</v>
      </c>
      <c r="AU563" s="6" t="s">
        <v>127</v>
      </c>
      <c r="AV563" s="6" t="s">
        <v>127</v>
      </c>
      <c r="AW563" s="6" t="s">
        <v>127</v>
      </c>
      <c r="AX563" s="6" t="s">
        <v>127</v>
      </c>
      <c r="AY563" s="99" t="s">
        <v>2880</v>
      </c>
      <c r="AZ563" s="6" t="s">
        <v>127</v>
      </c>
      <c r="BA563" s="6" t="s">
        <v>127</v>
      </c>
      <c r="BB563" s="6" t="s">
        <v>2881</v>
      </c>
      <c r="BC563" s="6" t="s">
        <v>127</v>
      </c>
      <c r="BD563" s="6" t="s">
        <v>127</v>
      </c>
      <c r="BE563" s="6" t="s">
        <v>127</v>
      </c>
    </row>
    <row r="564" spans="1:57" ht="16" x14ac:dyDescent="0.4">
      <c r="A564" s="6" t="s">
        <v>2882</v>
      </c>
      <c r="B564" s="6" t="s">
        <v>2882</v>
      </c>
      <c r="C564" s="6" t="s">
        <v>127</v>
      </c>
      <c r="D564" s="6" t="s">
        <v>238</v>
      </c>
      <c r="E564" s="191">
        <v>45405</v>
      </c>
      <c r="F564" s="6">
        <f t="shared" si="116"/>
        <v>2024</v>
      </c>
      <c r="G564" s="4" t="s">
        <v>2883</v>
      </c>
      <c r="H564" s="22" t="str">
        <f>VLOOKUP($G564,'Item Classification'!B:C,2,0)</f>
        <v>Non-combat military vehicle</v>
      </c>
      <c r="I564" s="6" t="str">
        <f>VLOOKUP($G564,'Item Classification'!B:D,3,0)</f>
        <v>Other</v>
      </c>
      <c r="J564" s="23">
        <f>VLOOKUP($G564,'Item Classification'!B:E,4,0)</f>
        <v>16</v>
      </c>
      <c r="K564" s="195" t="s">
        <v>274</v>
      </c>
      <c r="L564" s="195" t="s">
        <v>275</v>
      </c>
      <c r="M564" s="116" t="str">
        <f>VLOOKUP(L564,'NATO Classifications'!$D$6:$E$647,2,0)</f>
        <v>Trucks and Truck Tractors, Wheeled</v>
      </c>
      <c r="N564" s="25"/>
      <c r="O564" s="25"/>
      <c r="P564" s="25"/>
      <c r="Q564" s="25"/>
      <c r="R564" s="25"/>
      <c r="S564" s="82">
        <v>80000000</v>
      </c>
      <c r="T564" s="115" t="s">
        <v>2145</v>
      </c>
      <c r="U564" s="104">
        <f>_xlfn.IFNA(S564/INDEX('Exchange Rates'!$C$7:$F$14,MATCH('MAIN DATA, Orders'!F564,'Exchange Rates'!$B$7:$B$14,0),MATCH('MAIN DATA, Orders'!T564,'Exchange Rates'!$C$6:$F$6,0)), "-")</f>
        <v>94493397.273865491</v>
      </c>
      <c r="V564" s="6" t="s">
        <v>127</v>
      </c>
      <c r="W564" s="6" t="s">
        <v>127</v>
      </c>
      <c r="X564" s="6" t="s">
        <v>238</v>
      </c>
      <c r="Y564" s="24">
        <f t="shared" si="120"/>
        <v>202404</v>
      </c>
      <c r="Z564" s="24">
        <v>0</v>
      </c>
      <c r="AA564" s="24">
        <v>0</v>
      </c>
      <c r="AB564" s="24">
        <v>0</v>
      </c>
      <c r="AC564" s="24">
        <v>0</v>
      </c>
      <c r="AD564" s="24">
        <v>0</v>
      </c>
      <c r="AE564" s="24">
        <v>0</v>
      </c>
      <c r="AF564" s="24">
        <v>0</v>
      </c>
      <c r="AG564" s="10" t="s">
        <v>2734</v>
      </c>
      <c r="AH564" s="10" t="s">
        <v>196</v>
      </c>
      <c r="AI564" s="6" t="s">
        <v>127</v>
      </c>
      <c r="AJ564" s="6" t="s">
        <v>127</v>
      </c>
      <c r="AK564" s="6" t="s">
        <v>127</v>
      </c>
      <c r="AL564" s="6" t="s">
        <v>127</v>
      </c>
      <c r="AM564" s="6" t="s">
        <v>127</v>
      </c>
      <c r="AN564" s="6" t="s">
        <v>127</v>
      </c>
      <c r="AO564" s="6" t="s">
        <v>127</v>
      </c>
      <c r="AP564" s="6" t="s">
        <v>127</v>
      </c>
      <c r="AQ564" s="6" t="s">
        <v>127</v>
      </c>
      <c r="AR564" s="6" t="s">
        <v>127</v>
      </c>
      <c r="AS564" s="6" t="s">
        <v>127</v>
      </c>
      <c r="AT564" s="6" t="s">
        <v>127</v>
      </c>
      <c r="AU564" s="6" t="s">
        <v>127</v>
      </c>
      <c r="AV564" s="6" t="s">
        <v>127</v>
      </c>
      <c r="AW564" s="6" t="s">
        <v>127</v>
      </c>
      <c r="AX564" s="6" t="s">
        <v>127</v>
      </c>
      <c r="AY564" s="99" t="s">
        <v>2884</v>
      </c>
      <c r="AZ564" s="6" t="s">
        <v>127</v>
      </c>
      <c r="BA564" s="6" t="s">
        <v>127</v>
      </c>
      <c r="BB564" s="6" t="s">
        <v>2885</v>
      </c>
      <c r="BC564" s="6" t="s">
        <v>127</v>
      </c>
      <c r="BD564" s="6" t="s">
        <v>127</v>
      </c>
      <c r="BE564" s="6" t="s">
        <v>127</v>
      </c>
    </row>
    <row r="565" spans="1:57" ht="16" x14ac:dyDescent="0.4">
      <c r="A565" s="6" t="s">
        <v>2886</v>
      </c>
      <c r="B565" s="6" t="s">
        <v>2886</v>
      </c>
      <c r="C565" s="6" t="s">
        <v>127</v>
      </c>
      <c r="D565" s="6" t="s">
        <v>238</v>
      </c>
      <c r="E565" s="191">
        <v>45422</v>
      </c>
      <c r="F565" s="6">
        <f t="shared" ref="F565:F566" si="128">YEAR(E565)</f>
        <v>2024</v>
      </c>
      <c r="G565" s="4" t="s">
        <v>2887</v>
      </c>
      <c r="H565" s="22" t="str">
        <f>VLOOKUP($G565,'Item Classification'!B:C,2,0)</f>
        <v>Bomb disposal robot</v>
      </c>
      <c r="I565" s="6" t="str">
        <f>VLOOKUP($G565,'Item Classification'!B:D,3,0)</f>
        <v>Drone</v>
      </c>
      <c r="J565" s="23">
        <f>VLOOKUP($G565,'Item Classification'!B:E,4,0)</f>
        <v>7</v>
      </c>
      <c r="K565" s="195" t="s">
        <v>189</v>
      </c>
      <c r="L565" s="195" t="s">
        <v>2233</v>
      </c>
      <c r="M565" s="116" t="str">
        <f>VLOOKUP(L565,'NATO Classifications'!$D$6:$E$647,2,0)</f>
        <v>Ammunition and Explosives (other)</v>
      </c>
      <c r="N565" s="6">
        <v>50</v>
      </c>
      <c r="O565" s="81">
        <f>S565/N565</f>
        <v>420000</v>
      </c>
      <c r="P565" s="81">
        <f t="shared" ref="P565" si="129">U565/N565</f>
        <v>496090.33568779379</v>
      </c>
      <c r="Q565" s="25">
        <v>2024</v>
      </c>
      <c r="R565" s="25"/>
      <c r="S565" s="82">
        <v>21000000</v>
      </c>
      <c r="T565" s="115" t="s">
        <v>2145</v>
      </c>
      <c r="U565" s="104">
        <f>_xlfn.IFNA(S565/INDEX('Exchange Rates'!$C$7:$F$14,MATCH('MAIN DATA, Orders'!F565,'Exchange Rates'!$B$7:$B$14,0),MATCH('MAIN DATA, Orders'!T565,'Exchange Rates'!$C$6:$F$6,0)), "-")</f>
        <v>24804516.78438969</v>
      </c>
      <c r="V565" s="6" t="s">
        <v>127</v>
      </c>
      <c r="W565" s="6" t="s">
        <v>127</v>
      </c>
      <c r="X565" s="6" t="s">
        <v>238</v>
      </c>
      <c r="Y565" s="24">
        <f t="shared" si="120"/>
        <v>202405</v>
      </c>
      <c r="Z565" s="24">
        <v>0</v>
      </c>
      <c r="AA565" s="24">
        <v>0</v>
      </c>
      <c r="AB565" s="24">
        <v>0</v>
      </c>
      <c r="AC565" s="24">
        <v>1</v>
      </c>
      <c r="AD565" s="24">
        <v>0</v>
      </c>
      <c r="AE565" s="24">
        <v>1</v>
      </c>
      <c r="AF565" s="24">
        <v>1</v>
      </c>
      <c r="AG565" s="10" t="s">
        <v>1421</v>
      </c>
      <c r="AH565" s="10" t="s">
        <v>196</v>
      </c>
      <c r="AI565" s="6" t="s">
        <v>238</v>
      </c>
      <c r="AJ565" s="6" t="s">
        <v>127</v>
      </c>
      <c r="AK565" s="6" t="s">
        <v>127</v>
      </c>
      <c r="AL565" s="6" t="s">
        <v>127</v>
      </c>
      <c r="AM565" s="6" t="s">
        <v>127</v>
      </c>
      <c r="AN565" s="6" t="s">
        <v>127</v>
      </c>
      <c r="AO565" s="6" t="s">
        <v>127</v>
      </c>
      <c r="AP565" s="6" t="s">
        <v>127</v>
      </c>
      <c r="AQ565" s="6" t="s">
        <v>127</v>
      </c>
      <c r="AR565" s="6" t="s">
        <v>127</v>
      </c>
      <c r="AS565" s="6" t="s">
        <v>127</v>
      </c>
      <c r="AT565" s="6" t="s">
        <v>127</v>
      </c>
      <c r="AU565" s="6" t="s">
        <v>127</v>
      </c>
      <c r="AV565" s="6" t="s">
        <v>127</v>
      </c>
      <c r="AW565" s="6" t="s">
        <v>127</v>
      </c>
      <c r="AX565" s="6" t="s">
        <v>127</v>
      </c>
      <c r="AY565" s="99" t="s">
        <v>2888</v>
      </c>
      <c r="AZ565" s="6" t="s">
        <v>127</v>
      </c>
      <c r="BA565" s="6" t="s">
        <v>127</v>
      </c>
      <c r="BB565" s="6" t="s">
        <v>2889</v>
      </c>
      <c r="BC565" s="6" t="s">
        <v>2890</v>
      </c>
      <c r="BD565" s="6" t="s">
        <v>127</v>
      </c>
      <c r="BE565" s="6" t="s">
        <v>127</v>
      </c>
    </row>
    <row r="566" spans="1:57" ht="16" x14ac:dyDescent="0.4">
      <c r="A566" s="6" t="s">
        <v>2891</v>
      </c>
      <c r="B566" s="6" t="s">
        <v>2891</v>
      </c>
      <c r="C566" s="6" t="s">
        <v>2624</v>
      </c>
      <c r="D566" s="6" t="s">
        <v>2624</v>
      </c>
      <c r="E566" s="191">
        <v>45483</v>
      </c>
      <c r="F566" s="6">
        <f t="shared" si="128"/>
        <v>2024</v>
      </c>
      <c r="G566" s="4" t="s">
        <v>2892</v>
      </c>
      <c r="H566" s="22" t="str">
        <f>VLOOKUP($G566,'Item Classification'!B:C,2,0)</f>
        <v>152mm howitzer ammunition</v>
      </c>
      <c r="I566" s="6" t="str">
        <f>VLOOKUP($G566,'Item Classification'!B:D,3,0)</f>
        <v>Ammunition</v>
      </c>
      <c r="J566" s="23">
        <f>VLOOKUP($G566,'Item Classification'!B:E,4,0)</f>
        <v>4</v>
      </c>
      <c r="K566" s="195" t="s">
        <v>189</v>
      </c>
      <c r="L566" s="195" t="s">
        <v>733</v>
      </c>
      <c r="M566" s="116" t="str">
        <f>VLOOKUP(L566,'NATO Classifications'!$D$6:$E$647,2,0)</f>
        <v>Ammunition over 75mm</v>
      </c>
      <c r="N566" s="6">
        <v>120000</v>
      </c>
      <c r="O566" s="81">
        <f>S566/N566</f>
        <v>2500</v>
      </c>
      <c r="P566" s="81">
        <f t="shared" ref="P566" si="130">U566/N566</f>
        <v>2952.9186648082959</v>
      </c>
      <c r="Q566" s="25"/>
      <c r="R566" s="25"/>
      <c r="S566" s="82">
        <v>300000000</v>
      </c>
      <c r="T566" s="115" t="s">
        <v>2145</v>
      </c>
      <c r="U566" s="104">
        <f>_xlfn.IFNA(S566/INDEX('Exchange Rates'!$C$7:$F$14,MATCH('MAIN DATA, Orders'!F566,'Exchange Rates'!$B$7:$B$14,0),MATCH('MAIN DATA, Orders'!T566,'Exchange Rates'!$C$6:$F$6,0)), "-")</f>
        <v>354350239.77699554</v>
      </c>
      <c r="V566" s="6" t="s">
        <v>127</v>
      </c>
      <c r="W566" s="6" t="s">
        <v>127</v>
      </c>
      <c r="X566" s="6" t="s">
        <v>809</v>
      </c>
      <c r="Y566" s="24">
        <f t="shared" si="120"/>
        <v>202407</v>
      </c>
      <c r="Z566" s="24">
        <v>0</v>
      </c>
      <c r="AA566" s="24">
        <v>0</v>
      </c>
      <c r="AB566" s="24">
        <v>0</v>
      </c>
      <c r="AC566" s="24" t="s">
        <v>127</v>
      </c>
      <c r="AD566" s="24" t="s">
        <v>127</v>
      </c>
      <c r="AE566" s="24" t="s">
        <v>127</v>
      </c>
      <c r="AF566" s="24" t="s">
        <v>127</v>
      </c>
      <c r="AG566" s="10" t="s">
        <v>127</v>
      </c>
      <c r="AH566" s="10" t="s">
        <v>127</v>
      </c>
      <c r="AI566" s="6" t="s">
        <v>127</v>
      </c>
      <c r="AJ566" s="6" t="s">
        <v>127</v>
      </c>
      <c r="AK566" s="6" t="s">
        <v>127</v>
      </c>
      <c r="AL566" s="6" t="s">
        <v>127</v>
      </c>
      <c r="AM566" s="6" t="s">
        <v>127</v>
      </c>
      <c r="AN566" s="6" t="s">
        <v>127</v>
      </c>
      <c r="AO566" s="6" t="s">
        <v>127</v>
      </c>
      <c r="AP566" s="6" t="s">
        <v>127</v>
      </c>
      <c r="AQ566" s="6" t="s">
        <v>127</v>
      </c>
      <c r="AR566" s="6" t="s">
        <v>127</v>
      </c>
      <c r="AS566" s="6" t="s">
        <v>127</v>
      </c>
      <c r="AT566" s="6" t="s">
        <v>127</v>
      </c>
      <c r="AU566" s="6" t="s">
        <v>127</v>
      </c>
      <c r="AV566" s="6" t="s">
        <v>127</v>
      </c>
      <c r="AW566" s="6" t="s">
        <v>127</v>
      </c>
      <c r="AX566" s="6" t="s">
        <v>127</v>
      </c>
      <c r="AY566" s="99" t="s">
        <v>2893</v>
      </c>
      <c r="AZ566" s="6" t="s">
        <v>127</v>
      </c>
      <c r="BA566" s="6" t="s">
        <v>127</v>
      </c>
      <c r="BB566" s="6" t="s">
        <v>2894</v>
      </c>
      <c r="BC566" s="6" t="s">
        <v>127</v>
      </c>
      <c r="BD566" s="6" t="s">
        <v>127</v>
      </c>
      <c r="BE566" s="6" t="s">
        <v>127</v>
      </c>
    </row>
    <row r="567" spans="1:57" ht="16" x14ac:dyDescent="0.4">
      <c r="A567" s="6" t="s">
        <v>2895</v>
      </c>
      <c r="B567" s="6" t="s">
        <v>2895</v>
      </c>
      <c r="C567" s="6" t="s">
        <v>127</v>
      </c>
      <c r="D567" s="6" t="s">
        <v>238</v>
      </c>
      <c r="E567" s="191">
        <v>45495</v>
      </c>
      <c r="F567" s="6">
        <f t="shared" ref="F567:F613" si="131">YEAR(E567)</f>
        <v>2024</v>
      </c>
      <c r="G567" s="4" t="s">
        <v>2896</v>
      </c>
      <c r="H567" s="22" t="str">
        <f>VLOOKUP($G567,'Item Classification'!B:C,2,0)</f>
        <v>Industrial company investment</v>
      </c>
      <c r="I567" s="6" t="str">
        <f>VLOOKUP($G567,'Item Classification'!B:D,3,0)</f>
        <v>Other</v>
      </c>
      <c r="J567" s="23">
        <f>VLOOKUP($G567,'Item Classification'!B:E,4,0)</f>
        <v>16</v>
      </c>
      <c r="K567" s="195" t="s">
        <v>211</v>
      </c>
      <c r="L567" s="195" t="s">
        <v>211</v>
      </c>
      <c r="M567" s="116" t="str">
        <f>VLOOKUP(L567,'NATO Classifications'!$D$6:$E$647,2,0)</f>
        <v>Guided Missiles</v>
      </c>
      <c r="N567" s="6">
        <v>10</v>
      </c>
      <c r="O567" s="81">
        <f>S567/N567</f>
        <v>650000000</v>
      </c>
      <c r="P567" s="81">
        <f t="shared" ref="P567" si="132">U567/N567</f>
        <v>767758852.85015702</v>
      </c>
      <c r="Q567" s="25">
        <v>2024</v>
      </c>
      <c r="R567" s="25">
        <v>2034</v>
      </c>
      <c r="S567" s="82">
        <v>6500000000</v>
      </c>
      <c r="T567" s="115" t="s">
        <v>2145</v>
      </c>
      <c r="U567" s="104">
        <f>_xlfn.IFNA(S567/INDEX('Exchange Rates'!$C$7:$F$14,MATCH('MAIN DATA, Orders'!F567,'Exchange Rates'!$B$7:$B$14,0),MATCH('MAIN DATA, Orders'!T567,'Exchange Rates'!$C$6:$F$6,0)), "-")</f>
        <v>7677588528.5015707</v>
      </c>
      <c r="V567" s="6" t="s">
        <v>127</v>
      </c>
      <c r="W567" s="6" t="s">
        <v>127</v>
      </c>
      <c r="X567" s="6" t="s">
        <v>238</v>
      </c>
      <c r="Y567" s="24">
        <f t="shared" si="120"/>
        <v>202407</v>
      </c>
      <c r="Z567" s="24">
        <v>0</v>
      </c>
      <c r="AA567" s="24">
        <v>1</v>
      </c>
      <c r="AB567" s="24">
        <v>0</v>
      </c>
      <c r="AC567" s="24">
        <v>1</v>
      </c>
      <c r="AD567" s="24">
        <v>1</v>
      </c>
      <c r="AE567" s="24">
        <v>0</v>
      </c>
      <c r="AF567" s="24">
        <v>1</v>
      </c>
      <c r="AG567" s="10" t="s">
        <v>2248</v>
      </c>
      <c r="AH567" s="10" t="s">
        <v>238</v>
      </c>
      <c r="AI567" s="6" t="s">
        <v>127</v>
      </c>
      <c r="AJ567" s="6" t="s">
        <v>475</v>
      </c>
      <c r="AK567" s="6" t="s">
        <v>127</v>
      </c>
      <c r="AL567" s="6" t="s">
        <v>127</v>
      </c>
      <c r="AM567" s="6" t="s">
        <v>127</v>
      </c>
      <c r="AN567" s="6" t="s">
        <v>151</v>
      </c>
      <c r="AO567" s="6" t="s">
        <v>197</v>
      </c>
      <c r="AP567" s="6" t="s">
        <v>128</v>
      </c>
      <c r="AQ567" s="6" t="s">
        <v>162</v>
      </c>
      <c r="AR567" s="6" t="s">
        <v>127</v>
      </c>
      <c r="AS567" s="6" t="s">
        <v>127</v>
      </c>
      <c r="AT567" s="6" t="s">
        <v>127</v>
      </c>
      <c r="AU567" s="6" t="s">
        <v>127</v>
      </c>
      <c r="AV567" s="6" t="s">
        <v>127</v>
      </c>
      <c r="AW567" s="6" t="s">
        <v>127</v>
      </c>
      <c r="AX567" s="6" t="s">
        <v>127</v>
      </c>
      <c r="AY567" s="99" t="s">
        <v>2897</v>
      </c>
      <c r="AZ567" s="6" t="s">
        <v>127</v>
      </c>
      <c r="BA567" s="6" t="s">
        <v>127</v>
      </c>
      <c r="BB567" s="6" t="s">
        <v>2898</v>
      </c>
      <c r="BC567" s="6" t="s">
        <v>127</v>
      </c>
      <c r="BD567" s="6" t="s">
        <v>127</v>
      </c>
      <c r="BE567" s="6" t="s">
        <v>127</v>
      </c>
    </row>
    <row r="568" spans="1:57" ht="16" x14ac:dyDescent="0.4">
      <c r="A568" s="6" t="s">
        <v>2899</v>
      </c>
      <c r="B568" s="6" t="s">
        <v>2899</v>
      </c>
      <c r="C568" s="6" t="s">
        <v>127</v>
      </c>
      <c r="D568" s="6" t="s">
        <v>238</v>
      </c>
      <c r="E568" s="191">
        <v>45497</v>
      </c>
      <c r="F568" s="6">
        <f t="shared" si="131"/>
        <v>2024</v>
      </c>
      <c r="G568" s="4" t="s">
        <v>2900</v>
      </c>
      <c r="H568" s="22" t="str">
        <f>VLOOKUP($G568,'Item Classification'!B:C,2,0)</f>
        <v>Multi role missile</v>
      </c>
      <c r="I568" s="6" t="str">
        <f>VLOOKUP($G568,'Item Classification'!B:D,3,0)</f>
        <v>Missile (Land)</v>
      </c>
      <c r="J568" s="23">
        <f>VLOOKUP($G568,'Item Classification'!B:E,4,0)</f>
        <v>6</v>
      </c>
      <c r="K568" s="195" t="s">
        <v>211</v>
      </c>
      <c r="L568" s="195" t="s">
        <v>211</v>
      </c>
      <c r="M568" s="116" t="str">
        <f>VLOOKUP(L568,'NATO Classifications'!$D$6:$E$647,2,0)</f>
        <v>Guided Missiles</v>
      </c>
      <c r="N568" s="25"/>
      <c r="O568" s="25"/>
      <c r="P568" s="25"/>
      <c r="Q568" s="25"/>
      <c r="R568" s="25"/>
      <c r="S568" s="82">
        <v>176000000</v>
      </c>
      <c r="T568" s="115" t="s">
        <v>2145</v>
      </c>
      <c r="U568" s="104">
        <f>_xlfn.IFNA(S568/INDEX('Exchange Rates'!$C$7:$F$14,MATCH('MAIN DATA, Orders'!F568,'Exchange Rates'!$B$7:$B$14,0),MATCH('MAIN DATA, Orders'!T568,'Exchange Rates'!$C$6:$F$6,0)), "-")</f>
        <v>207885474.00250405</v>
      </c>
      <c r="V568" s="6" t="s">
        <v>127</v>
      </c>
      <c r="W568" s="6" t="s">
        <v>127</v>
      </c>
      <c r="X568" s="6" t="s">
        <v>238</v>
      </c>
      <c r="Y568" s="24">
        <f t="shared" si="120"/>
        <v>202407</v>
      </c>
      <c r="Z568" s="24">
        <v>0</v>
      </c>
      <c r="AA568" s="24">
        <v>0</v>
      </c>
      <c r="AB568" s="24">
        <v>0</v>
      </c>
      <c r="AC568" s="24">
        <v>1</v>
      </c>
      <c r="AD568" s="24">
        <v>1</v>
      </c>
      <c r="AE568" s="24">
        <v>0</v>
      </c>
      <c r="AF568" s="24">
        <v>1</v>
      </c>
      <c r="AG568" s="10" t="s">
        <v>2153</v>
      </c>
      <c r="AH568" s="10" t="s">
        <v>238</v>
      </c>
      <c r="AI568" s="6" t="s">
        <v>238</v>
      </c>
      <c r="AJ568" s="6" t="s">
        <v>148</v>
      </c>
      <c r="AK568" s="6" t="s">
        <v>127</v>
      </c>
      <c r="AL568" s="6" t="s">
        <v>127</v>
      </c>
      <c r="AM568" s="6" t="s">
        <v>127</v>
      </c>
      <c r="AN568" s="6" t="s">
        <v>151</v>
      </c>
      <c r="AO568" s="6" t="s">
        <v>127</v>
      </c>
      <c r="AP568" s="6" t="s">
        <v>127</v>
      </c>
      <c r="AQ568" s="6" t="s">
        <v>127</v>
      </c>
      <c r="AR568" s="6" t="s">
        <v>127</v>
      </c>
      <c r="AS568" s="6" t="s">
        <v>127</v>
      </c>
      <c r="AT568" s="6" t="s">
        <v>127</v>
      </c>
      <c r="AU568" s="6" t="s">
        <v>127</v>
      </c>
      <c r="AV568" s="6" t="s">
        <v>127</v>
      </c>
      <c r="AW568" s="6" t="s">
        <v>127</v>
      </c>
      <c r="AX568" s="6" t="s">
        <v>127</v>
      </c>
      <c r="AY568" s="99" t="s">
        <v>2901</v>
      </c>
      <c r="AZ568" s="6" t="s">
        <v>127</v>
      </c>
      <c r="BA568" s="6" t="s">
        <v>127</v>
      </c>
      <c r="BB568" s="6" t="s">
        <v>2902</v>
      </c>
      <c r="BC568" s="6" t="s">
        <v>2903</v>
      </c>
      <c r="BD568" s="6" t="s">
        <v>2904</v>
      </c>
      <c r="BE568" s="6" t="s">
        <v>127</v>
      </c>
    </row>
    <row r="569" spans="1:57" ht="16" x14ac:dyDescent="0.4">
      <c r="A569" s="6" t="s">
        <v>2905</v>
      </c>
      <c r="B569" s="6" t="s">
        <v>2905</v>
      </c>
      <c r="C569" s="6" t="s">
        <v>127</v>
      </c>
      <c r="D569" s="6" t="s">
        <v>238</v>
      </c>
      <c r="E569" s="191">
        <v>45525</v>
      </c>
      <c r="F569" s="6">
        <f t="shared" si="131"/>
        <v>2024</v>
      </c>
      <c r="G569" s="4" t="s">
        <v>2906</v>
      </c>
      <c r="H569" s="22" t="str">
        <f>VLOOKUP($G569,'Item Classification'!B:C,2,0)</f>
        <v>Anti-jamming test facility</v>
      </c>
      <c r="I569" s="6" t="str">
        <f>VLOOKUP($G569,'Item Classification'!B:D,3,0)</f>
        <v>Development - Modernisation</v>
      </c>
      <c r="J569" s="23">
        <f>VLOOKUP($G569,'Item Classification'!B:E,4,0)</f>
        <v>15</v>
      </c>
      <c r="K569" s="195" t="s">
        <v>386</v>
      </c>
      <c r="L569" s="195" t="s">
        <v>387</v>
      </c>
      <c r="M569" s="116" t="str">
        <f>VLOOKUP(L569,'NATO Classifications'!$D$6:$E$647,2,0)</f>
        <v>Prefabricated and Portable Buildings</v>
      </c>
      <c r="N569" s="25">
        <v>1</v>
      </c>
      <c r="O569" s="81">
        <f>S569/N569</f>
        <v>20000000</v>
      </c>
      <c r="P569" s="81">
        <f t="shared" ref="P569" si="133">U569/N569</f>
        <v>23623349.318466373</v>
      </c>
      <c r="Q569" s="25">
        <v>2026</v>
      </c>
      <c r="R569" s="25">
        <v>2026</v>
      </c>
      <c r="S569" s="82">
        <v>20000000</v>
      </c>
      <c r="T569" s="115" t="s">
        <v>2145</v>
      </c>
      <c r="U569" s="104">
        <f>_xlfn.IFNA(S569/INDEX('Exchange Rates'!$C$7:$F$14,MATCH('MAIN DATA, Orders'!F569,'Exchange Rates'!$B$7:$B$14,0),MATCH('MAIN DATA, Orders'!T569,'Exchange Rates'!$C$6:$F$6,0)), "-")</f>
        <v>23623349.318466373</v>
      </c>
      <c r="V569" s="6" t="s">
        <v>127</v>
      </c>
      <c r="W569" s="6" t="s">
        <v>127</v>
      </c>
      <c r="X569" s="6" t="s">
        <v>238</v>
      </c>
      <c r="Y569" s="24">
        <f t="shared" si="120"/>
        <v>202408</v>
      </c>
      <c r="Z569" s="24">
        <v>0</v>
      </c>
      <c r="AA569" s="24">
        <v>0</v>
      </c>
      <c r="AB569" s="24">
        <v>0</v>
      </c>
      <c r="AC569" s="24">
        <v>1</v>
      </c>
      <c r="AD569" s="24">
        <v>0</v>
      </c>
      <c r="AE569" s="24">
        <v>0</v>
      </c>
      <c r="AF569" s="24">
        <v>0</v>
      </c>
      <c r="AG569" s="10" t="s">
        <v>2187</v>
      </c>
      <c r="AH569" s="10" t="s">
        <v>238</v>
      </c>
      <c r="AI569" s="6" t="s">
        <v>238</v>
      </c>
      <c r="AJ569" s="6" t="s">
        <v>127</v>
      </c>
      <c r="AK569" s="6" t="s">
        <v>127</v>
      </c>
      <c r="AL569" s="6" t="s">
        <v>127</v>
      </c>
      <c r="AM569" s="6" t="s">
        <v>127</v>
      </c>
      <c r="AN569" s="6" t="s">
        <v>127</v>
      </c>
      <c r="AO569" s="6" t="s">
        <v>127</v>
      </c>
      <c r="AP569" s="6" t="s">
        <v>127</v>
      </c>
      <c r="AQ569" s="6" t="s">
        <v>127</v>
      </c>
      <c r="AR569" s="6" t="s">
        <v>127</v>
      </c>
      <c r="AS569" s="6" t="s">
        <v>127</v>
      </c>
      <c r="AT569" s="6" t="s">
        <v>127</v>
      </c>
      <c r="AU569" s="6" t="s">
        <v>127</v>
      </c>
      <c r="AV569" s="6" t="s">
        <v>127</v>
      </c>
      <c r="AW569" s="6" t="s">
        <v>127</v>
      </c>
      <c r="AX569" s="6" t="s">
        <v>127</v>
      </c>
      <c r="AY569" s="99" t="s">
        <v>2907</v>
      </c>
      <c r="AZ569" s="6" t="s">
        <v>127</v>
      </c>
      <c r="BA569" s="6" t="s">
        <v>127</v>
      </c>
      <c r="BB569" s="6" t="s">
        <v>2908</v>
      </c>
      <c r="BC569" s="6" t="s">
        <v>2909</v>
      </c>
      <c r="BD569" s="6" t="s">
        <v>127</v>
      </c>
      <c r="BE569" s="6" t="s">
        <v>127</v>
      </c>
    </row>
    <row r="570" spans="1:57" ht="16" x14ac:dyDescent="0.4">
      <c r="A570" s="6" t="s">
        <v>2910</v>
      </c>
      <c r="B570" s="6" t="s">
        <v>2910</v>
      </c>
      <c r="C570" s="6" t="s">
        <v>127</v>
      </c>
      <c r="D570" s="6" t="s">
        <v>238</v>
      </c>
      <c r="E570" s="191">
        <v>45527</v>
      </c>
      <c r="F570" s="6">
        <f t="shared" si="131"/>
        <v>2024</v>
      </c>
      <c r="G570" s="4" t="s">
        <v>2911</v>
      </c>
      <c r="H570" s="22" t="str">
        <f>VLOOKUP($G570,'Item Classification'!B:C,2,0)</f>
        <v>Wargaming software</v>
      </c>
      <c r="I570" s="6" t="str">
        <f>VLOOKUP($G570,'Item Classification'!B:D,3,0)</f>
        <v>Other</v>
      </c>
      <c r="J570" s="23">
        <f>VLOOKUP($G570,'Item Classification'!B:E,4,0)</f>
        <v>16</v>
      </c>
      <c r="K570" s="195" t="s">
        <v>168</v>
      </c>
      <c r="L570" s="195" t="s">
        <v>182</v>
      </c>
      <c r="M570" s="116" t="str">
        <f>VLOOKUP(L570,'NATO Classifications'!$D$6:$E$647,2,0)</f>
        <v>ADP Software</v>
      </c>
      <c r="N570" s="25"/>
      <c r="O570" s="25"/>
      <c r="P570" s="25"/>
      <c r="Q570" s="25"/>
      <c r="R570" s="25"/>
      <c r="S570" s="25"/>
      <c r="T570" s="115" t="s">
        <v>2145</v>
      </c>
      <c r="U570" s="104">
        <f>_xlfn.IFNA(S570/INDEX('Exchange Rates'!$C$7:$F$14,MATCH('MAIN DATA, Orders'!F570,'Exchange Rates'!$B$7:$B$14,0),MATCH('MAIN DATA, Orders'!T570,'Exchange Rates'!$C$6:$F$6,0)), "-")</f>
        <v>0</v>
      </c>
      <c r="V570" s="6" t="s">
        <v>127</v>
      </c>
      <c r="W570" s="6" t="s">
        <v>127</v>
      </c>
      <c r="X570" s="6" t="s">
        <v>238</v>
      </c>
      <c r="Y570" s="24">
        <f t="shared" si="120"/>
        <v>202408</v>
      </c>
      <c r="Z570" s="24">
        <v>0</v>
      </c>
      <c r="AA570" s="24">
        <v>0</v>
      </c>
      <c r="AB570" s="24">
        <v>0</v>
      </c>
      <c r="AC570" s="24">
        <v>1</v>
      </c>
      <c r="AD570" s="24">
        <v>0</v>
      </c>
      <c r="AE570" s="24">
        <v>0</v>
      </c>
      <c r="AF570" s="24">
        <v>0</v>
      </c>
      <c r="AG570" s="10" t="s">
        <v>2912</v>
      </c>
      <c r="AH570" s="10" t="s">
        <v>238</v>
      </c>
      <c r="AI570" s="6" t="s">
        <v>127</v>
      </c>
      <c r="AJ570" s="6" t="s">
        <v>127</v>
      </c>
      <c r="AK570" s="6" t="s">
        <v>127</v>
      </c>
      <c r="AL570" s="6" t="s">
        <v>127</v>
      </c>
      <c r="AM570" s="6" t="s">
        <v>127</v>
      </c>
      <c r="AN570" s="6" t="s">
        <v>127</v>
      </c>
      <c r="AO570" s="6" t="s">
        <v>127</v>
      </c>
      <c r="AP570" s="6" t="s">
        <v>127</v>
      </c>
      <c r="AQ570" s="6" t="s">
        <v>127</v>
      </c>
      <c r="AR570" s="6" t="s">
        <v>127</v>
      </c>
      <c r="AS570" s="6" t="s">
        <v>127</v>
      </c>
      <c r="AT570" s="6" t="s">
        <v>127</v>
      </c>
      <c r="AU570" s="6" t="s">
        <v>127</v>
      </c>
      <c r="AV570" s="6" t="s">
        <v>127</v>
      </c>
      <c r="AW570" s="6" t="s">
        <v>127</v>
      </c>
      <c r="AX570" s="6" t="s">
        <v>127</v>
      </c>
      <c r="AY570" s="99" t="s">
        <v>2913</v>
      </c>
      <c r="AZ570" s="99" t="s">
        <v>2914</v>
      </c>
      <c r="BA570" s="6" t="s">
        <v>127</v>
      </c>
      <c r="BB570" s="6" t="s">
        <v>2915</v>
      </c>
      <c r="BC570" s="6" t="s">
        <v>2916</v>
      </c>
      <c r="BD570" s="6" t="s">
        <v>127</v>
      </c>
      <c r="BE570" s="6" t="s">
        <v>127</v>
      </c>
    </row>
    <row r="571" spans="1:57" ht="16" x14ac:dyDescent="0.4">
      <c r="A571" s="6" t="s">
        <v>2917</v>
      </c>
      <c r="B571" s="6" t="s">
        <v>2917</v>
      </c>
      <c r="C571" s="6" t="s">
        <v>127</v>
      </c>
      <c r="D571" s="6" t="s">
        <v>238</v>
      </c>
      <c r="E571" s="191">
        <v>45541</v>
      </c>
      <c r="F571" s="6">
        <f t="shared" si="131"/>
        <v>2024</v>
      </c>
      <c r="G571" s="4" t="s">
        <v>2900</v>
      </c>
      <c r="H571" s="22" t="str">
        <f>VLOOKUP($G571,'Item Classification'!B:C,2,0)</f>
        <v>Multi role missile</v>
      </c>
      <c r="I571" s="6" t="str">
        <f>VLOOKUP($G571,'Item Classification'!B:D,3,0)</f>
        <v>Missile (Land)</v>
      </c>
      <c r="J571" s="23">
        <f>VLOOKUP($G571,'Item Classification'!B:E,4,0)</f>
        <v>6</v>
      </c>
      <c r="K571" s="195" t="s">
        <v>211</v>
      </c>
      <c r="L571" s="195" t="s">
        <v>211</v>
      </c>
      <c r="M571" s="116" t="str">
        <f>VLOOKUP(L571,'NATO Classifications'!$D$6:$E$647,2,0)</f>
        <v>Guided Missiles</v>
      </c>
      <c r="N571" s="6">
        <v>650</v>
      </c>
      <c r="O571" s="81">
        <f>S571/N571</f>
        <v>249230.76923076922</v>
      </c>
      <c r="P571" s="81">
        <f t="shared" ref="P571" si="134">U571/N571</f>
        <v>294383.27612242708</v>
      </c>
      <c r="Q571" s="25">
        <v>2024</v>
      </c>
      <c r="R571" s="25"/>
      <c r="S571" s="82">
        <v>162000000</v>
      </c>
      <c r="T571" s="115" t="s">
        <v>2145</v>
      </c>
      <c r="U571" s="104">
        <f>_xlfn.IFNA(S571/INDEX('Exchange Rates'!$C$7:$F$14,MATCH('MAIN DATA, Orders'!F571,'Exchange Rates'!$B$7:$B$14,0),MATCH('MAIN DATA, Orders'!T571,'Exchange Rates'!$C$6:$F$6,0)), "-")</f>
        <v>191349129.4795776</v>
      </c>
      <c r="V571" s="6" t="s">
        <v>127</v>
      </c>
      <c r="W571" s="6" t="s">
        <v>127</v>
      </c>
      <c r="X571" s="6" t="s">
        <v>809</v>
      </c>
      <c r="Y571" s="24">
        <f t="shared" si="120"/>
        <v>202409</v>
      </c>
      <c r="Z571" s="24">
        <v>0</v>
      </c>
      <c r="AA571" s="24">
        <v>0</v>
      </c>
      <c r="AB571" s="24">
        <v>0</v>
      </c>
      <c r="AC571" s="24">
        <v>1</v>
      </c>
      <c r="AD571" s="24">
        <v>1</v>
      </c>
      <c r="AE571" s="24">
        <v>0</v>
      </c>
      <c r="AF571" s="24">
        <v>1</v>
      </c>
      <c r="AG571" s="10" t="s">
        <v>2153</v>
      </c>
      <c r="AH571" s="10" t="s">
        <v>238</v>
      </c>
      <c r="AI571" s="6" t="s">
        <v>238</v>
      </c>
      <c r="AJ571" s="6" t="s">
        <v>148</v>
      </c>
      <c r="AK571" s="6" t="s">
        <v>127</v>
      </c>
      <c r="AL571" s="6" t="s">
        <v>127</v>
      </c>
      <c r="AM571" s="6" t="s">
        <v>127</v>
      </c>
      <c r="AN571" s="6" t="s">
        <v>151</v>
      </c>
      <c r="AO571" s="6" t="s">
        <v>127</v>
      </c>
      <c r="AP571" s="6" t="s">
        <v>127</v>
      </c>
      <c r="AQ571" s="6" t="s">
        <v>127</v>
      </c>
      <c r="AR571" s="6" t="s">
        <v>127</v>
      </c>
      <c r="AS571" s="6" t="s">
        <v>127</v>
      </c>
      <c r="AT571" s="6" t="s">
        <v>127</v>
      </c>
      <c r="AU571" s="6" t="s">
        <v>127</v>
      </c>
      <c r="AV571" s="6" t="s">
        <v>127</v>
      </c>
      <c r="AW571" s="6" t="s">
        <v>127</v>
      </c>
      <c r="AX571" s="6" t="s">
        <v>127</v>
      </c>
      <c r="AY571" s="99" t="s">
        <v>2918</v>
      </c>
      <c r="AZ571" s="6" t="s">
        <v>127</v>
      </c>
      <c r="BA571" s="6" t="s">
        <v>127</v>
      </c>
      <c r="BB571" s="6" t="s">
        <v>2919</v>
      </c>
      <c r="BC571" s="6" t="s">
        <v>2920</v>
      </c>
      <c r="BD571" s="6" t="s">
        <v>127</v>
      </c>
      <c r="BE571" s="6" t="s">
        <v>127</v>
      </c>
    </row>
    <row r="572" spans="1:57" ht="16" x14ac:dyDescent="0.4">
      <c r="A572" s="6" t="s">
        <v>2921</v>
      </c>
      <c r="B572" s="6" t="s">
        <v>2921</v>
      </c>
      <c r="C572" s="6" t="s">
        <v>127</v>
      </c>
      <c r="D572" s="6" t="s">
        <v>238</v>
      </c>
      <c r="E572" s="191">
        <v>45548</v>
      </c>
      <c r="F572" s="6">
        <f t="shared" si="131"/>
        <v>2024</v>
      </c>
      <c r="G572" s="6" t="s">
        <v>2922</v>
      </c>
      <c r="H572" s="22" t="str">
        <f>VLOOKUP($G572,'Item Classification'!B:C,2,0)</f>
        <v>Lightweight torpedo</v>
      </c>
      <c r="I572" s="6" t="str">
        <f>VLOOKUP($G572,'Item Classification'!B:D,3,0)</f>
        <v>Naval</v>
      </c>
      <c r="J572" s="23">
        <f>VLOOKUP($G572,'Item Classification'!B:E,4,0)</f>
        <v>12</v>
      </c>
      <c r="K572" s="195" t="s">
        <v>189</v>
      </c>
      <c r="L572" s="195" t="s">
        <v>246</v>
      </c>
      <c r="M572" s="116" t="str">
        <f>VLOOKUP(L572,'NATO Classifications'!$D$6:$E$647,2,0)</f>
        <v>Torpedoes</v>
      </c>
      <c r="N572" s="25"/>
      <c r="O572" s="25"/>
      <c r="P572" s="25"/>
      <c r="Q572" s="25"/>
      <c r="R572" s="25"/>
      <c r="S572" s="82">
        <v>60000000</v>
      </c>
      <c r="T572" s="115" t="s">
        <v>2145</v>
      </c>
      <c r="U572" s="104">
        <f>_xlfn.IFNA(S572/INDEX('Exchange Rates'!$C$7:$F$14,MATCH('MAIN DATA, Orders'!F572,'Exchange Rates'!$B$7:$B$14,0),MATCH('MAIN DATA, Orders'!T572,'Exchange Rates'!$C$6:$F$6,0)), "-")</f>
        <v>70870047.955399111</v>
      </c>
      <c r="V572" s="6" t="s">
        <v>127</v>
      </c>
      <c r="W572" s="6" t="s">
        <v>127</v>
      </c>
      <c r="X572" s="6" t="s">
        <v>238</v>
      </c>
      <c r="Y572" s="24">
        <f t="shared" si="120"/>
        <v>202409</v>
      </c>
      <c r="Z572" s="24">
        <v>0</v>
      </c>
      <c r="AA572" s="24">
        <v>0</v>
      </c>
      <c r="AB572" s="24">
        <v>0</v>
      </c>
      <c r="AC572" s="24">
        <v>1</v>
      </c>
      <c r="AD572" s="24">
        <v>0</v>
      </c>
      <c r="AE572" s="24">
        <v>0</v>
      </c>
      <c r="AF572" s="24">
        <v>0</v>
      </c>
      <c r="AG572" s="10" t="s">
        <v>1480</v>
      </c>
      <c r="AH572" s="10" t="s">
        <v>238</v>
      </c>
      <c r="AI572" s="6" t="s">
        <v>238</v>
      </c>
      <c r="AJ572" s="6" t="s">
        <v>127</v>
      </c>
      <c r="AK572" s="6" t="s">
        <v>127</v>
      </c>
      <c r="AL572" s="6" t="s">
        <v>127</v>
      </c>
      <c r="AM572" s="6" t="s">
        <v>127</v>
      </c>
      <c r="AN572" s="6" t="s">
        <v>127</v>
      </c>
      <c r="AO572" s="6" t="s">
        <v>127</v>
      </c>
      <c r="AP572" s="6" t="s">
        <v>127</v>
      </c>
      <c r="AQ572" s="6" t="s">
        <v>127</v>
      </c>
      <c r="AR572" s="6" t="s">
        <v>127</v>
      </c>
      <c r="AS572" s="6" t="s">
        <v>127</v>
      </c>
      <c r="AT572" s="6" t="s">
        <v>127</v>
      </c>
      <c r="AU572" s="6" t="s">
        <v>127</v>
      </c>
      <c r="AV572" s="6" t="s">
        <v>127</v>
      </c>
      <c r="AW572" s="6" t="s">
        <v>127</v>
      </c>
      <c r="AX572" s="6" t="s">
        <v>127</v>
      </c>
      <c r="AY572" s="99" t="s">
        <v>2923</v>
      </c>
      <c r="AZ572" s="6" t="s">
        <v>127</v>
      </c>
      <c r="BA572" s="6" t="s">
        <v>127</v>
      </c>
      <c r="BB572" s="6" t="s">
        <v>2924</v>
      </c>
      <c r="BC572" s="6" t="s">
        <v>2925</v>
      </c>
      <c r="BD572" s="6" t="s">
        <v>127</v>
      </c>
      <c r="BE572" s="6" t="s">
        <v>127</v>
      </c>
    </row>
    <row r="573" spans="1:57" ht="16" x14ac:dyDescent="0.4">
      <c r="A573" s="6" t="s">
        <v>2926</v>
      </c>
      <c r="B573" s="6" t="s">
        <v>2926</v>
      </c>
      <c r="C573" s="6" t="s">
        <v>127</v>
      </c>
      <c r="D573" s="6" t="s">
        <v>238</v>
      </c>
      <c r="E573" s="191">
        <v>45553</v>
      </c>
      <c r="F573" s="6">
        <f t="shared" si="131"/>
        <v>2024</v>
      </c>
      <c r="G573" s="4" t="s">
        <v>2927</v>
      </c>
      <c r="H573" s="22" t="str">
        <f>VLOOKUP($G573,'Item Classification'!B:C,2,0)</f>
        <v>Military vehicle maintentance</v>
      </c>
      <c r="I573" s="6" t="str">
        <f>VLOOKUP($G573,'Item Classification'!B:D,3,0)</f>
        <v>Maintenance</v>
      </c>
      <c r="J573" s="23">
        <f>VLOOKUP($G573,'Item Classification'!B:E,4,0)</f>
        <v>14</v>
      </c>
      <c r="K573" s="195" t="s">
        <v>1280</v>
      </c>
      <c r="L573" s="195" t="s">
        <v>1503</v>
      </c>
      <c r="M573" s="116" t="str">
        <f>VLOOKUP(L573,'NATO Classifications'!$D$6:$E$647,2,0)</f>
        <v>Vehicular Furniture and Accessories</v>
      </c>
      <c r="N573" s="6">
        <v>4</v>
      </c>
      <c r="O573" s="81">
        <f>S573/N573</f>
        <v>17750000</v>
      </c>
      <c r="P573" s="81">
        <f t="shared" ref="P573" si="135">U573/N573</f>
        <v>20965722.520138904</v>
      </c>
      <c r="Q573" s="25">
        <v>2024</v>
      </c>
      <c r="R573" s="25">
        <v>2028</v>
      </c>
      <c r="S573" s="82">
        <v>71000000</v>
      </c>
      <c r="T573" s="115" t="s">
        <v>2145</v>
      </c>
      <c r="U573" s="104">
        <f>_xlfn.IFNA(S573/INDEX('Exchange Rates'!$C$7:$F$14,MATCH('MAIN DATA, Orders'!F573,'Exchange Rates'!$B$7:$B$14,0),MATCH('MAIN DATA, Orders'!T573,'Exchange Rates'!$C$6:$F$6,0)), "-")</f>
        <v>83862890.080555618</v>
      </c>
      <c r="V573" s="6" t="s">
        <v>127</v>
      </c>
      <c r="W573" s="6" t="s">
        <v>127</v>
      </c>
      <c r="X573" s="6" t="s">
        <v>238</v>
      </c>
      <c r="Y573" s="24">
        <f t="shared" si="120"/>
        <v>202409</v>
      </c>
      <c r="Z573" s="24">
        <v>0</v>
      </c>
      <c r="AA573" s="24">
        <v>1</v>
      </c>
      <c r="AB573" s="24">
        <v>0</v>
      </c>
      <c r="AC573" s="24">
        <v>1</v>
      </c>
      <c r="AD573" s="24">
        <v>0</v>
      </c>
      <c r="AE573" s="24">
        <v>0</v>
      </c>
      <c r="AF573" s="24">
        <v>0</v>
      </c>
      <c r="AG573" s="10" t="s">
        <v>2928</v>
      </c>
      <c r="AH573" s="10" t="s">
        <v>238</v>
      </c>
      <c r="AI573" s="6" t="s">
        <v>127</v>
      </c>
      <c r="AJ573" s="6" t="s">
        <v>127</v>
      </c>
      <c r="AK573" s="6" t="s">
        <v>127</v>
      </c>
      <c r="AL573" s="6" t="s">
        <v>127</v>
      </c>
      <c r="AM573" s="6" t="s">
        <v>127</v>
      </c>
      <c r="AN573" s="6" t="s">
        <v>127</v>
      </c>
      <c r="AO573" s="6" t="s">
        <v>127</v>
      </c>
      <c r="AP573" s="6" t="s">
        <v>127</v>
      </c>
      <c r="AQ573" s="6" t="s">
        <v>127</v>
      </c>
      <c r="AR573" s="6" t="s">
        <v>127</v>
      </c>
      <c r="AS573" s="6" t="s">
        <v>127</v>
      </c>
      <c r="AT573" s="6" t="s">
        <v>127</v>
      </c>
      <c r="AU573" s="6" t="s">
        <v>127</v>
      </c>
      <c r="AV573" s="6" t="s">
        <v>127</v>
      </c>
      <c r="AW573" s="6" t="s">
        <v>127</v>
      </c>
      <c r="AX573" s="6" t="s">
        <v>127</v>
      </c>
      <c r="AY573" s="99" t="s">
        <v>2929</v>
      </c>
      <c r="AZ573" s="6" t="s">
        <v>127</v>
      </c>
      <c r="BA573" s="6" t="s">
        <v>127</v>
      </c>
      <c r="BB573" s="6" t="s">
        <v>2930</v>
      </c>
      <c r="BC573" s="6" t="s">
        <v>2931</v>
      </c>
      <c r="BD573" s="6" t="s">
        <v>127</v>
      </c>
      <c r="BE573" s="6" t="s">
        <v>127</v>
      </c>
    </row>
    <row r="574" spans="1:57" ht="16" x14ac:dyDescent="0.4">
      <c r="A574" s="6" t="s">
        <v>2932</v>
      </c>
      <c r="B574" s="6" t="s">
        <v>2932</v>
      </c>
      <c r="C574" s="6" t="s">
        <v>127</v>
      </c>
      <c r="D574" s="6" t="s">
        <v>238</v>
      </c>
      <c r="E574" s="191">
        <v>45575</v>
      </c>
      <c r="F574" s="6">
        <f t="shared" si="131"/>
        <v>2024</v>
      </c>
      <c r="G574" s="4" t="s">
        <v>2933</v>
      </c>
      <c r="H574" s="22" t="str">
        <f>VLOOKUP($G574,'Item Classification'!B:C,2,0)</f>
        <v>Communication and digitalisation</v>
      </c>
      <c r="I574" s="6" t="str">
        <f>VLOOKUP($G574,'Item Classification'!B:D,3,0)</f>
        <v>Modernisation</v>
      </c>
      <c r="J574" s="23">
        <f>VLOOKUP($G574,'Item Classification'!B:E,4,0)</f>
        <v>13</v>
      </c>
      <c r="K574" s="195" t="s">
        <v>158</v>
      </c>
      <c r="L574" s="195" t="s">
        <v>354</v>
      </c>
      <c r="M574" s="116" t="str">
        <f>VLOOKUP(L574,'NATO Classifications'!$D$6:$E$647,2,0)</f>
        <v>Communication, Detection, and Coherent Radiation Equipment (other)</v>
      </c>
      <c r="N574" s="6">
        <v>1</v>
      </c>
      <c r="O574" s="81"/>
      <c r="P574" s="81"/>
      <c r="Q574" s="6">
        <v>2027</v>
      </c>
      <c r="R574" s="25"/>
      <c r="S574" s="82"/>
      <c r="T574" s="115" t="s">
        <v>2145</v>
      </c>
      <c r="U574" s="104">
        <f>_xlfn.IFNA(S574/INDEX('Exchange Rates'!$C$7:$F$14,MATCH('MAIN DATA, Orders'!F574,'Exchange Rates'!$B$7:$B$14,0),MATCH('MAIN DATA, Orders'!T574,'Exchange Rates'!$C$6:$F$6,0)), "-")</f>
        <v>0</v>
      </c>
      <c r="V574" s="6" t="s">
        <v>127</v>
      </c>
      <c r="W574" s="6" t="s">
        <v>127</v>
      </c>
      <c r="X574" s="6" t="s">
        <v>238</v>
      </c>
      <c r="Y574" s="24">
        <f t="shared" si="120"/>
        <v>202410</v>
      </c>
      <c r="Z574" s="24">
        <v>0</v>
      </c>
      <c r="AA574" s="24">
        <v>0</v>
      </c>
      <c r="AB574" s="24">
        <v>0</v>
      </c>
      <c r="AC574" s="24">
        <v>0</v>
      </c>
      <c r="AD574" s="24">
        <v>0</v>
      </c>
      <c r="AE574" s="24">
        <v>1</v>
      </c>
      <c r="AF574" s="24">
        <v>1</v>
      </c>
      <c r="AG574" s="10" t="s">
        <v>2934</v>
      </c>
      <c r="AH574" s="10" t="s">
        <v>431</v>
      </c>
      <c r="AI574" s="6" t="s">
        <v>431</v>
      </c>
      <c r="AJ574" s="6" t="s">
        <v>2935</v>
      </c>
      <c r="AK574" s="10" t="s">
        <v>2323</v>
      </c>
      <c r="AL574" s="6" t="s">
        <v>127</v>
      </c>
      <c r="AM574" s="6" t="s">
        <v>127</v>
      </c>
      <c r="AN574" s="6" t="s">
        <v>238</v>
      </c>
      <c r="AO574" s="6" t="s">
        <v>127</v>
      </c>
      <c r="AP574" s="6" t="s">
        <v>127</v>
      </c>
      <c r="AQ574" s="6" t="s">
        <v>127</v>
      </c>
      <c r="AR574" s="6" t="s">
        <v>127</v>
      </c>
      <c r="AS574" s="6" t="s">
        <v>127</v>
      </c>
      <c r="AT574" s="6" t="s">
        <v>127</v>
      </c>
      <c r="AU574" s="6" t="s">
        <v>127</v>
      </c>
      <c r="AV574" s="6" t="s">
        <v>127</v>
      </c>
      <c r="AW574" s="6" t="s">
        <v>238</v>
      </c>
      <c r="AX574" s="6" t="s">
        <v>127</v>
      </c>
      <c r="AY574" s="99" t="s">
        <v>2936</v>
      </c>
      <c r="AZ574" s="6" t="s">
        <v>127</v>
      </c>
      <c r="BA574" s="6" t="s">
        <v>127</v>
      </c>
      <c r="BB574" s="6" t="s">
        <v>2937</v>
      </c>
      <c r="BC574" s="6" t="s">
        <v>2938</v>
      </c>
      <c r="BD574" s="6" t="s">
        <v>2939</v>
      </c>
      <c r="BE574" s="6" t="s">
        <v>127</v>
      </c>
    </row>
    <row r="575" spans="1:57" ht="16" x14ac:dyDescent="0.4">
      <c r="A575" s="6" t="s">
        <v>2940</v>
      </c>
      <c r="B575" s="6" t="s">
        <v>2940</v>
      </c>
      <c r="C575" s="6" t="s">
        <v>127</v>
      </c>
      <c r="D575" s="6" t="s">
        <v>238</v>
      </c>
      <c r="E575" s="191">
        <v>45600</v>
      </c>
      <c r="F575" s="6">
        <f t="shared" si="131"/>
        <v>2024</v>
      </c>
      <c r="G575" s="4" t="s">
        <v>2941</v>
      </c>
      <c r="H575" s="22" t="str">
        <f>VLOOKUP($G575,'Item Classification'!B:C,2,0)</f>
        <v>Communication and digitalisation</v>
      </c>
      <c r="I575" s="6" t="str">
        <f>VLOOKUP($G575,'Item Classification'!B:D,3,0)</f>
        <v>Modernisation</v>
      </c>
      <c r="J575" s="23">
        <f>VLOOKUP($G575,'Item Classification'!B:E,4,0)</f>
        <v>13</v>
      </c>
      <c r="K575" s="195" t="s">
        <v>158</v>
      </c>
      <c r="L575" s="195" t="s">
        <v>354</v>
      </c>
      <c r="M575" s="116" t="str">
        <f>VLOOKUP(L575,'NATO Classifications'!$D$6:$E$647,2,0)</f>
        <v>Communication, Detection, and Coherent Radiation Equipment (other)</v>
      </c>
      <c r="N575" s="25">
        <v>1</v>
      </c>
      <c r="O575" s="81">
        <f>S575/N575</f>
        <v>40000000</v>
      </c>
      <c r="P575" s="81">
        <f t="shared" ref="P575" si="136">U575/N575</f>
        <v>47246698.636932746</v>
      </c>
      <c r="Q575" s="6">
        <v>2027</v>
      </c>
      <c r="R575" s="25">
        <v>2027</v>
      </c>
      <c r="S575" s="82">
        <v>40000000</v>
      </c>
      <c r="T575" s="115" t="s">
        <v>2145</v>
      </c>
      <c r="U575" s="104">
        <f>_xlfn.IFNA(S575/INDEX('Exchange Rates'!$C$7:$F$14,MATCH('MAIN DATA, Orders'!F575,'Exchange Rates'!$B$7:$B$14,0),MATCH('MAIN DATA, Orders'!T575,'Exchange Rates'!$C$6:$F$6,0)), "-")</f>
        <v>47246698.636932746</v>
      </c>
      <c r="V575" s="6" t="s">
        <v>127</v>
      </c>
      <c r="W575" s="6" t="s">
        <v>127</v>
      </c>
      <c r="X575" s="6" t="s">
        <v>238</v>
      </c>
      <c r="Y575" s="24">
        <f t="shared" si="120"/>
        <v>202411</v>
      </c>
      <c r="Z575" s="24">
        <v>0</v>
      </c>
      <c r="AA575" s="24">
        <v>0</v>
      </c>
      <c r="AB575" s="24">
        <v>0</v>
      </c>
      <c r="AC575" s="24">
        <v>1</v>
      </c>
      <c r="AD575" s="24">
        <v>0</v>
      </c>
      <c r="AE575" s="24">
        <v>0</v>
      </c>
      <c r="AF575" s="24">
        <v>0</v>
      </c>
      <c r="AG575" s="10" t="s">
        <v>2462</v>
      </c>
      <c r="AH575" s="10" t="s">
        <v>238</v>
      </c>
      <c r="AI575" s="6" t="s">
        <v>238</v>
      </c>
      <c r="AJ575" s="6" t="s">
        <v>127</v>
      </c>
      <c r="AK575" s="6" t="s">
        <v>127</v>
      </c>
      <c r="AL575" s="6" t="s">
        <v>127</v>
      </c>
      <c r="AM575" s="6" t="s">
        <v>127</v>
      </c>
      <c r="AN575" s="6" t="s">
        <v>127</v>
      </c>
      <c r="AO575" s="6" t="s">
        <v>127</v>
      </c>
      <c r="AP575" s="6" t="s">
        <v>127</v>
      </c>
      <c r="AQ575" s="6" t="s">
        <v>127</v>
      </c>
      <c r="AR575" s="6" t="s">
        <v>127</v>
      </c>
      <c r="AS575" s="6" t="s">
        <v>127</v>
      </c>
      <c r="AT575" s="6" t="s">
        <v>127</v>
      </c>
      <c r="AU575" s="6" t="s">
        <v>127</v>
      </c>
      <c r="AV575" s="6" t="s">
        <v>127</v>
      </c>
      <c r="AW575" s="6" t="s">
        <v>127</v>
      </c>
      <c r="AX575" s="6" t="s">
        <v>127</v>
      </c>
      <c r="AY575" s="99" t="s">
        <v>2942</v>
      </c>
      <c r="AZ575" s="6" t="s">
        <v>127</v>
      </c>
      <c r="BA575" s="6" t="s">
        <v>127</v>
      </c>
      <c r="BB575" s="6" t="s">
        <v>2943</v>
      </c>
      <c r="BC575" s="6" t="s">
        <v>2944</v>
      </c>
      <c r="BD575" s="6" t="s">
        <v>2945</v>
      </c>
      <c r="BE575" s="6" t="s">
        <v>127</v>
      </c>
    </row>
    <row r="576" spans="1:57" ht="16" x14ac:dyDescent="0.4">
      <c r="A576" s="6" t="s">
        <v>2946</v>
      </c>
      <c r="B576" s="6" t="s">
        <v>2946</v>
      </c>
      <c r="C576" s="6" t="s">
        <v>127</v>
      </c>
      <c r="D576" s="6" t="s">
        <v>238</v>
      </c>
      <c r="E576" s="191">
        <v>45645</v>
      </c>
      <c r="F576" s="6">
        <f t="shared" si="131"/>
        <v>2024</v>
      </c>
      <c r="G576" s="4" t="s">
        <v>127</v>
      </c>
      <c r="H576" s="22" t="s">
        <v>1487</v>
      </c>
      <c r="I576" s="4" t="s">
        <v>287</v>
      </c>
      <c r="J576" s="23">
        <v>16</v>
      </c>
      <c r="K576" s="195" t="s">
        <v>229</v>
      </c>
      <c r="L576" s="195" t="s">
        <v>230</v>
      </c>
      <c r="M576" s="116" t="str">
        <f>VLOOKUP(L576,'NATO Classifications'!$D$6:$E$647,2,0)</f>
        <v>Miscellaneous Items</v>
      </c>
      <c r="N576" s="25"/>
      <c r="O576" s="25"/>
      <c r="P576" s="25"/>
      <c r="Q576" s="25"/>
      <c r="R576" s="25"/>
      <c r="S576" s="82">
        <v>39000000</v>
      </c>
      <c r="T576" s="115" t="s">
        <v>2145</v>
      </c>
      <c r="U576" s="104">
        <f>_xlfn.IFNA(S576/INDEX('Exchange Rates'!$C$7:$F$14,MATCH('MAIN DATA, Orders'!F576,'Exchange Rates'!$B$7:$B$14,0),MATCH('MAIN DATA, Orders'!T576,'Exchange Rates'!$C$6:$F$6,0)), "-")</f>
        <v>46065531.171009421</v>
      </c>
      <c r="V576" s="6" t="s">
        <v>127</v>
      </c>
      <c r="W576" s="6" t="s">
        <v>127</v>
      </c>
      <c r="X576" s="6" t="s">
        <v>809</v>
      </c>
      <c r="Y576" s="24">
        <f t="shared" si="120"/>
        <v>202412</v>
      </c>
      <c r="Z576" s="24">
        <v>0</v>
      </c>
      <c r="AA576" s="24">
        <v>0</v>
      </c>
      <c r="AB576" s="24">
        <v>0</v>
      </c>
      <c r="AC576" s="24" t="s">
        <v>127</v>
      </c>
      <c r="AD576" s="24" t="s">
        <v>127</v>
      </c>
      <c r="AE576" s="24" t="s">
        <v>127</v>
      </c>
      <c r="AF576" s="24" t="s">
        <v>127</v>
      </c>
      <c r="AG576" s="10" t="s">
        <v>127</v>
      </c>
      <c r="AH576" s="10" t="s">
        <v>127</v>
      </c>
      <c r="AI576" s="10" t="s">
        <v>127</v>
      </c>
      <c r="AJ576" s="6" t="s">
        <v>127</v>
      </c>
      <c r="AK576" s="6" t="s">
        <v>127</v>
      </c>
      <c r="AL576" s="6" t="s">
        <v>127</v>
      </c>
      <c r="AM576" s="6" t="s">
        <v>127</v>
      </c>
      <c r="AN576" s="6" t="s">
        <v>127</v>
      </c>
      <c r="AO576" s="6" t="s">
        <v>127</v>
      </c>
      <c r="AP576" s="6" t="s">
        <v>127</v>
      </c>
      <c r="AQ576" s="6" t="s">
        <v>127</v>
      </c>
      <c r="AR576" s="6" t="s">
        <v>127</v>
      </c>
      <c r="AS576" s="6" t="s">
        <v>127</v>
      </c>
      <c r="AT576" s="6" t="s">
        <v>127</v>
      </c>
      <c r="AU576" s="6" t="s">
        <v>127</v>
      </c>
      <c r="AV576" s="6" t="s">
        <v>127</v>
      </c>
      <c r="AW576" s="6" t="s">
        <v>127</v>
      </c>
      <c r="AX576" s="6" t="s">
        <v>127</v>
      </c>
      <c r="AY576" s="99" t="s">
        <v>2947</v>
      </c>
      <c r="AZ576" s="6" t="s">
        <v>127</v>
      </c>
      <c r="BA576" s="6" t="s">
        <v>127</v>
      </c>
      <c r="BB576" s="6" t="s">
        <v>2948</v>
      </c>
      <c r="BC576" s="6" t="s">
        <v>2949</v>
      </c>
      <c r="BD576" s="6" t="s">
        <v>127</v>
      </c>
      <c r="BE576" s="6" t="s">
        <v>127</v>
      </c>
    </row>
    <row r="577" spans="1:57" ht="16" x14ac:dyDescent="0.4">
      <c r="A577" s="6" t="s">
        <v>2946</v>
      </c>
      <c r="B577" s="6" t="s">
        <v>2950</v>
      </c>
      <c r="C577" s="6" t="s">
        <v>127</v>
      </c>
      <c r="D577" s="6" t="s">
        <v>238</v>
      </c>
      <c r="E577" s="191">
        <v>45645</v>
      </c>
      <c r="F577" s="6">
        <f t="shared" si="131"/>
        <v>2024</v>
      </c>
      <c r="G577" s="4" t="s">
        <v>658</v>
      </c>
      <c r="H577" s="22" t="str">
        <f>VLOOKUP($G577,'Item Classification'!B:C,2,0)</f>
        <v>Clothing and personal equipment</v>
      </c>
      <c r="I577" s="6" t="str">
        <f>VLOOKUP($G577,'Item Classification'!B:D,3,0)</f>
        <v>Modernisation</v>
      </c>
      <c r="J577" s="23">
        <f>VLOOKUP($G577,'Item Classification'!B:E,4,0)</f>
        <v>13</v>
      </c>
      <c r="K577" s="195" t="s">
        <v>221</v>
      </c>
      <c r="L577" s="195" t="s">
        <v>222</v>
      </c>
      <c r="M577" s="116" t="str">
        <f>VLOOKUP(L577,'NATO Classifications'!$D$6:$E$647,2,0)</f>
        <v>Clothing, Special Purpose</v>
      </c>
      <c r="N577" s="25"/>
      <c r="O577" s="25"/>
      <c r="P577" s="25"/>
      <c r="Q577" s="25"/>
      <c r="R577" s="25"/>
      <c r="S577" s="82"/>
      <c r="T577" s="115" t="s">
        <v>2145</v>
      </c>
      <c r="U577" s="104">
        <f>_xlfn.IFNA(S577/INDEX('Exchange Rates'!$C$7:$F$14,MATCH('MAIN DATA, Orders'!F577,'Exchange Rates'!$B$7:$B$14,0),MATCH('MAIN DATA, Orders'!T577,'Exchange Rates'!$C$6:$F$6,0)), "-")</f>
        <v>0</v>
      </c>
      <c r="V577" s="6" t="s">
        <v>127</v>
      </c>
      <c r="W577" s="6" t="s">
        <v>127</v>
      </c>
      <c r="X577" s="6" t="s">
        <v>809</v>
      </c>
      <c r="Y577" s="24">
        <f t="shared" si="120"/>
        <v>202412</v>
      </c>
      <c r="Z577" s="24">
        <v>0</v>
      </c>
      <c r="AA577" s="24">
        <v>0</v>
      </c>
      <c r="AB577" s="24">
        <v>0</v>
      </c>
      <c r="AC577" s="24" t="s">
        <v>127</v>
      </c>
      <c r="AD577" s="24" t="s">
        <v>127</v>
      </c>
      <c r="AE577" s="24" t="s">
        <v>127</v>
      </c>
      <c r="AF577" s="24" t="s">
        <v>127</v>
      </c>
      <c r="AG577" s="10" t="s">
        <v>127</v>
      </c>
      <c r="AH577" s="10" t="s">
        <v>127</v>
      </c>
      <c r="AI577" s="10" t="s">
        <v>127</v>
      </c>
      <c r="AJ577" s="6" t="s">
        <v>127</v>
      </c>
      <c r="AK577" s="6" t="s">
        <v>127</v>
      </c>
      <c r="AL577" s="6" t="s">
        <v>127</v>
      </c>
      <c r="AM577" s="6" t="s">
        <v>127</v>
      </c>
      <c r="AN577" s="6" t="s">
        <v>127</v>
      </c>
      <c r="AO577" s="6" t="s">
        <v>127</v>
      </c>
      <c r="AP577" s="6" t="s">
        <v>127</v>
      </c>
      <c r="AQ577" s="6" t="s">
        <v>127</v>
      </c>
      <c r="AR577" s="6" t="s">
        <v>127</v>
      </c>
      <c r="AS577" s="6" t="s">
        <v>127</v>
      </c>
      <c r="AT577" s="6" t="s">
        <v>127</v>
      </c>
      <c r="AU577" s="6" t="s">
        <v>127</v>
      </c>
      <c r="AV577" s="6" t="s">
        <v>127</v>
      </c>
      <c r="AW577" s="6" t="s">
        <v>127</v>
      </c>
      <c r="AX577" s="6" t="s">
        <v>127</v>
      </c>
      <c r="AY577" s="99" t="s">
        <v>2947</v>
      </c>
      <c r="AZ577" s="6" t="s">
        <v>127</v>
      </c>
      <c r="BA577" s="6" t="s">
        <v>127</v>
      </c>
      <c r="BB577" s="6" t="s">
        <v>2948</v>
      </c>
      <c r="BC577" s="6" t="s">
        <v>2949</v>
      </c>
      <c r="BD577" s="6" t="s">
        <v>127</v>
      </c>
      <c r="BE577" s="6" t="s">
        <v>127</v>
      </c>
    </row>
    <row r="578" spans="1:57" ht="16" x14ac:dyDescent="0.4">
      <c r="A578" s="6" t="s">
        <v>2946</v>
      </c>
      <c r="B578" s="6" t="s">
        <v>2951</v>
      </c>
      <c r="C578" s="6" t="s">
        <v>127</v>
      </c>
      <c r="D578" s="6" t="s">
        <v>238</v>
      </c>
      <c r="E578" s="191">
        <v>45645</v>
      </c>
      <c r="F578" s="6">
        <f t="shared" si="131"/>
        <v>2024</v>
      </c>
      <c r="G578" s="4" t="s">
        <v>2952</v>
      </c>
      <c r="H578" s="22" t="str">
        <f>VLOOKUP($G578,'Item Classification'!B:C,2,0)</f>
        <v>Anti-drone electronic warfare system</v>
      </c>
      <c r="I578" s="6" t="str">
        <f>VLOOKUP($G578,'Item Classification'!B:D,3,0)</f>
        <v>Air defence system</v>
      </c>
      <c r="J578" s="23">
        <f>VLOOKUP($G578,'Item Classification'!B:E,4,0)</f>
        <v>5</v>
      </c>
      <c r="K578" s="195" t="s">
        <v>158</v>
      </c>
      <c r="L578" s="195" t="s">
        <v>379</v>
      </c>
      <c r="M578" s="116" t="str">
        <f>VLOOKUP(L578,'NATO Classifications'!$D$6:$E$647,2,0)</f>
        <v>Communication, Detection, and Coherent Radiation Equipment (other)</v>
      </c>
      <c r="N578" s="25">
        <v>1000</v>
      </c>
      <c r="O578" s="25"/>
      <c r="P578" s="25"/>
      <c r="Q578" s="25"/>
      <c r="R578" s="25"/>
      <c r="S578" s="82"/>
      <c r="T578" s="115" t="s">
        <v>2145</v>
      </c>
      <c r="U578" s="104">
        <f>_xlfn.IFNA(S578/INDEX('Exchange Rates'!$C$7:$F$14,MATCH('MAIN DATA, Orders'!F578,'Exchange Rates'!$B$7:$B$14,0),MATCH('MAIN DATA, Orders'!T578,'Exchange Rates'!$C$6:$F$6,0)), "-")</f>
        <v>0</v>
      </c>
      <c r="V578" s="6" t="s">
        <v>127</v>
      </c>
      <c r="W578" s="6" t="s">
        <v>127</v>
      </c>
      <c r="X578" s="6" t="s">
        <v>809</v>
      </c>
      <c r="Y578" s="24">
        <f t="shared" si="120"/>
        <v>202412</v>
      </c>
      <c r="Z578" s="24">
        <v>0</v>
      </c>
      <c r="AA578" s="24">
        <v>0</v>
      </c>
      <c r="AB578" s="24">
        <v>0</v>
      </c>
      <c r="AC578" s="24" t="s">
        <v>127</v>
      </c>
      <c r="AD578" s="24" t="s">
        <v>127</v>
      </c>
      <c r="AE578" s="24" t="s">
        <v>127</v>
      </c>
      <c r="AF578" s="24" t="s">
        <v>127</v>
      </c>
      <c r="AG578" s="10" t="s">
        <v>127</v>
      </c>
      <c r="AH578" s="10" t="s">
        <v>127</v>
      </c>
      <c r="AI578" s="10" t="s">
        <v>127</v>
      </c>
      <c r="AJ578" s="6" t="s">
        <v>127</v>
      </c>
      <c r="AK578" s="6" t="s">
        <v>127</v>
      </c>
      <c r="AL578" s="6" t="s">
        <v>127</v>
      </c>
      <c r="AM578" s="6" t="s">
        <v>127</v>
      </c>
      <c r="AN578" s="6" t="s">
        <v>127</v>
      </c>
      <c r="AO578" s="6" t="s">
        <v>127</v>
      </c>
      <c r="AP578" s="6" t="s">
        <v>127</v>
      </c>
      <c r="AQ578" s="6" t="s">
        <v>127</v>
      </c>
      <c r="AR578" s="6" t="s">
        <v>127</v>
      </c>
      <c r="AS578" s="6" t="s">
        <v>127</v>
      </c>
      <c r="AT578" s="6" t="s">
        <v>127</v>
      </c>
      <c r="AU578" s="6" t="s">
        <v>127</v>
      </c>
      <c r="AV578" s="6" t="s">
        <v>127</v>
      </c>
      <c r="AW578" s="6" t="s">
        <v>127</v>
      </c>
      <c r="AX578" s="6" t="s">
        <v>127</v>
      </c>
      <c r="AY578" s="99" t="s">
        <v>2947</v>
      </c>
      <c r="AZ578" s="6" t="s">
        <v>127</v>
      </c>
      <c r="BA578" s="6" t="s">
        <v>127</v>
      </c>
      <c r="BB578" s="6" t="s">
        <v>2948</v>
      </c>
      <c r="BC578" s="6" t="s">
        <v>2949</v>
      </c>
      <c r="BD578" s="6" t="s">
        <v>127</v>
      </c>
      <c r="BE578" s="6" t="s">
        <v>127</v>
      </c>
    </row>
    <row r="579" spans="1:57" ht="16" x14ac:dyDescent="0.4">
      <c r="A579" s="6" t="s">
        <v>2953</v>
      </c>
      <c r="B579" s="6" t="s">
        <v>2953</v>
      </c>
      <c r="C579" s="4" t="s">
        <v>2624</v>
      </c>
      <c r="D579" s="4" t="s">
        <v>2624</v>
      </c>
      <c r="E579" s="191">
        <v>45645</v>
      </c>
      <c r="F579" s="6">
        <f t="shared" si="131"/>
        <v>2024</v>
      </c>
      <c r="G579" s="4" t="s">
        <v>127</v>
      </c>
      <c r="H579" s="22" t="s">
        <v>2954</v>
      </c>
      <c r="I579" s="4" t="s">
        <v>2955</v>
      </c>
      <c r="J579" s="23">
        <v>12</v>
      </c>
      <c r="K579" s="195" t="s">
        <v>143</v>
      </c>
      <c r="L579" s="195" t="s">
        <v>144</v>
      </c>
      <c r="M579" s="116" t="str">
        <f>VLOOKUP(L579,'NATO Classifications'!$D$6:$E$647,2,0)</f>
        <v>Combat Ships and Landing Vessels</v>
      </c>
      <c r="N579" s="25"/>
      <c r="O579" s="25"/>
      <c r="P579" s="25"/>
      <c r="Q579" s="25"/>
      <c r="R579" s="25"/>
      <c r="S579" s="82">
        <v>92000000</v>
      </c>
      <c r="T579" s="115" t="s">
        <v>2145</v>
      </c>
      <c r="U579" s="104">
        <f>_xlfn.IFNA(S579/INDEX('Exchange Rates'!$C$7:$F$14,MATCH('MAIN DATA, Orders'!F579,'Exchange Rates'!$B$7:$B$14,0),MATCH('MAIN DATA, Orders'!T579,'Exchange Rates'!$C$6:$F$6,0)), "-")</f>
        <v>108667406.86494531</v>
      </c>
      <c r="V579" s="6" t="s">
        <v>127</v>
      </c>
      <c r="W579" s="6" t="s">
        <v>127</v>
      </c>
      <c r="X579" s="6" t="s">
        <v>809</v>
      </c>
      <c r="Y579" s="24">
        <f t="shared" si="120"/>
        <v>202412</v>
      </c>
      <c r="Z579" s="24">
        <v>0</v>
      </c>
      <c r="AA579" s="24">
        <v>0</v>
      </c>
      <c r="AB579" s="24">
        <v>0</v>
      </c>
      <c r="AC579" s="24" t="s">
        <v>127</v>
      </c>
      <c r="AD579" s="24" t="s">
        <v>127</v>
      </c>
      <c r="AE579" s="24" t="s">
        <v>127</v>
      </c>
      <c r="AF579" s="24" t="s">
        <v>127</v>
      </c>
      <c r="AG579" s="10" t="s">
        <v>127</v>
      </c>
      <c r="AH579" s="10" t="s">
        <v>127</v>
      </c>
      <c r="AI579" s="10" t="s">
        <v>127</v>
      </c>
      <c r="AJ579" s="6" t="s">
        <v>127</v>
      </c>
      <c r="AK579" s="6" t="s">
        <v>127</v>
      </c>
      <c r="AL579" s="6" t="s">
        <v>127</v>
      </c>
      <c r="AM579" s="6" t="s">
        <v>127</v>
      </c>
      <c r="AN579" s="6" t="s">
        <v>127</v>
      </c>
      <c r="AO579" s="6" t="s">
        <v>127</v>
      </c>
      <c r="AP579" s="6" t="s">
        <v>127</v>
      </c>
      <c r="AQ579" s="6" t="s">
        <v>127</v>
      </c>
      <c r="AR579" s="6" t="s">
        <v>127</v>
      </c>
      <c r="AS579" s="6" t="s">
        <v>127</v>
      </c>
      <c r="AT579" s="6" t="s">
        <v>127</v>
      </c>
      <c r="AU579" s="6" t="s">
        <v>127</v>
      </c>
      <c r="AV579" s="6" t="s">
        <v>127</v>
      </c>
      <c r="AW579" s="6" t="s">
        <v>127</v>
      </c>
      <c r="AX579" s="6" t="s">
        <v>127</v>
      </c>
      <c r="AY579" s="99" t="s">
        <v>2947</v>
      </c>
      <c r="AZ579" s="6" t="s">
        <v>127</v>
      </c>
      <c r="BA579" s="6" t="s">
        <v>127</v>
      </c>
      <c r="BB579" s="6" t="s">
        <v>2948</v>
      </c>
      <c r="BC579" s="6" t="s">
        <v>2956</v>
      </c>
      <c r="BD579" s="6" t="s">
        <v>127</v>
      </c>
      <c r="BE579" s="6" t="s">
        <v>127</v>
      </c>
    </row>
    <row r="580" spans="1:57" ht="16" x14ac:dyDescent="0.4">
      <c r="A580" s="6" t="s">
        <v>2953</v>
      </c>
      <c r="B580" s="6" t="s">
        <v>2957</v>
      </c>
      <c r="C580" s="4" t="s">
        <v>2624</v>
      </c>
      <c r="D580" s="4" t="s">
        <v>2624</v>
      </c>
      <c r="E580" s="191">
        <v>45645</v>
      </c>
      <c r="F580" s="6">
        <f t="shared" si="131"/>
        <v>2024</v>
      </c>
      <c r="G580" s="4" t="s">
        <v>2179</v>
      </c>
      <c r="H580" s="22" t="str">
        <f>VLOOKUP($G580,'Item Classification'!B:C,2,0)</f>
        <v>Patrol boat</v>
      </c>
      <c r="I580" s="6" t="str">
        <f>VLOOKUP($G580,'Item Classification'!B:D,3,0)</f>
        <v>Naval</v>
      </c>
      <c r="J580" s="23">
        <f>VLOOKUP($G580,'Item Classification'!B:E,4,0)</f>
        <v>12</v>
      </c>
      <c r="K580" s="195" t="s">
        <v>143</v>
      </c>
      <c r="L580" s="195" t="s">
        <v>681</v>
      </c>
      <c r="M580" s="116" t="str">
        <f>VLOOKUP(L580,'NATO Classifications'!$D$6:$E$647,2,0)</f>
        <v>Small Craft</v>
      </c>
      <c r="N580" s="25"/>
      <c r="O580" s="25"/>
      <c r="P580" s="25"/>
      <c r="Q580" s="25"/>
      <c r="R580" s="25"/>
      <c r="S580" s="82"/>
      <c r="T580" s="115" t="s">
        <v>2145</v>
      </c>
      <c r="U580" s="104">
        <f>_xlfn.IFNA(S580/INDEX('Exchange Rates'!$C$7:$F$14,MATCH('MAIN DATA, Orders'!F580,'Exchange Rates'!$B$7:$B$14,0),MATCH('MAIN DATA, Orders'!T580,'Exchange Rates'!$C$6:$F$6,0)), "-")</f>
        <v>0</v>
      </c>
      <c r="V580" s="6" t="s">
        <v>127</v>
      </c>
      <c r="W580" s="6" t="s">
        <v>127</v>
      </c>
      <c r="X580" s="6" t="s">
        <v>809</v>
      </c>
      <c r="Y580" s="24">
        <f t="shared" si="120"/>
        <v>202412</v>
      </c>
      <c r="Z580" s="24">
        <v>0</v>
      </c>
      <c r="AA580" s="24">
        <v>0</v>
      </c>
      <c r="AB580" s="24">
        <v>0</v>
      </c>
      <c r="AC580" s="24" t="s">
        <v>127</v>
      </c>
      <c r="AD580" s="24" t="s">
        <v>127</v>
      </c>
      <c r="AE580" s="24" t="s">
        <v>127</v>
      </c>
      <c r="AF580" s="24" t="s">
        <v>127</v>
      </c>
      <c r="AG580" s="10" t="s">
        <v>127</v>
      </c>
      <c r="AH580" s="10" t="s">
        <v>127</v>
      </c>
      <c r="AI580" s="10" t="s">
        <v>127</v>
      </c>
      <c r="AJ580" s="6" t="s">
        <v>127</v>
      </c>
      <c r="AK580" s="6" t="s">
        <v>127</v>
      </c>
      <c r="AL580" s="6" t="s">
        <v>127</v>
      </c>
      <c r="AM580" s="6" t="s">
        <v>127</v>
      </c>
      <c r="AN580" s="6" t="s">
        <v>127</v>
      </c>
      <c r="AO580" s="6" t="s">
        <v>127</v>
      </c>
      <c r="AP580" s="6" t="s">
        <v>127</v>
      </c>
      <c r="AQ580" s="6" t="s">
        <v>127</v>
      </c>
      <c r="AR580" s="6" t="s">
        <v>127</v>
      </c>
      <c r="AS580" s="6" t="s">
        <v>127</v>
      </c>
      <c r="AT580" s="6" t="s">
        <v>127</v>
      </c>
      <c r="AU580" s="6" t="s">
        <v>127</v>
      </c>
      <c r="AV580" s="6" t="s">
        <v>127</v>
      </c>
      <c r="AW580" s="6" t="s">
        <v>127</v>
      </c>
      <c r="AX580" s="6" t="s">
        <v>127</v>
      </c>
      <c r="AY580" s="99" t="s">
        <v>2947</v>
      </c>
      <c r="AZ580" s="6" t="s">
        <v>127</v>
      </c>
      <c r="BA580" s="6" t="s">
        <v>127</v>
      </c>
      <c r="BB580" s="6" t="s">
        <v>2948</v>
      </c>
      <c r="BC580" s="6" t="s">
        <v>2956</v>
      </c>
      <c r="BD580" s="6" t="s">
        <v>127</v>
      </c>
      <c r="BE580" s="6" t="s">
        <v>127</v>
      </c>
    </row>
    <row r="581" spans="1:57" ht="16" x14ac:dyDescent="0.4">
      <c r="A581" s="6" t="s">
        <v>2953</v>
      </c>
      <c r="B581" s="6" t="s">
        <v>2958</v>
      </c>
      <c r="C581" s="4" t="s">
        <v>2624</v>
      </c>
      <c r="D581" s="4" t="s">
        <v>2624</v>
      </c>
      <c r="E581" s="191">
        <v>45645</v>
      </c>
      <c r="F581" s="6">
        <f t="shared" si="131"/>
        <v>2024</v>
      </c>
      <c r="G581" s="4" t="s">
        <v>2579</v>
      </c>
      <c r="H581" s="22" t="str">
        <f>VLOOKUP($G581,'Item Classification'!B:C,2,0)</f>
        <v>Surveillance drone</v>
      </c>
      <c r="I581" s="6" t="str">
        <f>VLOOKUP($G581,'Item Classification'!B:D,3,0)</f>
        <v>Drone</v>
      </c>
      <c r="J581" s="23">
        <f>VLOOKUP($G581,'Item Classification'!B:E,4,0)</f>
        <v>7</v>
      </c>
      <c r="K581" s="195" t="s">
        <v>130</v>
      </c>
      <c r="L581" s="195" t="s">
        <v>131</v>
      </c>
      <c r="M581" s="116" t="str">
        <f>VLOOKUP(L581,'NATO Classifications'!$D$6:$E$647,2,0)</f>
        <v>Unmanned Aircraft</v>
      </c>
      <c r="N581" s="25"/>
      <c r="O581" s="25"/>
      <c r="P581" s="25"/>
      <c r="Q581" s="25"/>
      <c r="R581" s="25"/>
      <c r="S581" s="82"/>
      <c r="T581" s="115" t="s">
        <v>2145</v>
      </c>
      <c r="U581" s="104">
        <f>_xlfn.IFNA(S581/INDEX('Exchange Rates'!$C$7:$F$14,MATCH('MAIN DATA, Orders'!F581,'Exchange Rates'!$B$7:$B$14,0),MATCH('MAIN DATA, Orders'!T581,'Exchange Rates'!$C$6:$F$6,0)), "-")</f>
        <v>0</v>
      </c>
      <c r="V581" s="6" t="s">
        <v>127</v>
      </c>
      <c r="W581" s="6" t="s">
        <v>127</v>
      </c>
      <c r="X581" s="6" t="s">
        <v>809</v>
      </c>
      <c r="Y581" s="24">
        <f t="shared" si="120"/>
        <v>202412</v>
      </c>
      <c r="Z581" s="24">
        <v>0</v>
      </c>
      <c r="AA581" s="24">
        <v>0</v>
      </c>
      <c r="AB581" s="24">
        <v>0</v>
      </c>
      <c r="AC581" s="24" t="s">
        <v>127</v>
      </c>
      <c r="AD581" s="24" t="s">
        <v>127</v>
      </c>
      <c r="AE581" s="24" t="s">
        <v>127</v>
      </c>
      <c r="AF581" s="24" t="s">
        <v>127</v>
      </c>
      <c r="AG581" s="10" t="s">
        <v>127</v>
      </c>
      <c r="AH581" s="10" t="s">
        <v>127</v>
      </c>
      <c r="AI581" s="10" t="s">
        <v>127</v>
      </c>
      <c r="AJ581" s="6" t="s">
        <v>127</v>
      </c>
      <c r="AK581" s="6" t="s">
        <v>127</v>
      </c>
      <c r="AL581" s="6" t="s">
        <v>127</v>
      </c>
      <c r="AM581" s="6" t="s">
        <v>127</v>
      </c>
      <c r="AN581" s="6" t="s">
        <v>127</v>
      </c>
      <c r="AO581" s="6" t="s">
        <v>127</v>
      </c>
      <c r="AP581" s="6" t="s">
        <v>127</v>
      </c>
      <c r="AQ581" s="6" t="s">
        <v>127</v>
      </c>
      <c r="AR581" s="6" t="s">
        <v>127</v>
      </c>
      <c r="AS581" s="6" t="s">
        <v>127</v>
      </c>
      <c r="AT581" s="6" t="s">
        <v>127</v>
      </c>
      <c r="AU581" s="6" t="s">
        <v>127</v>
      </c>
      <c r="AV581" s="6" t="s">
        <v>127</v>
      </c>
      <c r="AW581" s="6" t="s">
        <v>127</v>
      </c>
      <c r="AX581" s="6" t="s">
        <v>127</v>
      </c>
      <c r="AY581" s="99" t="s">
        <v>2947</v>
      </c>
      <c r="AZ581" s="6" t="s">
        <v>127</v>
      </c>
      <c r="BA581" s="6" t="s">
        <v>127</v>
      </c>
      <c r="BB581" s="6" t="s">
        <v>2948</v>
      </c>
      <c r="BC581" s="6" t="s">
        <v>2956</v>
      </c>
      <c r="BD581" s="6" t="s">
        <v>127</v>
      </c>
      <c r="BE581" s="6" t="s">
        <v>127</v>
      </c>
    </row>
    <row r="582" spans="1:57" ht="16" x14ac:dyDescent="0.4">
      <c r="A582" s="6" t="s">
        <v>2953</v>
      </c>
      <c r="B582" s="6" t="s">
        <v>2959</v>
      </c>
      <c r="C582" s="4" t="s">
        <v>2624</v>
      </c>
      <c r="D582" s="4" t="s">
        <v>2624</v>
      </c>
      <c r="E582" s="191">
        <v>45645</v>
      </c>
      <c r="F582" s="6">
        <f t="shared" si="131"/>
        <v>2024</v>
      </c>
      <c r="G582" s="4" t="s">
        <v>2960</v>
      </c>
      <c r="H582" s="22" t="str">
        <f>VLOOKUP($G582,'Item Classification'!B:C,2,0)</f>
        <v>Naval drone</v>
      </c>
      <c r="I582" s="6" t="str">
        <f>VLOOKUP($G582,'Item Classification'!B:D,3,0)</f>
        <v>Drone</v>
      </c>
      <c r="J582" s="23">
        <f>VLOOKUP($G582,'Item Classification'!B:E,4,0)</f>
        <v>7</v>
      </c>
      <c r="K582" s="195" t="s">
        <v>143</v>
      </c>
      <c r="L582" s="195" t="s">
        <v>1052</v>
      </c>
      <c r="M582" s="116" t="str">
        <f>VLOOKUP(L582,'NATO Classifications'!$D$6:$E$647,2,0)</f>
        <v>Miscellaneous Vessels</v>
      </c>
      <c r="N582" s="25"/>
      <c r="O582" s="25"/>
      <c r="P582" s="25"/>
      <c r="Q582" s="25"/>
      <c r="R582" s="25"/>
      <c r="S582" s="82"/>
      <c r="T582" s="115" t="s">
        <v>2145</v>
      </c>
      <c r="U582" s="104">
        <f>_xlfn.IFNA(S582/INDEX('Exchange Rates'!$C$7:$F$14,MATCH('MAIN DATA, Orders'!F582,'Exchange Rates'!$B$7:$B$14,0),MATCH('MAIN DATA, Orders'!T582,'Exchange Rates'!$C$6:$F$6,0)), "-")</f>
        <v>0</v>
      </c>
      <c r="V582" s="6" t="s">
        <v>127</v>
      </c>
      <c r="W582" s="6" t="s">
        <v>127</v>
      </c>
      <c r="X582" s="6" t="s">
        <v>809</v>
      </c>
      <c r="Y582" s="24">
        <f t="shared" si="120"/>
        <v>202412</v>
      </c>
      <c r="Z582" s="24">
        <v>0</v>
      </c>
      <c r="AA582" s="24">
        <v>0</v>
      </c>
      <c r="AB582" s="24">
        <v>0</v>
      </c>
      <c r="AC582" s="24" t="s">
        <v>127</v>
      </c>
      <c r="AD582" s="24" t="s">
        <v>127</v>
      </c>
      <c r="AE582" s="24" t="s">
        <v>127</v>
      </c>
      <c r="AF582" s="24" t="s">
        <v>127</v>
      </c>
      <c r="AG582" s="10" t="s">
        <v>127</v>
      </c>
      <c r="AH582" s="10" t="s">
        <v>127</v>
      </c>
      <c r="AI582" s="10" t="s">
        <v>127</v>
      </c>
      <c r="AJ582" s="6" t="s">
        <v>127</v>
      </c>
      <c r="AK582" s="6" t="s">
        <v>127</v>
      </c>
      <c r="AL582" s="6" t="s">
        <v>127</v>
      </c>
      <c r="AM582" s="6" t="s">
        <v>127</v>
      </c>
      <c r="AN582" s="6" t="s">
        <v>127</v>
      </c>
      <c r="AO582" s="6" t="s">
        <v>127</v>
      </c>
      <c r="AP582" s="6" t="s">
        <v>127</v>
      </c>
      <c r="AQ582" s="6" t="s">
        <v>127</v>
      </c>
      <c r="AR582" s="6" t="s">
        <v>127</v>
      </c>
      <c r="AS582" s="6" t="s">
        <v>127</v>
      </c>
      <c r="AT582" s="6" t="s">
        <v>127</v>
      </c>
      <c r="AU582" s="6" t="s">
        <v>127</v>
      </c>
      <c r="AV582" s="6" t="s">
        <v>127</v>
      </c>
      <c r="AW582" s="6" t="s">
        <v>127</v>
      </c>
      <c r="AX582" s="6" t="s">
        <v>127</v>
      </c>
      <c r="AY582" s="99" t="s">
        <v>2947</v>
      </c>
      <c r="AZ582" s="6" t="s">
        <v>127</v>
      </c>
      <c r="BA582" s="6" t="s">
        <v>127</v>
      </c>
      <c r="BB582" s="6" t="s">
        <v>2948</v>
      </c>
      <c r="BC582" s="6" t="s">
        <v>2956</v>
      </c>
      <c r="BD582" s="6" t="s">
        <v>127</v>
      </c>
      <c r="BE582" s="6" t="s">
        <v>127</v>
      </c>
    </row>
    <row r="583" spans="1:57" ht="16" x14ac:dyDescent="0.4">
      <c r="A583" s="6" t="s">
        <v>2953</v>
      </c>
      <c r="B583" s="6" t="s">
        <v>2961</v>
      </c>
      <c r="C583" s="4" t="s">
        <v>2624</v>
      </c>
      <c r="D583" s="4" t="s">
        <v>2624</v>
      </c>
      <c r="E583" s="191">
        <v>45645</v>
      </c>
      <c r="F583" s="6">
        <f t="shared" si="131"/>
        <v>2024</v>
      </c>
      <c r="G583" s="4" t="s">
        <v>2962</v>
      </c>
      <c r="H583" s="22" t="str">
        <f>VLOOKUP($G583,'Item Classification'!B:C,2,0)</f>
        <v>Loitering munitions drone</v>
      </c>
      <c r="I583" s="6" t="str">
        <f>VLOOKUP($G583,'Item Classification'!B:D,3,0)</f>
        <v>Drone</v>
      </c>
      <c r="J583" s="23">
        <f>VLOOKUP($G583,'Item Classification'!B:E,4,0)</f>
        <v>7</v>
      </c>
      <c r="K583" s="195" t="s">
        <v>130</v>
      </c>
      <c r="L583" s="195" t="s">
        <v>131</v>
      </c>
      <c r="M583" s="116" t="str">
        <f>VLOOKUP(L583,'NATO Classifications'!$D$6:$E$647,2,0)</f>
        <v>Unmanned Aircraft</v>
      </c>
      <c r="N583" s="25"/>
      <c r="O583" s="25"/>
      <c r="P583" s="25"/>
      <c r="Q583" s="25"/>
      <c r="R583" s="25"/>
      <c r="S583" s="82"/>
      <c r="T583" s="115" t="s">
        <v>2145</v>
      </c>
      <c r="U583" s="104">
        <f>_xlfn.IFNA(S583/INDEX('Exchange Rates'!$C$7:$F$14,MATCH('MAIN DATA, Orders'!F583,'Exchange Rates'!$B$7:$B$14,0),MATCH('MAIN DATA, Orders'!T583,'Exchange Rates'!$C$6:$F$6,0)), "-")</f>
        <v>0</v>
      </c>
      <c r="V583" s="6" t="s">
        <v>127</v>
      </c>
      <c r="W583" s="6" t="s">
        <v>127</v>
      </c>
      <c r="X583" s="6" t="s">
        <v>809</v>
      </c>
      <c r="Y583" s="24">
        <f t="shared" si="120"/>
        <v>202412</v>
      </c>
      <c r="Z583" s="24">
        <v>0</v>
      </c>
      <c r="AA583" s="24">
        <v>0</v>
      </c>
      <c r="AB583" s="24">
        <v>0</v>
      </c>
      <c r="AC583" s="24" t="s">
        <v>127</v>
      </c>
      <c r="AD583" s="24" t="s">
        <v>127</v>
      </c>
      <c r="AE583" s="24" t="s">
        <v>127</v>
      </c>
      <c r="AF583" s="24" t="s">
        <v>127</v>
      </c>
      <c r="AG583" s="10" t="s">
        <v>127</v>
      </c>
      <c r="AH583" s="10" t="s">
        <v>127</v>
      </c>
      <c r="AI583" s="10" t="s">
        <v>127</v>
      </c>
      <c r="AJ583" s="6" t="s">
        <v>127</v>
      </c>
      <c r="AK583" s="6" t="s">
        <v>127</v>
      </c>
      <c r="AL583" s="6" t="s">
        <v>127</v>
      </c>
      <c r="AM583" s="6" t="s">
        <v>127</v>
      </c>
      <c r="AN583" s="6" t="s">
        <v>127</v>
      </c>
      <c r="AO583" s="6" t="s">
        <v>127</v>
      </c>
      <c r="AP583" s="6" t="s">
        <v>127</v>
      </c>
      <c r="AQ583" s="6" t="s">
        <v>127</v>
      </c>
      <c r="AR583" s="6" t="s">
        <v>127</v>
      </c>
      <c r="AS583" s="6" t="s">
        <v>127</v>
      </c>
      <c r="AT583" s="6" t="s">
        <v>127</v>
      </c>
      <c r="AU583" s="6" t="s">
        <v>127</v>
      </c>
      <c r="AV583" s="6" t="s">
        <v>127</v>
      </c>
      <c r="AW583" s="6" t="s">
        <v>127</v>
      </c>
      <c r="AX583" s="6" t="s">
        <v>127</v>
      </c>
      <c r="AY583" s="99" t="s">
        <v>2947</v>
      </c>
      <c r="AZ583" s="6" t="s">
        <v>127</v>
      </c>
      <c r="BA583" s="6" t="s">
        <v>127</v>
      </c>
      <c r="BB583" s="6" t="s">
        <v>2948</v>
      </c>
      <c r="BC583" s="6" t="s">
        <v>2956</v>
      </c>
      <c r="BD583" s="6" t="s">
        <v>127</v>
      </c>
      <c r="BE583" s="6" t="s">
        <v>127</v>
      </c>
    </row>
    <row r="584" spans="1:57" ht="16" x14ac:dyDescent="0.4">
      <c r="A584" s="6" t="s">
        <v>2953</v>
      </c>
      <c r="B584" s="6" t="s">
        <v>2963</v>
      </c>
      <c r="C584" s="4" t="s">
        <v>2624</v>
      </c>
      <c r="D584" s="4" t="s">
        <v>2624</v>
      </c>
      <c r="E584" s="191">
        <v>45645</v>
      </c>
      <c r="F584" s="6">
        <f t="shared" si="131"/>
        <v>2024</v>
      </c>
      <c r="G584" s="4" t="s">
        <v>2964</v>
      </c>
      <c r="H584" s="22" t="str">
        <f>VLOOKUP($G584,'Item Classification'!B:C,2,0)</f>
        <v>Sea mine disposal system</v>
      </c>
      <c r="I584" s="6" t="str">
        <f>VLOOKUP($G584,'Item Classification'!B:D,3,0)</f>
        <v>Drone</v>
      </c>
      <c r="J584" s="23">
        <f>VLOOKUP($G584,'Item Classification'!B:E,4,0)</f>
        <v>7</v>
      </c>
      <c r="K584" s="195" t="s">
        <v>189</v>
      </c>
      <c r="L584" s="195" t="s">
        <v>2233</v>
      </c>
      <c r="M584" s="116" t="str">
        <f>VLOOKUP(L584,'NATO Classifications'!$D$6:$E$647,2,0)</f>
        <v>Ammunition and Explosives (other)</v>
      </c>
      <c r="N584" s="25"/>
      <c r="O584" s="25"/>
      <c r="P584" s="25"/>
      <c r="Q584" s="25"/>
      <c r="R584" s="25"/>
      <c r="S584" s="82"/>
      <c r="T584" s="115" t="s">
        <v>2145</v>
      </c>
      <c r="U584" s="104">
        <f>_xlfn.IFNA(S584/INDEX('Exchange Rates'!$C$7:$F$14,MATCH('MAIN DATA, Orders'!F584,'Exchange Rates'!$B$7:$B$14,0),MATCH('MAIN DATA, Orders'!T584,'Exchange Rates'!$C$6:$F$6,0)), "-")</f>
        <v>0</v>
      </c>
      <c r="V584" s="6" t="s">
        <v>127</v>
      </c>
      <c r="W584" s="6" t="s">
        <v>127</v>
      </c>
      <c r="X584" s="6" t="s">
        <v>809</v>
      </c>
      <c r="Y584" s="24">
        <f t="shared" si="120"/>
        <v>202412</v>
      </c>
      <c r="Z584" s="24">
        <v>0</v>
      </c>
      <c r="AA584" s="24">
        <v>0</v>
      </c>
      <c r="AB584" s="24">
        <v>0</v>
      </c>
      <c r="AC584" s="24" t="s">
        <v>127</v>
      </c>
      <c r="AD584" s="24" t="s">
        <v>127</v>
      </c>
      <c r="AE584" s="24" t="s">
        <v>127</v>
      </c>
      <c r="AF584" s="24" t="s">
        <v>127</v>
      </c>
      <c r="AG584" s="10" t="s">
        <v>127</v>
      </c>
      <c r="AH584" s="10" t="s">
        <v>127</v>
      </c>
      <c r="AI584" s="10" t="s">
        <v>127</v>
      </c>
      <c r="AJ584" s="6" t="s">
        <v>127</v>
      </c>
      <c r="AK584" s="6" t="s">
        <v>127</v>
      </c>
      <c r="AL584" s="6" t="s">
        <v>127</v>
      </c>
      <c r="AM584" s="6" t="s">
        <v>127</v>
      </c>
      <c r="AN584" s="6" t="s">
        <v>127</v>
      </c>
      <c r="AO584" s="6" t="s">
        <v>127</v>
      </c>
      <c r="AP584" s="6" t="s">
        <v>127</v>
      </c>
      <c r="AQ584" s="6" t="s">
        <v>127</v>
      </c>
      <c r="AR584" s="6" t="s">
        <v>127</v>
      </c>
      <c r="AS584" s="6" t="s">
        <v>127</v>
      </c>
      <c r="AT584" s="6" t="s">
        <v>127</v>
      </c>
      <c r="AU584" s="6" t="s">
        <v>127</v>
      </c>
      <c r="AV584" s="6" t="s">
        <v>127</v>
      </c>
      <c r="AW584" s="6" t="s">
        <v>127</v>
      </c>
      <c r="AX584" s="6" t="s">
        <v>127</v>
      </c>
      <c r="AY584" s="99" t="s">
        <v>2947</v>
      </c>
      <c r="AZ584" s="6" t="s">
        <v>127</v>
      </c>
      <c r="BA584" s="6" t="s">
        <v>127</v>
      </c>
      <c r="BB584" s="6" t="s">
        <v>2948</v>
      </c>
      <c r="BC584" s="6" t="s">
        <v>2956</v>
      </c>
      <c r="BD584" s="6" t="s">
        <v>127</v>
      </c>
      <c r="BE584" s="6" t="s">
        <v>127</v>
      </c>
    </row>
    <row r="585" spans="1:57" ht="16" x14ac:dyDescent="0.4">
      <c r="A585" s="6" t="s">
        <v>2965</v>
      </c>
      <c r="B585" s="6" t="s">
        <v>2965</v>
      </c>
      <c r="C585" s="6" t="s">
        <v>2624</v>
      </c>
      <c r="D585" s="6" t="s">
        <v>2624</v>
      </c>
      <c r="E585" s="191">
        <v>45645</v>
      </c>
      <c r="F585" s="6">
        <f t="shared" si="131"/>
        <v>2024</v>
      </c>
      <c r="G585" s="6" t="s">
        <v>127</v>
      </c>
      <c r="H585" s="22" t="s">
        <v>2966</v>
      </c>
      <c r="I585" s="6" t="s">
        <v>2967</v>
      </c>
      <c r="J585" s="23">
        <v>5</v>
      </c>
      <c r="K585" s="195" t="s">
        <v>211</v>
      </c>
      <c r="L585" s="195" t="s">
        <v>326</v>
      </c>
      <c r="M585" s="116" t="str">
        <f>VLOOKUP(L585,'NATO Classifications'!$D$6:$E$647,2,0)</f>
        <v>Guided Missile Systems, Complete</v>
      </c>
      <c r="N585" s="25"/>
      <c r="O585" s="25"/>
      <c r="P585" s="25"/>
      <c r="Q585" s="25"/>
      <c r="R585" s="25"/>
      <c r="S585" s="82">
        <v>68000000</v>
      </c>
      <c r="T585" s="115" t="s">
        <v>2145</v>
      </c>
      <c r="U585" s="104">
        <f>_xlfn.IFNA(S585/INDEX('Exchange Rates'!$C$7:$F$14,MATCH('MAIN DATA, Orders'!F585,'Exchange Rates'!$B$7:$B$14,0),MATCH('MAIN DATA, Orders'!T585,'Exchange Rates'!$C$6:$F$6,0)), "-")</f>
        <v>80319387.68278566</v>
      </c>
      <c r="V585" s="6" t="s">
        <v>127</v>
      </c>
      <c r="W585" s="6" t="s">
        <v>127</v>
      </c>
      <c r="X585" s="6" t="s">
        <v>809</v>
      </c>
      <c r="Y585" s="24">
        <f t="shared" si="120"/>
        <v>202412</v>
      </c>
      <c r="Z585" s="24">
        <v>0</v>
      </c>
      <c r="AA585" s="24">
        <v>0</v>
      </c>
      <c r="AB585" s="24">
        <v>0</v>
      </c>
      <c r="AC585" s="24" t="s">
        <v>127</v>
      </c>
      <c r="AD585" s="24" t="s">
        <v>127</v>
      </c>
      <c r="AE585" s="24" t="s">
        <v>127</v>
      </c>
      <c r="AF585" s="24" t="s">
        <v>127</v>
      </c>
      <c r="AG585" s="10" t="s">
        <v>127</v>
      </c>
      <c r="AH585" s="10" t="s">
        <v>127</v>
      </c>
      <c r="AI585" s="10" t="s">
        <v>127</v>
      </c>
      <c r="AJ585" s="6" t="s">
        <v>127</v>
      </c>
      <c r="AK585" s="6" t="s">
        <v>127</v>
      </c>
      <c r="AL585" s="6" t="s">
        <v>127</v>
      </c>
      <c r="AM585" s="6" t="s">
        <v>127</v>
      </c>
      <c r="AN585" s="6" t="s">
        <v>127</v>
      </c>
      <c r="AO585" s="6" t="s">
        <v>127</v>
      </c>
      <c r="AP585" s="6" t="s">
        <v>127</v>
      </c>
      <c r="AQ585" s="6" t="s">
        <v>127</v>
      </c>
      <c r="AR585" s="6" t="s">
        <v>127</v>
      </c>
      <c r="AS585" s="6" t="s">
        <v>127</v>
      </c>
      <c r="AT585" s="6" t="s">
        <v>127</v>
      </c>
      <c r="AU585" s="6" t="s">
        <v>127</v>
      </c>
      <c r="AV585" s="6" t="s">
        <v>127</v>
      </c>
      <c r="AW585" s="6" t="s">
        <v>127</v>
      </c>
      <c r="AX585" s="6" t="s">
        <v>127</v>
      </c>
      <c r="AY585" s="99" t="s">
        <v>2947</v>
      </c>
      <c r="AZ585" s="6" t="s">
        <v>127</v>
      </c>
      <c r="BA585" s="6" t="s">
        <v>127</v>
      </c>
      <c r="BB585" s="6" t="s">
        <v>2948</v>
      </c>
      <c r="BC585" s="6" t="s">
        <v>2968</v>
      </c>
      <c r="BD585" s="6" t="s">
        <v>127</v>
      </c>
      <c r="BE585" s="6" t="s">
        <v>127</v>
      </c>
    </row>
    <row r="586" spans="1:57" ht="16" x14ac:dyDescent="0.4">
      <c r="A586" s="6" t="s">
        <v>2965</v>
      </c>
      <c r="B586" s="6" t="s">
        <v>2969</v>
      </c>
      <c r="C586" s="6" t="s">
        <v>2624</v>
      </c>
      <c r="D586" s="6" t="s">
        <v>2624</v>
      </c>
      <c r="E586" s="191">
        <v>45645</v>
      </c>
      <c r="F586" s="6">
        <f t="shared" si="131"/>
        <v>2024</v>
      </c>
      <c r="G586" s="4" t="s">
        <v>2699</v>
      </c>
      <c r="H586" s="22" t="str">
        <f>VLOOKUP($G586,'Item Classification'!B:C,2,0)</f>
        <v>Radar</v>
      </c>
      <c r="I586" s="6" t="str">
        <f>VLOOKUP($G586,'Item Classification'!B:D,3,0)</f>
        <v>Air defence system</v>
      </c>
      <c r="J586" s="23">
        <f>VLOOKUP($G586,'Item Classification'!B:E,4,0)</f>
        <v>5</v>
      </c>
      <c r="K586" s="195" t="s">
        <v>158</v>
      </c>
      <c r="L586" s="195" t="s">
        <v>399</v>
      </c>
      <c r="M586" s="116" t="str">
        <f>VLOOKUP(L586,'NATO Classifications'!$D$6:$E$647,2,0)</f>
        <v>Radar and Sensor</v>
      </c>
      <c r="N586" s="25"/>
      <c r="O586" s="25"/>
      <c r="P586" s="25"/>
      <c r="Q586" s="25"/>
      <c r="R586" s="25"/>
      <c r="S586" s="82"/>
      <c r="T586" s="115" t="s">
        <v>2145</v>
      </c>
      <c r="U586" s="104">
        <f>_xlfn.IFNA(S586/INDEX('Exchange Rates'!$C$7:$F$14,MATCH('MAIN DATA, Orders'!F586,'Exchange Rates'!$B$7:$B$14,0),MATCH('MAIN DATA, Orders'!T586,'Exchange Rates'!$C$6:$F$6,0)), "-")</f>
        <v>0</v>
      </c>
      <c r="V586" s="6" t="s">
        <v>127</v>
      </c>
      <c r="W586" s="6" t="s">
        <v>127</v>
      </c>
      <c r="X586" s="6" t="s">
        <v>809</v>
      </c>
      <c r="Y586" s="24">
        <f t="shared" si="120"/>
        <v>202412</v>
      </c>
      <c r="Z586" s="24">
        <v>0</v>
      </c>
      <c r="AA586" s="24">
        <v>0</v>
      </c>
      <c r="AB586" s="24">
        <v>0</v>
      </c>
      <c r="AC586" s="24" t="s">
        <v>127</v>
      </c>
      <c r="AD586" s="24" t="s">
        <v>127</v>
      </c>
      <c r="AE586" s="24" t="s">
        <v>127</v>
      </c>
      <c r="AF586" s="24" t="s">
        <v>127</v>
      </c>
      <c r="AG586" s="10" t="s">
        <v>127</v>
      </c>
      <c r="AH586" s="10" t="s">
        <v>127</v>
      </c>
      <c r="AI586" s="10" t="s">
        <v>127</v>
      </c>
      <c r="AJ586" s="6" t="s">
        <v>127</v>
      </c>
      <c r="AK586" s="6" t="s">
        <v>127</v>
      </c>
      <c r="AL586" s="6" t="s">
        <v>127</v>
      </c>
      <c r="AM586" s="6" t="s">
        <v>127</v>
      </c>
      <c r="AN586" s="6" t="s">
        <v>127</v>
      </c>
      <c r="AO586" s="6" t="s">
        <v>127</v>
      </c>
      <c r="AP586" s="6" t="s">
        <v>127</v>
      </c>
      <c r="AQ586" s="6" t="s">
        <v>127</v>
      </c>
      <c r="AR586" s="6" t="s">
        <v>127</v>
      </c>
      <c r="AS586" s="6" t="s">
        <v>127</v>
      </c>
      <c r="AT586" s="6" t="s">
        <v>127</v>
      </c>
      <c r="AU586" s="6" t="s">
        <v>127</v>
      </c>
      <c r="AV586" s="6" t="s">
        <v>127</v>
      </c>
      <c r="AW586" s="6" t="s">
        <v>127</v>
      </c>
      <c r="AX586" s="6" t="s">
        <v>127</v>
      </c>
      <c r="AY586" s="99" t="s">
        <v>2947</v>
      </c>
      <c r="AZ586" s="6" t="s">
        <v>127</v>
      </c>
      <c r="BA586" s="6" t="s">
        <v>127</v>
      </c>
      <c r="BB586" s="6" t="s">
        <v>2948</v>
      </c>
      <c r="BC586" s="6" t="s">
        <v>2968</v>
      </c>
      <c r="BD586" s="6" t="s">
        <v>127</v>
      </c>
      <c r="BE586" s="6" t="s">
        <v>127</v>
      </c>
    </row>
    <row r="587" spans="1:57" ht="16" x14ac:dyDescent="0.4">
      <c r="A587" s="6" t="s">
        <v>2965</v>
      </c>
      <c r="B587" s="6" t="s">
        <v>2970</v>
      </c>
      <c r="C587" s="6" t="s">
        <v>2624</v>
      </c>
      <c r="D587" s="6" t="s">
        <v>2624</v>
      </c>
      <c r="E587" s="191">
        <v>45645</v>
      </c>
      <c r="F587" s="6">
        <f t="shared" si="131"/>
        <v>2024</v>
      </c>
      <c r="G587" s="4" t="s">
        <v>2971</v>
      </c>
      <c r="H587" s="22" t="str">
        <f>VLOOKUP($G587,'Item Classification'!B:C,2,0)</f>
        <v>Decoy land equipment</v>
      </c>
      <c r="I587" s="6" t="str">
        <f>VLOOKUP($G587,'Item Classification'!B:D,3,0)</f>
        <v>Other</v>
      </c>
      <c r="J587" s="23">
        <f>VLOOKUP($G587,'Item Classification'!B:E,4,0)</f>
        <v>16</v>
      </c>
      <c r="K587" s="195" t="s">
        <v>189</v>
      </c>
      <c r="L587" s="195" t="s">
        <v>1949</v>
      </c>
      <c r="M587" s="116" t="str">
        <f>VLOOKUP(L587,'NATO Classifications'!$D$6:$E$647,2,0)</f>
        <v>Weapons (other)</v>
      </c>
      <c r="N587" s="25"/>
      <c r="O587" s="25"/>
      <c r="P587" s="25"/>
      <c r="Q587" s="25"/>
      <c r="R587" s="25"/>
      <c r="S587" s="82"/>
      <c r="T587" s="115" t="s">
        <v>2145</v>
      </c>
      <c r="U587" s="104">
        <f>_xlfn.IFNA(S587/INDEX('Exchange Rates'!$C$7:$F$14,MATCH('MAIN DATA, Orders'!F587,'Exchange Rates'!$B$7:$B$14,0),MATCH('MAIN DATA, Orders'!T587,'Exchange Rates'!$C$6:$F$6,0)), "-")</f>
        <v>0</v>
      </c>
      <c r="V587" s="6" t="s">
        <v>127</v>
      </c>
      <c r="W587" s="6" t="s">
        <v>127</v>
      </c>
      <c r="X587" s="6" t="s">
        <v>809</v>
      </c>
      <c r="Y587" s="24">
        <f t="shared" si="120"/>
        <v>202412</v>
      </c>
      <c r="Z587" s="24">
        <v>0</v>
      </c>
      <c r="AA587" s="24">
        <v>0</v>
      </c>
      <c r="AB587" s="24">
        <v>0</v>
      </c>
      <c r="AC587" s="24" t="s">
        <v>127</v>
      </c>
      <c r="AD587" s="24" t="s">
        <v>127</v>
      </c>
      <c r="AE587" s="24" t="s">
        <v>127</v>
      </c>
      <c r="AF587" s="24" t="s">
        <v>127</v>
      </c>
      <c r="AG587" s="10" t="s">
        <v>127</v>
      </c>
      <c r="AH587" s="10" t="s">
        <v>127</v>
      </c>
      <c r="AI587" s="10" t="s">
        <v>127</v>
      </c>
      <c r="AJ587" s="6" t="s">
        <v>127</v>
      </c>
      <c r="AK587" s="6" t="s">
        <v>127</v>
      </c>
      <c r="AL587" s="6" t="s">
        <v>127</v>
      </c>
      <c r="AM587" s="6" t="s">
        <v>127</v>
      </c>
      <c r="AN587" s="6" t="s">
        <v>127</v>
      </c>
      <c r="AO587" s="6" t="s">
        <v>127</v>
      </c>
      <c r="AP587" s="6" t="s">
        <v>127</v>
      </c>
      <c r="AQ587" s="6" t="s">
        <v>127</v>
      </c>
      <c r="AR587" s="6" t="s">
        <v>127</v>
      </c>
      <c r="AS587" s="6" t="s">
        <v>127</v>
      </c>
      <c r="AT587" s="6" t="s">
        <v>127</v>
      </c>
      <c r="AU587" s="6" t="s">
        <v>127</v>
      </c>
      <c r="AV587" s="6" t="s">
        <v>127</v>
      </c>
      <c r="AW587" s="6" t="s">
        <v>127</v>
      </c>
      <c r="AX587" s="6" t="s">
        <v>127</v>
      </c>
      <c r="AY587" s="99" t="s">
        <v>2947</v>
      </c>
      <c r="AZ587" s="6" t="s">
        <v>127</v>
      </c>
      <c r="BA587" s="6" t="s">
        <v>127</v>
      </c>
      <c r="BB587" s="6" t="s">
        <v>2948</v>
      </c>
      <c r="BC587" s="6" t="s">
        <v>2968</v>
      </c>
      <c r="BD587" s="6" t="s">
        <v>127</v>
      </c>
      <c r="BE587" s="6" t="s">
        <v>127</v>
      </c>
    </row>
    <row r="588" spans="1:57" ht="16" x14ac:dyDescent="0.4">
      <c r="A588" s="6" t="s">
        <v>2965</v>
      </c>
      <c r="B588" s="6" t="s">
        <v>2972</v>
      </c>
      <c r="C588" s="6" t="s">
        <v>2624</v>
      </c>
      <c r="D588" s="6" t="s">
        <v>2624</v>
      </c>
      <c r="E588" s="191">
        <v>45645</v>
      </c>
      <c r="F588" s="6">
        <f t="shared" si="131"/>
        <v>2024</v>
      </c>
      <c r="G588" s="4" t="s">
        <v>2952</v>
      </c>
      <c r="H588" s="22" t="str">
        <f>VLOOKUP($G588,'Item Classification'!B:C,2,0)</f>
        <v>Anti-drone electronic warfare system</v>
      </c>
      <c r="I588" s="6" t="str">
        <f>VLOOKUP($G588,'Item Classification'!B:D,3,0)</f>
        <v>Air defence system</v>
      </c>
      <c r="J588" s="23">
        <f>VLOOKUP($G588,'Item Classification'!B:E,4,0)</f>
        <v>5</v>
      </c>
      <c r="K588" s="195" t="s">
        <v>158</v>
      </c>
      <c r="L588" s="195" t="s">
        <v>379</v>
      </c>
      <c r="M588" s="116" t="str">
        <f>VLOOKUP(L588,'NATO Classifications'!$D$6:$E$647,2,0)</f>
        <v>Communication, Detection, and Coherent Radiation Equipment (other)</v>
      </c>
      <c r="N588" s="25"/>
      <c r="O588" s="25"/>
      <c r="P588" s="25"/>
      <c r="Q588" s="25"/>
      <c r="R588" s="25"/>
      <c r="S588" s="82"/>
      <c r="T588" s="115" t="s">
        <v>2145</v>
      </c>
      <c r="U588" s="104">
        <f>_xlfn.IFNA(S588/INDEX('Exchange Rates'!$C$7:$F$14,MATCH('MAIN DATA, Orders'!F588,'Exchange Rates'!$B$7:$B$14,0),MATCH('MAIN DATA, Orders'!T588,'Exchange Rates'!$C$6:$F$6,0)), "-")</f>
        <v>0</v>
      </c>
      <c r="V588" s="6" t="s">
        <v>127</v>
      </c>
      <c r="W588" s="6" t="s">
        <v>127</v>
      </c>
      <c r="X588" s="6" t="s">
        <v>809</v>
      </c>
      <c r="Y588" s="24">
        <f t="shared" si="120"/>
        <v>202412</v>
      </c>
      <c r="Z588" s="24">
        <v>0</v>
      </c>
      <c r="AA588" s="24">
        <v>0</v>
      </c>
      <c r="AB588" s="24">
        <v>0</v>
      </c>
      <c r="AC588" s="24" t="s">
        <v>127</v>
      </c>
      <c r="AD588" s="24" t="s">
        <v>127</v>
      </c>
      <c r="AE588" s="24" t="s">
        <v>127</v>
      </c>
      <c r="AF588" s="24" t="s">
        <v>127</v>
      </c>
      <c r="AG588" s="10" t="s">
        <v>127</v>
      </c>
      <c r="AH588" s="10" t="s">
        <v>127</v>
      </c>
      <c r="AI588" s="10" t="s">
        <v>127</v>
      </c>
      <c r="AJ588" s="6" t="s">
        <v>127</v>
      </c>
      <c r="AK588" s="6" t="s">
        <v>127</v>
      </c>
      <c r="AL588" s="6" t="s">
        <v>127</v>
      </c>
      <c r="AM588" s="6" t="s">
        <v>127</v>
      </c>
      <c r="AN588" s="6" t="s">
        <v>127</v>
      </c>
      <c r="AO588" s="6" t="s">
        <v>127</v>
      </c>
      <c r="AP588" s="6" t="s">
        <v>127</v>
      </c>
      <c r="AQ588" s="6" t="s">
        <v>127</v>
      </c>
      <c r="AR588" s="6" t="s">
        <v>127</v>
      </c>
      <c r="AS588" s="6" t="s">
        <v>127</v>
      </c>
      <c r="AT588" s="6" t="s">
        <v>127</v>
      </c>
      <c r="AU588" s="6" t="s">
        <v>127</v>
      </c>
      <c r="AV588" s="6" t="s">
        <v>127</v>
      </c>
      <c r="AW588" s="6" t="s">
        <v>127</v>
      </c>
      <c r="AX588" s="6" t="s">
        <v>127</v>
      </c>
      <c r="AY588" s="99" t="s">
        <v>2947</v>
      </c>
      <c r="AZ588" s="6" t="s">
        <v>127</v>
      </c>
      <c r="BA588" s="6" t="s">
        <v>127</v>
      </c>
      <c r="BB588" s="6" t="s">
        <v>2948</v>
      </c>
      <c r="BC588" s="6" t="s">
        <v>2968</v>
      </c>
      <c r="BD588" s="6" t="s">
        <v>127</v>
      </c>
      <c r="BE588" s="6" t="s">
        <v>127</v>
      </c>
    </row>
    <row r="589" spans="1:57" ht="16" x14ac:dyDescent="0.4">
      <c r="A589" s="6" t="s">
        <v>2973</v>
      </c>
      <c r="B589" s="6" t="s">
        <v>2973</v>
      </c>
      <c r="C589" s="6" t="s">
        <v>2624</v>
      </c>
      <c r="D589" s="6" t="s">
        <v>2624</v>
      </c>
      <c r="E589" s="191">
        <v>45645</v>
      </c>
      <c r="F589" s="6">
        <f t="shared" si="131"/>
        <v>2024</v>
      </c>
      <c r="G589" s="4" t="s">
        <v>2927</v>
      </c>
      <c r="H589" s="22" t="str">
        <f>VLOOKUP($G589,'Item Classification'!B:C,2,0)</f>
        <v>Military vehicle maintentance</v>
      </c>
      <c r="I589" s="6" t="str">
        <f>VLOOKUP($G589,'Item Classification'!B:D,3,0)</f>
        <v>Maintenance</v>
      </c>
      <c r="J589" s="23">
        <f>VLOOKUP($G589,'Item Classification'!B:E,4,0)</f>
        <v>14</v>
      </c>
      <c r="K589" s="195" t="s">
        <v>1280</v>
      </c>
      <c r="L589" s="195" t="s">
        <v>1503</v>
      </c>
      <c r="M589" s="116" t="str">
        <f>VLOOKUP(L589,'NATO Classifications'!$D$6:$E$647,2,0)</f>
        <v>Vehicular Furniture and Accessories</v>
      </c>
      <c r="N589" s="25"/>
      <c r="O589" s="25"/>
      <c r="P589" s="25"/>
      <c r="Q589" s="25"/>
      <c r="R589" s="25"/>
      <c r="S589" s="82">
        <v>26000000</v>
      </c>
      <c r="T589" s="115" t="s">
        <v>2145</v>
      </c>
      <c r="U589" s="104">
        <f>_xlfn.IFNA(S589/INDEX('Exchange Rates'!$C$7:$F$14,MATCH('MAIN DATA, Orders'!F589,'Exchange Rates'!$B$7:$B$14,0),MATCH('MAIN DATA, Orders'!T589,'Exchange Rates'!$C$6:$F$6,0)), "-")</f>
        <v>30710354.114006281</v>
      </c>
      <c r="V589" s="6" t="s">
        <v>127</v>
      </c>
      <c r="W589" s="6" t="s">
        <v>127</v>
      </c>
      <c r="X589" s="6" t="s">
        <v>809</v>
      </c>
      <c r="Y589" s="24">
        <f t="shared" si="120"/>
        <v>202412</v>
      </c>
      <c r="Z589" s="24">
        <v>0</v>
      </c>
      <c r="AA589" s="24">
        <v>1</v>
      </c>
      <c r="AB589" s="24">
        <v>0</v>
      </c>
      <c r="AC589" s="24" t="s">
        <v>127</v>
      </c>
      <c r="AD589" s="24" t="s">
        <v>127</v>
      </c>
      <c r="AE589" s="24" t="s">
        <v>127</v>
      </c>
      <c r="AF589" s="24" t="s">
        <v>127</v>
      </c>
      <c r="AG589" s="10" t="s">
        <v>127</v>
      </c>
      <c r="AH589" s="10" t="s">
        <v>127</v>
      </c>
      <c r="AI589" s="10" t="s">
        <v>127</v>
      </c>
      <c r="AJ589" s="6" t="s">
        <v>127</v>
      </c>
      <c r="AK589" s="6" t="s">
        <v>127</v>
      </c>
      <c r="AL589" s="6" t="s">
        <v>127</v>
      </c>
      <c r="AM589" s="6" t="s">
        <v>127</v>
      </c>
      <c r="AN589" s="6" t="s">
        <v>127</v>
      </c>
      <c r="AO589" s="6" t="s">
        <v>127</v>
      </c>
      <c r="AP589" s="6" t="s">
        <v>127</v>
      </c>
      <c r="AQ589" s="6" t="s">
        <v>127</v>
      </c>
      <c r="AR589" s="6" t="s">
        <v>127</v>
      </c>
      <c r="AS589" s="6" t="s">
        <v>127</v>
      </c>
      <c r="AT589" s="6" t="s">
        <v>127</v>
      </c>
      <c r="AU589" s="6" t="s">
        <v>127</v>
      </c>
      <c r="AV589" s="6" t="s">
        <v>127</v>
      </c>
      <c r="AW589" s="6" t="s">
        <v>127</v>
      </c>
      <c r="AX589" s="6" t="s">
        <v>127</v>
      </c>
      <c r="AY589" s="99" t="s">
        <v>2947</v>
      </c>
      <c r="AZ589" s="6" t="s">
        <v>127</v>
      </c>
      <c r="BA589" s="6" t="s">
        <v>127</v>
      </c>
      <c r="BB589" s="6" t="s">
        <v>2948</v>
      </c>
      <c r="BC589" s="6" t="s">
        <v>2974</v>
      </c>
      <c r="BD589" s="6" t="s">
        <v>127</v>
      </c>
      <c r="BE589" s="6" t="s">
        <v>127</v>
      </c>
    </row>
    <row r="590" spans="1:57" ht="16" x14ac:dyDescent="0.4">
      <c r="A590" s="6" t="s">
        <v>2975</v>
      </c>
      <c r="B590" s="6" t="s">
        <v>2975</v>
      </c>
      <c r="C590" s="6" t="s">
        <v>127</v>
      </c>
      <c r="D590" s="6" t="s">
        <v>238</v>
      </c>
      <c r="E590" s="191">
        <v>45646</v>
      </c>
      <c r="F590" s="6">
        <f t="shared" si="131"/>
        <v>2024</v>
      </c>
      <c r="G590" s="4" t="s">
        <v>2976</v>
      </c>
      <c r="H590" s="22" t="str">
        <f>VLOOKUP($G590,'Item Classification'!B:C,2,0)</f>
        <v>Strategic sealift vessel lease</v>
      </c>
      <c r="I590" s="6" t="str">
        <f>VLOOKUP($G590,'Item Classification'!B:D,3,0)</f>
        <v>Naval</v>
      </c>
      <c r="J590" s="23">
        <f>VLOOKUP($G590,'Item Classification'!B:E,4,0)</f>
        <v>12</v>
      </c>
      <c r="K590" s="195" t="s">
        <v>143</v>
      </c>
      <c r="L590" s="195" t="s">
        <v>460</v>
      </c>
      <c r="M590" s="116" t="str">
        <f>VLOOKUP(L590,'NATO Classifications'!$D$6:$E$647,2,0)</f>
        <v>Cargo and Tanker Vessels</v>
      </c>
      <c r="N590" s="25">
        <v>7</v>
      </c>
      <c r="O590" s="81">
        <f>S590/N590</f>
        <v>68000000</v>
      </c>
      <c r="P590" s="81">
        <f t="shared" ref="P590" si="137">U590/N590</f>
        <v>80319387.68278566</v>
      </c>
      <c r="Q590" s="25">
        <v>2025</v>
      </c>
      <c r="R590" s="25">
        <v>2031</v>
      </c>
      <c r="S590" s="82">
        <v>476000000</v>
      </c>
      <c r="T590" s="115" t="s">
        <v>2145</v>
      </c>
      <c r="U590" s="104">
        <f>_xlfn.IFNA(S590/INDEX('Exchange Rates'!$C$7:$F$14,MATCH('MAIN DATA, Orders'!F590,'Exchange Rates'!$B$7:$B$14,0),MATCH('MAIN DATA, Orders'!T590,'Exchange Rates'!$C$6:$F$6,0)), "-")</f>
        <v>562235713.77949965</v>
      </c>
      <c r="V590" s="6" t="s">
        <v>127</v>
      </c>
      <c r="W590" s="6" t="s">
        <v>127</v>
      </c>
      <c r="X590" s="6" t="s">
        <v>238</v>
      </c>
      <c r="Y590" s="24">
        <f t="shared" si="120"/>
        <v>202412</v>
      </c>
      <c r="Z590" s="24">
        <v>0</v>
      </c>
      <c r="AA590" s="24">
        <v>1</v>
      </c>
      <c r="AB590" s="24">
        <v>0</v>
      </c>
      <c r="AC590" s="24">
        <v>1</v>
      </c>
      <c r="AD590" s="24">
        <v>0</v>
      </c>
      <c r="AE590" s="24">
        <v>0</v>
      </c>
      <c r="AF590" s="24">
        <v>0</v>
      </c>
      <c r="AG590" s="10" t="s">
        <v>2977</v>
      </c>
      <c r="AH590" s="10" t="s">
        <v>238</v>
      </c>
      <c r="AI590" s="10" t="s">
        <v>127</v>
      </c>
      <c r="AJ590" s="6" t="s">
        <v>127</v>
      </c>
      <c r="AK590" s="6" t="s">
        <v>127</v>
      </c>
      <c r="AL590" s="6" t="s">
        <v>127</v>
      </c>
      <c r="AM590" s="6" t="s">
        <v>127</v>
      </c>
      <c r="AN590" s="6" t="s">
        <v>127</v>
      </c>
      <c r="AO590" s="6" t="s">
        <v>127</v>
      </c>
      <c r="AP590" s="6" t="s">
        <v>127</v>
      </c>
      <c r="AQ590" s="6" t="s">
        <v>127</v>
      </c>
      <c r="AR590" s="6" t="s">
        <v>127</v>
      </c>
      <c r="AS590" s="6" t="s">
        <v>127</v>
      </c>
      <c r="AT590" s="6" t="s">
        <v>127</v>
      </c>
      <c r="AU590" s="6" t="s">
        <v>127</v>
      </c>
      <c r="AV590" s="6" t="s">
        <v>127</v>
      </c>
      <c r="AW590" s="6" t="s">
        <v>127</v>
      </c>
      <c r="AX590" s="6" t="s">
        <v>127</v>
      </c>
      <c r="AY590" s="99" t="s">
        <v>2978</v>
      </c>
      <c r="AZ590" s="99" t="s">
        <v>2979</v>
      </c>
      <c r="BA590" s="6" t="s">
        <v>127</v>
      </c>
      <c r="BB590" s="6" t="s">
        <v>2980</v>
      </c>
      <c r="BC590" s="6" t="s">
        <v>2981</v>
      </c>
      <c r="BD590" s="6" t="s">
        <v>2982</v>
      </c>
      <c r="BE590" s="6" t="s">
        <v>127</v>
      </c>
    </row>
    <row r="591" spans="1:57" ht="16" x14ac:dyDescent="0.4">
      <c r="A591" s="6" t="s">
        <v>2983</v>
      </c>
      <c r="B591" s="6" t="s">
        <v>2983</v>
      </c>
      <c r="C591" s="6" t="s">
        <v>2984</v>
      </c>
      <c r="D591" s="6" t="s">
        <v>2624</v>
      </c>
      <c r="E591" s="191">
        <v>45666</v>
      </c>
      <c r="F591" s="6">
        <f t="shared" si="131"/>
        <v>2025</v>
      </c>
      <c r="G591" s="4" t="s">
        <v>2839</v>
      </c>
      <c r="H591" s="22" t="str">
        <f>VLOOKUP($G591,'Item Classification'!B:C,2,0)</f>
        <v>First-person view (FPV) drone</v>
      </c>
      <c r="I591" s="6" t="str">
        <f>VLOOKUP($G591,'Item Classification'!B:D,3,0)</f>
        <v>Drone</v>
      </c>
      <c r="J591" s="23">
        <f>VLOOKUP($G591,'Item Classification'!B:E,4,0)</f>
        <v>7</v>
      </c>
      <c r="K591" s="195" t="s">
        <v>130</v>
      </c>
      <c r="L591" s="195" t="s">
        <v>131</v>
      </c>
      <c r="M591" s="116" t="str">
        <f>VLOOKUP(L591,'NATO Classifications'!$D$6:$E$647,2,0)</f>
        <v>Unmanned Aircraft</v>
      </c>
      <c r="N591" s="25">
        <v>30000</v>
      </c>
      <c r="O591" s="81">
        <f>S591/N591</f>
        <v>1500</v>
      </c>
      <c r="P591" s="81">
        <f t="shared" ref="P591" si="138">U591/N591</f>
        <v>1750.7207133603331</v>
      </c>
      <c r="Q591" s="25"/>
      <c r="R591" s="25"/>
      <c r="S591" s="82">
        <v>45000000</v>
      </c>
      <c r="T591" s="115" t="s">
        <v>2145</v>
      </c>
      <c r="U591" s="104">
        <f>_xlfn.IFNA(S591/INDEX('Exchange Rates'!$C$7:$F$14,MATCH('MAIN DATA, Orders'!F591,'Exchange Rates'!$B$7:$B$14,0),MATCH('MAIN DATA, Orders'!T591,'Exchange Rates'!$C$6:$F$6,0)), "-")</f>
        <v>52521621.400809996</v>
      </c>
      <c r="V591" s="6" t="s">
        <v>127</v>
      </c>
      <c r="W591" s="6" t="s">
        <v>127</v>
      </c>
      <c r="X591" s="6" t="s">
        <v>809</v>
      </c>
      <c r="Y591" s="24">
        <f t="shared" si="120"/>
        <v>202501</v>
      </c>
      <c r="Z591" s="24">
        <v>0</v>
      </c>
      <c r="AA591" s="24">
        <v>0</v>
      </c>
      <c r="AB591" s="24">
        <v>0</v>
      </c>
      <c r="AC591" s="24" t="s">
        <v>127</v>
      </c>
      <c r="AD591" s="24" t="s">
        <v>127</v>
      </c>
      <c r="AE591" s="24" t="s">
        <v>127</v>
      </c>
      <c r="AF591" s="24" t="s">
        <v>127</v>
      </c>
      <c r="AG591" s="10" t="s">
        <v>127</v>
      </c>
      <c r="AH591" s="10" t="s">
        <v>127</v>
      </c>
      <c r="AI591" s="10" t="s">
        <v>127</v>
      </c>
      <c r="AJ591" s="6" t="s">
        <v>127</v>
      </c>
      <c r="AK591" s="6" t="s">
        <v>127</v>
      </c>
      <c r="AL591" s="6" t="s">
        <v>127</v>
      </c>
      <c r="AM591" s="6" t="s">
        <v>127</v>
      </c>
      <c r="AN591" s="6" t="s">
        <v>127</v>
      </c>
      <c r="AO591" s="6" t="s">
        <v>127</v>
      </c>
      <c r="AP591" s="6" t="s">
        <v>127</v>
      </c>
      <c r="AQ591" s="6" t="s">
        <v>127</v>
      </c>
      <c r="AR591" s="6" t="s">
        <v>127</v>
      </c>
      <c r="AS591" s="6" t="s">
        <v>127</v>
      </c>
      <c r="AT591" s="6" t="s">
        <v>127</v>
      </c>
      <c r="AU591" s="6" t="s">
        <v>127</v>
      </c>
      <c r="AV591" s="6" t="s">
        <v>127</v>
      </c>
      <c r="AW591" s="6" t="s">
        <v>127</v>
      </c>
      <c r="AX591" s="6" t="s">
        <v>127</v>
      </c>
      <c r="AY591" s="99" t="s">
        <v>2985</v>
      </c>
      <c r="AZ591" s="6" t="s">
        <v>127</v>
      </c>
      <c r="BA591" s="6" t="s">
        <v>127</v>
      </c>
      <c r="BB591" s="6" t="s">
        <v>2986</v>
      </c>
      <c r="BC591" s="6" t="s">
        <v>2987</v>
      </c>
      <c r="BD591" s="6" t="s">
        <v>127</v>
      </c>
      <c r="BE591" s="6" t="s">
        <v>127</v>
      </c>
    </row>
    <row r="592" spans="1:57" ht="16" x14ac:dyDescent="0.4">
      <c r="A592" s="6" t="s">
        <v>2988</v>
      </c>
      <c r="B592" s="6" t="s">
        <v>2988</v>
      </c>
      <c r="C592" s="6" t="s">
        <v>127</v>
      </c>
      <c r="D592" s="6" t="s">
        <v>238</v>
      </c>
      <c r="E592" s="191">
        <v>45673</v>
      </c>
      <c r="F592" s="6">
        <f t="shared" si="131"/>
        <v>2025</v>
      </c>
      <c r="G592" s="4" t="s">
        <v>2989</v>
      </c>
      <c r="H592" s="22" t="str">
        <f>VLOOKUP($G592,'Item Classification'!B:C,2,0)</f>
        <v>155mm howitzer barrel</v>
      </c>
      <c r="I592" s="6" t="str">
        <f>VLOOKUP($G592,'Item Classification'!B:D,3,0)</f>
        <v>Artillery</v>
      </c>
      <c r="J592" s="23">
        <f>VLOOKUP($G592,'Item Classification'!B:E,4,0)</f>
        <v>3</v>
      </c>
      <c r="K592" s="195" t="s">
        <v>763</v>
      </c>
      <c r="L592" s="195" t="s">
        <v>2021</v>
      </c>
      <c r="M592" s="116" t="str">
        <f>VLOOKUP(L592,'NATO Classifications'!$D$6:$E$647,2,0)</f>
        <v>Guns over 75mm</v>
      </c>
      <c r="N592" s="25"/>
      <c r="O592" s="25"/>
      <c r="P592" s="25"/>
      <c r="Q592" s="25"/>
      <c r="R592" s="25"/>
      <c r="S592" s="82">
        <v>61000000</v>
      </c>
      <c r="T592" s="115" t="s">
        <v>2145</v>
      </c>
      <c r="U592" s="104">
        <f>_xlfn.IFNA(S592/INDEX('Exchange Rates'!$C$7:$F$14,MATCH('MAIN DATA, Orders'!F592,'Exchange Rates'!$B$7:$B$14,0),MATCH('MAIN DATA, Orders'!T592,'Exchange Rates'!$C$6:$F$6,0)), "-")</f>
        <v>71195975.676653549</v>
      </c>
      <c r="V592" s="6" t="s">
        <v>127</v>
      </c>
      <c r="W592" s="6" t="s">
        <v>127</v>
      </c>
      <c r="X592" s="6" t="s">
        <v>809</v>
      </c>
      <c r="Y592" s="24">
        <f t="shared" si="120"/>
        <v>202501</v>
      </c>
      <c r="Z592" s="24">
        <v>0</v>
      </c>
      <c r="AA592" s="24">
        <v>0</v>
      </c>
      <c r="AB592" s="24">
        <v>0</v>
      </c>
      <c r="AC592" s="24">
        <v>1</v>
      </c>
      <c r="AD592" s="24">
        <v>0</v>
      </c>
      <c r="AE592" s="24">
        <v>0</v>
      </c>
      <c r="AF592" s="24">
        <v>0</v>
      </c>
      <c r="AG592" s="10" t="s">
        <v>1480</v>
      </c>
      <c r="AH592" s="10" t="s">
        <v>238</v>
      </c>
      <c r="AI592" s="10" t="s">
        <v>238</v>
      </c>
      <c r="AJ592" s="6" t="s">
        <v>2990</v>
      </c>
      <c r="AK592" s="6" t="s">
        <v>127</v>
      </c>
      <c r="AL592" s="6" t="s">
        <v>127</v>
      </c>
      <c r="AM592" s="6" t="s">
        <v>127</v>
      </c>
      <c r="AN592" s="6" t="s">
        <v>127</v>
      </c>
      <c r="AO592" s="6" t="s">
        <v>127</v>
      </c>
      <c r="AP592" s="6" t="s">
        <v>127</v>
      </c>
      <c r="AQ592" s="6" t="s">
        <v>127</v>
      </c>
      <c r="AR592" s="6" t="s">
        <v>127</v>
      </c>
      <c r="AS592" s="6" t="s">
        <v>127</v>
      </c>
      <c r="AT592" s="6" t="s">
        <v>127</v>
      </c>
      <c r="AU592" s="6" t="s">
        <v>127</v>
      </c>
      <c r="AV592" s="6" t="s">
        <v>127</v>
      </c>
      <c r="AW592" s="6" t="s">
        <v>127</v>
      </c>
      <c r="AX592" s="6" t="s">
        <v>127</v>
      </c>
      <c r="AY592" s="99" t="s">
        <v>2991</v>
      </c>
      <c r="AZ592" s="6" t="s">
        <v>127</v>
      </c>
      <c r="BA592" s="6" t="s">
        <v>127</v>
      </c>
      <c r="BB592" s="6" t="s">
        <v>2992</v>
      </c>
      <c r="BC592" s="6" t="s">
        <v>127</v>
      </c>
      <c r="BD592" s="6" t="s">
        <v>127</v>
      </c>
      <c r="BE592" s="6" t="s">
        <v>127</v>
      </c>
    </row>
    <row r="593" spans="1:57" ht="16" x14ac:dyDescent="0.4">
      <c r="A593" s="6" t="s">
        <v>2993</v>
      </c>
      <c r="B593" s="6" t="s">
        <v>2993</v>
      </c>
      <c r="C593" s="6" t="s">
        <v>127</v>
      </c>
      <c r="D593" s="6" t="s">
        <v>238</v>
      </c>
      <c r="E593" s="191">
        <v>45681</v>
      </c>
      <c r="F593" s="6">
        <f t="shared" si="131"/>
        <v>2025</v>
      </c>
      <c r="G593" s="4" t="s">
        <v>2994</v>
      </c>
      <c r="H593" s="22" t="str">
        <f>VLOOKUP($G593,'Item Classification'!B:C,2,0)</f>
        <v>Submarine nuclear reactor</v>
      </c>
      <c r="I593" s="6" t="str">
        <f>VLOOKUP($G593,'Item Classification'!B:D,3,0)</f>
        <v>Naval</v>
      </c>
      <c r="J593" s="23">
        <f>VLOOKUP($G593,'Item Classification'!B:E,4,0)</f>
        <v>12</v>
      </c>
      <c r="K593" s="195" t="s">
        <v>2995</v>
      </c>
      <c r="L593" s="195" t="s">
        <v>2996</v>
      </c>
      <c r="M593" s="116" t="str">
        <f>VLOOKUP(L593,'NATO Classifications'!$D$6:$E$647,2,0)</f>
        <v>Nuclear Reactors</v>
      </c>
      <c r="N593" s="25"/>
      <c r="O593" s="25"/>
      <c r="P593" s="25"/>
      <c r="Q593" s="25">
        <v>2025</v>
      </c>
      <c r="R593" s="25">
        <v>2033</v>
      </c>
      <c r="S593" s="82">
        <v>9000000000</v>
      </c>
      <c r="T593" s="115" t="s">
        <v>2145</v>
      </c>
      <c r="U593" s="104">
        <f>_xlfn.IFNA(S593/INDEX('Exchange Rates'!$C$7:$F$14,MATCH('MAIN DATA, Orders'!F593,'Exchange Rates'!$B$7:$B$14,0),MATCH('MAIN DATA, Orders'!T593,'Exchange Rates'!$C$6:$F$6,0)), "-")</f>
        <v>10504324280.161999</v>
      </c>
      <c r="V593" s="6" t="s">
        <v>127</v>
      </c>
      <c r="W593" s="6" t="s">
        <v>127</v>
      </c>
      <c r="X593" s="6" t="s">
        <v>238</v>
      </c>
      <c r="Y593" s="24">
        <f t="shared" si="120"/>
        <v>202501</v>
      </c>
      <c r="Z593" s="24">
        <v>0</v>
      </c>
      <c r="AA593" s="24">
        <v>0</v>
      </c>
      <c r="AB593" s="24">
        <v>0</v>
      </c>
      <c r="AC593" s="24">
        <v>1</v>
      </c>
      <c r="AD593" s="24">
        <v>0</v>
      </c>
      <c r="AE593" s="24">
        <v>0</v>
      </c>
      <c r="AF593" s="24">
        <v>0</v>
      </c>
      <c r="AG593" s="10" t="s">
        <v>2367</v>
      </c>
      <c r="AH593" s="10" t="s">
        <v>238</v>
      </c>
      <c r="AI593" s="10" t="s">
        <v>238</v>
      </c>
      <c r="AJ593" s="6" t="s">
        <v>127</v>
      </c>
      <c r="AK593" s="6" t="s">
        <v>127</v>
      </c>
      <c r="AL593" s="6" t="s">
        <v>127</v>
      </c>
      <c r="AM593" s="6" t="s">
        <v>127</v>
      </c>
      <c r="AN593" s="6" t="s">
        <v>127</v>
      </c>
      <c r="AO593" s="6" t="s">
        <v>127</v>
      </c>
      <c r="AP593" s="6" t="s">
        <v>127</v>
      </c>
      <c r="AQ593" s="6" t="s">
        <v>127</v>
      </c>
      <c r="AR593" s="6" t="s">
        <v>127</v>
      </c>
      <c r="AS593" s="6" t="s">
        <v>127</v>
      </c>
      <c r="AT593" s="6" t="s">
        <v>127</v>
      </c>
      <c r="AU593" s="6" t="s">
        <v>127</v>
      </c>
      <c r="AV593" s="6" t="s">
        <v>127</v>
      </c>
      <c r="AW593" s="6" t="s">
        <v>127</v>
      </c>
      <c r="AX593" s="6" t="s">
        <v>127</v>
      </c>
      <c r="AY593" s="99" t="s">
        <v>2997</v>
      </c>
      <c r="AZ593" s="6" t="s">
        <v>127</v>
      </c>
      <c r="BA593" s="6" t="s">
        <v>127</v>
      </c>
      <c r="BB593" s="6" t="s">
        <v>2998</v>
      </c>
      <c r="BC593" s="6" t="s">
        <v>2999</v>
      </c>
      <c r="BD593" s="6" t="s">
        <v>127</v>
      </c>
      <c r="BE593" s="6" t="s">
        <v>127</v>
      </c>
    </row>
    <row r="594" spans="1:57" ht="16" x14ac:dyDescent="0.4">
      <c r="A594" s="6" t="s">
        <v>3000</v>
      </c>
      <c r="B594" s="6" t="s">
        <v>3000</v>
      </c>
      <c r="C594" s="6" t="s">
        <v>127</v>
      </c>
      <c r="D594" s="6" t="s">
        <v>238</v>
      </c>
      <c r="E594" s="191">
        <v>45685</v>
      </c>
      <c r="F594" s="6">
        <f t="shared" si="131"/>
        <v>2025</v>
      </c>
      <c r="G594" s="4" t="s">
        <v>3001</v>
      </c>
      <c r="H594" s="22" t="str">
        <f>VLOOKUP($G594,'Item Classification'!B:C,2,0)</f>
        <v>Naval combat management system</v>
      </c>
      <c r="I594" s="6" t="str">
        <f>VLOOKUP($G594,'Item Classification'!B:D,3,0)</f>
        <v>Naval</v>
      </c>
      <c r="J594" s="23">
        <f>VLOOKUP($G594,'Item Classification'!B:E,4,0)</f>
        <v>12</v>
      </c>
      <c r="K594" s="195" t="s">
        <v>168</v>
      </c>
      <c r="L594" s="195" t="s">
        <v>169</v>
      </c>
      <c r="M594" s="116" t="str">
        <f>VLOOKUP(L594,'NATO Classifications'!$D$6:$E$647,2,0)</f>
        <v>ADPE System Configuration</v>
      </c>
      <c r="N594" s="25"/>
      <c r="O594" s="25"/>
      <c r="P594" s="25"/>
      <c r="Q594" s="25"/>
      <c r="R594" s="25"/>
      <c r="S594" s="82">
        <v>285000000</v>
      </c>
      <c r="T594" s="115" t="s">
        <v>2145</v>
      </c>
      <c r="U594" s="104">
        <f>_xlfn.IFNA(S594/INDEX('Exchange Rates'!$C$7:$F$14,MATCH('MAIN DATA, Orders'!F594,'Exchange Rates'!$B$7:$B$14,0),MATCH('MAIN DATA, Orders'!T594,'Exchange Rates'!$C$6:$F$6,0)), "-")</f>
        <v>332636935.53846329</v>
      </c>
      <c r="V594" s="6" t="s">
        <v>127</v>
      </c>
      <c r="W594" s="6" t="s">
        <v>127</v>
      </c>
      <c r="X594" s="6" t="s">
        <v>238</v>
      </c>
      <c r="Y594" s="24">
        <f t="shared" si="120"/>
        <v>202501</v>
      </c>
      <c r="Z594" s="24">
        <v>0</v>
      </c>
      <c r="AA594" s="24">
        <v>0</v>
      </c>
      <c r="AB594" s="24">
        <v>0</v>
      </c>
      <c r="AC594" s="24">
        <v>1</v>
      </c>
      <c r="AD594" s="24">
        <v>0</v>
      </c>
      <c r="AE594" s="24">
        <v>0</v>
      </c>
      <c r="AF594" s="24">
        <v>0</v>
      </c>
      <c r="AG594" s="10" t="s">
        <v>1480</v>
      </c>
      <c r="AH594" s="10" t="s">
        <v>238</v>
      </c>
      <c r="AI594" s="10" t="s">
        <v>238</v>
      </c>
      <c r="AJ594" s="6" t="s">
        <v>127</v>
      </c>
      <c r="AK594" s="6" t="s">
        <v>127</v>
      </c>
      <c r="AL594" s="6" t="s">
        <v>127</v>
      </c>
      <c r="AM594" s="6" t="s">
        <v>127</v>
      </c>
      <c r="AN594" s="6" t="s">
        <v>127</v>
      </c>
      <c r="AO594" s="6" t="s">
        <v>127</v>
      </c>
      <c r="AP594" s="6" t="s">
        <v>127</v>
      </c>
      <c r="AQ594" s="6" t="s">
        <v>127</v>
      </c>
      <c r="AR594" s="6" t="s">
        <v>127</v>
      </c>
      <c r="AS594" s="6" t="s">
        <v>127</v>
      </c>
      <c r="AT594" s="6" t="s">
        <v>127</v>
      </c>
      <c r="AU594" s="6" t="s">
        <v>127</v>
      </c>
      <c r="AV594" s="6" t="s">
        <v>127</v>
      </c>
      <c r="AW594" s="6" t="s">
        <v>127</v>
      </c>
      <c r="AX594" s="6" t="s">
        <v>127</v>
      </c>
      <c r="AY594" s="99" t="s">
        <v>3002</v>
      </c>
      <c r="AZ594" s="6" t="s">
        <v>127</v>
      </c>
      <c r="BA594" s="6" t="s">
        <v>127</v>
      </c>
      <c r="BB594" s="6" t="s">
        <v>3003</v>
      </c>
      <c r="BC594" s="6" t="s">
        <v>127</v>
      </c>
      <c r="BD594" s="6" t="s">
        <v>127</v>
      </c>
      <c r="BE594" s="6" t="s">
        <v>127</v>
      </c>
    </row>
    <row r="595" spans="1:57" ht="16" x14ac:dyDescent="0.4">
      <c r="A595" s="6" t="s">
        <v>3004</v>
      </c>
      <c r="B595" s="6" t="s">
        <v>3004</v>
      </c>
      <c r="C595" s="6" t="s">
        <v>127</v>
      </c>
      <c r="D595" s="6" t="s">
        <v>238</v>
      </c>
      <c r="E595" s="191">
        <v>45698</v>
      </c>
      <c r="F595" s="6">
        <f t="shared" si="131"/>
        <v>2025</v>
      </c>
      <c r="G595" s="4" t="s">
        <v>3005</v>
      </c>
      <c r="H595" s="22" t="str">
        <f>VLOOKUP($G595,'Item Classification'!B:C,2,0)</f>
        <v>Communication and digitalisation</v>
      </c>
      <c r="I595" s="6" t="str">
        <f>VLOOKUP($G595,'Item Classification'!B:D,3,0)</f>
        <v>Modernisation</v>
      </c>
      <c r="J595" s="23">
        <f>VLOOKUP($G595,'Item Classification'!B:E,4,0)</f>
        <v>13</v>
      </c>
      <c r="K595" s="195" t="s">
        <v>158</v>
      </c>
      <c r="L595" s="195" t="s">
        <v>354</v>
      </c>
      <c r="M595" s="116" t="str">
        <f>VLOOKUP(L595,'NATO Classifications'!$D$6:$E$647,2,0)</f>
        <v>Communication, Detection, and Coherent Radiation Equipment (other)</v>
      </c>
      <c r="N595" s="25">
        <v>1</v>
      </c>
      <c r="O595" s="81">
        <f>S595/N595</f>
        <v>127000000</v>
      </c>
      <c r="P595" s="81">
        <f t="shared" ref="P595" si="139">U595/N595</f>
        <v>148227687.0645082</v>
      </c>
      <c r="Q595" s="25">
        <v>2027</v>
      </c>
      <c r="R595" s="25">
        <v>2027</v>
      </c>
      <c r="S595" s="82">
        <v>127000000</v>
      </c>
      <c r="T595" s="115" t="s">
        <v>2145</v>
      </c>
      <c r="U595" s="104">
        <f>_xlfn.IFNA(S595/INDEX('Exchange Rates'!$C$7:$F$14,MATCH('MAIN DATA, Orders'!F595,'Exchange Rates'!$B$7:$B$14,0),MATCH('MAIN DATA, Orders'!T595,'Exchange Rates'!$C$6:$F$6,0)), "-")</f>
        <v>148227687.0645082</v>
      </c>
      <c r="V595" s="6" t="s">
        <v>127</v>
      </c>
      <c r="W595" s="6" t="s">
        <v>127</v>
      </c>
      <c r="X595" s="6" t="s">
        <v>238</v>
      </c>
      <c r="Y595" s="24">
        <f t="shared" si="120"/>
        <v>202502</v>
      </c>
      <c r="Z595" s="24">
        <v>0</v>
      </c>
      <c r="AA595" s="24">
        <v>0</v>
      </c>
      <c r="AB595" s="24">
        <v>0</v>
      </c>
      <c r="AC595" s="24">
        <v>1</v>
      </c>
      <c r="AD595" s="24">
        <v>1</v>
      </c>
      <c r="AE595" s="24">
        <v>0</v>
      </c>
      <c r="AF595" s="24">
        <v>1</v>
      </c>
      <c r="AG595" s="10" t="s">
        <v>3006</v>
      </c>
      <c r="AH595" s="10" t="s">
        <v>238</v>
      </c>
      <c r="AI595" s="10" t="s">
        <v>238</v>
      </c>
      <c r="AJ595" s="6" t="s">
        <v>160</v>
      </c>
      <c r="AK595" s="6" t="s">
        <v>127</v>
      </c>
      <c r="AL595" s="6" t="s">
        <v>127</v>
      </c>
      <c r="AM595" s="6" t="s">
        <v>127</v>
      </c>
      <c r="AN595" s="6" t="s">
        <v>151</v>
      </c>
      <c r="AO595" s="6" t="s">
        <v>128</v>
      </c>
      <c r="AP595" s="6" t="s">
        <v>162</v>
      </c>
      <c r="AQ595" s="6" t="s">
        <v>127</v>
      </c>
      <c r="AR595" s="6" t="s">
        <v>127</v>
      </c>
      <c r="AS595" s="6" t="s">
        <v>127</v>
      </c>
      <c r="AT595" s="6" t="s">
        <v>127</v>
      </c>
      <c r="AU595" s="6" t="s">
        <v>127</v>
      </c>
      <c r="AV595" s="6" t="s">
        <v>127</v>
      </c>
      <c r="AW595" s="6" t="s">
        <v>127</v>
      </c>
      <c r="AX595" s="6" t="s">
        <v>127</v>
      </c>
      <c r="AY595" s="99" t="s">
        <v>3007</v>
      </c>
      <c r="AZ595" s="6" t="s">
        <v>127</v>
      </c>
      <c r="BA595" s="6" t="s">
        <v>127</v>
      </c>
      <c r="BB595" s="6" t="s">
        <v>3008</v>
      </c>
      <c r="BC595" s="6" t="s">
        <v>3009</v>
      </c>
      <c r="BD595" s="6" t="s">
        <v>3010</v>
      </c>
      <c r="BE595" s="6" t="s">
        <v>127</v>
      </c>
    </row>
    <row r="596" spans="1:57" ht="16" x14ac:dyDescent="0.4">
      <c r="A596" s="6" t="s">
        <v>3011</v>
      </c>
      <c r="B596" s="6" t="s">
        <v>3011</v>
      </c>
      <c r="C596" s="6" t="s">
        <v>127</v>
      </c>
      <c r="D596" s="6" t="s">
        <v>238</v>
      </c>
      <c r="E596" s="191">
        <v>45700</v>
      </c>
      <c r="F596" s="6">
        <f t="shared" si="131"/>
        <v>2025</v>
      </c>
      <c r="G596" s="4" t="s">
        <v>3012</v>
      </c>
      <c r="H596" s="22" t="str">
        <f>VLOOKUP($G596,'Item Classification'!B:C,2,0)</f>
        <v>Naval communication system</v>
      </c>
      <c r="I596" s="6" t="str">
        <f>VLOOKUP($G596,'Item Classification'!B:D,3,0)</f>
        <v>Naval</v>
      </c>
      <c r="J596" s="23">
        <f>VLOOKUP($G596,'Item Classification'!B:E,4,0)</f>
        <v>12</v>
      </c>
      <c r="K596" s="195" t="s">
        <v>158</v>
      </c>
      <c r="L596" s="195" t="s">
        <v>567</v>
      </c>
      <c r="M596" s="116" t="str">
        <f>VLOOKUP(L596,'NATO Classifications'!$D$6:$E$647,2,0)</f>
        <v>Communication, Detection, and Coherent Radiation Equipment (other)</v>
      </c>
      <c r="N596" s="25"/>
      <c r="O596" s="25"/>
      <c r="P596" s="25"/>
      <c r="Q596" s="25">
        <v>2025</v>
      </c>
      <c r="R596" s="25">
        <v>2035</v>
      </c>
      <c r="S596" s="82">
        <v>250000000</v>
      </c>
      <c r="T596" s="115" t="s">
        <v>2145</v>
      </c>
      <c r="U596" s="104">
        <f>_xlfn.IFNA(S596/INDEX('Exchange Rates'!$C$7:$F$14,MATCH('MAIN DATA, Orders'!F596,'Exchange Rates'!$B$7:$B$14,0),MATCH('MAIN DATA, Orders'!T596,'Exchange Rates'!$C$6:$F$6,0)), "-")</f>
        <v>291786785.56005555</v>
      </c>
      <c r="V596" s="6" t="s">
        <v>127</v>
      </c>
      <c r="W596" s="6" t="s">
        <v>127</v>
      </c>
      <c r="X596" s="6" t="s">
        <v>238</v>
      </c>
      <c r="Y596" s="24">
        <f t="shared" si="120"/>
        <v>202502</v>
      </c>
      <c r="Z596" s="24">
        <v>0</v>
      </c>
      <c r="AA596" s="24">
        <v>0</v>
      </c>
      <c r="AB596" s="24">
        <v>0</v>
      </c>
      <c r="AC596" s="24">
        <v>1</v>
      </c>
      <c r="AD596" s="24">
        <v>1</v>
      </c>
      <c r="AE596" s="24">
        <v>0</v>
      </c>
      <c r="AF596" s="24">
        <v>1</v>
      </c>
      <c r="AG596" s="10" t="s">
        <v>2153</v>
      </c>
      <c r="AH596" s="10" t="s">
        <v>238</v>
      </c>
      <c r="AI596" s="10" t="s">
        <v>238</v>
      </c>
      <c r="AJ596" s="6" t="s">
        <v>148</v>
      </c>
      <c r="AK596" s="6" t="s">
        <v>127</v>
      </c>
      <c r="AL596" s="6" t="s">
        <v>127</v>
      </c>
      <c r="AM596" s="6" t="s">
        <v>127</v>
      </c>
      <c r="AN596" s="6" t="s">
        <v>151</v>
      </c>
      <c r="AO596" s="6" t="s">
        <v>127</v>
      </c>
      <c r="AP596" s="6" t="s">
        <v>127</v>
      </c>
      <c r="AQ596" s="6" t="s">
        <v>127</v>
      </c>
      <c r="AR596" s="6" t="s">
        <v>127</v>
      </c>
      <c r="AS596" s="6" t="s">
        <v>127</v>
      </c>
      <c r="AT596" s="6" t="s">
        <v>127</v>
      </c>
      <c r="AU596" s="6" t="s">
        <v>127</v>
      </c>
      <c r="AV596" s="6" t="s">
        <v>127</v>
      </c>
      <c r="AW596" s="6" t="s">
        <v>127</v>
      </c>
      <c r="AX596" s="6" t="s">
        <v>127</v>
      </c>
      <c r="AY596" s="99" t="s">
        <v>3013</v>
      </c>
      <c r="AZ596" s="6" t="s">
        <v>127</v>
      </c>
      <c r="BA596" s="6" t="s">
        <v>127</v>
      </c>
      <c r="BB596" s="6" t="s">
        <v>3014</v>
      </c>
      <c r="BC596" s="6" t="s">
        <v>3015</v>
      </c>
      <c r="BD596" s="6" t="s">
        <v>127</v>
      </c>
      <c r="BE596" s="6" t="s">
        <v>127</v>
      </c>
    </row>
    <row r="597" spans="1:57" ht="16" x14ac:dyDescent="0.4">
      <c r="A597" s="6" t="s">
        <v>3016</v>
      </c>
      <c r="B597" s="6" t="s">
        <v>3016</v>
      </c>
      <c r="C597" s="6" t="s">
        <v>127</v>
      </c>
      <c r="D597" s="6" t="s">
        <v>238</v>
      </c>
      <c r="E597" s="191">
        <v>45700</v>
      </c>
      <c r="F597" s="6">
        <f t="shared" si="131"/>
        <v>2025</v>
      </c>
      <c r="G597" s="6" t="s">
        <v>127</v>
      </c>
      <c r="H597" s="22" t="s">
        <v>1487</v>
      </c>
      <c r="I597" s="6" t="s">
        <v>287</v>
      </c>
      <c r="J597" s="23">
        <v>16</v>
      </c>
      <c r="K597" s="195" t="s">
        <v>229</v>
      </c>
      <c r="L597" s="195" t="s">
        <v>230</v>
      </c>
      <c r="M597" s="116" t="str">
        <f>VLOOKUP(L597,'NATO Classifications'!$D$6:$E$647,2,0)</f>
        <v>Miscellaneous Items</v>
      </c>
      <c r="N597" s="25"/>
      <c r="O597" s="25"/>
      <c r="P597" s="25"/>
      <c r="Q597" s="25">
        <v>2025</v>
      </c>
      <c r="R597" s="25"/>
      <c r="S597" s="82">
        <v>150000000</v>
      </c>
      <c r="T597" s="115" t="s">
        <v>2145</v>
      </c>
      <c r="U597" s="104">
        <f>_xlfn.IFNA(S597/INDEX('Exchange Rates'!$C$7:$F$14,MATCH('MAIN DATA, Orders'!F597,'Exchange Rates'!$B$7:$B$14,0),MATCH('MAIN DATA, Orders'!T597,'Exchange Rates'!$C$6:$F$6,0)), "-")</f>
        <v>175072071.33603331</v>
      </c>
      <c r="V597" s="6" t="s">
        <v>127</v>
      </c>
      <c r="W597" s="6" t="s">
        <v>127</v>
      </c>
      <c r="X597" s="6" t="s">
        <v>809</v>
      </c>
      <c r="Y597" s="24">
        <f t="shared" si="120"/>
        <v>202502</v>
      </c>
      <c r="Z597" s="24">
        <v>0</v>
      </c>
      <c r="AA597" s="24">
        <v>0</v>
      </c>
      <c r="AB597" s="24">
        <v>0</v>
      </c>
      <c r="AC597" s="24" t="s">
        <v>127</v>
      </c>
      <c r="AD597" s="24" t="s">
        <v>127</v>
      </c>
      <c r="AE597" s="24" t="s">
        <v>127</v>
      </c>
      <c r="AF597" s="24" t="s">
        <v>127</v>
      </c>
      <c r="AG597" s="10" t="s">
        <v>127</v>
      </c>
      <c r="AH597" s="10" t="s">
        <v>127</v>
      </c>
      <c r="AI597" s="10" t="s">
        <v>127</v>
      </c>
      <c r="AJ597" s="6" t="s">
        <v>127</v>
      </c>
      <c r="AK597" s="6" t="s">
        <v>127</v>
      </c>
      <c r="AL597" s="6" t="s">
        <v>127</v>
      </c>
      <c r="AM597" s="6" t="s">
        <v>127</v>
      </c>
      <c r="AN597" s="6" t="s">
        <v>127</v>
      </c>
      <c r="AO597" s="6" t="s">
        <v>127</v>
      </c>
      <c r="AP597" s="6" t="s">
        <v>127</v>
      </c>
      <c r="AQ597" s="6" t="s">
        <v>127</v>
      </c>
      <c r="AR597" s="6" t="s">
        <v>127</v>
      </c>
      <c r="AS597" s="6" t="s">
        <v>127</v>
      </c>
      <c r="AT597" s="6" t="s">
        <v>127</v>
      </c>
      <c r="AU597" s="6" t="s">
        <v>127</v>
      </c>
      <c r="AV597" s="6" t="s">
        <v>127</v>
      </c>
      <c r="AW597" s="6" t="s">
        <v>127</v>
      </c>
      <c r="AX597" s="6" t="s">
        <v>127</v>
      </c>
      <c r="AY597" s="99" t="s">
        <v>3017</v>
      </c>
      <c r="AZ597" s="99" t="s">
        <v>3018</v>
      </c>
      <c r="BA597" s="6" t="s">
        <v>127</v>
      </c>
      <c r="BB597" s="6" t="s">
        <v>3019</v>
      </c>
      <c r="BC597" s="6" t="s">
        <v>127</v>
      </c>
      <c r="BD597" s="6" t="s">
        <v>127</v>
      </c>
      <c r="BE597" s="6" t="s">
        <v>127</v>
      </c>
    </row>
    <row r="598" spans="1:57" ht="16" x14ac:dyDescent="0.4">
      <c r="A598" s="6" t="s">
        <v>3016</v>
      </c>
      <c r="B598" s="6" t="s">
        <v>3020</v>
      </c>
      <c r="C598" s="6" t="s">
        <v>127</v>
      </c>
      <c r="D598" s="6" t="s">
        <v>238</v>
      </c>
      <c r="E598" s="191">
        <v>45700</v>
      </c>
      <c r="F598" s="6">
        <f t="shared" si="131"/>
        <v>2025</v>
      </c>
      <c r="G598" s="4" t="s">
        <v>2635</v>
      </c>
      <c r="H598" s="22" t="str">
        <f>VLOOKUP($G598,'Item Classification'!B:C,2,0)</f>
        <v>Drone (unspecified)</v>
      </c>
      <c r="I598" s="6" t="str">
        <f>VLOOKUP($G598,'Item Classification'!B:D,3,0)</f>
        <v>Drone</v>
      </c>
      <c r="J598" s="23">
        <f>VLOOKUP($G598,'Item Classification'!B:E,4,0)</f>
        <v>7</v>
      </c>
      <c r="K598" s="195" t="s">
        <v>130</v>
      </c>
      <c r="L598" s="195" t="s">
        <v>131</v>
      </c>
      <c r="M598" s="116" t="str">
        <f>VLOOKUP(L598,'NATO Classifications'!$D$6:$E$647,2,0)</f>
        <v>Unmanned Aircraft</v>
      </c>
      <c r="N598" s="25"/>
      <c r="O598" s="25"/>
      <c r="P598" s="25"/>
      <c r="Q598" s="25"/>
      <c r="R598" s="25"/>
      <c r="S598" s="82"/>
      <c r="T598" s="115" t="s">
        <v>2145</v>
      </c>
      <c r="U598" s="104">
        <f>_xlfn.IFNA(S598/INDEX('Exchange Rates'!$C$7:$F$14,MATCH('MAIN DATA, Orders'!F598,'Exchange Rates'!$B$7:$B$14,0),MATCH('MAIN DATA, Orders'!T598,'Exchange Rates'!$C$6:$F$6,0)), "-")</f>
        <v>0</v>
      </c>
      <c r="V598" s="6" t="s">
        <v>127</v>
      </c>
      <c r="W598" s="6" t="s">
        <v>127</v>
      </c>
      <c r="X598" s="6" t="s">
        <v>809</v>
      </c>
      <c r="Y598" s="24">
        <f t="shared" si="120"/>
        <v>202502</v>
      </c>
      <c r="Z598" s="24">
        <v>0</v>
      </c>
      <c r="AA598" s="24">
        <v>0</v>
      </c>
      <c r="AB598" s="24">
        <v>0</v>
      </c>
      <c r="AC598" s="24" t="s">
        <v>127</v>
      </c>
      <c r="AD598" s="24" t="s">
        <v>127</v>
      </c>
      <c r="AE598" s="24" t="s">
        <v>127</v>
      </c>
      <c r="AF598" s="24" t="s">
        <v>127</v>
      </c>
      <c r="AG598" s="10" t="s">
        <v>127</v>
      </c>
      <c r="AH598" s="10" t="s">
        <v>127</v>
      </c>
      <c r="AI598" s="10" t="s">
        <v>127</v>
      </c>
      <c r="AJ598" s="6" t="s">
        <v>127</v>
      </c>
      <c r="AK598" s="6" t="s">
        <v>127</v>
      </c>
      <c r="AL598" s="6" t="s">
        <v>127</v>
      </c>
      <c r="AM598" s="6" t="s">
        <v>127</v>
      </c>
      <c r="AN598" s="6" t="s">
        <v>127</v>
      </c>
      <c r="AO598" s="6" t="s">
        <v>127</v>
      </c>
      <c r="AP598" s="6" t="s">
        <v>127</v>
      </c>
      <c r="AQ598" s="6" t="s">
        <v>127</v>
      </c>
      <c r="AR598" s="6" t="s">
        <v>127</v>
      </c>
      <c r="AS598" s="6" t="s">
        <v>127</v>
      </c>
      <c r="AT598" s="6" t="s">
        <v>127</v>
      </c>
      <c r="AU598" s="6" t="s">
        <v>127</v>
      </c>
      <c r="AV598" s="6" t="s">
        <v>127</v>
      </c>
      <c r="AW598" s="6" t="s">
        <v>127</v>
      </c>
      <c r="AX598" s="6" t="s">
        <v>127</v>
      </c>
      <c r="AY598" s="99" t="s">
        <v>3017</v>
      </c>
      <c r="AZ598" s="99" t="s">
        <v>3018</v>
      </c>
      <c r="BA598" s="6" t="s">
        <v>127</v>
      </c>
      <c r="BB598" s="6" t="s">
        <v>3019</v>
      </c>
      <c r="BC598" s="6" t="s">
        <v>127</v>
      </c>
      <c r="BD598" s="6" t="s">
        <v>127</v>
      </c>
      <c r="BE598" s="6" t="s">
        <v>127</v>
      </c>
    </row>
    <row r="599" spans="1:57" ht="16" x14ac:dyDescent="0.4">
      <c r="A599" s="6" t="s">
        <v>3016</v>
      </c>
      <c r="B599" s="6" t="s">
        <v>3021</v>
      </c>
      <c r="C599" s="6" t="s">
        <v>127</v>
      </c>
      <c r="D599" s="6" t="s">
        <v>238</v>
      </c>
      <c r="E599" s="191">
        <v>45700</v>
      </c>
      <c r="F599" s="6">
        <f t="shared" si="131"/>
        <v>2025</v>
      </c>
      <c r="G599" s="4" t="s">
        <v>3022</v>
      </c>
      <c r="H599" s="22" t="str">
        <f>VLOOKUP($G599,'Item Classification'!B:C,2,0)</f>
        <v>Armoured vehicle (unspecified)</v>
      </c>
      <c r="I599" s="6" t="str">
        <f>VLOOKUP($G599,'Item Classification'!B:D,3,0)</f>
        <v>Armoured vehicle</v>
      </c>
      <c r="J599" s="23">
        <f>VLOOKUP($G599,'Item Classification'!B:E,4,0)</f>
        <v>2</v>
      </c>
      <c r="K599" s="195" t="s">
        <v>274</v>
      </c>
      <c r="L599" s="195" t="s">
        <v>329</v>
      </c>
      <c r="M599" s="116" t="str">
        <f>VLOOKUP(L599,'NATO Classifications'!$D$6:$E$647,2,0)</f>
        <v>Combat, Assault, and Tactical Vehicles, Tracked</v>
      </c>
      <c r="N599" s="25">
        <v>50</v>
      </c>
      <c r="O599" s="25"/>
      <c r="P599" s="25"/>
      <c r="Q599" s="25">
        <v>2025</v>
      </c>
      <c r="R599" s="25"/>
      <c r="S599" s="82"/>
      <c r="T599" s="115" t="s">
        <v>2145</v>
      </c>
      <c r="U599" s="104">
        <f>_xlfn.IFNA(S599/INDEX('Exchange Rates'!$C$7:$F$14,MATCH('MAIN DATA, Orders'!F599,'Exchange Rates'!$B$7:$B$14,0),MATCH('MAIN DATA, Orders'!T599,'Exchange Rates'!$C$6:$F$6,0)), "-")</f>
        <v>0</v>
      </c>
      <c r="V599" s="6" t="s">
        <v>127</v>
      </c>
      <c r="W599" s="6" t="s">
        <v>127</v>
      </c>
      <c r="X599" s="6" t="s">
        <v>809</v>
      </c>
      <c r="Y599" s="24">
        <f t="shared" si="120"/>
        <v>202502</v>
      </c>
      <c r="Z599" s="24">
        <v>0</v>
      </c>
      <c r="AA599" s="24">
        <v>0</v>
      </c>
      <c r="AB599" s="24">
        <v>0</v>
      </c>
      <c r="AC599" s="24" t="s">
        <v>127</v>
      </c>
      <c r="AD599" s="24" t="s">
        <v>127</v>
      </c>
      <c r="AE599" s="24" t="s">
        <v>127</v>
      </c>
      <c r="AF599" s="24" t="s">
        <v>127</v>
      </c>
      <c r="AG599" s="10" t="s">
        <v>127</v>
      </c>
      <c r="AH599" s="10" t="s">
        <v>127</v>
      </c>
      <c r="AI599" s="10" t="s">
        <v>127</v>
      </c>
      <c r="AJ599" s="6" t="s">
        <v>127</v>
      </c>
      <c r="AK599" s="6" t="s">
        <v>127</v>
      </c>
      <c r="AL599" s="6" t="s">
        <v>127</v>
      </c>
      <c r="AM599" s="6" t="s">
        <v>127</v>
      </c>
      <c r="AN599" s="6" t="s">
        <v>127</v>
      </c>
      <c r="AO599" s="6" t="s">
        <v>127</v>
      </c>
      <c r="AP599" s="6" t="s">
        <v>127</v>
      </c>
      <c r="AQ599" s="6" t="s">
        <v>127</v>
      </c>
      <c r="AR599" s="6" t="s">
        <v>127</v>
      </c>
      <c r="AS599" s="6" t="s">
        <v>127</v>
      </c>
      <c r="AT599" s="6" t="s">
        <v>127</v>
      </c>
      <c r="AU599" s="6" t="s">
        <v>127</v>
      </c>
      <c r="AV599" s="6" t="s">
        <v>127</v>
      </c>
      <c r="AW599" s="6" t="s">
        <v>127</v>
      </c>
      <c r="AX599" s="6" t="s">
        <v>127</v>
      </c>
      <c r="AY599" s="99" t="s">
        <v>3017</v>
      </c>
      <c r="AZ599" s="99" t="s">
        <v>3018</v>
      </c>
      <c r="BA599" s="6" t="s">
        <v>127</v>
      </c>
      <c r="BB599" s="6" t="s">
        <v>3019</v>
      </c>
      <c r="BC599" s="6" t="s">
        <v>127</v>
      </c>
      <c r="BD599" s="6" t="s">
        <v>127</v>
      </c>
      <c r="BE599" s="6" t="s">
        <v>127</v>
      </c>
    </row>
    <row r="600" spans="1:57" ht="16" x14ac:dyDescent="0.4">
      <c r="A600" s="6" t="s">
        <v>3016</v>
      </c>
      <c r="B600" s="6" t="s">
        <v>3023</v>
      </c>
      <c r="C600" s="6" t="s">
        <v>127</v>
      </c>
      <c r="D600" s="6" t="s">
        <v>238</v>
      </c>
      <c r="E600" s="191">
        <v>45700</v>
      </c>
      <c r="F600" s="6">
        <f t="shared" si="131"/>
        <v>2025</v>
      </c>
      <c r="G600" s="4" t="s">
        <v>2637</v>
      </c>
      <c r="H600" s="22" t="str">
        <f>VLOOKUP($G600,'Item Classification'!B:C,2,0)</f>
        <v>Air defence system (unspecified)</v>
      </c>
      <c r="I600" s="6" t="str">
        <f>VLOOKUP($G600,'Item Classification'!B:D,3,0)</f>
        <v>Air defence system</v>
      </c>
      <c r="J600" s="23">
        <f>VLOOKUP($G600,'Item Classification'!B:E,4,0)</f>
        <v>5</v>
      </c>
      <c r="K600" s="195" t="s">
        <v>211</v>
      </c>
      <c r="L600" s="195" t="s">
        <v>326</v>
      </c>
      <c r="M600" s="116" t="str">
        <f>VLOOKUP(L600,'NATO Classifications'!$D$6:$E$647,2,0)</f>
        <v>Guided Missile Systems, Complete</v>
      </c>
      <c r="N600" s="25"/>
      <c r="O600" s="25"/>
      <c r="P600" s="25"/>
      <c r="Q600" s="25"/>
      <c r="R600" s="25"/>
      <c r="S600" s="82"/>
      <c r="T600" s="115" t="s">
        <v>2145</v>
      </c>
      <c r="U600" s="104">
        <f>_xlfn.IFNA(S600/INDEX('Exchange Rates'!$C$7:$F$14,MATCH('MAIN DATA, Orders'!F600,'Exchange Rates'!$B$7:$B$14,0),MATCH('MAIN DATA, Orders'!T600,'Exchange Rates'!$C$6:$F$6,0)), "-")</f>
        <v>0</v>
      </c>
      <c r="V600" s="6" t="s">
        <v>127</v>
      </c>
      <c r="W600" s="6" t="s">
        <v>127</v>
      </c>
      <c r="X600" s="6" t="s">
        <v>809</v>
      </c>
      <c r="Y600" s="24">
        <f t="shared" si="120"/>
        <v>202502</v>
      </c>
      <c r="Z600" s="24">
        <v>0</v>
      </c>
      <c r="AA600" s="24">
        <v>0</v>
      </c>
      <c r="AB600" s="24">
        <v>0</v>
      </c>
      <c r="AC600" s="24" t="s">
        <v>127</v>
      </c>
      <c r="AD600" s="24" t="s">
        <v>127</v>
      </c>
      <c r="AE600" s="24" t="s">
        <v>127</v>
      </c>
      <c r="AF600" s="24" t="s">
        <v>127</v>
      </c>
      <c r="AG600" s="10" t="s">
        <v>127</v>
      </c>
      <c r="AH600" s="10" t="s">
        <v>127</v>
      </c>
      <c r="AI600" s="10" t="s">
        <v>127</v>
      </c>
      <c r="AJ600" s="6" t="s">
        <v>127</v>
      </c>
      <c r="AK600" s="6" t="s">
        <v>127</v>
      </c>
      <c r="AL600" s="6" t="s">
        <v>127</v>
      </c>
      <c r="AM600" s="6" t="s">
        <v>127</v>
      </c>
      <c r="AN600" s="6" t="s">
        <v>127</v>
      </c>
      <c r="AO600" s="6" t="s">
        <v>127</v>
      </c>
      <c r="AP600" s="6" t="s">
        <v>127</v>
      </c>
      <c r="AQ600" s="6" t="s">
        <v>127</v>
      </c>
      <c r="AR600" s="6" t="s">
        <v>127</v>
      </c>
      <c r="AS600" s="6" t="s">
        <v>127</v>
      </c>
      <c r="AT600" s="6" t="s">
        <v>127</v>
      </c>
      <c r="AU600" s="6" t="s">
        <v>127</v>
      </c>
      <c r="AV600" s="6" t="s">
        <v>127</v>
      </c>
      <c r="AW600" s="6" t="s">
        <v>127</v>
      </c>
      <c r="AX600" s="6" t="s">
        <v>127</v>
      </c>
      <c r="AY600" s="99" t="s">
        <v>3017</v>
      </c>
      <c r="AZ600" s="99" t="s">
        <v>3018</v>
      </c>
      <c r="BA600" s="6" t="s">
        <v>127</v>
      </c>
      <c r="BB600" s="6" t="s">
        <v>3019</v>
      </c>
      <c r="BC600" s="6" t="s">
        <v>127</v>
      </c>
      <c r="BD600" s="6" t="s">
        <v>127</v>
      </c>
      <c r="BE600" s="6" t="s">
        <v>127</v>
      </c>
    </row>
    <row r="601" spans="1:57" ht="16" x14ac:dyDescent="0.4">
      <c r="A601" s="6" t="s">
        <v>3016</v>
      </c>
      <c r="B601" s="6" t="s">
        <v>3024</v>
      </c>
      <c r="C601" s="6" t="s">
        <v>127</v>
      </c>
      <c r="D601" s="6" t="s">
        <v>238</v>
      </c>
      <c r="E601" s="191">
        <v>45700</v>
      </c>
      <c r="F601" s="6">
        <f t="shared" si="131"/>
        <v>2025</v>
      </c>
      <c r="G601" s="4" t="s">
        <v>3025</v>
      </c>
      <c r="H601" s="22" t="str">
        <f>VLOOKUP($G601,'Item Classification'!B:C,2,0)</f>
        <v>Anti-aircraft surface-to-air missile (SAM) system (long-range)</v>
      </c>
      <c r="I601" s="6" t="str">
        <f>VLOOKUP($G601,'Item Classification'!B:D,3,0)</f>
        <v>Air defence system</v>
      </c>
      <c r="J601" s="23">
        <f>VLOOKUP($G601,'Item Classification'!B:E,4,0)</f>
        <v>5</v>
      </c>
      <c r="K601" s="195" t="s">
        <v>211</v>
      </c>
      <c r="L601" s="195" t="s">
        <v>326</v>
      </c>
      <c r="M601" s="116" t="str">
        <f>VLOOKUP(L601,'NATO Classifications'!$D$6:$E$647,2,0)</f>
        <v>Guided Missile Systems, Complete</v>
      </c>
      <c r="N601" s="25">
        <v>15</v>
      </c>
      <c r="O601" s="25"/>
      <c r="P601" s="25"/>
      <c r="Q601" s="25"/>
      <c r="R601" s="25"/>
      <c r="S601" s="82"/>
      <c r="T601" s="115" t="s">
        <v>2145</v>
      </c>
      <c r="U601" s="104">
        <f>_xlfn.IFNA(S601/INDEX('Exchange Rates'!$C$7:$F$14,MATCH('MAIN DATA, Orders'!F601,'Exchange Rates'!$B$7:$B$14,0),MATCH('MAIN DATA, Orders'!T601,'Exchange Rates'!$C$6:$F$6,0)), "-")</f>
        <v>0</v>
      </c>
      <c r="V601" s="6" t="s">
        <v>127</v>
      </c>
      <c r="W601" s="6" t="s">
        <v>127</v>
      </c>
      <c r="X601" s="6" t="s">
        <v>809</v>
      </c>
      <c r="Y601" s="24">
        <f t="shared" si="120"/>
        <v>202502</v>
      </c>
      <c r="Z601" s="24">
        <v>0</v>
      </c>
      <c r="AA601" s="24">
        <v>0</v>
      </c>
      <c r="AB601" s="24">
        <v>0</v>
      </c>
      <c r="AC601" s="24" t="s">
        <v>127</v>
      </c>
      <c r="AD601" s="24" t="s">
        <v>127</v>
      </c>
      <c r="AE601" s="24" t="s">
        <v>127</v>
      </c>
      <c r="AF601" s="24" t="s">
        <v>127</v>
      </c>
      <c r="AG601" s="10" t="s">
        <v>127</v>
      </c>
      <c r="AH601" s="10" t="s">
        <v>238</v>
      </c>
      <c r="AI601" s="10" t="s">
        <v>238</v>
      </c>
      <c r="AJ601" s="6" t="s">
        <v>127</v>
      </c>
      <c r="AK601" s="6" t="s">
        <v>127</v>
      </c>
      <c r="AL601" s="6" t="s">
        <v>127</v>
      </c>
      <c r="AM601" s="6" t="s">
        <v>127</v>
      </c>
      <c r="AN601" s="6" t="s">
        <v>854</v>
      </c>
      <c r="AO601" s="6" t="s">
        <v>127</v>
      </c>
      <c r="AP601" s="6" t="s">
        <v>127</v>
      </c>
      <c r="AQ601" s="6" t="s">
        <v>127</v>
      </c>
      <c r="AR601" s="6" t="s">
        <v>127</v>
      </c>
      <c r="AS601" s="6" t="s">
        <v>127</v>
      </c>
      <c r="AT601" s="6" t="s">
        <v>127</v>
      </c>
      <c r="AU601" s="6" t="s">
        <v>127</v>
      </c>
      <c r="AV601" s="6" t="s">
        <v>127</v>
      </c>
      <c r="AW601" s="6" t="s">
        <v>854</v>
      </c>
      <c r="AX601" s="6" t="s">
        <v>127</v>
      </c>
      <c r="AY601" s="99" t="s">
        <v>3017</v>
      </c>
      <c r="AZ601" s="99" t="s">
        <v>3018</v>
      </c>
      <c r="BA601" s="6" t="s">
        <v>127</v>
      </c>
      <c r="BB601" s="6" t="s">
        <v>3019</v>
      </c>
      <c r="BC601" s="6" t="s">
        <v>127</v>
      </c>
      <c r="BD601" s="6" t="s">
        <v>127</v>
      </c>
      <c r="BE601" s="6" t="s">
        <v>127</v>
      </c>
    </row>
    <row r="602" spans="1:57" ht="16" x14ac:dyDescent="0.4">
      <c r="A602" s="6" t="s">
        <v>3016</v>
      </c>
      <c r="B602" s="6" t="s">
        <v>3026</v>
      </c>
      <c r="C602" s="6" t="s">
        <v>127</v>
      </c>
      <c r="D602" s="6" t="s">
        <v>238</v>
      </c>
      <c r="E602" s="191">
        <v>45700</v>
      </c>
      <c r="F602" s="6">
        <f t="shared" si="131"/>
        <v>2025</v>
      </c>
      <c r="G602" s="4" t="s">
        <v>2632</v>
      </c>
      <c r="H602" s="22" t="str">
        <f>VLOOKUP($G602,'Item Classification'!B:C,2,0)</f>
        <v>Maintenance (unspecified)</v>
      </c>
      <c r="I602" s="6" t="str">
        <f>VLOOKUP($G602,'Item Classification'!B:D,3,0)</f>
        <v>Maintenance</v>
      </c>
      <c r="J602" s="23">
        <f>VLOOKUP($G602,'Item Classification'!B:E,4,0)</f>
        <v>14</v>
      </c>
      <c r="K602" s="195" t="s">
        <v>539</v>
      </c>
      <c r="L602" s="195" t="s">
        <v>2633</v>
      </c>
      <c r="M602" s="116" t="str">
        <f>VLOOKUP(L602,'NATO Classifications'!$D$6:$E$647,2,0)</f>
        <v>Miscellaneous Maintenance and Repair Shop Specialized Equipment</v>
      </c>
      <c r="N602" s="25"/>
      <c r="O602" s="25"/>
      <c r="P602" s="25"/>
      <c r="Q602" s="25"/>
      <c r="R602" s="25"/>
      <c r="S602" s="82"/>
      <c r="T602" s="115" t="s">
        <v>2145</v>
      </c>
      <c r="U602" s="104">
        <f>_xlfn.IFNA(S602/INDEX('Exchange Rates'!$C$7:$F$14,MATCH('MAIN DATA, Orders'!F602,'Exchange Rates'!$B$7:$B$14,0),MATCH('MAIN DATA, Orders'!T602,'Exchange Rates'!$C$6:$F$6,0)), "-")</f>
        <v>0</v>
      </c>
      <c r="V602" s="6" t="s">
        <v>127</v>
      </c>
      <c r="W602" s="6" t="s">
        <v>127</v>
      </c>
      <c r="X602" s="6" t="s">
        <v>809</v>
      </c>
      <c r="Y602" s="24">
        <f t="shared" si="120"/>
        <v>202502</v>
      </c>
      <c r="Z602" s="24">
        <v>0</v>
      </c>
      <c r="AA602" s="24">
        <v>0</v>
      </c>
      <c r="AB602" s="24">
        <v>0</v>
      </c>
      <c r="AC602" s="24" t="s">
        <v>127</v>
      </c>
      <c r="AD602" s="24" t="s">
        <v>127</v>
      </c>
      <c r="AE602" s="24" t="s">
        <v>127</v>
      </c>
      <c r="AF602" s="24" t="s">
        <v>127</v>
      </c>
      <c r="AG602" s="10" t="s">
        <v>127</v>
      </c>
      <c r="AH602" s="10" t="s">
        <v>127</v>
      </c>
      <c r="AI602" s="10" t="s">
        <v>127</v>
      </c>
      <c r="AJ602" s="6" t="s">
        <v>127</v>
      </c>
      <c r="AK602" s="6" t="s">
        <v>127</v>
      </c>
      <c r="AL602" s="6" t="s">
        <v>127</v>
      </c>
      <c r="AM602" s="6" t="s">
        <v>127</v>
      </c>
      <c r="AN602" s="6" t="s">
        <v>127</v>
      </c>
      <c r="AO602" s="6" t="s">
        <v>127</v>
      </c>
      <c r="AP602" s="6" t="s">
        <v>127</v>
      </c>
      <c r="AQ602" s="6" t="s">
        <v>127</v>
      </c>
      <c r="AR602" s="6" t="s">
        <v>127</v>
      </c>
      <c r="AS602" s="6" t="s">
        <v>127</v>
      </c>
      <c r="AT602" s="6" t="s">
        <v>127</v>
      </c>
      <c r="AU602" s="6" t="s">
        <v>127</v>
      </c>
      <c r="AV602" s="6" t="s">
        <v>127</v>
      </c>
      <c r="AW602" s="6" t="s">
        <v>127</v>
      </c>
      <c r="AX602" s="6" t="s">
        <v>127</v>
      </c>
      <c r="AY602" s="99" t="s">
        <v>3017</v>
      </c>
      <c r="AZ602" s="99" t="s">
        <v>3018</v>
      </c>
      <c r="BA602" s="6" t="s">
        <v>127</v>
      </c>
      <c r="BB602" s="6" t="s">
        <v>3019</v>
      </c>
      <c r="BC602" s="6" t="s">
        <v>127</v>
      </c>
      <c r="BD602" s="6" t="s">
        <v>127</v>
      </c>
      <c r="BE602" s="6" t="s">
        <v>127</v>
      </c>
    </row>
    <row r="603" spans="1:57" ht="16" x14ac:dyDescent="0.4">
      <c r="A603" s="6" t="s">
        <v>3027</v>
      </c>
      <c r="B603" s="6" t="s">
        <v>3027</v>
      </c>
      <c r="C603" s="6" t="s">
        <v>127</v>
      </c>
      <c r="D603" s="6" t="s">
        <v>238</v>
      </c>
      <c r="E603" s="191">
        <v>45718</v>
      </c>
      <c r="F603" s="6">
        <f t="shared" si="131"/>
        <v>2025</v>
      </c>
      <c r="G603" s="4" t="s">
        <v>2900</v>
      </c>
      <c r="H603" s="22" t="str">
        <f>VLOOKUP($G603,'Item Classification'!B:C,2,0)</f>
        <v>Multi role missile</v>
      </c>
      <c r="I603" s="6" t="str">
        <f>VLOOKUP($G603,'Item Classification'!B:D,3,0)</f>
        <v>Missile (Land)</v>
      </c>
      <c r="J603" s="23">
        <f>VLOOKUP($G603,'Item Classification'!B:E,4,0)</f>
        <v>6</v>
      </c>
      <c r="K603" s="195" t="s">
        <v>211</v>
      </c>
      <c r="L603" s="195" t="s">
        <v>211</v>
      </c>
      <c r="M603" s="116" t="str">
        <f>VLOOKUP(L603,'NATO Classifications'!$D$6:$E$647,2,0)</f>
        <v>Guided Missiles</v>
      </c>
      <c r="N603" s="25">
        <v>5000</v>
      </c>
      <c r="O603" s="81">
        <f>S603/N603</f>
        <v>232000</v>
      </c>
      <c r="P603" s="81">
        <f t="shared" ref="P603" si="140">U603/N603</f>
        <v>270778.13699973153</v>
      </c>
      <c r="Q603" s="25"/>
      <c r="R603" s="25"/>
      <c r="S603" s="101">
        <v>1160000000</v>
      </c>
      <c r="T603" s="115" t="s">
        <v>2145</v>
      </c>
      <c r="U603" s="104">
        <f>_xlfn.IFNA(S603/INDEX('Exchange Rates'!$C$7:$F$14,MATCH('MAIN DATA, Orders'!F603,'Exchange Rates'!$B$7:$B$14,0),MATCH('MAIN DATA, Orders'!T603,'Exchange Rates'!$C$6:$F$6,0)), "-")</f>
        <v>1353890684.9986577</v>
      </c>
      <c r="V603" s="6" t="s">
        <v>127</v>
      </c>
      <c r="W603" s="6" t="s">
        <v>127</v>
      </c>
      <c r="X603" s="6" t="s">
        <v>809</v>
      </c>
      <c r="Y603" s="24">
        <f t="shared" si="120"/>
        <v>202503</v>
      </c>
      <c r="Z603" s="24">
        <v>1</v>
      </c>
      <c r="AA603" s="24">
        <v>0</v>
      </c>
      <c r="AB603" s="24">
        <v>0</v>
      </c>
      <c r="AC603" s="24">
        <v>1</v>
      </c>
      <c r="AD603" s="24">
        <v>1</v>
      </c>
      <c r="AE603" s="24">
        <v>0</v>
      </c>
      <c r="AF603" s="24">
        <v>1</v>
      </c>
      <c r="AG603" s="10" t="s">
        <v>2153</v>
      </c>
      <c r="AH603" s="10" t="s">
        <v>238</v>
      </c>
      <c r="AI603" s="6" t="s">
        <v>238</v>
      </c>
      <c r="AJ603" s="6" t="s">
        <v>148</v>
      </c>
      <c r="AK603" s="6" t="s">
        <v>127</v>
      </c>
      <c r="AL603" s="6" t="s">
        <v>127</v>
      </c>
      <c r="AM603" s="6" t="s">
        <v>127</v>
      </c>
      <c r="AN603" s="6" t="s">
        <v>151</v>
      </c>
      <c r="AO603" s="6" t="s">
        <v>809</v>
      </c>
      <c r="AP603" s="6" t="s">
        <v>127</v>
      </c>
      <c r="AQ603" s="6" t="s">
        <v>127</v>
      </c>
      <c r="AR603" s="6" t="s">
        <v>127</v>
      </c>
      <c r="AS603" s="6" t="s">
        <v>127</v>
      </c>
      <c r="AT603" s="6" t="s">
        <v>127</v>
      </c>
      <c r="AU603" s="6" t="s">
        <v>127</v>
      </c>
      <c r="AV603" s="6" t="s">
        <v>127</v>
      </c>
      <c r="AW603" s="6" t="s">
        <v>809</v>
      </c>
      <c r="AX603" s="6" t="s">
        <v>127</v>
      </c>
      <c r="AY603" s="99" t="s">
        <v>3028</v>
      </c>
      <c r="AZ603" s="6" t="s">
        <v>127</v>
      </c>
      <c r="BA603" s="6" t="s">
        <v>127</v>
      </c>
      <c r="BB603" s="6" t="s">
        <v>3029</v>
      </c>
      <c r="BC603" s="6" t="s">
        <v>3030</v>
      </c>
      <c r="BD603" s="6" t="s">
        <v>127</v>
      </c>
      <c r="BE603" s="6" t="s">
        <v>127</v>
      </c>
    </row>
    <row r="604" spans="1:57" ht="16" x14ac:dyDescent="0.4">
      <c r="A604" s="6" t="s">
        <v>3031</v>
      </c>
      <c r="B604" s="6" t="s">
        <v>3031</v>
      </c>
      <c r="C604" s="6" t="s">
        <v>2624</v>
      </c>
      <c r="D604" s="6" t="s">
        <v>2624</v>
      </c>
      <c r="E604" s="191">
        <v>45722</v>
      </c>
      <c r="F604" s="6">
        <f t="shared" si="131"/>
        <v>2025</v>
      </c>
      <c r="G604" s="4" t="s">
        <v>3032</v>
      </c>
      <c r="H604" s="22" t="str">
        <f>VLOOKUP($G604,'Item Classification'!B:C,2,0)</f>
        <v>Loitering munitions drone</v>
      </c>
      <c r="I604" s="6" t="str">
        <f>VLOOKUP($G604,'Item Classification'!B:D,3,0)</f>
        <v>Drone</v>
      </c>
      <c r="J604" s="23">
        <f>VLOOKUP($G604,'Item Classification'!B:E,4,0)</f>
        <v>7</v>
      </c>
      <c r="K604" s="195" t="s">
        <v>130</v>
      </c>
      <c r="L604" s="195" t="s">
        <v>131</v>
      </c>
      <c r="M604" s="116" t="str">
        <f>VLOOKUP(L604,'NATO Classifications'!$D$6:$E$647,2,0)</f>
        <v>Unmanned Aircraft</v>
      </c>
      <c r="N604" s="25"/>
      <c r="O604" s="25"/>
      <c r="P604" s="25"/>
      <c r="Q604" s="25">
        <v>2025</v>
      </c>
      <c r="R604" s="25"/>
      <c r="S604" s="101">
        <v>30000000</v>
      </c>
      <c r="T604" s="115" t="s">
        <v>2145</v>
      </c>
      <c r="U604" s="104">
        <f>_xlfn.IFNA(S604/INDEX('Exchange Rates'!$C$7:$F$14,MATCH('MAIN DATA, Orders'!F604,'Exchange Rates'!$B$7:$B$14,0),MATCH('MAIN DATA, Orders'!T604,'Exchange Rates'!$C$6:$F$6,0)), "-")</f>
        <v>35014414.267206661</v>
      </c>
      <c r="V604" s="6" t="s">
        <v>127</v>
      </c>
      <c r="W604" s="6" t="s">
        <v>127</v>
      </c>
      <c r="X604" s="6" t="s">
        <v>809</v>
      </c>
      <c r="Y604" s="24">
        <f t="shared" si="120"/>
        <v>202503</v>
      </c>
      <c r="Z604" s="24">
        <v>0</v>
      </c>
      <c r="AA604" s="24">
        <v>0</v>
      </c>
      <c r="AB604" s="24">
        <v>0</v>
      </c>
      <c r="AC604" s="24">
        <v>1</v>
      </c>
      <c r="AD604" s="24">
        <v>0</v>
      </c>
      <c r="AE604" s="24">
        <v>1</v>
      </c>
      <c r="AF604" s="24">
        <v>1</v>
      </c>
      <c r="AG604" s="10" t="s">
        <v>3033</v>
      </c>
      <c r="AH604" s="10" t="s">
        <v>238</v>
      </c>
      <c r="AI604" s="6" t="s">
        <v>196</v>
      </c>
      <c r="AJ604" s="6" t="s">
        <v>2773</v>
      </c>
      <c r="AK604" s="6" t="s">
        <v>127</v>
      </c>
      <c r="AL604" s="6" t="s">
        <v>127</v>
      </c>
      <c r="AM604" s="6" t="s">
        <v>127</v>
      </c>
      <c r="AN604" s="6" t="s">
        <v>196</v>
      </c>
      <c r="AO604" s="6" t="s">
        <v>127</v>
      </c>
      <c r="AP604" s="6" t="s">
        <v>127</v>
      </c>
      <c r="AQ604" s="6" t="s">
        <v>127</v>
      </c>
      <c r="AR604" s="6" t="s">
        <v>127</v>
      </c>
      <c r="AS604" s="6" t="s">
        <v>127</v>
      </c>
      <c r="AT604" s="6" t="s">
        <v>127</v>
      </c>
      <c r="AU604" s="6" t="s">
        <v>127</v>
      </c>
      <c r="AV604" s="6" t="s">
        <v>127</v>
      </c>
      <c r="AW604" s="6" t="s">
        <v>127</v>
      </c>
      <c r="AX604" s="6" t="s">
        <v>127</v>
      </c>
      <c r="AY604" s="99" t="s">
        <v>3034</v>
      </c>
      <c r="AZ604" s="6" t="s">
        <v>127</v>
      </c>
      <c r="BA604" s="6" t="s">
        <v>127</v>
      </c>
      <c r="BB604" s="6" t="s">
        <v>3035</v>
      </c>
      <c r="BC604" s="6" t="s">
        <v>127</v>
      </c>
      <c r="BD604" s="6" t="s">
        <v>127</v>
      </c>
      <c r="BE604" s="6" t="s">
        <v>127</v>
      </c>
    </row>
    <row r="605" spans="1:57" ht="16" x14ac:dyDescent="0.4">
      <c r="A605" s="6" t="s">
        <v>3036</v>
      </c>
      <c r="B605" s="6" t="s">
        <v>3036</v>
      </c>
      <c r="C605" s="6" t="s">
        <v>127</v>
      </c>
      <c r="D605" s="6" t="s">
        <v>238</v>
      </c>
      <c r="E605" s="191">
        <v>45723</v>
      </c>
      <c r="F605" s="6">
        <f t="shared" si="131"/>
        <v>2025</v>
      </c>
      <c r="G605" s="4" t="s">
        <v>3037</v>
      </c>
      <c r="H605" s="22" t="str">
        <f>VLOOKUP($G605,'Item Classification'!B:C,2,0)</f>
        <v>Communication and digitalisation</v>
      </c>
      <c r="I605" s="6" t="str">
        <f>VLOOKUP($G605,'Item Classification'!B:D,3,0)</f>
        <v>Modernisation</v>
      </c>
      <c r="J605" s="23">
        <f>VLOOKUP($G605,'Item Classification'!B:E,4,0)</f>
        <v>13</v>
      </c>
      <c r="K605" s="195" t="s">
        <v>158</v>
      </c>
      <c r="L605" s="195" t="s">
        <v>354</v>
      </c>
      <c r="M605" s="116" t="str">
        <f>VLOOKUP(L605,'NATO Classifications'!$D$6:$E$647,2,0)</f>
        <v>Communication, Detection, and Coherent Radiation Equipment (other)</v>
      </c>
      <c r="N605" s="25"/>
      <c r="O605" s="25"/>
      <c r="P605" s="25"/>
      <c r="Q605" s="25"/>
      <c r="R605" s="25"/>
      <c r="S605" s="101">
        <v>65000000</v>
      </c>
      <c r="T605" s="115" t="s">
        <v>2145</v>
      </c>
      <c r="U605" s="104">
        <f>_xlfn.IFNA(S605/INDEX('Exchange Rates'!$C$7:$F$14,MATCH('MAIN DATA, Orders'!F605,'Exchange Rates'!$B$7:$B$14,0),MATCH('MAIN DATA, Orders'!T605,'Exchange Rates'!$C$6:$F$6,0)), "-")</f>
        <v>75864564.245614439</v>
      </c>
      <c r="V605" s="6" t="s">
        <v>127</v>
      </c>
      <c r="W605" s="6" t="s">
        <v>127</v>
      </c>
      <c r="X605" s="6" t="s">
        <v>238</v>
      </c>
      <c r="Y605" s="24">
        <f t="shared" si="120"/>
        <v>202503</v>
      </c>
      <c r="Z605" s="24">
        <v>0</v>
      </c>
      <c r="AA605" s="24">
        <v>0</v>
      </c>
      <c r="AB605" s="24">
        <v>0</v>
      </c>
      <c r="AC605" s="24">
        <v>1</v>
      </c>
      <c r="AD605" s="24">
        <v>0</v>
      </c>
      <c r="AE605" s="24">
        <v>0</v>
      </c>
      <c r="AF605" s="24">
        <v>0</v>
      </c>
      <c r="AG605" s="10" t="s">
        <v>3038</v>
      </c>
      <c r="AH605" s="10" t="s">
        <v>238</v>
      </c>
      <c r="AI605" s="6" t="s">
        <v>238</v>
      </c>
      <c r="AJ605" s="6" t="s">
        <v>127</v>
      </c>
      <c r="AK605" s="6" t="s">
        <v>127</v>
      </c>
      <c r="AL605" s="6" t="s">
        <v>127</v>
      </c>
      <c r="AM605" s="6" t="s">
        <v>127</v>
      </c>
      <c r="AN605" s="6" t="s">
        <v>127</v>
      </c>
      <c r="AO605" s="6" t="s">
        <v>127</v>
      </c>
      <c r="AP605" s="6" t="s">
        <v>127</v>
      </c>
      <c r="AQ605" s="6" t="s">
        <v>127</v>
      </c>
      <c r="AR605" s="6" t="s">
        <v>127</v>
      </c>
      <c r="AS605" s="6" t="s">
        <v>127</v>
      </c>
      <c r="AT605" s="6" t="s">
        <v>127</v>
      </c>
      <c r="AU605" s="6" t="s">
        <v>127</v>
      </c>
      <c r="AV605" s="6" t="s">
        <v>127</v>
      </c>
      <c r="AW605" s="6" t="s">
        <v>127</v>
      </c>
      <c r="AX605" s="6" t="s">
        <v>127</v>
      </c>
      <c r="AY605" s="99" t="s">
        <v>3039</v>
      </c>
      <c r="AZ605" s="6" t="s">
        <v>127</v>
      </c>
      <c r="BA605" s="6" t="s">
        <v>127</v>
      </c>
      <c r="BB605" s="6" t="s">
        <v>3040</v>
      </c>
      <c r="BC605" s="6" t="s">
        <v>3041</v>
      </c>
      <c r="BD605" s="6" t="s">
        <v>3042</v>
      </c>
      <c r="BE605" s="6" t="s">
        <v>127</v>
      </c>
    </row>
    <row r="606" spans="1:57" ht="16" x14ac:dyDescent="0.4">
      <c r="A606" s="6" t="s">
        <v>3043</v>
      </c>
      <c r="B606" s="6" t="s">
        <v>3043</v>
      </c>
      <c r="C606" s="6" t="s">
        <v>127</v>
      </c>
      <c r="D606" s="6" t="s">
        <v>238</v>
      </c>
      <c r="E606" s="191">
        <v>45742</v>
      </c>
      <c r="F606" s="6">
        <f t="shared" si="131"/>
        <v>2025</v>
      </c>
      <c r="G606" s="4" t="s">
        <v>1080</v>
      </c>
      <c r="H606" s="22" t="str">
        <f>VLOOKUP($G606,'Item Classification'!B:C,2,0)</f>
        <v>Military vehicle maintentance</v>
      </c>
      <c r="I606" s="6" t="str">
        <f>VLOOKUP($G606,'Item Classification'!B:D,3,0)</f>
        <v>Maintenance</v>
      </c>
      <c r="J606" s="23">
        <f>VLOOKUP($G606,'Item Classification'!B:E,4,0)</f>
        <v>14</v>
      </c>
      <c r="K606" s="195" t="s">
        <v>274</v>
      </c>
      <c r="L606" s="195" t="s">
        <v>275</v>
      </c>
      <c r="M606" s="116" t="str">
        <f>VLOOKUP(L606,'NATO Classifications'!$D$6:$E$647,2,0)</f>
        <v>Trucks and Truck Tractors, Wheeled</v>
      </c>
      <c r="N606" s="25">
        <v>5</v>
      </c>
      <c r="O606" s="81">
        <f>S606/N606</f>
        <v>320000000</v>
      </c>
      <c r="P606" s="81">
        <f t="shared" ref="P606" si="141">U606/N606</f>
        <v>373487085.51687109</v>
      </c>
      <c r="Q606" s="25">
        <v>2025</v>
      </c>
      <c r="R606" s="25">
        <v>2030</v>
      </c>
      <c r="S606" s="101">
        <v>1600000000</v>
      </c>
      <c r="T606" s="115" t="s">
        <v>2145</v>
      </c>
      <c r="U606" s="104">
        <f>_xlfn.IFNA(S606/INDEX('Exchange Rates'!$C$7:$F$14,MATCH('MAIN DATA, Orders'!F606,'Exchange Rates'!$B$7:$B$14,0),MATCH('MAIN DATA, Orders'!T606,'Exchange Rates'!$C$6:$F$6,0)), "-")</f>
        <v>1867435427.5843554</v>
      </c>
      <c r="V606" s="6" t="s">
        <v>127</v>
      </c>
      <c r="W606" s="6" t="s">
        <v>127</v>
      </c>
      <c r="X606" s="6" t="s">
        <v>238</v>
      </c>
      <c r="Y606" s="24">
        <f t="shared" si="120"/>
        <v>202503</v>
      </c>
      <c r="Z606" s="24">
        <v>0</v>
      </c>
      <c r="AA606" s="24">
        <v>1</v>
      </c>
      <c r="AB606" s="24">
        <v>0</v>
      </c>
      <c r="AC606" s="24">
        <v>1</v>
      </c>
      <c r="AD606" s="24">
        <v>0</v>
      </c>
      <c r="AE606" s="24">
        <v>0</v>
      </c>
      <c r="AF606" s="24">
        <v>0</v>
      </c>
      <c r="AG606" s="10" t="s">
        <v>2393</v>
      </c>
      <c r="AH606" s="10" t="s">
        <v>238</v>
      </c>
      <c r="AI606" s="6" t="s">
        <v>127</v>
      </c>
      <c r="AJ606" s="6" t="s">
        <v>127</v>
      </c>
      <c r="AK606" s="6" t="s">
        <v>127</v>
      </c>
      <c r="AL606" s="6" t="s">
        <v>127</v>
      </c>
      <c r="AM606" s="6" t="s">
        <v>127</v>
      </c>
      <c r="AN606" s="6" t="s">
        <v>127</v>
      </c>
      <c r="AO606" s="6" t="s">
        <v>127</v>
      </c>
      <c r="AP606" s="6" t="s">
        <v>127</v>
      </c>
      <c r="AQ606" s="6" t="s">
        <v>127</v>
      </c>
      <c r="AR606" s="6" t="s">
        <v>127</v>
      </c>
      <c r="AS606" s="6" t="s">
        <v>127</v>
      </c>
      <c r="AT606" s="6" t="s">
        <v>127</v>
      </c>
      <c r="AU606" s="6" t="s">
        <v>127</v>
      </c>
      <c r="AV606" s="6" t="s">
        <v>127</v>
      </c>
      <c r="AW606" s="6" t="s">
        <v>127</v>
      </c>
      <c r="AX606" s="6" t="s">
        <v>127</v>
      </c>
      <c r="AY606" s="99" t="s">
        <v>3044</v>
      </c>
      <c r="AZ606" s="6" t="s">
        <v>127</v>
      </c>
      <c r="BA606" s="6" t="s">
        <v>127</v>
      </c>
      <c r="BB606" s="6" t="s">
        <v>3045</v>
      </c>
      <c r="BC606" s="6" t="s">
        <v>3046</v>
      </c>
      <c r="BD606" s="6" t="s">
        <v>127</v>
      </c>
      <c r="BE606" s="6" t="s">
        <v>127</v>
      </c>
    </row>
    <row r="607" spans="1:57" ht="16" x14ac:dyDescent="0.4">
      <c r="A607" s="6" t="s">
        <v>3047</v>
      </c>
      <c r="B607" s="6" t="s">
        <v>3047</v>
      </c>
      <c r="C607" s="6" t="s">
        <v>127</v>
      </c>
      <c r="D607" s="6" t="s">
        <v>238</v>
      </c>
      <c r="E607" s="191">
        <v>45748</v>
      </c>
      <c r="F607" s="6">
        <f t="shared" si="131"/>
        <v>2025</v>
      </c>
      <c r="G607" s="4" t="s">
        <v>2868</v>
      </c>
      <c r="H607" s="22" t="str">
        <f>VLOOKUP($G607,'Item Classification'!B:C,2,0)</f>
        <v>Naval helicopter maintenance</v>
      </c>
      <c r="I607" s="6" t="str">
        <f>VLOOKUP($G607,'Item Classification'!B:D,3,0)</f>
        <v>Maintenance</v>
      </c>
      <c r="J607" s="23">
        <f>VLOOKUP($G607,'Item Classification'!B:E,4,0)</f>
        <v>14</v>
      </c>
      <c r="K607" s="195" t="s">
        <v>130</v>
      </c>
      <c r="L607" s="195" t="s">
        <v>266</v>
      </c>
      <c r="M607" s="116" t="str">
        <f>VLOOKUP(L607,'NATO Classifications'!$D$6:$E$647,2,0)</f>
        <v>Aircraft, Rotary Wing</v>
      </c>
      <c r="N607" s="25"/>
      <c r="O607" s="81"/>
      <c r="P607" s="25"/>
      <c r="Q607" s="25"/>
      <c r="R607" s="25"/>
      <c r="S607" s="101">
        <v>165000000</v>
      </c>
      <c r="T607" s="115" t="s">
        <v>2145</v>
      </c>
      <c r="U607" s="104">
        <f>_xlfn.IFNA(S607/INDEX('Exchange Rates'!$C$7:$F$14,MATCH('MAIN DATA, Orders'!F607,'Exchange Rates'!$B$7:$B$14,0),MATCH('MAIN DATA, Orders'!T607,'Exchange Rates'!$C$6:$F$6,0)), "-")</f>
        <v>192579278.46963665</v>
      </c>
      <c r="V607" s="6" t="s">
        <v>127</v>
      </c>
      <c r="W607" s="6" t="s">
        <v>127</v>
      </c>
      <c r="X607" s="6" t="s">
        <v>238</v>
      </c>
      <c r="Y607" s="24">
        <f t="shared" si="120"/>
        <v>202504</v>
      </c>
      <c r="Z607" s="24">
        <v>0</v>
      </c>
      <c r="AA607" s="24">
        <v>1</v>
      </c>
      <c r="AB607" s="24">
        <v>0</v>
      </c>
      <c r="AC607" s="24">
        <v>1</v>
      </c>
      <c r="AD607" s="24">
        <v>1</v>
      </c>
      <c r="AE607" s="24">
        <v>1</v>
      </c>
      <c r="AF607" s="24">
        <v>1</v>
      </c>
      <c r="AG607" s="10" t="s">
        <v>2212</v>
      </c>
      <c r="AH607" s="10" t="s">
        <v>238</v>
      </c>
      <c r="AI607" s="6" t="s">
        <v>127</v>
      </c>
      <c r="AJ607" s="6" t="s">
        <v>360</v>
      </c>
      <c r="AK607" s="6" t="s">
        <v>795</v>
      </c>
      <c r="AL607" s="6" t="s">
        <v>3048</v>
      </c>
      <c r="AM607" s="6" t="s">
        <v>127</v>
      </c>
      <c r="AN607" s="6" t="s">
        <v>197</v>
      </c>
      <c r="AO607" s="6" t="s">
        <v>196</v>
      </c>
      <c r="AP607" s="6" t="s">
        <v>127</v>
      </c>
      <c r="AQ607" s="6" t="s">
        <v>127</v>
      </c>
      <c r="AR607" s="6" t="s">
        <v>127</v>
      </c>
      <c r="AS607" s="6" t="s">
        <v>127</v>
      </c>
      <c r="AT607" s="6" t="s">
        <v>127</v>
      </c>
      <c r="AU607" s="6" t="s">
        <v>127</v>
      </c>
      <c r="AV607" s="6" t="s">
        <v>127</v>
      </c>
      <c r="AW607" s="6" t="s">
        <v>127</v>
      </c>
      <c r="AX607" s="6" t="s">
        <v>127</v>
      </c>
      <c r="AY607" s="99" t="s">
        <v>3049</v>
      </c>
      <c r="AZ607" s="6" t="s">
        <v>127</v>
      </c>
      <c r="BA607" s="6" t="s">
        <v>127</v>
      </c>
      <c r="BB607" s="6" t="s">
        <v>3050</v>
      </c>
      <c r="BC607" s="6" t="s">
        <v>3051</v>
      </c>
      <c r="BD607" s="6" t="s">
        <v>127</v>
      </c>
      <c r="BE607" s="6" t="s">
        <v>127</v>
      </c>
    </row>
    <row r="608" spans="1:57" ht="16" x14ac:dyDescent="0.4">
      <c r="A608" s="6" t="s">
        <v>3052</v>
      </c>
      <c r="B608" s="6" t="s">
        <v>3052</v>
      </c>
      <c r="C608" s="6" t="s">
        <v>127</v>
      </c>
      <c r="D608" s="6" t="s">
        <v>238</v>
      </c>
      <c r="E608" s="191">
        <v>45749</v>
      </c>
      <c r="F608" s="6">
        <f t="shared" si="131"/>
        <v>2025</v>
      </c>
      <c r="G608" s="4" t="s">
        <v>3053</v>
      </c>
      <c r="H608" s="22" t="str">
        <f>VLOOKUP($G608,'Item Classification'!B:C,2,0)</f>
        <v>Air defence development</v>
      </c>
      <c r="I608" s="6" t="str">
        <f>VLOOKUP($G608,'Item Classification'!B:D,3,0)</f>
        <v>Development - Air defence system</v>
      </c>
      <c r="J608" s="23">
        <f>VLOOKUP($G608,'Item Classification'!B:E,4,0)</f>
        <v>15</v>
      </c>
      <c r="K608" s="195" t="s">
        <v>211</v>
      </c>
      <c r="L608" s="195" t="s">
        <v>326</v>
      </c>
      <c r="M608" s="116" t="str">
        <f>VLOOKUP(L608,'NATO Classifications'!$D$6:$E$647,2,0)</f>
        <v>Guided Missile Systems, Complete</v>
      </c>
      <c r="N608" s="25">
        <v>6</v>
      </c>
      <c r="O608" s="81">
        <f>S608/N608</f>
        <v>41666666.666666664</v>
      </c>
      <c r="P608" s="81">
        <f t="shared" ref="P608" si="142">U608/N608</f>
        <v>48631130.926675923</v>
      </c>
      <c r="Q608" s="6">
        <v>2025</v>
      </c>
      <c r="R608" s="6">
        <v>2031</v>
      </c>
      <c r="S608" s="101">
        <v>250000000</v>
      </c>
      <c r="T608" s="115" t="s">
        <v>2145</v>
      </c>
      <c r="U608" s="104">
        <f>_xlfn.IFNA(S608/INDEX('Exchange Rates'!$C$7:$F$14,MATCH('MAIN DATA, Orders'!F608,'Exchange Rates'!$B$7:$B$14,0),MATCH('MAIN DATA, Orders'!T608,'Exchange Rates'!$C$6:$F$6,0)), "-")</f>
        <v>291786785.56005555</v>
      </c>
      <c r="V608" s="6" t="s">
        <v>127</v>
      </c>
      <c r="W608" s="6" t="s">
        <v>127</v>
      </c>
      <c r="X608" s="6" t="s">
        <v>238</v>
      </c>
      <c r="Y608" s="24">
        <f t="shared" si="120"/>
        <v>202504</v>
      </c>
      <c r="Z608" s="24">
        <v>0</v>
      </c>
      <c r="AA608" s="24">
        <v>1</v>
      </c>
      <c r="AB608" s="24">
        <v>0</v>
      </c>
      <c r="AC608" s="24">
        <v>1</v>
      </c>
      <c r="AD608" s="24">
        <v>0</v>
      </c>
      <c r="AE608" s="24">
        <v>0</v>
      </c>
      <c r="AF608" s="24">
        <v>0</v>
      </c>
      <c r="AG608" s="10" t="s">
        <v>3054</v>
      </c>
      <c r="AH608" s="10" t="s">
        <v>238</v>
      </c>
      <c r="AI608" s="6" t="s">
        <v>127</v>
      </c>
      <c r="AJ608" s="6" t="s">
        <v>127</v>
      </c>
      <c r="AK608" s="6" t="s">
        <v>127</v>
      </c>
      <c r="AL608" s="6" t="s">
        <v>127</v>
      </c>
      <c r="AM608" s="6" t="s">
        <v>127</v>
      </c>
      <c r="AN608" s="6" t="s">
        <v>127</v>
      </c>
      <c r="AO608" s="6" t="s">
        <v>127</v>
      </c>
      <c r="AP608" s="6" t="s">
        <v>127</v>
      </c>
      <c r="AQ608" s="6" t="s">
        <v>127</v>
      </c>
      <c r="AR608" s="6" t="s">
        <v>127</v>
      </c>
      <c r="AS608" s="6" t="s">
        <v>127</v>
      </c>
      <c r="AT608" s="6" t="s">
        <v>127</v>
      </c>
      <c r="AU608" s="6" t="s">
        <v>127</v>
      </c>
      <c r="AV608" s="6" t="s">
        <v>127</v>
      </c>
      <c r="AW608" s="6" t="s">
        <v>127</v>
      </c>
      <c r="AX608" s="6" t="s">
        <v>127</v>
      </c>
      <c r="AY608" s="99" t="s">
        <v>3055</v>
      </c>
      <c r="AZ608" s="6" t="s">
        <v>127</v>
      </c>
      <c r="BA608" s="6" t="s">
        <v>127</v>
      </c>
      <c r="BB608" s="6" t="s">
        <v>3056</v>
      </c>
      <c r="BC608" s="6" t="s">
        <v>3057</v>
      </c>
      <c r="BD608" s="6" t="s">
        <v>127</v>
      </c>
      <c r="BE608" s="6" t="s">
        <v>127</v>
      </c>
    </row>
    <row r="609" spans="1:62" ht="16" x14ac:dyDescent="0.4">
      <c r="A609" s="6" t="s">
        <v>3058</v>
      </c>
      <c r="B609" s="6" t="s">
        <v>3058</v>
      </c>
      <c r="C609" s="6" t="s">
        <v>127</v>
      </c>
      <c r="D609" s="6" t="s">
        <v>238</v>
      </c>
      <c r="E609" s="191">
        <v>45758</v>
      </c>
      <c r="F609" s="6">
        <f t="shared" si="131"/>
        <v>2025</v>
      </c>
      <c r="G609" s="4" t="s">
        <v>2632</v>
      </c>
      <c r="H609" s="22" t="str">
        <f>VLOOKUP($G609,'Item Classification'!B:C,2,0)</f>
        <v>Maintenance (unspecified)</v>
      </c>
      <c r="I609" s="6" t="str">
        <f>VLOOKUP($G609,'Item Classification'!B:D,3,0)</f>
        <v>Maintenance</v>
      </c>
      <c r="J609" s="23">
        <f>VLOOKUP($G609,'Item Classification'!B:E,4,0)</f>
        <v>14</v>
      </c>
      <c r="K609" s="195" t="s">
        <v>539</v>
      </c>
      <c r="L609" s="195" t="s">
        <v>2633</v>
      </c>
      <c r="M609" s="116" t="str">
        <f>VLOOKUP(L609,'NATO Classifications'!$D$6:$E$647,2,0)</f>
        <v>Miscellaneous Maintenance and Repair Shop Specialized Equipment</v>
      </c>
      <c r="N609" s="25"/>
      <c r="O609" s="81"/>
      <c r="P609" s="25"/>
      <c r="Q609" s="25"/>
      <c r="R609" s="25"/>
      <c r="S609" s="101">
        <v>160000000</v>
      </c>
      <c r="T609" s="115" t="s">
        <v>2145</v>
      </c>
      <c r="U609" s="104">
        <f>_xlfn.IFNA(S609/INDEX('Exchange Rates'!$C$7:$F$14,MATCH('MAIN DATA, Orders'!F609,'Exchange Rates'!$B$7:$B$14,0),MATCH('MAIN DATA, Orders'!T609,'Exchange Rates'!$C$6:$F$6,0)), "-")</f>
        <v>186743542.75843555</v>
      </c>
      <c r="V609" s="6" t="s">
        <v>127</v>
      </c>
      <c r="W609" s="6" t="s">
        <v>127</v>
      </c>
      <c r="X609" s="6" t="s">
        <v>809</v>
      </c>
      <c r="Y609" s="24">
        <f t="shared" si="120"/>
        <v>202504</v>
      </c>
      <c r="Z609" s="24">
        <v>0</v>
      </c>
      <c r="AA609" s="24">
        <v>1</v>
      </c>
      <c r="AB609" s="24">
        <v>0</v>
      </c>
      <c r="AC609" s="24" t="s">
        <v>127</v>
      </c>
      <c r="AD609" s="24" t="s">
        <v>127</v>
      </c>
      <c r="AE609" s="24" t="s">
        <v>127</v>
      </c>
      <c r="AF609" s="24" t="s">
        <v>127</v>
      </c>
      <c r="AG609" s="6" t="s">
        <v>127</v>
      </c>
      <c r="AH609" s="10" t="s">
        <v>127</v>
      </c>
      <c r="AI609" s="6" t="s">
        <v>127</v>
      </c>
      <c r="AJ609" s="6" t="s">
        <v>127</v>
      </c>
      <c r="AK609" s="6" t="s">
        <v>127</v>
      </c>
      <c r="AL609" s="6" t="s">
        <v>127</v>
      </c>
      <c r="AM609" s="6" t="s">
        <v>127</v>
      </c>
      <c r="AN609" s="6" t="s">
        <v>127</v>
      </c>
      <c r="AO609" s="6" t="s">
        <v>127</v>
      </c>
      <c r="AP609" s="6" t="s">
        <v>127</v>
      </c>
      <c r="AQ609" s="6" t="s">
        <v>127</v>
      </c>
      <c r="AR609" s="6" t="s">
        <v>127</v>
      </c>
      <c r="AS609" s="6" t="s">
        <v>127</v>
      </c>
      <c r="AT609" s="6" t="s">
        <v>127</v>
      </c>
      <c r="AU609" s="6" t="s">
        <v>127</v>
      </c>
      <c r="AV609" s="6" t="s">
        <v>127</v>
      </c>
      <c r="AW609" s="6" t="s">
        <v>127</v>
      </c>
      <c r="AX609" s="6" t="s">
        <v>127</v>
      </c>
      <c r="AY609" s="99" t="s">
        <v>3059</v>
      </c>
      <c r="AZ609" s="6" t="s">
        <v>127</v>
      </c>
      <c r="BA609" s="6" t="s">
        <v>127</v>
      </c>
      <c r="BB609" s="6" t="s">
        <v>3060</v>
      </c>
      <c r="BC609" s="6" t="s">
        <v>3061</v>
      </c>
      <c r="BD609" s="6" t="s">
        <v>3062</v>
      </c>
      <c r="BE609" s="6" t="s">
        <v>127</v>
      </c>
    </row>
    <row r="610" spans="1:62" ht="16" x14ac:dyDescent="0.4">
      <c r="A610" s="6" t="s">
        <v>3063</v>
      </c>
      <c r="B610" s="6" t="s">
        <v>3063</v>
      </c>
      <c r="C610" s="6" t="s">
        <v>127</v>
      </c>
      <c r="D610" s="6" t="s">
        <v>238</v>
      </c>
      <c r="E610" s="191">
        <v>45758</v>
      </c>
      <c r="F610" s="6">
        <f t="shared" si="131"/>
        <v>2025</v>
      </c>
      <c r="G610" s="6" t="s">
        <v>127</v>
      </c>
      <c r="H610" s="22" t="s">
        <v>1487</v>
      </c>
      <c r="I610" s="6" t="s">
        <v>287</v>
      </c>
      <c r="J610" s="23">
        <v>16</v>
      </c>
      <c r="K610" s="195" t="s">
        <v>229</v>
      </c>
      <c r="L610" s="195" t="s">
        <v>230</v>
      </c>
      <c r="M610" s="116" t="str">
        <f>VLOOKUP(L610,'NATO Classifications'!$D$6:$E$647,2,0)</f>
        <v>Miscellaneous Items</v>
      </c>
      <c r="N610" s="25"/>
      <c r="O610" s="81"/>
      <c r="P610" s="25"/>
      <c r="Q610" s="25"/>
      <c r="R610" s="25"/>
      <c r="S610" s="101">
        <v>190000000</v>
      </c>
      <c r="T610" s="115" t="s">
        <v>2145</v>
      </c>
      <c r="U610" s="104">
        <f>_xlfn.IFNA(S610/INDEX('Exchange Rates'!$C$7:$F$14,MATCH('MAIN DATA, Orders'!F610,'Exchange Rates'!$B$7:$B$14,0),MATCH('MAIN DATA, Orders'!T610,'Exchange Rates'!$C$6:$F$6,0)), "-")</f>
        <v>221757957.02564222</v>
      </c>
      <c r="V610" s="6" t="s">
        <v>127</v>
      </c>
      <c r="W610" s="6" t="s">
        <v>127</v>
      </c>
      <c r="X610" s="6" t="s">
        <v>809</v>
      </c>
      <c r="Y610" s="24">
        <f t="shared" si="120"/>
        <v>202504</v>
      </c>
      <c r="Z610" s="24">
        <v>0</v>
      </c>
      <c r="AA610" s="24">
        <v>0</v>
      </c>
      <c r="AB610" s="24">
        <v>0</v>
      </c>
      <c r="AC610" s="24" t="s">
        <v>127</v>
      </c>
      <c r="AD610" s="24" t="s">
        <v>127</v>
      </c>
      <c r="AE610" s="24" t="s">
        <v>127</v>
      </c>
      <c r="AF610" s="24" t="s">
        <v>127</v>
      </c>
      <c r="AG610" s="6" t="s">
        <v>127</v>
      </c>
      <c r="AH610" s="10" t="s">
        <v>127</v>
      </c>
      <c r="AI610" s="6" t="s">
        <v>127</v>
      </c>
      <c r="AJ610" s="6" t="s">
        <v>127</v>
      </c>
      <c r="AK610" s="6" t="s">
        <v>127</v>
      </c>
      <c r="AL610" s="6" t="s">
        <v>127</v>
      </c>
      <c r="AM610" s="6" t="s">
        <v>127</v>
      </c>
      <c r="AN610" s="6" t="s">
        <v>127</v>
      </c>
      <c r="AO610" s="6" t="s">
        <v>127</v>
      </c>
      <c r="AP610" s="6" t="s">
        <v>127</v>
      </c>
      <c r="AQ610" s="6" t="s">
        <v>127</v>
      </c>
      <c r="AR610" s="6" t="s">
        <v>127</v>
      </c>
      <c r="AS610" s="6" t="s">
        <v>127</v>
      </c>
      <c r="AT610" s="6" t="s">
        <v>127</v>
      </c>
      <c r="AU610" s="6" t="s">
        <v>127</v>
      </c>
      <c r="AV610" s="6" t="s">
        <v>127</v>
      </c>
      <c r="AW610" s="6" t="s">
        <v>127</v>
      </c>
      <c r="AX610" s="6" t="s">
        <v>127</v>
      </c>
      <c r="AY610" s="99" t="s">
        <v>3059</v>
      </c>
      <c r="AZ610" s="6" t="s">
        <v>127</v>
      </c>
      <c r="BA610" s="6" t="s">
        <v>127</v>
      </c>
      <c r="BB610" s="6" t="s">
        <v>3060</v>
      </c>
      <c r="BC610" s="6" t="s">
        <v>3064</v>
      </c>
      <c r="BD610" s="6" t="s">
        <v>127</v>
      </c>
      <c r="BE610" s="6" t="s">
        <v>3065</v>
      </c>
      <c r="BF610" s="6" t="s">
        <v>127</v>
      </c>
    </row>
    <row r="611" spans="1:62" ht="16" x14ac:dyDescent="0.4">
      <c r="A611" s="6" t="s">
        <v>3063</v>
      </c>
      <c r="B611" s="6" t="s">
        <v>3066</v>
      </c>
      <c r="C611" s="6" t="s">
        <v>127</v>
      </c>
      <c r="D611" s="6" t="s">
        <v>238</v>
      </c>
      <c r="E611" s="191">
        <v>45758</v>
      </c>
      <c r="F611" s="6">
        <f t="shared" si="131"/>
        <v>2025</v>
      </c>
      <c r="G611" s="4" t="s">
        <v>2699</v>
      </c>
      <c r="H611" s="22" t="str">
        <f>VLOOKUP($G611,'Item Classification'!B:C,2,0)</f>
        <v>Radar</v>
      </c>
      <c r="I611" s="6" t="str">
        <f>VLOOKUP($G611,'Item Classification'!B:D,3,0)</f>
        <v>Air defence system</v>
      </c>
      <c r="J611" s="23">
        <f>VLOOKUP($G611,'Item Classification'!B:E,4,0)</f>
        <v>5</v>
      </c>
      <c r="K611" s="195" t="s">
        <v>158</v>
      </c>
      <c r="L611" s="195" t="s">
        <v>399</v>
      </c>
      <c r="M611" s="116" t="str">
        <f>VLOOKUP(L611,'NATO Classifications'!$D$6:$E$647,2,0)</f>
        <v>Radar and Sensor</v>
      </c>
      <c r="N611" s="25"/>
      <c r="O611" s="81"/>
      <c r="P611" s="25"/>
      <c r="Q611" s="25"/>
      <c r="R611" s="25"/>
      <c r="S611" s="82"/>
      <c r="T611" s="115" t="s">
        <v>2145</v>
      </c>
      <c r="U611" s="104">
        <f>_xlfn.IFNA(S611/INDEX('Exchange Rates'!$C$7:$F$14,MATCH('MAIN DATA, Orders'!F611,'Exchange Rates'!$B$7:$B$14,0),MATCH('MAIN DATA, Orders'!T611,'Exchange Rates'!$C$6:$F$6,0)), "-")</f>
        <v>0</v>
      </c>
      <c r="V611" s="6" t="s">
        <v>127</v>
      </c>
      <c r="W611" s="6" t="s">
        <v>127</v>
      </c>
      <c r="X611" s="6" t="s">
        <v>809</v>
      </c>
      <c r="Y611" s="24">
        <f t="shared" si="120"/>
        <v>202504</v>
      </c>
      <c r="Z611" s="24">
        <v>0</v>
      </c>
      <c r="AA611" s="24">
        <v>0</v>
      </c>
      <c r="AB611" s="24">
        <v>0</v>
      </c>
      <c r="AC611" s="24" t="s">
        <v>127</v>
      </c>
      <c r="AD611" s="24" t="s">
        <v>127</v>
      </c>
      <c r="AE611" s="24" t="s">
        <v>127</v>
      </c>
      <c r="AF611" s="24" t="s">
        <v>127</v>
      </c>
      <c r="AG611" s="6" t="s">
        <v>127</v>
      </c>
      <c r="AH611" s="10" t="s">
        <v>127</v>
      </c>
      <c r="AI611" s="6" t="s">
        <v>127</v>
      </c>
      <c r="AJ611" s="6" t="s">
        <v>127</v>
      </c>
      <c r="AK611" s="6" t="s">
        <v>127</v>
      </c>
      <c r="AL611" s="6" t="s">
        <v>127</v>
      </c>
      <c r="AM611" s="6" t="s">
        <v>127</v>
      </c>
      <c r="AN611" s="6" t="s">
        <v>127</v>
      </c>
      <c r="AO611" s="6" t="s">
        <v>127</v>
      </c>
      <c r="AP611" s="6" t="s">
        <v>127</v>
      </c>
      <c r="AQ611" s="6" t="s">
        <v>127</v>
      </c>
      <c r="AR611" s="6" t="s">
        <v>127</v>
      </c>
      <c r="AS611" s="6" t="s">
        <v>127</v>
      </c>
      <c r="AT611" s="6" t="s">
        <v>127</v>
      </c>
      <c r="AU611" s="6" t="s">
        <v>127</v>
      </c>
      <c r="AV611" s="6" t="s">
        <v>127</v>
      </c>
      <c r="AW611" s="6" t="s">
        <v>127</v>
      </c>
      <c r="AX611" s="6" t="s">
        <v>127</v>
      </c>
      <c r="AY611" s="99" t="s">
        <v>3059</v>
      </c>
      <c r="AZ611" s="6" t="s">
        <v>127</v>
      </c>
      <c r="BA611" s="6" t="s">
        <v>127</v>
      </c>
      <c r="BB611" s="6" t="s">
        <v>3060</v>
      </c>
      <c r="BC611" s="6" t="s">
        <v>3064</v>
      </c>
      <c r="BD611" s="6" t="s">
        <v>127</v>
      </c>
      <c r="BE611" s="6" t="s">
        <v>3065</v>
      </c>
      <c r="BF611" s="6" t="s">
        <v>127</v>
      </c>
    </row>
    <row r="612" spans="1:62" ht="16" x14ac:dyDescent="0.4">
      <c r="A612" s="6" t="s">
        <v>3063</v>
      </c>
      <c r="B612" s="6" t="s">
        <v>3067</v>
      </c>
      <c r="C612" s="6" t="s">
        <v>127</v>
      </c>
      <c r="D612" s="6" t="s">
        <v>238</v>
      </c>
      <c r="E612" s="191">
        <v>45758</v>
      </c>
      <c r="F612" s="6">
        <f t="shared" si="131"/>
        <v>2025</v>
      </c>
      <c r="G612" s="4" t="s">
        <v>3068</v>
      </c>
      <c r="H612" s="22" t="str">
        <f>VLOOKUP($G612,'Item Classification'!B:C,2,0)</f>
        <v>Anti-tank mine</v>
      </c>
      <c r="I612" s="6" t="str">
        <f>VLOOKUP($G612,'Item Classification'!B:D,3,0)</f>
        <v>Mine</v>
      </c>
      <c r="J612" s="23">
        <f>VLOOKUP($G612,'Item Classification'!B:E,4,0)</f>
        <v>9</v>
      </c>
      <c r="K612" s="195" t="s">
        <v>189</v>
      </c>
      <c r="L612" s="195" t="s">
        <v>1056</v>
      </c>
      <c r="M612" s="116" t="str">
        <f>VLOOKUP(L612,'NATO Classifications'!$D$6:$E$647,2,0)</f>
        <v>Explosives, Surface Use and Mines (all types)</v>
      </c>
      <c r="N612" s="25"/>
      <c r="O612" s="81"/>
      <c r="P612" s="25"/>
      <c r="Q612" s="25"/>
      <c r="R612" s="25"/>
      <c r="S612" s="82"/>
      <c r="T612" s="115" t="s">
        <v>2145</v>
      </c>
      <c r="U612" s="104">
        <f>_xlfn.IFNA(S612/INDEX('Exchange Rates'!$C$7:$F$14,MATCH('MAIN DATA, Orders'!F612,'Exchange Rates'!$B$7:$B$14,0),MATCH('MAIN DATA, Orders'!T612,'Exchange Rates'!$C$6:$F$6,0)), "-")</f>
        <v>0</v>
      </c>
      <c r="V612" s="6" t="s">
        <v>127</v>
      </c>
      <c r="W612" s="6" t="s">
        <v>127</v>
      </c>
      <c r="X612" s="6" t="s">
        <v>809</v>
      </c>
      <c r="Y612" s="24">
        <f t="shared" si="120"/>
        <v>202504</v>
      </c>
      <c r="Z612" s="24">
        <v>0</v>
      </c>
      <c r="AA612" s="24">
        <v>0</v>
      </c>
      <c r="AB612" s="24">
        <v>0</v>
      </c>
      <c r="AC612" s="24" t="s">
        <v>127</v>
      </c>
      <c r="AD612" s="24" t="s">
        <v>127</v>
      </c>
      <c r="AE612" s="24" t="s">
        <v>127</v>
      </c>
      <c r="AF612" s="24" t="s">
        <v>127</v>
      </c>
      <c r="AG612" s="6" t="s">
        <v>127</v>
      </c>
      <c r="AH612" s="10" t="s">
        <v>127</v>
      </c>
      <c r="AI612" s="6" t="s">
        <v>127</v>
      </c>
      <c r="AJ612" s="6" t="s">
        <v>127</v>
      </c>
      <c r="AK612" s="6" t="s">
        <v>127</v>
      </c>
      <c r="AL612" s="6" t="s">
        <v>127</v>
      </c>
      <c r="AM612" s="6" t="s">
        <v>127</v>
      </c>
      <c r="AN612" s="6" t="s">
        <v>127</v>
      </c>
      <c r="AO612" s="6" t="s">
        <v>127</v>
      </c>
      <c r="AP612" s="6" t="s">
        <v>127</v>
      </c>
      <c r="AQ612" s="6" t="s">
        <v>127</v>
      </c>
      <c r="AR612" s="6" t="s">
        <v>127</v>
      </c>
      <c r="AS612" s="6" t="s">
        <v>127</v>
      </c>
      <c r="AT612" s="6" t="s">
        <v>127</v>
      </c>
      <c r="AU612" s="6" t="s">
        <v>127</v>
      </c>
      <c r="AV612" s="6" t="s">
        <v>127</v>
      </c>
      <c r="AW612" s="6" t="s">
        <v>127</v>
      </c>
      <c r="AX612" s="6" t="s">
        <v>127</v>
      </c>
      <c r="AY612" s="99" t="s">
        <v>3059</v>
      </c>
      <c r="AZ612" s="6" t="s">
        <v>127</v>
      </c>
      <c r="BA612" s="6" t="s">
        <v>127</v>
      </c>
      <c r="BB612" s="6" t="s">
        <v>3060</v>
      </c>
      <c r="BC612" s="6" t="s">
        <v>3064</v>
      </c>
      <c r="BD612" s="6" t="s">
        <v>127</v>
      </c>
      <c r="BE612" s="6" t="s">
        <v>3065</v>
      </c>
      <c r="BF612" s="6" t="s">
        <v>127</v>
      </c>
    </row>
    <row r="613" spans="1:62" ht="16" x14ac:dyDescent="0.4">
      <c r="A613" s="6" t="s">
        <v>3063</v>
      </c>
      <c r="B613" s="6" t="s">
        <v>3069</v>
      </c>
      <c r="C613" s="6" t="s">
        <v>127</v>
      </c>
      <c r="D613" s="6" t="s">
        <v>238</v>
      </c>
      <c r="E613" s="191">
        <v>45758</v>
      </c>
      <c r="F613" s="6">
        <f t="shared" si="131"/>
        <v>2025</v>
      </c>
      <c r="G613" s="4" t="s">
        <v>2839</v>
      </c>
      <c r="H613" s="22" t="str">
        <f>VLOOKUP($G613,'Item Classification'!B:C,2,0)</f>
        <v>First-person view (FPV) drone</v>
      </c>
      <c r="I613" s="6" t="str">
        <f>VLOOKUP($G613,'Item Classification'!B:D,3,0)</f>
        <v>Drone</v>
      </c>
      <c r="J613" s="23">
        <f>VLOOKUP($G613,'Item Classification'!B:E,4,0)</f>
        <v>7</v>
      </c>
      <c r="K613" s="195" t="s">
        <v>130</v>
      </c>
      <c r="L613" s="195" t="s">
        <v>131</v>
      </c>
      <c r="M613" s="116" t="str">
        <f>VLOOKUP(L613,'NATO Classifications'!$D$6:$E$647,2,0)</f>
        <v>Unmanned Aircraft</v>
      </c>
      <c r="N613" s="25"/>
      <c r="O613" s="81"/>
      <c r="P613" s="25"/>
      <c r="Q613" s="25"/>
      <c r="R613" s="25"/>
      <c r="S613" s="82"/>
      <c r="T613" s="115" t="s">
        <v>2145</v>
      </c>
      <c r="U613" s="104">
        <f>_xlfn.IFNA(S613/INDEX('Exchange Rates'!$C$7:$F$14,MATCH('MAIN DATA, Orders'!F613,'Exchange Rates'!$B$7:$B$14,0),MATCH('MAIN DATA, Orders'!T613,'Exchange Rates'!$C$6:$F$6,0)), "-")</f>
        <v>0</v>
      </c>
      <c r="V613" s="6" t="s">
        <v>127</v>
      </c>
      <c r="W613" s="6" t="s">
        <v>127</v>
      </c>
      <c r="X613" s="6" t="s">
        <v>809</v>
      </c>
      <c r="Y613" s="24">
        <f t="shared" si="120"/>
        <v>202504</v>
      </c>
      <c r="Z613" s="24">
        <v>0</v>
      </c>
      <c r="AA613" s="24">
        <v>0</v>
      </c>
      <c r="AB613" s="24">
        <v>0</v>
      </c>
      <c r="AC613" s="24" t="s">
        <v>127</v>
      </c>
      <c r="AD613" s="24" t="s">
        <v>127</v>
      </c>
      <c r="AE613" s="24" t="s">
        <v>127</v>
      </c>
      <c r="AF613" s="24" t="s">
        <v>127</v>
      </c>
      <c r="AG613" s="6" t="s">
        <v>127</v>
      </c>
      <c r="AH613" s="10" t="s">
        <v>127</v>
      </c>
      <c r="AI613" s="6" t="s">
        <v>127</v>
      </c>
      <c r="AJ613" s="6" t="s">
        <v>127</v>
      </c>
      <c r="AK613" s="6" t="s">
        <v>127</v>
      </c>
      <c r="AL613" s="6" t="s">
        <v>127</v>
      </c>
      <c r="AM613" s="6" t="s">
        <v>127</v>
      </c>
      <c r="AN613" s="6" t="s">
        <v>127</v>
      </c>
      <c r="AO613" s="6" t="s">
        <v>127</v>
      </c>
      <c r="AP613" s="6" t="s">
        <v>127</v>
      </c>
      <c r="AQ613" s="6" t="s">
        <v>127</v>
      </c>
      <c r="AR613" s="6" t="s">
        <v>127</v>
      </c>
      <c r="AS613" s="6" t="s">
        <v>127</v>
      </c>
      <c r="AT613" s="6" t="s">
        <v>127</v>
      </c>
      <c r="AU613" s="6" t="s">
        <v>127</v>
      </c>
      <c r="AV613" s="6" t="s">
        <v>127</v>
      </c>
      <c r="AW613" s="6" t="s">
        <v>127</v>
      </c>
      <c r="AX613" s="6" t="s">
        <v>127</v>
      </c>
      <c r="AY613" s="99" t="s">
        <v>3059</v>
      </c>
      <c r="AZ613" s="6" t="s">
        <v>127</v>
      </c>
      <c r="BA613" s="6" t="s">
        <v>127</v>
      </c>
      <c r="BB613" s="6" t="s">
        <v>3060</v>
      </c>
      <c r="BC613" s="6" t="s">
        <v>3064</v>
      </c>
      <c r="BD613" s="6" t="s">
        <v>127</v>
      </c>
      <c r="BE613" s="6" t="s">
        <v>3065</v>
      </c>
      <c r="BF613" s="6" t="s">
        <v>127</v>
      </c>
      <c r="BJ613" s="154"/>
    </row>
    <row r="614" spans="1:62" ht="16" x14ac:dyDescent="0.4">
      <c r="A614" s="6" t="s">
        <v>3070</v>
      </c>
      <c r="B614" s="6" t="s">
        <v>3070</v>
      </c>
      <c r="C614" s="6" t="s">
        <v>127</v>
      </c>
      <c r="D614" s="6" t="s">
        <v>238</v>
      </c>
      <c r="E614" s="191">
        <v>45779</v>
      </c>
      <c r="F614" s="6">
        <v>2025</v>
      </c>
      <c r="G614" s="4" t="s">
        <v>3071</v>
      </c>
      <c r="H614" s="22" t="str">
        <f>VLOOKUP($G614,'Item Classification'!B:C,2,0)</f>
        <v>Electronic warfare drone</v>
      </c>
      <c r="I614" s="6" t="str">
        <f>VLOOKUP($G614,'Item Classification'!B:D,3,0)</f>
        <v>Drone</v>
      </c>
      <c r="J614" s="23">
        <f>VLOOKUP($G614,'Item Classification'!B:E,4,0)</f>
        <v>7</v>
      </c>
      <c r="K614" s="195" t="s">
        <v>130</v>
      </c>
      <c r="L614" s="195" t="s">
        <v>131</v>
      </c>
      <c r="M614" s="116" t="str">
        <f>VLOOKUP(L614,'NATO Classifications'!$D$6:$E$647,2,0)</f>
        <v>Unmanned Aircraft</v>
      </c>
      <c r="N614" s="25"/>
      <c r="O614" s="154"/>
      <c r="P614" s="154"/>
      <c r="Q614" s="154"/>
      <c r="R614" s="154"/>
      <c r="S614" s="101">
        <v>19000000</v>
      </c>
      <c r="T614" s="115" t="s">
        <v>2145</v>
      </c>
      <c r="U614" s="104">
        <f>_xlfn.IFNA(S614/INDEX('Exchange Rates'!$C$7:$F$14,MATCH('MAIN DATA, Orders'!F614,'Exchange Rates'!$B$7:$B$14,0),MATCH('MAIN DATA, Orders'!T614,'Exchange Rates'!$C$6:$F$6,0)), "-")</f>
        <v>22175795.702564221</v>
      </c>
      <c r="V614" s="6" t="s">
        <v>127</v>
      </c>
      <c r="W614" s="6" t="s">
        <v>127</v>
      </c>
      <c r="X614" s="154" t="s">
        <v>238</v>
      </c>
      <c r="Y614" s="24">
        <f t="shared" si="120"/>
        <v>202505</v>
      </c>
      <c r="Z614" s="162">
        <v>0</v>
      </c>
      <c r="AA614" s="162">
        <v>0</v>
      </c>
      <c r="AB614" s="162">
        <v>0</v>
      </c>
      <c r="AC614" s="162">
        <v>1</v>
      </c>
      <c r="AD614" s="162">
        <v>1</v>
      </c>
      <c r="AE614" s="162">
        <v>0</v>
      </c>
      <c r="AF614" s="162">
        <v>0</v>
      </c>
      <c r="AG614" s="154" t="s">
        <v>3072</v>
      </c>
      <c r="AH614" s="154" t="s">
        <v>238</v>
      </c>
      <c r="AI614" s="154" t="s">
        <v>238</v>
      </c>
      <c r="AJ614" s="154" t="s">
        <v>127</v>
      </c>
      <c r="AK614" s="154" t="s">
        <v>127</v>
      </c>
      <c r="AL614" s="154" t="s">
        <v>127</v>
      </c>
      <c r="AM614" s="154" t="s">
        <v>127</v>
      </c>
      <c r="AN614" s="154" t="s">
        <v>3073</v>
      </c>
      <c r="AO614" s="154" t="s">
        <v>127</v>
      </c>
      <c r="AP614" s="154" t="s">
        <v>127</v>
      </c>
      <c r="AQ614" s="154" t="s">
        <v>127</v>
      </c>
      <c r="AR614" s="154" t="s">
        <v>127</v>
      </c>
      <c r="AS614" s="154" t="s">
        <v>127</v>
      </c>
      <c r="AT614" s="154" t="s">
        <v>127</v>
      </c>
      <c r="AU614" s="154" t="s">
        <v>127</v>
      </c>
      <c r="AV614" s="154" t="s">
        <v>127</v>
      </c>
      <c r="AW614" s="154" t="s">
        <v>127</v>
      </c>
      <c r="AX614" s="154" t="s">
        <v>127</v>
      </c>
      <c r="AY614" s="161" t="s">
        <v>3074</v>
      </c>
      <c r="AZ614" s="154" t="s">
        <v>127</v>
      </c>
      <c r="BA614" s="154" t="s">
        <v>127</v>
      </c>
      <c r="BB614" s="154" t="s">
        <v>3075</v>
      </c>
      <c r="BC614" s="154" t="s">
        <v>127</v>
      </c>
      <c r="BD614" s="154" t="s">
        <v>127</v>
      </c>
      <c r="BE614" s="154" t="s">
        <v>127</v>
      </c>
      <c r="BF614" s="154"/>
      <c r="BG614" s="154"/>
      <c r="BH614" s="154"/>
      <c r="BI614" s="154"/>
      <c r="BJ614" s="154"/>
    </row>
    <row r="615" spans="1:62" ht="16" x14ac:dyDescent="0.4">
      <c r="A615" s="6" t="s">
        <v>3076</v>
      </c>
      <c r="B615" s="6" t="s">
        <v>3076</v>
      </c>
      <c r="C615" s="6" t="s">
        <v>127</v>
      </c>
      <c r="D615" s="6" t="s">
        <v>238</v>
      </c>
      <c r="E615" s="191">
        <v>45786</v>
      </c>
      <c r="F615" s="6">
        <v>2025</v>
      </c>
      <c r="G615" s="4" t="s">
        <v>3077</v>
      </c>
      <c r="H615" s="22" t="str">
        <f>VLOOKUP($G615,'Item Classification'!B:C,2,0)</f>
        <v>Fighter jet maintenance contract</v>
      </c>
      <c r="I615" s="6" t="str">
        <f>VLOOKUP($G615,'Item Classification'!B:D,3,0)</f>
        <v>Maintenance</v>
      </c>
      <c r="J615" s="23">
        <f>VLOOKUP($G615,'Item Classification'!B:E,4,0)</f>
        <v>14</v>
      </c>
      <c r="K615" s="195" t="s">
        <v>130</v>
      </c>
      <c r="L615" s="195" t="s">
        <v>237</v>
      </c>
      <c r="M615" s="116" t="str">
        <f>VLOOKUP(L615,'NATO Classifications'!$D$6:$E$647,2,0)</f>
        <v>Aircraft, Fixed Wing</v>
      </c>
      <c r="N615" s="154">
        <v>5</v>
      </c>
      <c r="O615" s="81">
        <f>S615/N615</f>
        <v>112600000</v>
      </c>
      <c r="P615" s="81">
        <f t="shared" ref="P615" si="143">U615/N615</f>
        <v>131420768.21624902</v>
      </c>
      <c r="Q615" s="154"/>
      <c r="R615" s="154"/>
      <c r="S615" s="101">
        <v>563000000</v>
      </c>
      <c r="T615" s="115" t="s">
        <v>2145</v>
      </c>
      <c r="U615" s="104">
        <f>_xlfn.IFNA(S615/INDEX('Exchange Rates'!$C$7:$F$14,MATCH('MAIN DATA, Orders'!F615,'Exchange Rates'!$B$7:$B$14,0),MATCH('MAIN DATA, Orders'!T615,'Exchange Rates'!$C$6:$F$6,0)), "-")</f>
        <v>657103841.08124506</v>
      </c>
      <c r="V615" s="6" t="s">
        <v>127</v>
      </c>
      <c r="W615" s="6" t="s">
        <v>127</v>
      </c>
      <c r="X615" s="154" t="s">
        <v>238</v>
      </c>
      <c r="Y615" s="24">
        <f t="shared" si="120"/>
        <v>202505</v>
      </c>
      <c r="Z615" s="162">
        <v>0</v>
      </c>
      <c r="AA615" s="162">
        <v>1</v>
      </c>
      <c r="AB615" s="162">
        <v>0</v>
      </c>
      <c r="AC615" s="162">
        <v>1</v>
      </c>
      <c r="AD615" s="162">
        <v>0</v>
      </c>
      <c r="AE615" s="162">
        <v>0</v>
      </c>
      <c r="AF615" s="162">
        <v>0</v>
      </c>
      <c r="AG615" s="154" t="s">
        <v>2367</v>
      </c>
      <c r="AH615" s="154" t="s">
        <v>238</v>
      </c>
      <c r="AI615" s="154" t="s">
        <v>238</v>
      </c>
      <c r="AJ615" s="154" t="s">
        <v>127</v>
      </c>
      <c r="AK615" s="154" t="s">
        <v>127</v>
      </c>
      <c r="AL615" s="154" t="s">
        <v>127</v>
      </c>
      <c r="AM615" s="154" t="s">
        <v>127</v>
      </c>
      <c r="AN615" s="154" t="s">
        <v>127</v>
      </c>
      <c r="AO615" s="154" t="s">
        <v>127</v>
      </c>
      <c r="AP615" s="154" t="s">
        <v>127</v>
      </c>
      <c r="AQ615" s="154" t="s">
        <v>127</v>
      </c>
      <c r="AR615" s="154" t="s">
        <v>127</v>
      </c>
      <c r="AS615" s="154" t="s">
        <v>127</v>
      </c>
      <c r="AT615" s="154" t="s">
        <v>127</v>
      </c>
      <c r="AU615" s="154" t="s">
        <v>127</v>
      </c>
      <c r="AV615" s="154" t="s">
        <v>127</v>
      </c>
      <c r="AW615" s="154" t="s">
        <v>127</v>
      </c>
      <c r="AX615" s="154" t="s">
        <v>127</v>
      </c>
      <c r="AY615" s="155" t="s">
        <v>3078</v>
      </c>
      <c r="AZ615" s="155" t="s">
        <v>3079</v>
      </c>
      <c r="BA615" s="154" t="s">
        <v>127</v>
      </c>
      <c r="BB615" s="154" t="s">
        <v>3080</v>
      </c>
      <c r="BC615" s="154" t="s">
        <v>127</v>
      </c>
      <c r="BD615" s="154" t="s">
        <v>127</v>
      </c>
      <c r="BE615" s="154" t="s">
        <v>127</v>
      </c>
      <c r="BF615" s="154"/>
      <c r="BG615" s="154"/>
      <c r="BH615" s="154"/>
      <c r="BI615" s="154"/>
      <c r="BJ615" s="154"/>
    </row>
    <row r="616" spans="1:62" ht="16" x14ac:dyDescent="0.4">
      <c r="A616" s="6" t="s">
        <v>3081</v>
      </c>
      <c r="B616" s="6" t="s">
        <v>3081</v>
      </c>
      <c r="C616" s="6" t="s">
        <v>127</v>
      </c>
      <c r="D616" s="6" t="s">
        <v>238</v>
      </c>
      <c r="E616" s="191">
        <v>45794</v>
      </c>
      <c r="F616" s="6">
        <v>2025</v>
      </c>
      <c r="G616" s="4" t="s">
        <v>3082</v>
      </c>
      <c r="H616" s="22" t="str">
        <f>VLOOKUP($G616,'Item Classification'!B:C,2,0)</f>
        <v>Underwater glue development</v>
      </c>
      <c r="I616" s="6" t="str">
        <f>VLOOKUP($G616,'Item Classification'!B:D,3,0)</f>
        <v>Development - Naval</v>
      </c>
      <c r="J616" s="23">
        <f>VLOOKUP($G616,'Item Classification'!B:E,4,0)</f>
        <v>15</v>
      </c>
      <c r="K616" s="195" t="s">
        <v>3083</v>
      </c>
      <c r="L616" s="195" t="s">
        <v>3084</v>
      </c>
      <c r="M616" s="116" t="str">
        <f>VLOOKUP(L616,'NATO Classifications'!$D$6:$E$647,2,0)</f>
        <v>Adhesives</v>
      </c>
      <c r="N616" s="154"/>
      <c r="O616" s="154"/>
      <c r="P616" s="154"/>
      <c r="Q616" s="154"/>
      <c r="R616" s="154"/>
      <c r="S616" s="101">
        <v>300000</v>
      </c>
      <c r="T616" s="115" t="s">
        <v>2145</v>
      </c>
      <c r="U616" s="104">
        <f>_xlfn.IFNA(S616/INDEX('Exchange Rates'!$C$7:$F$14,MATCH('MAIN DATA, Orders'!F616,'Exchange Rates'!$B$7:$B$14,0),MATCH('MAIN DATA, Orders'!T616,'Exchange Rates'!$C$6:$F$6,0)), "-")</f>
        <v>350144.14267206663</v>
      </c>
      <c r="V616" s="6" t="s">
        <v>127</v>
      </c>
      <c r="W616" s="6" t="s">
        <v>127</v>
      </c>
      <c r="X616" s="154" t="s">
        <v>238</v>
      </c>
      <c r="Y616" s="24">
        <f t="shared" si="120"/>
        <v>202505</v>
      </c>
      <c r="Z616" s="162">
        <v>0</v>
      </c>
      <c r="AA616" s="162">
        <v>0</v>
      </c>
      <c r="AB616" s="162">
        <v>0</v>
      </c>
      <c r="AC616" s="162">
        <v>1</v>
      </c>
      <c r="AD616" s="162">
        <v>0</v>
      </c>
      <c r="AE616" s="162">
        <v>0</v>
      </c>
      <c r="AF616" s="162">
        <v>0</v>
      </c>
      <c r="AG616" s="154" t="s">
        <v>3085</v>
      </c>
      <c r="AH616" s="154" t="s">
        <v>238</v>
      </c>
      <c r="AI616" s="154" t="s">
        <v>3086</v>
      </c>
      <c r="AJ616" s="154" t="s">
        <v>2323</v>
      </c>
      <c r="AK616" s="154" t="s">
        <v>127</v>
      </c>
      <c r="AL616" s="154" t="s">
        <v>127</v>
      </c>
      <c r="AM616" s="154" t="s">
        <v>127</v>
      </c>
      <c r="AN616" s="154" t="s">
        <v>127</v>
      </c>
      <c r="AO616" s="154" t="s">
        <v>127</v>
      </c>
      <c r="AP616" s="154" t="s">
        <v>127</v>
      </c>
      <c r="AQ616" s="154" t="s">
        <v>127</v>
      </c>
      <c r="AR616" s="154" t="s">
        <v>127</v>
      </c>
      <c r="AS616" s="154" t="s">
        <v>127</v>
      </c>
      <c r="AT616" s="154" t="s">
        <v>127</v>
      </c>
      <c r="AU616" s="154" t="s">
        <v>127</v>
      </c>
      <c r="AV616" s="154" t="s">
        <v>127</v>
      </c>
      <c r="AW616" s="154" t="s">
        <v>127</v>
      </c>
      <c r="AX616" s="154" t="s">
        <v>127</v>
      </c>
      <c r="AY616" s="96" t="s">
        <v>3087</v>
      </c>
      <c r="AZ616" s="154" t="s">
        <v>127</v>
      </c>
      <c r="BA616" s="154" t="s">
        <v>127</v>
      </c>
      <c r="BB616" s="154" t="s">
        <v>3088</v>
      </c>
      <c r="BC616" s="154" t="s">
        <v>127</v>
      </c>
      <c r="BD616" s="154" t="s">
        <v>127</v>
      </c>
      <c r="BE616" s="154" t="s">
        <v>127</v>
      </c>
      <c r="BF616" s="154"/>
      <c r="BG616" s="154"/>
      <c r="BH616" s="154"/>
      <c r="BI616" s="154"/>
      <c r="BJ616" s="154"/>
    </row>
    <row r="617" spans="1:62" ht="16" x14ac:dyDescent="0.4">
      <c r="A617" s="6" t="s">
        <v>3089</v>
      </c>
      <c r="B617" s="6" t="s">
        <v>3089</v>
      </c>
      <c r="C617" s="6" t="s">
        <v>127</v>
      </c>
      <c r="D617" s="6" t="s">
        <v>238</v>
      </c>
      <c r="E617" s="191">
        <v>45796</v>
      </c>
      <c r="F617" s="6">
        <v>2025</v>
      </c>
      <c r="G617" s="4" t="s">
        <v>2683</v>
      </c>
      <c r="H617" s="22" t="str">
        <f>VLOOKUP($G617,'Item Classification'!B:C,2,0)</f>
        <v>Training contract</v>
      </c>
      <c r="I617" s="6" t="str">
        <f>VLOOKUP($G617,'Item Classification'!B:D,3,0)</f>
        <v>Other</v>
      </c>
      <c r="J617" s="23">
        <f>VLOOKUP($G617,'Item Classification'!B:E,4,0)</f>
        <v>16</v>
      </c>
      <c r="K617" s="195" t="s">
        <v>941</v>
      </c>
      <c r="L617" s="195" t="s">
        <v>942</v>
      </c>
      <c r="M617" s="116" t="str">
        <f>VLOOKUP(L617,'NATO Classifications'!$D$6:$E$647,2,0)</f>
        <v>Training Aids</v>
      </c>
      <c r="N617" s="154">
        <v>8</v>
      </c>
      <c r="O617" s="81">
        <f>S617/N617</f>
        <v>37500000</v>
      </c>
      <c r="P617" s="81">
        <f t="shared" ref="P617" si="144">U617/N617</f>
        <v>43768017.834008329</v>
      </c>
      <c r="Q617" s="154">
        <v>2027</v>
      </c>
      <c r="R617" s="154">
        <v>2033</v>
      </c>
      <c r="S617" s="101">
        <v>300000000</v>
      </c>
      <c r="T617" s="115" t="s">
        <v>2145</v>
      </c>
      <c r="U617" s="104">
        <f>_xlfn.IFNA(S617/INDEX('Exchange Rates'!$C$7:$F$14,MATCH('MAIN DATA, Orders'!F617,'Exchange Rates'!$B$7:$B$14,0),MATCH('MAIN DATA, Orders'!T617,'Exchange Rates'!$C$6:$F$6,0)), "-")</f>
        <v>350144142.67206663</v>
      </c>
      <c r="V617" s="6" t="s">
        <v>127</v>
      </c>
      <c r="W617" s="6" t="s">
        <v>127</v>
      </c>
      <c r="X617" s="154" t="s">
        <v>238</v>
      </c>
      <c r="Y617" s="24">
        <f t="shared" ref="Y617:Y656" si="145">_xlfn.NUMBERVALUE(_xlfn.CONCAT(YEAR(E617),TEXT(E617, "mm")))</f>
        <v>202505</v>
      </c>
      <c r="Z617" s="162">
        <v>0</v>
      </c>
      <c r="AA617" s="162">
        <v>1</v>
      </c>
      <c r="AB617" s="162">
        <v>0</v>
      </c>
      <c r="AC617" s="162">
        <v>1</v>
      </c>
      <c r="AD617" s="162">
        <v>0</v>
      </c>
      <c r="AE617" s="162">
        <v>0</v>
      </c>
      <c r="AF617" s="162">
        <v>0</v>
      </c>
      <c r="AG617" s="116" t="s">
        <v>2146</v>
      </c>
      <c r="AH617" s="154" t="s">
        <v>238</v>
      </c>
      <c r="AI617" s="154" t="s">
        <v>127</v>
      </c>
      <c r="AJ617" s="154" t="s">
        <v>127</v>
      </c>
      <c r="AK617" s="154" t="s">
        <v>127</v>
      </c>
      <c r="AL617" s="154" t="s">
        <v>127</v>
      </c>
      <c r="AM617" s="154" t="s">
        <v>127</v>
      </c>
      <c r="AN617" s="154" t="s">
        <v>127</v>
      </c>
      <c r="AO617" s="154" t="s">
        <v>127</v>
      </c>
      <c r="AP617" s="154" t="s">
        <v>127</v>
      </c>
      <c r="AQ617" s="154" t="s">
        <v>127</v>
      </c>
      <c r="AR617" s="154" t="s">
        <v>127</v>
      </c>
      <c r="AS617" s="154" t="s">
        <v>127</v>
      </c>
      <c r="AT617" s="154" t="s">
        <v>127</v>
      </c>
      <c r="AU617" s="154" t="s">
        <v>127</v>
      </c>
      <c r="AV617" s="154" t="s">
        <v>127</v>
      </c>
      <c r="AW617" s="154" t="s">
        <v>127</v>
      </c>
      <c r="AX617" s="154" t="s">
        <v>127</v>
      </c>
      <c r="AY617" s="96" t="s">
        <v>3090</v>
      </c>
      <c r="AZ617" s="154" t="s">
        <v>127</v>
      </c>
      <c r="BA617" s="154" t="s">
        <v>127</v>
      </c>
      <c r="BB617" s="154" t="s">
        <v>3091</v>
      </c>
      <c r="BC617" s="154" t="s">
        <v>127</v>
      </c>
      <c r="BD617" s="154" t="s">
        <v>127</v>
      </c>
      <c r="BE617" s="154" t="s">
        <v>127</v>
      </c>
      <c r="BF617" s="154"/>
      <c r="BG617" s="154"/>
      <c r="BH617" s="154"/>
      <c r="BI617" s="154"/>
      <c r="BJ617" s="154"/>
    </row>
    <row r="618" spans="1:62" ht="16" x14ac:dyDescent="0.4">
      <c r="A618" s="6" t="s">
        <v>3092</v>
      </c>
      <c r="B618" s="6" t="s">
        <v>3092</v>
      </c>
      <c r="C618" s="6" t="s">
        <v>127</v>
      </c>
      <c r="D618" s="6" t="s">
        <v>238</v>
      </c>
      <c r="E618" s="191">
        <v>45799</v>
      </c>
      <c r="F618" s="6">
        <v>2025</v>
      </c>
      <c r="G618" s="4" t="s">
        <v>3093</v>
      </c>
      <c r="H618" s="22" t="str">
        <f>VLOOKUP($G618,'Item Classification'!B:C,2,0)</f>
        <v>Equipment testing and evaluation</v>
      </c>
      <c r="I618" s="6" t="str">
        <f>VLOOKUP($G618,'Item Classification'!B:D,3,0)</f>
        <v>Modernisation</v>
      </c>
      <c r="J618" s="23">
        <f>VLOOKUP($G618,'Item Classification'!B:E,4,0)</f>
        <v>13</v>
      </c>
      <c r="K618" s="195" t="s">
        <v>539</v>
      </c>
      <c r="L618" s="195" t="s">
        <v>2633</v>
      </c>
      <c r="M618" s="116" t="str">
        <f>VLOOKUP(L618,'NATO Classifications'!$D$6:$E$647,2,0)</f>
        <v>Miscellaneous Maintenance and Repair Shop Specialized Equipment</v>
      </c>
      <c r="N618" s="154">
        <v>5</v>
      </c>
      <c r="O618" s="81">
        <f>S618/N618</f>
        <v>300000000</v>
      </c>
      <c r="P618" s="81">
        <f t="shared" ref="P618" si="146">U618/N618</f>
        <v>350144142.67206663</v>
      </c>
      <c r="Q618" s="154">
        <v>2029</v>
      </c>
      <c r="R618" s="154">
        <v>2033</v>
      </c>
      <c r="S618" s="101">
        <v>1500000000</v>
      </c>
      <c r="T618" s="115" t="s">
        <v>2145</v>
      </c>
      <c r="U618" s="104">
        <f>_xlfn.IFNA(S618/INDEX('Exchange Rates'!$C$7:$F$14,MATCH('MAIN DATA, Orders'!F618,'Exchange Rates'!$B$7:$B$14,0),MATCH('MAIN DATA, Orders'!T618,'Exchange Rates'!$C$6:$F$6,0)), "-")</f>
        <v>1750720713.3603332</v>
      </c>
      <c r="V618" s="6" t="s">
        <v>127</v>
      </c>
      <c r="W618" s="6" t="s">
        <v>127</v>
      </c>
      <c r="X618" s="154" t="s">
        <v>238</v>
      </c>
      <c r="Y618" s="24">
        <f t="shared" si="145"/>
        <v>202505</v>
      </c>
      <c r="Z618" s="162">
        <v>1</v>
      </c>
      <c r="AA618" s="162">
        <v>1</v>
      </c>
      <c r="AB618" s="162">
        <v>0</v>
      </c>
      <c r="AC618" s="162">
        <v>1</v>
      </c>
      <c r="AD618" s="162">
        <v>0</v>
      </c>
      <c r="AE618" s="162">
        <v>0</v>
      </c>
      <c r="AF618" s="162">
        <v>0</v>
      </c>
      <c r="AG618" s="154" t="s">
        <v>3094</v>
      </c>
      <c r="AH618" s="154" t="s">
        <v>238</v>
      </c>
      <c r="AI618" s="154" t="s">
        <v>238</v>
      </c>
      <c r="AJ618" s="154" t="s">
        <v>127</v>
      </c>
      <c r="AK618" s="154" t="s">
        <v>127</v>
      </c>
      <c r="AL618" s="154" t="s">
        <v>127</v>
      </c>
      <c r="AM618" s="154" t="s">
        <v>127</v>
      </c>
      <c r="AN618" s="154" t="s">
        <v>127</v>
      </c>
      <c r="AO618" s="154" t="s">
        <v>127</v>
      </c>
      <c r="AP618" s="154" t="s">
        <v>127</v>
      </c>
      <c r="AQ618" s="154" t="s">
        <v>127</v>
      </c>
      <c r="AR618" s="154" t="s">
        <v>127</v>
      </c>
      <c r="AS618" s="154" t="s">
        <v>127</v>
      </c>
      <c r="AT618" s="154" t="s">
        <v>127</v>
      </c>
      <c r="AU618" s="154" t="s">
        <v>127</v>
      </c>
      <c r="AV618" s="154" t="s">
        <v>127</v>
      </c>
      <c r="AW618" s="154" t="s">
        <v>127</v>
      </c>
      <c r="AX618" s="154" t="s">
        <v>127</v>
      </c>
      <c r="AY618" s="155" t="s">
        <v>3095</v>
      </c>
      <c r="AZ618" s="155" t="s">
        <v>3096</v>
      </c>
      <c r="BA618" s="154" t="s">
        <v>127</v>
      </c>
      <c r="BB618" s="154" t="s">
        <v>3097</v>
      </c>
      <c r="BC618" s="154" t="s">
        <v>3098</v>
      </c>
      <c r="BD618" s="154" t="s">
        <v>127</v>
      </c>
      <c r="BE618" s="154" t="s">
        <v>127</v>
      </c>
      <c r="BF618" s="154"/>
      <c r="BG618" s="154"/>
      <c r="BH618" s="154"/>
      <c r="BI618" s="154"/>
      <c r="BJ618" s="154"/>
    </row>
    <row r="619" spans="1:62" ht="16" x14ac:dyDescent="0.4">
      <c r="A619" s="6" t="s">
        <v>3099</v>
      </c>
      <c r="B619" s="6" t="s">
        <v>3099</v>
      </c>
      <c r="C619" s="6" t="s">
        <v>127</v>
      </c>
      <c r="D619" s="6" t="s">
        <v>238</v>
      </c>
      <c r="E619" s="191">
        <v>45806</v>
      </c>
      <c r="F619" s="6">
        <v>2025</v>
      </c>
      <c r="G619" s="4" t="s">
        <v>3100</v>
      </c>
      <c r="H619" s="22" t="str">
        <f>VLOOKUP($G619,'Item Classification'!B:C,2,0)</f>
        <v>Operations and command infrastructure</v>
      </c>
      <c r="I619" s="6" t="str">
        <f>VLOOKUP($G619,'Item Classification'!B:D,3,0)</f>
        <v>Modernisation</v>
      </c>
      <c r="J619" s="23">
        <f>VLOOKUP($G619,'Item Classification'!B:E,4,0)</f>
        <v>13</v>
      </c>
      <c r="K619" s="195" t="s">
        <v>168</v>
      </c>
      <c r="L619" s="195" t="s">
        <v>182</v>
      </c>
      <c r="M619" s="116" t="str">
        <f>VLOOKUP(L619,'NATO Classifications'!$D$6:$E$647,2,0)</f>
        <v>ADP Software</v>
      </c>
      <c r="N619" s="154"/>
      <c r="O619" s="154"/>
      <c r="P619" s="154"/>
      <c r="Q619" s="154"/>
      <c r="R619" s="154">
        <v>2027</v>
      </c>
      <c r="S619" s="101">
        <v>1000000000</v>
      </c>
      <c r="T619" s="115" t="s">
        <v>2145</v>
      </c>
      <c r="U619" s="104">
        <f>_xlfn.IFNA(S619/INDEX('Exchange Rates'!$C$7:$F$14,MATCH('MAIN DATA, Orders'!F619,'Exchange Rates'!$B$7:$B$14,0),MATCH('MAIN DATA, Orders'!T619,'Exchange Rates'!$C$6:$F$6,0)), "-")</f>
        <v>1167147142.2402222</v>
      </c>
      <c r="V619" s="6" t="s">
        <v>127</v>
      </c>
      <c r="W619" s="6" t="s">
        <v>127</v>
      </c>
      <c r="X619" s="154" t="s">
        <v>238</v>
      </c>
      <c r="Y619" s="24">
        <f t="shared" si="145"/>
        <v>202505</v>
      </c>
      <c r="Z619" s="162">
        <v>0</v>
      </c>
      <c r="AA619" s="162">
        <v>0</v>
      </c>
      <c r="AB619" s="162">
        <v>0</v>
      </c>
      <c r="AC619" s="162" t="s">
        <v>127</v>
      </c>
      <c r="AD619" s="162" t="s">
        <v>127</v>
      </c>
      <c r="AE619" s="162" t="s">
        <v>127</v>
      </c>
      <c r="AF619" s="162" t="s">
        <v>127</v>
      </c>
      <c r="AG619" s="6" t="s">
        <v>127</v>
      </c>
      <c r="AH619" s="10" t="s">
        <v>127</v>
      </c>
      <c r="AI619" s="6" t="s">
        <v>127</v>
      </c>
      <c r="AJ619" s="6" t="s">
        <v>127</v>
      </c>
      <c r="AK619" s="154" t="s">
        <v>127</v>
      </c>
      <c r="AL619" s="154" t="s">
        <v>127</v>
      </c>
      <c r="AM619" s="154" t="s">
        <v>127</v>
      </c>
      <c r="AN619" s="154" t="s">
        <v>127</v>
      </c>
      <c r="AO619" s="154" t="s">
        <v>127</v>
      </c>
      <c r="AP619" s="154" t="s">
        <v>127</v>
      </c>
      <c r="AQ619" s="154" t="s">
        <v>127</v>
      </c>
      <c r="AR619" s="154" t="s">
        <v>127</v>
      </c>
      <c r="AS619" s="154" t="s">
        <v>127</v>
      </c>
      <c r="AT619" s="154" t="s">
        <v>127</v>
      </c>
      <c r="AU619" s="154" t="s">
        <v>127</v>
      </c>
      <c r="AV619" s="154" t="s">
        <v>127</v>
      </c>
      <c r="AW619" s="154" t="s">
        <v>127</v>
      </c>
      <c r="AX619" s="154" t="s">
        <v>127</v>
      </c>
      <c r="AY619" s="155" t="s">
        <v>3101</v>
      </c>
      <c r="AZ619" s="154" t="s">
        <v>127</v>
      </c>
      <c r="BA619" s="154" t="s">
        <v>127</v>
      </c>
      <c r="BB619" s="154" t="s">
        <v>3102</v>
      </c>
      <c r="BC619" s="154" t="s">
        <v>127</v>
      </c>
      <c r="BD619" s="154" t="s">
        <v>127</v>
      </c>
      <c r="BE619" s="154" t="s">
        <v>127</v>
      </c>
      <c r="BF619" s="154"/>
      <c r="BG619" s="154"/>
      <c r="BH619" s="154"/>
      <c r="BI619" s="154"/>
      <c r="BJ619" s="154"/>
    </row>
    <row r="620" spans="1:62" ht="16" x14ac:dyDescent="0.4">
      <c r="A620" s="6" t="s">
        <v>3103</v>
      </c>
      <c r="B620" s="6" t="s">
        <v>3103</v>
      </c>
      <c r="C620" s="6" t="s">
        <v>127</v>
      </c>
      <c r="D620" s="6" t="s">
        <v>238</v>
      </c>
      <c r="E620" s="191">
        <v>45809</v>
      </c>
      <c r="F620" s="6">
        <v>2025</v>
      </c>
      <c r="G620" s="4" t="s">
        <v>3104</v>
      </c>
      <c r="H620" s="22" t="str">
        <f>VLOOKUP($G620,'Item Classification'!B:C,2,0)</f>
        <v>Industrial company investment</v>
      </c>
      <c r="I620" s="6" t="str">
        <f>VLOOKUP($G620,'Item Classification'!B:D,3,0)</f>
        <v>Other</v>
      </c>
      <c r="J620" s="23">
        <f>VLOOKUP($G620,'Item Classification'!B:E,4,0)</f>
        <v>16</v>
      </c>
      <c r="K620" s="195" t="s">
        <v>539</v>
      </c>
      <c r="L620" s="195" t="s">
        <v>3105</v>
      </c>
      <c r="M620" s="116" t="str">
        <f>VLOOKUP(L620,'NATO Classifications'!$D$6:$E$647,2,0)</f>
        <v>Ammunition Maintenance, Repair, and Checkout Specialized Equipment</v>
      </c>
      <c r="N620" s="154">
        <v>6</v>
      </c>
      <c r="O620" s="81">
        <f>S620/N620</f>
        <v>250000000</v>
      </c>
      <c r="P620" s="81">
        <f t="shared" ref="P620" si="147">U620/N620</f>
        <v>291786785.56005555</v>
      </c>
      <c r="Q620" s="154"/>
      <c r="R620" s="154"/>
      <c r="S620" s="101">
        <v>1500000000</v>
      </c>
      <c r="T620" s="115" t="s">
        <v>2145</v>
      </c>
      <c r="U620" s="104">
        <f>_xlfn.IFNA(S620/INDEX('Exchange Rates'!$C$7:$F$14,MATCH('MAIN DATA, Orders'!F620,'Exchange Rates'!$B$7:$B$14,0),MATCH('MAIN DATA, Orders'!T620,'Exchange Rates'!$C$6:$F$6,0)), "-")</f>
        <v>1750720713.3603332</v>
      </c>
      <c r="V620" s="6" t="s">
        <v>127</v>
      </c>
      <c r="W620" s="6" t="s">
        <v>127</v>
      </c>
      <c r="X620" s="154" t="s">
        <v>238</v>
      </c>
      <c r="Y620" s="24">
        <f t="shared" si="145"/>
        <v>202506</v>
      </c>
      <c r="Z620" s="162">
        <v>0</v>
      </c>
      <c r="AA620" s="162">
        <v>0</v>
      </c>
      <c r="AB620" s="162">
        <v>0</v>
      </c>
      <c r="AC620" s="162" t="s">
        <v>127</v>
      </c>
      <c r="AD620" s="162" t="s">
        <v>127</v>
      </c>
      <c r="AE620" s="162" t="s">
        <v>127</v>
      </c>
      <c r="AF620" s="162" t="s">
        <v>127</v>
      </c>
      <c r="AG620" s="6" t="s">
        <v>127</v>
      </c>
      <c r="AH620" s="10" t="s">
        <v>127</v>
      </c>
      <c r="AI620" s="6" t="s">
        <v>127</v>
      </c>
      <c r="AJ620" s="154" t="s">
        <v>127</v>
      </c>
      <c r="AK620" s="154" t="s">
        <v>127</v>
      </c>
      <c r="AL620" s="154" t="s">
        <v>127</v>
      </c>
      <c r="AM620" s="154" t="s">
        <v>127</v>
      </c>
      <c r="AN620" s="154" t="s">
        <v>127</v>
      </c>
      <c r="AO620" s="154" t="s">
        <v>127</v>
      </c>
      <c r="AP620" s="154" t="s">
        <v>127</v>
      </c>
      <c r="AQ620" s="154" t="s">
        <v>127</v>
      </c>
      <c r="AR620" s="154" t="s">
        <v>127</v>
      </c>
      <c r="AS620" s="154" t="s">
        <v>127</v>
      </c>
      <c r="AT620" s="154" t="s">
        <v>127</v>
      </c>
      <c r="AU620" s="154" t="s">
        <v>127</v>
      </c>
      <c r="AV620" s="154" t="s">
        <v>127</v>
      </c>
      <c r="AW620" s="154" t="s">
        <v>127</v>
      </c>
      <c r="AX620" s="154" t="s">
        <v>127</v>
      </c>
      <c r="AY620" s="161" t="s">
        <v>3106</v>
      </c>
      <c r="AZ620" s="161" t="s">
        <v>3107</v>
      </c>
      <c r="BA620" s="154" t="s">
        <v>127</v>
      </c>
      <c r="BB620" s="154" t="s">
        <v>3108</v>
      </c>
      <c r="BC620" s="154" t="s">
        <v>127</v>
      </c>
      <c r="BD620" s="154" t="s">
        <v>127</v>
      </c>
      <c r="BE620" s="154" t="s">
        <v>127</v>
      </c>
      <c r="BF620" s="154"/>
      <c r="BG620" s="154"/>
      <c r="BH620" s="154"/>
      <c r="BI620" s="154"/>
      <c r="BJ620" s="154"/>
    </row>
    <row r="621" spans="1:62" ht="16" x14ac:dyDescent="0.4">
      <c r="A621" s="6" t="s">
        <v>3109</v>
      </c>
      <c r="B621" s="6" t="s">
        <v>3109</v>
      </c>
      <c r="C621" s="6" t="s">
        <v>127</v>
      </c>
      <c r="D621" s="6" t="s">
        <v>238</v>
      </c>
      <c r="E621" s="191">
        <v>45812</v>
      </c>
      <c r="F621" s="6">
        <v>2025</v>
      </c>
      <c r="G621" s="4" t="s">
        <v>2635</v>
      </c>
      <c r="H621" s="22" t="str">
        <f>VLOOKUP($G621,'Item Classification'!B:C,2,0)</f>
        <v>Drone (unspecified)</v>
      </c>
      <c r="I621" s="6" t="str">
        <f>VLOOKUP($G621,'Item Classification'!B:D,3,0)</f>
        <v>Drone</v>
      </c>
      <c r="J621" s="23">
        <f>VLOOKUP($G621,'Item Classification'!B:E,4,0)</f>
        <v>7</v>
      </c>
      <c r="K621" s="195" t="s">
        <v>130</v>
      </c>
      <c r="L621" s="195" t="s">
        <v>131</v>
      </c>
      <c r="M621" s="116" t="str">
        <f>VLOOKUP(L621,'NATO Classifications'!$D$6:$E$647,2,0)</f>
        <v>Unmanned Aircraft</v>
      </c>
      <c r="N621" s="154">
        <v>100000</v>
      </c>
      <c r="O621" s="81">
        <f>S621/N621</f>
        <v>3500</v>
      </c>
      <c r="P621" s="81">
        <f t="shared" ref="P621" si="148">U621/N621</f>
        <v>4085.0149978407776</v>
      </c>
      <c r="Q621" s="154">
        <v>2025</v>
      </c>
      <c r="R621" s="154">
        <v>2026</v>
      </c>
      <c r="S621" s="101">
        <v>350000000</v>
      </c>
      <c r="T621" s="115" t="s">
        <v>2145</v>
      </c>
      <c r="U621" s="104">
        <f>_xlfn.IFNA(S621/INDEX('Exchange Rates'!$C$7:$F$14,MATCH('MAIN DATA, Orders'!F621,'Exchange Rates'!$B$7:$B$14,0),MATCH('MAIN DATA, Orders'!T621,'Exchange Rates'!$C$6:$F$6,0)), "-")</f>
        <v>408501499.78407776</v>
      </c>
      <c r="V621" s="6" t="s">
        <v>127</v>
      </c>
      <c r="W621" s="6" t="s">
        <v>127</v>
      </c>
      <c r="X621" s="154" t="s">
        <v>809</v>
      </c>
      <c r="Y621" s="24">
        <f t="shared" si="145"/>
        <v>202506</v>
      </c>
      <c r="Z621" s="162">
        <v>0</v>
      </c>
      <c r="AA621" s="162">
        <v>0</v>
      </c>
      <c r="AB621" s="162">
        <v>0</v>
      </c>
      <c r="AC621" s="162" t="s">
        <v>127</v>
      </c>
      <c r="AD621" s="162" t="s">
        <v>127</v>
      </c>
      <c r="AE621" s="162" t="s">
        <v>127</v>
      </c>
      <c r="AF621" s="162" t="s">
        <v>127</v>
      </c>
      <c r="AG621" s="6" t="s">
        <v>127</v>
      </c>
      <c r="AH621" s="10" t="s">
        <v>127</v>
      </c>
      <c r="AI621" s="6" t="s">
        <v>127</v>
      </c>
      <c r="AJ621" s="154" t="s">
        <v>127</v>
      </c>
      <c r="AK621" s="154" t="s">
        <v>127</v>
      </c>
      <c r="AL621" s="154" t="s">
        <v>127</v>
      </c>
      <c r="AM621" s="154" t="s">
        <v>127</v>
      </c>
      <c r="AN621" s="154" t="s">
        <v>127</v>
      </c>
      <c r="AO621" s="154" t="s">
        <v>127</v>
      </c>
      <c r="AP621" s="154" t="s">
        <v>127</v>
      </c>
      <c r="AQ621" s="154" t="s">
        <v>127</v>
      </c>
      <c r="AR621" s="154" t="s">
        <v>127</v>
      </c>
      <c r="AS621" s="154" t="s">
        <v>127</v>
      </c>
      <c r="AT621" s="154" t="s">
        <v>127</v>
      </c>
      <c r="AU621" s="154" t="s">
        <v>127</v>
      </c>
      <c r="AV621" s="154" t="s">
        <v>127</v>
      </c>
      <c r="AW621" s="154" t="s">
        <v>127</v>
      </c>
      <c r="AX621" s="154" t="s">
        <v>127</v>
      </c>
      <c r="AY621" s="161" t="s">
        <v>3110</v>
      </c>
      <c r="AZ621" s="154" t="s">
        <v>127</v>
      </c>
      <c r="BA621" s="154" t="s">
        <v>127</v>
      </c>
      <c r="BB621" s="154" t="s">
        <v>3111</v>
      </c>
      <c r="BC621" s="154" t="s">
        <v>127</v>
      </c>
      <c r="BD621" s="154" t="s">
        <v>127</v>
      </c>
      <c r="BE621" s="154" t="s">
        <v>127</v>
      </c>
      <c r="BF621" s="154"/>
      <c r="BG621" s="154"/>
      <c r="BH621" s="154"/>
      <c r="BI621" s="154"/>
      <c r="BJ621" s="154"/>
    </row>
    <row r="622" spans="1:62" ht="16" x14ac:dyDescent="0.4">
      <c r="A622" s="6" t="s">
        <v>3112</v>
      </c>
      <c r="B622" s="6" t="s">
        <v>3112</v>
      </c>
      <c r="C622" s="6" t="s">
        <v>127</v>
      </c>
      <c r="D622" s="6" t="s">
        <v>238</v>
      </c>
      <c r="E622" s="191">
        <v>45821</v>
      </c>
      <c r="F622" s="6">
        <v>2025</v>
      </c>
      <c r="G622" s="4" t="s">
        <v>157</v>
      </c>
      <c r="H622" s="22" t="str">
        <f>VLOOKUP($G622,'Item Classification'!B:C,2,0)</f>
        <v>Radar technology for fighter jet</v>
      </c>
      <c r="I622" s="6" t="str">
        <f>VLOOKUP($G622,'Item Classification'!B:D,3,0)</f>
        <v>Aircraft</v>
      </c>
      <c r="J622" s="23">
        <f>VLOOKUP($G622,'Item Classification'!B:E,4,0)</f>
        <v>11</v>
      </c>
      <c r="K622" s="195" t="s">
        <v>158</v>
      </c>
      <c r="L622" s="195" t="s">
        <v>159</v>
      </c>
      <c r="M622" s="116" t="str">
        <f>VLOOKUP(L622,'NATO Classifications'!$D$6:$E$647,2,0)</f>
        <v>Radar and Sensor</v>
      </c>
      <c r="N622" s="154"/>
      <c r="O622" s="154"/>
      <c r="P622" s="154"/>
      <c r="Q622" s="154">
        <v>2025</v>
      </c>
      <c r="R622" s="154">
        <v>2029</v>
      </c>
      <c r="S622" s="101">
        <v>204600000</v>
      </c>
      <c r="T622" s="115" t="s">
        <v>2145</v>
      </c>
      <c r="U622" s="104">
        <f>_xlfn.IFNA(S622/INDEX('Exchange Rates'!$C$7:$F$14,MATCH('MAIN DATA, Orders'!F622,'Exchange Rates'!$B$7:$B$14,0),MATCH('MAIN DATA, Orders'!T622,'Exchange Rates'!$C$6:$F$6,0)), "-")</f>
        <v>238798305.30234945</v>
      </c>
      <c r="V622" s="6" t="s">
        <v>127</v>
      </c>
      <c r="W622" s="6" t="s">
        <v>127</v>
      </c>
      <c r="X622" s="154" t="s">
        <v>238</v>
      </c>
      <c r="Y622" s="24">
        <f t="shared" si="145"/>
        <v>202506</v>
      </c>
      <c r="Z622" s="162">
        <v>0</v>
      </c>
      <c r="AA622" s="162">
        <v>0</v>
      </c>
      <c r="AB622" s="162">
        <v>0</v>
      </c>
      <c r="AC622" s="162">
        <v>1</v>
      </c>
      <c r="AD622" s="162">
        <v>1</v>
      </c>
      <c r="AE622" s="162">
        <v>0</v>
      </c>
      <c r="AF622" s="162">
        <v>1</v>
      </c>
      <c r="AG622" s="10" t="s">
        <v>2212</v>
      </c>
      <c r="AH622" s="10" t="s">
        <v>238</v>
      </c>
      <c r="AI622" s="10" t="s">
        <v>238</v>
      </c>
      <c r="AJ622" s="6" t="s">
        <v>1480</v>
      </c>
      <c r="AK622" s="6" t="s">
        <v>360</v>
      </c>
      <c r="AL622" s="6" t="s">
        <v>127</v>
      </c>
      <c r="AM622" s="6" t="s">
        <v>127</v>
      </c>
      <c r="AN622" s="6" t="s">
        <v>197</v>
      </c>
      <c r="AO622" s="154" t="s">
        <v>127</v>
      </c>
      <c r="AP622" s="154" t="s">
        <v>127</v>
      </c>
      <c r="AQ622" s="154" t="s">
        <v>127</v>
      </c>
      <c r="AR622" s="154" t="s">
        <v>127</v>
      </c>
      <c r="AS622" s="154" t="s">
        <v>127</v>
      </c>
      <c r="AT622" s="154" t="s">
        <v>127</v>
      </c>
      <c r="AU622" s="154" t="s">
        <v>127</v>
      </c>
      <c r="AV622" s="154" t="s">
        <v>127</v>
      </c>
      <c r="AW622" s="154" t="s">
        <v>127</v>
      </c>
      <c r="AX622" s="154" t="s">
        <v>127</v>
      </c>
      <c r="AY622" s="155" t="s">
        <v>3113</v>
      </c>
      <c r="AZ622" s="154" t="s">
        <v>127</v>
      </c>
      <c r="BA622" s="154" t="s">
        <v>127</v>
      </c>
      <c r="BB622" s="154" t="s">
        <v>3114</v>
      </c>
      <c r="BC622" s="154" t="s">
        <v>127</v>
      </c>
      <c r="BD622" s="154" t="s">
        <v>127</v>
      </c>
      <c r="BE622" s="154" t="s">
        <v>127</v>
      </c>
      <c r="BF622" s="154"/>
      <c r="BG622" s="154"/>
      <c r="BH622" s="154"/>
      <c r="BI622" s="154"/>
      <c r="BJ622" s="154"/>
    </row>
    <row r="623" spans="1:62" ht="16" x14ac:dyDescent="0.4">
      <c r="A623" s="6" t="s">
        <v>3115</v>
      </c>
      <c r="B623" s="6" t="s">
        <v>3115</v>
      </c>
      <c r="C623" s="6" t="s">
        <v>127</v>
      </c>
      <c r="D623" s="6" t="s">
        <v>238</v>
      </c>
      <c r="E623" s="191">
        <v>45824</v>
      </c>
      <c r="F623" s="6">
        <v>2025</v>
      </c>
      <c r="G623" s="4" t="s">
        <v>3116</v>
      </c>
      <c r="H623" s="22" t="str">
        <f>VLOOKUP($G623,'Item Classification'!B:C,2,0)</f>
        <v>Communication and digitalisation</v>
      </c>
      <c r="I623" s="6" t="str">
        <f>VLOOKUP($G623,'Item Classification'!B:D,3,0)</f>
        <v>Modernisation</v>
      </c>
      <c r="J623" s="23">
        <f>VLOOKUP($G623,'Item Classification'!B:E,4,0)</f>
        <v>13</v>
      </c>
      <c r="K623" s="195" t="s">
        <v>158</v>
      </c>
      <c r="L623" s="195" t="s">
        <v>354</v>
      </c>
      <c r="M623" s="116" t="str">
        <f>VLOOKUP(L623,'NATO Classifications'!$D$6:$E$647,2,0)</f>
        <v>Communication, Detection, and Coherent Radiation Equipment (other)</v>
      </c>
      <c r="N623" s="154">
        <v>2</v>
      </c>
      <c r="O623" s="81">
        <f>S623/N623</f>
        <v>2575000</v>
      </c>
      <c r="P623" s="81">
        <f t="shared" ref="P623" si="149">U623/N623</f>
        <v>3005403.8912685718</v>
      </c>
      <c r="Q623" s="154">
        <v>2027</v>
      </c>
      <c r="R623" s="154">
        <v>2028</v>
      </c>
      <c r="S623" s="101">
        <v>5150000</v>
      </c>
      <c r="T623" s="115" t="s">
        <v>2145</v>
      </c>
      <c r="U623" s="104">
        <f>_xlfn.IFNA(S623/INDEX('Exchange Rates'!$C$7:$F$14,MATCH('MAIN DATA, Orders'!F623,'Exchange Rates'!$B$7:$B$14,0),MATCH('MAIN DATA, Orders'!T623,'Exchange Rates'!$C$6:$F$6,0)), "-")</f>
        <v>6010807.7825371437</v>
      </c>
      <c r="V623" s="6" t="s">
        <v>127</v>
      </c>
      <c r="W623" s="6" t="s">
        <v>127</v>
      </c>
      <c r="X623" s="154" t="s">
        <v>238</v>
      </c>
      <c r="Y623" s="24">
        <f t="shared" si="145"/>
        <v>202506</v>
      </c>
      <c r="Z623" s="162">
        <v>0</v>
      </c>
      <c r="AA623" s="162">
        <v>0</v>
      </c>
      <c r="AB623" s="162">
        <v>0</v>
      </c>
      <c r="AC623" s="162">
        <v>1</v>
      </c>
      <c r="AD623" s="162">
        <v>0</v>
      </c>
      <c r="AE623" s="162">
        <v>0</v>
      </c>
      <c r="AF623" s="162">
        <v>0</v>
      </c>
      <c r="AG623" s="154" t="s">
        <v>3117</v>
      </c>
      <c r="AH623" s="154" t="s">
        <v>238</v>
      </c>
      <c r="AI623" s="154" t="s">
        <v>238</v>
      </c>
      <c r="AJ623" s="154" t="s">
        <v>3118</v>
      </c>
      <c r="AK623" s="154" t="s">
        <v>127</v>
      </c>
      <c r="AL623" s="154" t="s">
        <v>127</v>
      </c>
      <c r="AM623" s="154" t="s">
        <v>127</v>
      </c>
      <c r="AN623" s="154" t="s">
        <v>127</v>
      </c>
      <c r="AO623" s="154" t="s">
        <v>127</v>
      </c>
      <c r="AP623" s="154" t="s">
        <v>127</v>
      </c>
      <c r="AQ623" s="154" t="s">
        <v>127</v>
      </c>
      <c r="AR623" s="154" t="s">
        <v>127</v>
      </c>
      <c r="AS623" s="154" t="s">
        <v>127</v>
      </c>
      <c r="AT623" s="154" t="s">
        <v>127</v>
      </c>
      <c r="AU623" s="154" t="s">
        <v>127</v>
      </c>
      <c r="AV623" s="154" t="s">
        <v>127</v>
      </c>
      <c r="AW623" s="154" t="s">
        <v>127</v>
      </c>
      <c r="AX623" s="154" t="s">
        <v>127</v>
      </c>
      <c r="AY623" s="155" t="s">
        <v>3119</v>
      </c>
      <c r="AZ623" s="154" t="s">
        <v>127</v>
      </c>
      <c r="BA623" s="154" t="s">
        <v>127</v>
      </c>
      <c r="BB623" s="154" t="s">
        <v>3120</v>
      </c>
      <c r="BC623" s="154" t="s">
        <v>127</v>
      </c>
      <c r="BD623" s="154" t="s">
        <v>127</v>
      </c>
      <c r="BE623" s="154" t="s">
        <v>127</v>
      </c>
      <c r="BF623" s="154"/>
      <c r="BG623" s="154"/>
      <c r="BH623" s="154"/>
      <c r="BI623" s="154"/>
      <c r="BJ623" s="154"/>
    </row>
    <row r="624" spans="1:62" ht="16" x14ac:dyDescent="0.4">
      <c r="A624" s="6" t="s">
        <v>3121</v>
      </c>
      <c r="B624" s="6" t="s">
        <v>3121</v>
      </c>
      <c r="C624" s="6" t="s">
        <v>127</v>
      </c>
      <c r="D624" s="6" t="s">
        <v>238</v>
      </c>
      <c r="E624" s="191">
        <v>45832</v>
      </c>
      <c r="F624" s="6">
        <v>2025</v>
      </c>
      <c r="G624" s="4" t="s">
        <v>3122</v>
      </c>
      <c r="H624" s="22" t="str">
        <f>VLOOKUP($G624,'Item Classification'!B:C,2,0)</f>
        <v>Fighter aircraft</v>
      </c>
      <c r="I624" s="6" t="str">
        <f>VLOOKUP($G624,'Item Classification'!B:D,3,0)</f>
        <v>Aircraft</v>
      </c>
      <c r="J624" s="23">
        <f>VLOOKUP($G624,'Item Classification'!B:E,4,0)</f>
        <v>11</v>
      </c>
      <c r="K624" s="195" t="s">
        <v>130</v>
      </c>
      <c r="L624" s="195" t="s">
        <v>237</v>
      </c>
      <c r="M624" s="116" t="str">
        <f>VLOOKUP(L624,'NATO Classifications'!$D$6:$E$647,2,0)</f>
        <v>Aircraft, Fixed Wing</v>
      </c>
      <c r="N624" s="154">
        <v>12</v>
      </c>
      <c r="O624" s="81">
        <f t="shared" ref="O624:O629" si="150">S624/N624</f>
        <v>80000000</v>
      </c>
      <c r="P624" s="81">
        <f t="shared" ref="P624:P629" si="151">U624/N624</f>
        <v>93371771.379217759</v>
      </c>
      <c r="Q624" s="154"/>
      <c r="R624" s="154"/>
      <c r="S624" s="101">
        <v>960000000</v>
      </c>
      <c r="T624" s="115" t="s">
        <v>2145</v>
      </c>
      <c r="U624" s="104">
        <f>_xlfn.IFNA(S624/INDEX('Exchange Rates'!$C$7:$F$14,MATCH('MAIN DATA, Orders'!F624,'Exchange Rates'!$B$7:$B$14,0),MATCH('MAIN DATA, Orders'!T624,'Exchange Rates'!$C$6:$F$6,0)), "-")</f>
        <v>1120461256.5506132</v>
      </c>
      <c r="V624" s="6" t="s">
        <v>127</v>
      </c>
      <c r="W624" s="6" t="s">
        <v>127</v>
      </c>
      <c r="X624" s="154" t="s">
        <v>238</v>
      </c>
      <c r="Y624" s="24">
        <f t="shared" si="145"/>
        <v>202506</v>
      </c>
      <c r="Z624" s="162">
        <v>0</v>
      </c>
      <c r="AA624" s="162">
        <v>0</v>
      </c>
      <c r="AB624" s="162">
        <v>1</v>
      </c>
      <c r="AC624" s="162">
        <v>0</v>
      </c>
      <c r="AD624" s="162">
        <v>0</v>
      </c>
      <c r="AE624" s="162">
        <v>0</v>
      </c>
      <c r="AF624" s="162">
        <v>0</v>
      </c>
      <c r="AG624" s="4" t="s">
        <v>795</v>
      </c>
      <c r="AH624" s="4" t="s">
        <v>196</v>
      </c>
      <c r="AI624" s="4" t="s">
        <v>196</v>
      </c>
      <c r="AJ624" s="4" t="s">
        <v>127</v>
      </c>
      <c r="AK624" s="4" t="s">
        <v>127</v>
      </c>
      <c r="AL624" s="4" t="s">
        <v>127</v>
      </c>
      <c r="AM624" s="4" t="s">
        <v>127</v>
      </c>
      <c r="AN624" s="4" t="s">
        <v>127</v>
      </c>
      <c r="AO624" s="4" t="s">
        <v>127</v>
      </c>
      <c r="AP624" s="4" t="s">
        <v>127</v>
      </c>
      <c r="AQ624" s="4" t="s">
        <v>127</v>
      </c>
      <c r="AR624" s="4" t="s">
        <v>127</v>
      </c>
      <c r="AS624" s="4" t="s">
        <v>127</v>
      </c>
      <c r="AT624" s="4" t="s">
        <v>127</v>
      </c>
      <c r="AU624" s="4" t="s">
        <v>127</v>
      </c>
      <c r="AV624" s="4" t="s">
        <v>127</v>
      </c>
      <c r="AW624" s="4" t="s">
        <v>127</v>
      </c>
      <c r="AX624" s="4" t="s">
        <v>127</v>
      </c>
      <c r="AY624" s="161" t="s">
        <v>3123</v>
      </c>
      <c r="AZ624" s="161" t="s">
        <v>3124</v>
      </c>
      <c r="BA624" s="155" t="s">
        <v>3125</v>
      </c>
      <c r="BB624" s="154" t="s">
        <v>3126</v>
      </c>
      <c r="BC624" s="154" t="s">
        <v>3127</v>
      </c>
      <c r="BD624" s="154" t="s">
        <v>127</v>
      </c>
      <c r="BE624" s="154" t="s">
        <v>127</v>
      </c>
      <c r="BF624" s="154"/>
      <c r="BG624" s="154"/>
      <c r="BH624" s="154"/>
      <c r="BI624" s="154"/>
      <c r="BJ624" s="154"/>
    </row>
    <row r="625" spans="1:67" ht="16" x14ac:dyDescent="0.4">
      <c r="A625" s="6" t="s">
        <v>3128</v>
      </c>
      <c r="B625" s="6" t="s">
        <v>3128</v>
      </c>
      <c r="C625" s="6" t="s">
        <v>127</v>
      </c>
      <c r="D625" s="6" t="s">
        <v>238</v>
      </c>
      <c r="E625" s="191">
        <v>45833</v>
      </c>
      <c r="F625" s="6">
        <v>2025</v>
      </c>
      <c r="G625" s="4" t="s">
        <v>3129</v>
      </c>
      <c r="H625" s="22" t="str">
        <f>VLOOKUP($G625,'Item Classification'!B:C,2,0)</f>
        <v>Surface-to-air missile (SAM)</v>
      </c>
      <c r="I625" s="6" t="str">
        <f>VLOOKUP($G625,'Item Classification'!B:D,3,0)</f>
        <v>Missile (Land)</v>
      </c>
      <c r="J625" s="23">
        <f>VLOOKUP($G625,'Item Classification'!B:E,4,0)</f>
        <v>6</v>
      </c>
      <c r="K625" s="195" t="s">
        <v>211</v>
      </c>
      <c r="L625" s="195" t="s">
        <v>211</v>
      </c>
      <c r="M625" s="116" t="str">
        <f>VLOOKUP(L625,'NATO Classifications'!$D$6:$E$647,2,0)</f>
        <v>Guided Missiles</v>
      </c>
      <c r="N625" s="154">
        <v>350</v>
      </c>
      <c r="O625" s="81">
        <f t="shared" si="150"/>
        <v>200000</v>
      </c>
      <c r="P625" s="81">
        <f t="shared" si="151"/>
        <v>233429.42844804443</v>
      </c>
      <c r="Q625" s="154"/>
      <c r="R625" s="154"/>
      <c r="S625" s="101">
        <v>70000000</v>
      </c>
      <c r="T625" s="115" t="s">
        <v>2145</v>
      </c>
      <c r="U625" s="104">
        <f>_xlfn.IFNA(S625/INDEX('Exchange Rates'!$C$7:$F$14,MATCH('MAIN DATA, Orders'!F625,'Exchange Rates'!$B$7:$B$14,0),MATCH('MAIN DATA, Orders'!T625,'Exchange Rates'!$C$6:$F$6,0)), "-")</f>
        <v>81700299.956815556</v>
      </c>
      <c r="V625" s="6" t="s">
        <v>127</v>
      </c>
      <c r="W625" s="6" t="s">
        <v>127</v>
      </c>
      <c r="X625" s="154" t="s">
        <v>809</v>
      </c>
      <c r="Y625" s="24">
        <f t="shared" si="145"/>
        <v>202506</v>
      </c>
      <c r="Z625" s="24">
        <v>0</v>
      </c>
      <c r="AA625" s="24">
        <v>1</v>
      </c>
      <c r="AB625" s="24">
        <v>0</v>
      </c>
      <c r="AC625" s="24">
        <v>1</v>
      </c>
      <c r="AD625" s="24">
        <v>1</v>
      </c>
      <c r="AE625" s="24">
        <v>0</v>
      </c>
      <c r="AF625" s="24">
        <v>1</v>
      </c>
      <c r="AG625" s="10" t="s">
        <v>2248</v>
      </c>
      <c r="AH625" s="10" t="s">
        <v>238</v>
      </c>
      <c r="AI625" s="6" t="s">
        <v>127</v>
      </c>
      <c r="AJ625" s="6" t="s">
        <v>475</v>
      </c>
      <c r="AK625" s="6" t="s">
        <v>127</v>
      </c>
      <c r="AL625" s="6" t="s">
        <v>127</v>
      </c>
      <c r="AM625" s="6" t="s">
        <v>127</v>
      </c>
      <c r="AN625" s="6" t="s">
        <v>151</v>
      </c>
      <c r="AO625" s="6" t="s">
        <v>197</v>
      </c>
      <c r="AP625" s="6" t="s">
        <v>128</v>
      </c>
      <c r="AQ625" s="6" t="s">
        <v>162</v>
      </c>
      <c r="AR625" s="154" t="s">
        <v>127</v>
      </c>
      <c r="AS625" s="154" t="s">
        <v>127</v>
      </c>
      <c r="AT625" s="154" t="s">
        <v>127</v>
      </c>
      <c r="AU625" s="154" t="s">
        <v>127</v>
      </c>
      <c r="AV625" s="154" t="s">
        <v>127</v>
      </c>
      <c r="AW625" s="154" t="s">
        <v>127</v>
      </c>
      <c r="AX625" s="154" t="s">
        <v>127</v>
      </c>
      <c r="AY625" s="155" t="s">
        <v>3130</v>
      </c>
      <c r="AZ625" s="154" t="s">
        <v>127</v>
      </c>
      <c r="BA625" s="154" t="s">
        <v>127</v>
      </c>
      <c r="BB625" s="154" t="s">
        <v>3131</v>
      </c>
      <c r="BC625" s="154" t="s">
        <v>127</v>
      </c>
      <c r="BD625" s="154" t="s">
        <v>127</v>
      </c>
      <c r="BE625" s="154" t="s">
        <v>127</v>
      </c>
      <c r="BF625" s="154"/>
      <c r="BG625" s="154"/>
      <c r="BH625" s="154"/>
      <c r="BI625" s="154"/>
      <c r="BJ625" s="154"/>
    </row>
    <row r="626" spans="1:67" ht="16" x14ac:dyDescent="0.4">
      <c r="A626" s="6" t="s">
        <v>3132</v>
      </c>
      <c r="B626" s="6" t="s">
        <v>3132</v>
      </c>
      <c r="C626" s="6" t="s">
        <v>127</v>
      </c>
      <c r="D626" s="6" t="s">
        <v>238</v>
      </c>
      <c r="E626" s="191">
        <v>45834</v>
      </c>
      <c r="F626" s="6">
        <v>2025</v>
      </c>
      <c r="G626" s="4" t="s">
        <v>3133</v>
      </c>
      <c r="H626" s="22" t="str">
        <f>VLOOKUP($G626,'Item Classification'!B:C,2,0)</f>
        <v>Training contract</v>
      </c>
      <c r="I626" s="6" t="str">
        <f>VLOOKUP($G626,'Item Classification'!B:D,3,0)</f>
        <v>Other</v>
      </c>
      <c r="J626" s="23">
        <f>VLOOKUP($G626,'Item Classification'!B:E,4,0)</f>
        <v>16</v>
      </c>
      <c r="K626" s="195" t="s">
        <v>941</v>
      </c>
      <c r="L626" s="195" t="s">
        <v>942</v>
      </c>
      <c r="M626" s="116" t="str">
        <f>VLOOKUP(L626,'NATO Classifications'!$D$6:$E$647,2,0)</f>
        <v>Training Aids</v>
      </c>
      <c r="N626" s="154">
        <v>1</v>
      </c>
      <c r="O626" s="81">
        <f t="shared" si="150"/>
        <v>247000000</v>
      </c>
      <c r="P626" s="81">
        <f t="shared" si="151"/>
        <v>288285344.13333488</v>
      </c>
      <c r="Q626" s="154">
        <v>2025</v>
      </c>
      <c r="R626" s="154">
        <v>2025</v>
      </c>
      <c r="S626" s="101">
        <v>247000000</v>
      </c>
      <c r="T626" s="115" t="s">
        <v>2145</v>
      </c>
      <c r="U626" s="104">
        <f>_xlfn.IFNA(S626/INDEX('Exchange Rates'!$C$7:$F$14,MATCH('MAIN DATA, Orders'!F626,'Exchange Rates'!$B$7:$B$14,0),MATCH('MAIN DATA, Orders'!T626,'Exchange Rates'!$C$6:$F$6,0)), "-")</f>
        <v>288285344.13333488</v>
      </c>
      <c r="V626" s="6" t="s">
        <v>127</v>
      </c>
      <c r="W626" s="6" t="s">
        <v>127</v>
      </c>
      <c r="X626" s="154" t="s">
        <v>809</v>
      </c>
      <c r="Y626" s="24">
        <f t="shared" si="145"/>
        <v>202506</v>
      </c>
      <c r="Z626" s="24">
        <v>0</v>
      </c>
      <c r="AA626" s="24">
        <v>1</v>
      </c>
      <c r="AB626" s="24">
        <v>0</v>
      </c>
      <c r="AC626" s="162" t="s">
        <v>127</v>
      </c>
      <c r="AD626" s="162" t="s">
        <v>127</v>
      </c>
      <c r="AE626" s="162" t="s">
        <v>127</v>
      </c>
      <c r="AF626" s="162" t="s">
        <v>127</v>
      </c>
      <c r="AG626" s="6" t="s">
        <v>127</v>
      </c>
      <c r="AH626" s="10" t="s">
        <v>127</v>
      </c>
      <c r="AI626" s="6" t="s">
        <v>127</v>
      </c>
      <c r="AJ626" s="154" t="s">
        <v>127</v>
      </c>
      <c r="AK626" s="154" t="s">
        <v>127</v>
      </c>
      <c r="AL626" s="154" t="s">
        <v>127</v>
      </c>
      <c r="AM626" s="154" t="s">
        <v>127</v>
      </c>
      <c r="AN626" s="154" t="s">
        <v>127</v>
      </c>
      <c r="AO626" s="154" t="s">
        <v>127</v>
      </c>
      <c r="AP626" s="154" t="s">
        <v>127</v>
      </c>
      <c r="AQ626" s="154" t="s">
        <v>127</v>
      </c>
      <c r="AR626" s="154" t="s">
        <v>127</v>
      </c>
      <c r="AS626" s="154" t="s">
        <v>127</v>
      </c>
      <c r="AT626" s="154" t="s">
        <v>127</v>
      </c>
      <c r="AU626" s="154" t="s">
        <v>127</v>
      </c>
      <c r="AV626" s="154" t="s">
        <v>127</v>
      </c>
      <c r="AW626" s="154" t="s">
        <v>127</v>
      </c>
      <c r="AX626" s="154" t="s">
        <v>127</v>
      </c>
      <c r="AY626" s="96" t="s">
        <v>3134</v>
      </c>
      <c r="AZ626" s="96" t="s">
        <v>3110</v>
      </c>
      <c r="BA626" s="154" t="s">
        <v>127</v>
      </c>
      <c r="BB626" s="154" t="s">
        <v>3135</v>
      </c>
      <c r="BC626" s="154" t="s">
        <v>127</v>
      </c>
      <c r="BD626" s="154" t="s">
        <v>127</v>
      </c>
      <c r="BE626" s="154" t="s">
        <v>127</v>
      </c>
      <c r="BF626" s="154"/>
      <c r="BG626" s="154"/>
      <c r="BH626" s="154"/>
      <c r="BI626" s="154"/>
      <c r="BJ626" s="154"/>
    </row>
    <row r="627" spans="1:67" ht="16" x14ac:dyDescent="0.4">
      <c r="A627" s="6" t="s">
        <v>3136</v>
      </c>
      <c r="B627" s="6" t="s">
        <v>3136</v>
      </c>
      <c r="C627" s="6" t="s">
        <v>127</v>
      </c>
      <c r="D627" s="6" t="s">
        <v>238</v>
      </c>
      <c r="E627" s="191">
        <v>45854</v>
      </c>
      <c r="F627" s="6">
        <v>2025</v>
      </c>
      <c r="G627" s="4" t="s">
        <v>3137</v>
      </c>
      <c r="H627" s="22" t="str">
        <f>VLOOKUP($G627,'Item Classification'!B:C,2,0)</f>
        <v>Naval facility modernisation</v>
      </c>
      <c r="I627" s="6" t="str">
        <f>VLOOKUP($G627,'Item Classification'!B:D,3,0)</f>
        <v>Modernisation</v>
      </c>
      <c r="J627" s="23">
        <f>VLOOKUP($G627,'Item Classification'!B:E,4,0)</f>
        <v>13</v>
      </c>
      <c r="K627" s="195" t="s">
        <v>386</v>
      </c>
      <c r="L627" s="195" t="s">
        <v>387</v>
      </c>
      <c r="M627" s="116" t="str">
        <f>VLOOKUP(L627,'NATO Classifications'!$D$6:$E$647,2,0)</f>
        <v>Prefabricated and Portable Buildings</v>
      </c>
      <c r="N627" s="154">
        <v>3</v>
      </c>
      <c r="O627" s="81">
        <f t="shared" si="150"/>
        <v>82333333.333333328</v>
      </c>
      <c r="P627" s="81">
        <f t="shared" si="151"/>
        <v>96095114.71111162</v>
      </c>
      <c r="Q627" s="154">
        <v>2025</v>
      </c>
      <c r="R627" s="154">
        <v>2028</v>
      </c>
      <c r="S627" s="101">
        <v>247000000</v>
      </c>
      <c r="T627" s="115" t="s">
        <v>2145</v>
      </c>
      <c r="U627" s="104">
        <f>_xlfn.IFNA(S627/INDEX('Exchange Rates'!$C$7:$F$14,MATCH('MAIN DATA, Orders'!F627,'Exchange Rates'!$B$7:$B$14,0),MATCH('MAIN DATA, Orders'!T627,'Exchange Rates'!$C$6:$F$6,0)), "-")</f>
        <v>288285344.13333488</v>
      </c>
      <c r="V627" s="6" t="s">
        <v>127</v>
      </c>
      <c r="W627" s="6" t="s">
        <v>127</v>
      </c>
      <c r="X627" s="154" t="s">
        <v>238</v>
      </c>
      <c r="Y627" s="24">
        <f t="shared" si="145"/>
        <v>202507</v>
      </c>
      <c r="Z627" s="162">
        <v>0</v>
      </c>
      <c r="AA627" s="162">
        <v>1</v>
      </c>
      <c r="AB627" s="162">
        <v>0</v>
      </c>
      <c r="AC627" s="162" t="s">
        <v>127</v>
      </c>
      <c r="AD627" s="162" t="s">
        <v>127</v>
      </c>
      <c r="AE627" s="162" t="s">
        <v>127</v>
      </c>
      <c r="AF627" s="162" t="s">
        <v>127</v>
      </c>
      <c r="AG627" s="154" t="s">
        <v>127</v>
      </c>
      <c r="AH627" s="154" t="s">
        <v>127</v>
      </c>
      <c r="AI627" s="154" t="s">
        <v>127</v>
      </c>
      <c r="AJ627" s="154" t="s">
        <v>127</v>
      </c>
      <c r="AK627" s="154" t="s">
        <v>127</v>
      </c>
      <c r="AL627" s="154" t="s">
        <v>127</v>
      </c>
      <c r="AM627" s="154" t="s">
        <v>127</v>
      </c>
      <c r="AN627" s="154" t="s">
        <v>127</v>
      </c>
      <c r="AO627" s="154" t="s">
        <v>127</v>
      </c>
      <c r="AP627" s="154" t="s">
        <v>127</v>
      </c>
      <c r="AQ627" s="154" t="s">
        <v>127</v>
      </c>
      <c r="AR627" s="154" t="s">
        <v>127</v>
      </c>
      <c r="AS627" s="154" t="s">
        <v>127</v>
      </c>
      <c r="AT627" s="154" t="s">
        <v>127</v>
      </c>
      <c r="AU627" s="154" t="s">
        <v>127</v>
      </c>
      <c r="AV627" s="154" t="s">
        <v>127</v>
      </c>
      <c r="AW627" s="154" t="s">
        <v>127</v>
      </c>
      <c r="AX627" s="154" t="s">
        <v>127</v>
      </c>
      <c r="AY627" s="155" t="s">
        <v>3138</v>
      </c>
      <c r="AZ627" s="155" t="s">
        <v>3139</v>
      </c>
      <c r="BA627" s="154" t="s">
        <v>127</v>
      </c>
      <c r="BB627" s="6" t="s">
        <v>3140</v>
      </c>
      <c r="BC627" s="154" t="s">
        <v>3141</v>
      </c>
      <c r="BD627" s="154" t="s">
        <v>127</v>
      </c>
      <c r="BE627" s="154" t="s">
        <v>127</v>
      </c>
      <c r="BF627" s="154"/>
      <c r="BG627" s="154"/>
      <c r="BH627" s="154"/>
      <c r="BI627" s="154"/>
      <c r="BJ627" s="154"/>
    </row>
    <row r="628" spans="1:67" ht="16" x14ac:dyDescent="0.4">
      <c r="A628" s="6" t="s">
        <v>3142</v>
      </c>
      <c r="B628" s="6" t="s">
        <v>3142</v>
      </c>
      <c r="C628" s="6" t="s">
        <v>127</v>
      </c>
      <c r="D628" s="6" t="s">
        <v>238</v>
      </c>
      <c r="E628" s="191">
        <v>45877</v>
      </c>
      <c r="F628" s="6">
        <v>2025</v>
      </c>
      <c r="G628" s="4" t="s">
        <v>3143</v>
      </c>
      <c r="H628" s="22" t="str">
        <f>VLOOKUP($G628,'Item Classification'!B:C,2,0)</f>
        <v>Naval heavy transport helicopter</v>
      </c>
      <c r="I628" s="6" t="str">
        <f>VLOOKUP($G628,'Item Classification'!B:D,3,0)</f>
        <v>Naval</v>
      </c>
      <c r="J628" s="23">
        <f>VLOOKUP($G628,'Item Classification'!B:E,4,0)</f>
        <v>12</v>
      </c>
      <c r="K628" s="195" t="s">
        <v>130</v>
      </c>
      <c r="L628" s="195" t="s">
        <v>266</v>
      </c>
      <c r="M628" s="116" t="str">
        <f>VLOOKUP(L628,'NATO Classifications'!$D$6:$E$647,2,0)</f>
        <v>Aircraft, Rotary Wing</v>
      </c>
      <c r="N628" s="154">
        <v>5</v>
      </c>
      <c r="O628" s="81">
        <f t="shared" si="150"/>
        <v>8200000</v>
      </c>
      <c r="P628" s="81">
        <f t="shared" si="151"/>
        <v>9570606.5663698204</v>
      </c>
      <c r="Q628" s="154">
        <v>2026</v>
      </c>
      <c r="R628" s="154">
        <v>2031</v>
      </c>
      <c r="S628" s="101">
        <v>41000000</v>
      </c>
      <c r="T628" s="115" t="s">
        <v>2145</v>
      </c>
      <c r="U628" s="104">
        <f>_xlfn.IFNA(S628/INDEX('Exchange Rates'!$C$7:$F$14,MATCH('MAIN DATA, Orders'!F628,'Exchange Rates'!$B$7:$B$14,0),MATCH('MAIN DATA, Orders'!T628,'Exchange Rates'!$C$6:$F$6,0)), "-")</f>
        <v>47853032.831849106</v>
      </c>
      <c r="V628" s="6" t="s">
        <v>127</v>
      </c>
      <c r="W628" s="6" t="s">
        <v>127</v>
      </c>
      <c r="X628" s="154" t="s">
        <v>238</v>
      </c>
      <c r="Y628" s="24">
        <f t="shared" si="145"/>
        <v>202508</v>
      </c>
      <c r="Z628" s="162">
        <v>0</v>
      </c>
      <c r="AA628" s="162">
        <v>1</v>
      </c>
      <c r="AB628" s="162">
        <v>0</v>
      </c>
      <c r="AC628" s="162">
        <v>1</v>
      </c>
      <c r="AD628" s="162">
        <v>0</v>
      </c>
      <c r="AE628" s="162">
        <v>0</v>
      </c>
      <c r="AF628" s="162">
        <v>0</v>
      </c>
      <c r="AG628" s="154" t="s">
        <v>3144</v>
      </c>
      <c r="AH628" s="154" t="s">
        <v>238</v>
      </c>
      <c r="AI628" s="154" t="s">
        <v>238</v>
      </c>
      <c r="AJ628" s="154" t="s">
        <v>127</v>
      </c>
      <c r="AK628" s="154" t="s">
        <v>127</v>
      </c>
      <c r="AL628" s="154" t="s">
        <v>127</v>
      </c>
      <c r="AM628" s="154" t="s">
        <v>127</v>
      </c>
      <c r="AN628" s="154" t="s">
        <v>127</v>
      </c>
      <c r="AO628" s="154" t="s">
        <v>127</v>
      </c>
      <c r="AP628" s="154" t="s">
        <v>127</v>
      </c>
      <c r="AQ628" s="154" t="s">
        <v>127</v>
      </c>
      <c r="AR628" s="154" t="s">
        <v>127</v>
      </c>
      <c r="AS628" s="154" t="s">
        <v>127</v>
      </c>
      <c r="AT628" s="154" t="s">
        <v>127</v>
      </c>
      <c r="AU628" s="154" t="s">
        <v>127</v>
      </c>
      <c r="AV628" s="154" t="s">
        <v>127</v>
      </c>
      <c r="AW628" s="154" t="s">
        <v>127</v>
      </c>
      <c r="AX628" s="154" t="s">
        <v>127</v>
      </c>
      <c r="AY628" s="155" t="s">
        <v>3145</v>
      </c>
      <c r="AZ628" s="154" t="s">
        <v>127</v>
      </c>
      <c r="BA628" s="154" t="s">
        <v>127</v>
      </c>
      <c r="BB628" s="154" t="s">
        <v>3146</v>
      </c>
      <c r="BC628" s="154" t="s">
        <v>127</v>
      </c>
      <c r="BD628" s="154" t="s">
        <v>127</v>
      </c>
      <c r="BE628" s="154" t="s">
        <v>127</v>
      </c>
      <c r="BF628" s="154"/>
      <c r="BG628" s="154"/>
      <c r="BH628" s="154"/>
      <c r="BI628" s="154"/>
      <c r="BJ628" s="154"/>
    </row>
    <row r="629" spans="1:67" ht="16" x14ac:dyDescent="0.4">
      <c r="A629" s="6" t="s">
        <v>3147</v>
      </c>
      <c r="B629" s="6" t="s">
        <v>3147</v>
      </c>
      <c r="C629" s="6" t="s">
        <v>127</v>
      </c>
      <c r="D629" s="6" t="s">
        <v>238</v>
      </c>
      <c r="E629" s="191">
        <v>45887</v>
      </c>
      <c r="F629" s="6">
        <v>2025</v>
      </c>
      <c r="G629" s="4" t="s">
        <v>3148</v>
      </c>
      <c r="H629" s="22" t="str">
        <f>VLOOKUP($G629,'Item Classification'!B:C,2,0)</f>
        <v>Spare parts logistics</v>
      </c>
      <c r="I629" s="6" t="str">
        <f>VLOOKUP($G629,'Item Classification'!B:D,3,0)</f>
        <v>Maintenance</v>
      </c>
      <c r="J629" s="23">
        <f>VLOOKUP($G629,'Item Classification'!B:E,4,0)</f>
        <v>14</v>
      </c>
      <c r="K629" s="195" t="s">
        <v>1280</v>
      </c>
      <c r="L629" s="195" t="s">
        <v>1503</v>
      </c>
      <c r="M629" s="116" t="str">
        <f>VLOOKUP(L629,'NATO Classifications'!$D$6:$E$647,2,0)</f>
        <v>Vehicular Furniture and Accessories</v>
      </c>
      <c r="N629" s="154">
        <v>3</v>
      </c>
      <c r="O629" s="81">
        <f t="shared" si="150"/>
        <v>41666666.666666664</v>
      </c>
      <c r="P629" s="81">
        <f t="shared" si="151"/>
        <v>48631130.926675923</v>
      </c>
      <c r="Q629" s="154">
        <v>2025</v>
      </c>
      <c r="R629" s="154">
        <v>2028</v>
      </c>
      <c r="S629" s="101">
        <v>125000000</v>
      </c>
      <c r="T629" s="115" t="s">
        <v>2145</v>
      </c>
      <c r="U629" s="104">
        <f>_xlfn.IFNA(S629/INDEX('Exchange Rates'!$C$7:$F$14,MATCH('MAIN DATA, Orders'!F629,'Exchange Rates'!$B$7:$B$14,0),MATCH('MAIN DATA, Orders'!T629,'Exchange Rates'!$C$6:$F$6,0)), "-")</f>
        <v>145893392.78002778</v>
      </c>
      <c r="V629" s="6" t="s">
        <v>127</v>
      </c>
      <c r="W629" s="6" t="s">
        <v>127</v>
      </c>
      <c r="X629" s="154" t="s">
        <v>238</v>
      </c>
      <c r="Y629" s="24">
        <f t="shared" si="145"/>
        <v>202508</v>
      </c>
      <c r="Z629" s="162">
        <v>0</v>
      </c>
      <c r="AA629" s="162">
        <v>1</v>
      </c>
      <c r="AB629" s="162">
        <v>0</v>
      </c>
      <c r="AC629" s="162">
        <v>1</v>
      </c>
      <c r="AD629" s="162">
        <v>0</v>
      </c>
      <c r="AE629" s="162">
        <v>0</v>
      </c>
      <c r="AF629" s="162">
        <v>0</v>
      </c>
      <c r="AG629" s="154" t="s">
        <v>2836</v>
      </c>
      <c r="AH629" s="154" t="s">
        <v>238</v>
      </c>
      <c r="AI629" s="154" t="s">
        <v>238</v>
      </c>
      <c r="AJ629" s="154" t="s">
        <v>127</v>
      </c>
      <c r="AK629" s="154" t="s">
        <v>127</v>
      </c>
      <c r="AL629" s="154" t="s">
        <v>127</v>
      </c>
      <c r="AM629" s="154" t="s">
        <v>127</v>
      </c>
      <c r="AN629" s="154" t="s">
        <v>127</v>
      </c>
      <c r="AO629" s="154" t="s">
        <v>127</v>
      </c>
      <c r="AP629" s="154" t="s">
        <v>127</v>
      </c>
      <c r="AQ629" s="154" t="s">
        <v>127</v>
      </c>
      <c r="AR629" s="154" t="s">
        <v>127</v>
      </c>
      <c r="AS629" s="154" t="s">
        <v>127</v>
      </c>
      <c r="AT629" s="154" t="s">
        <v>127</v>
      </c>
      <c r="AU629" s="154" t="s">
        <v>127</v>
      </c>
      <c r="AV629" s="154" t="s">
        <v>127</v>
      </c>
      <c r="AW629" s="154" t="s">
        <v>127</v>
      </c>
      <c r="AX629" s="154" t="s">
        <v>127</v>
      </c>
      <c r="AY629" s="155" t="s">
        <v>3149</v>
      </c>
      <c r="AZ629" s="155" t="s">
        <v>3150</v>
      </c>
      <c r="BA629" s="154" t="s">
        <v>127</v>
      </c>
      <c r="BB629" s="154" t="s">
        <v>3151</v>
      </c>
      <c r="BC629" s="154" t="s">
        <v>3152</v>
      </c>
      <c r="BD629" s="154" t="s">
        <v>127</v>
      </c>
      <c r="BE629" s="154" t="s">
        <v>127</v>
      </c>
      <c r="BF629" s="154"/>
      <c r="BG629" s="154"/>
      <c r="BH629" s="154"/>
      <c r="BI629" s="154"/>
      <c r="BJ629" s="154"/>
    </row>
    <row r="630" spans="1:67" ht="16" x14ac:dyDescent="0.4">
      <c r="A630" s="6" t="s">
        <v>3153</v>
      </c>
      <c r="B630" s="6" t="s">
        <v>3153</v>
      </c>
      <c r="C630" s="6" t="s">
        <v>127</v>
      </c>
      <c r="D630" s="6" t="s">
        <v>238</v>
      </c>
      <c r="E630" s="191">
        <v>45889</v>
      </c>
      <c r="F630" s="6">
        <v>2025</v>
      </c>
      <c r="G630" s="4" t="s">
        <v>2392</v>
      </c>
      <c r="H630" s="22" t="str">
        <f>VLOOKUP($G630,'Item Classification'!B:C,2,0)</f>
        <v>Training contract</v>
      </c>
      <c r="I630" s="6" t="str">
        <f>VLOOKUP($G630,'Item Classification'!B:D,3,0)</f>
        <v>Other</v>
      </c>
      <c r="J630" s="23">
        <f>VLOOKUP($G630,'Item Classification'!B:E,4,0)</f>
        <v>16</v>
      </c>
      <c r="K630" s="195" t="s">
        <v>941</v>
      </c>
      <c r="L630" s="195" t="s">
        <v>942</v>
      </c>
      <c r="M630" s="116" t="str">
        <f>VLOOKUP(L630,'NATO Classifications'!$D$6:$E$647,2,0)</f>
        <v>Training Aids</v>
      </c>
      <c r="N630" s="154"/>
      <c r="O630" s="154"/>
      <c r="P630" s="154"/>
      <c r="Q630" s="154"/>
      <c r="R630" s="154">
        <v>2030</v>
      </c>
      <c r="S630" s="101">
        <v>70000000</v>
      </c>
      <c r="T630" s="115" t="s">
        <v>2145</v>
      </c>
      <c r="U630" s="104">
        <f>_xlfn.IFNA(S630/INDEX('Exchange Rates'!$C$7:$F$14,MATCH('MAIN DATA, Orders'!F630,'Exchange Rates'!$B$7:$B$14,0),MATCH('MAIN DATA, Orders'!T630,'Exchange Rates'!$C$6:$F$6,0)), "-")</f>
        <v>81700299.956815556</v>
      </c>
      <c r="V630" s="6" t="s">
        <v>127</v>
      </c>
      <c r="W630" s="6" t="s">
        <v>127</v>
      </c>
      <c r="X630" s="154" t="s">
        <v>238</v>
      </c>
      <c r="Y630" s="24">
        <f t="shared" si="145"/>
        <v>202508</v>
      </c>
      <c r="Z630" s="162">
        <v>0</v>
      </c>
      <c r="AA630" s="162">
        <v>1</v>
      </c>
      <c r="AB630" s="162">
        <v>0</v>
      </c>
      <c r="AC630" s="162" t="s">
        <v>127</v>
      </c>
      <c r="AD630" s="162" t="s">
        <v>127</v>
      </c>
      <c r="AE630" s="162" t="s">
        <v>127</v>
      </c>
      <c r="AF630" s="162" t="s">
        <v>127</v>
      </c>
      <c r="AG630" s="6" t="s">
        <v>127</v>
      </c>
      <c r="AH630" s="10" t="s">
        <v>127</v>
      </c>
      <c r="AI630" s="6" t="s">
        <v>127</v>
      </c>
      <c r="AJ630" s="154" t="s">
        <v>127</v>
      </c>
      <c r="AK630" s="154" t="s">
        <v>127</v>
      </c>
      <c r="AL630" s="154" t="s">
        <v>127</v>
      </c>
      <c r="AM630" s="154" t="s">
        <v>127</v>
      </c>
      <c r="AN630" s="154" t="s">
        <v>127</v>
      </c>
      <c r="AO630" s="154" t="s">
        <v>127</v>
      </c>
      <c r="AP630" s="154" t="s">
        <v>127</v>
      </c>
      <c r="AQ630" s="154" t="s">
        <v>127</v>
      </c>
      <c r="AR630" s="154" t="s">
        <v>127</v>
      </c>
      <c r="AS630" s="154" t="s">
        <v>127</v>
      </c>
      <c r="AT630" s="154" t="s">
        <v>127</v>
      </c>
      <c r="AU630" s="154" t="s">
        <v>127</v>
      </c>
      <c r="AV630" s="154" t="s">
        <v>127</v>
      </c>
      <c r="AW630" s="154" t="s">
        <v>127</v>
      </c>
      <c r="AX630" s="154" t="s">
        <v>127</v>
      </c>
      <c r="AY630" s="155" t="s">
        <v>3154</v>
      </c>
      <c r="AZ630" s="154" t="s">
        <v>127</v>
      </c>
      <c r="BA630" s="154" t="s">
        <v>127</v>
      </c>
      <c r="BB630" s="154" t="s">
        <v>3155</v>
      </c>
      <c r="BC630" s="154" t="s">
        <v>127</v>
      </c>
      <c r="BD630" s="154" t="s">
        <v>127</v>
      </c>
      <c r="BE630" s="154" t="s">
        <v>127</v>
      </c>
      <c r="BF630" s="154"/>
      <c r="BG630" s="154"/>
      <c r="BH630" s="154"/>
      <c r="BI630" s="154"/>
      <c r="BJ630" s="154"/>
    </row>
    <row r="631" spans="1:67" ht="16" x14ac:dyDescent="0.4">
      <c r="A631" s="6" t="s">
        <v>3156</v>
      </c>
      <c r="B631" s="6" t="s">
        <v>3156</v>
      </c>
      <c r="C631" s="6" t="s">
        <v>127</v>
      </c>
      <c r="D631" s="6" t="s">
        <v>238</v>
      </c>
      <c r="E631" s="191">
        <v>45891</v>
      </c>
      <c r="F631" s="6">
        <v>2025</v>
      </c>
      <c r="G631" s="4" t="s">
        <v>127</v>
      </c>
      <c r="H631" s="6" t="s">
        <v>3157</v>
      </c>
      <c r="I631" s="6" t="s">
        <v>2967</v>
      </c>
      <c r="J631" s="24">
        <v>5</v>
      </c>
      <c r="K631" s="195" t="s">
        <v>211</v>
      </c>
      <c r="L631" s="195" t="s">
        <v>326</v>
      </c>
      <c r="M631" s="116" t="str">
        <f>VLOOKUP(L631,'NATO Classifications'!$D$6:$E$647,2,0)</f>
        <v>Guided Missile Systems, Complete</v>
      </c>
      <c r="Q631" s="154">
        <v>2025</v>
      </c>
      <c r="R631" s="154">
        <v>2028</v>
      </c>
      <c r="S631" s="101">
        <v>118000000</v>
      </c>
      <c r="T631" s="115" t="s">
        <v>2145</v>
      </c>
      <c r="U631" s="104">
        <f>_xlfn.IFNA(S631/INDEX('Exchange Rates'!$C$7:$F$14,MATCH('MAIN DATA, Orders'!F631,'Exchange Rates'!$B$7:$B$14,0),MATCH('MAIN DATA, Orders'!T631,'Exchange Rates'!$C$6:$F$6,0)), "-")</f>
        <v>137723362.78434622</v>
      </c>
      <c r="V631" s="6" t="s">
        <v>127</v>
      </c>
      <c r="W631" s="6" t="s">
        <v>127</v>
      </c>
      <c r="X631" s="154" t="s">
        <v>238</v>
      </c>
      <c r="Y631" s="24">
        <f t="shared" si="145"/>
        <v>202508</v>
      </c>
      <c r="Z631" s="162">
        <v>0</v>
      </c>
      <c r="AA631" s="162">
        <v>0</v>
      </c>
      <c r="AB631" s="162">
        <v>0</v>
      </c>
      <c r="AC631" s="24">
        <v>1</v>
      </c>
      <c r="AD631" s="24">
        <v>1</v>
      </c>
      <c r="AE631" s="24">
        <v>0</v>
      </c>
      <c r="AF631" s="24">
        <v>1</v>
      </c>
      <c r="AG631" s="10" t="s">
        <v>2248</v>
      </c>
      <c r="AH631" s="10" t="s">
        <v>238</v>
      </c>
      <c r="AI631" s="6" t="s">
        <v>127</v>
      </c>
      <c r="AJ631" s="6" t="s">
        <v>475</v>
      </c>
      <c r="AK631" s="154" t="s">
        <v>127</v>
      </c>
      <c r="AL631" s="154" t="s">
        <v>127</v>
      </c>
      <c r="AM631" s="154" t="s">
        <v>127</v>
      </c>
      <c r="AN631" s="6" t="s">
        <v>151</v>
      </c>
      <c r="AO631" s="6" t="s">
        <v>197</v>
      </c>
      <c r="AP631" s="6" t="s">
        <v>128</v>
      </c>
      <c r="AQ631" s="6" t="s">
        <v>162</v>
      </c>
      <c r="AR631" s="154" t="s">
        <v>127</v>
      </c>
      <c r="AS631" s="154" t="s">
        <v>127</v>
      </c>
      <c r="AT631" s="154" t="s">
        <v>127</v>
      </c>
      <c r="AU631" s="154" t="s">
        <v>127</v>
      </c>
      <c r="AV631" s="154" t="s">
        <v>127</v>
      </c>
      <c r="AW631" s="154" t="s">
        <v>127</v>
      </c>
      <c r="AX631" s="154" t="s">
        <v>127</v>
      </c>
      <c r="AY631" s="155" t="s">
        <v>3158</v>
      </c>
      <c r="AZ631" s="155" t="s">
        <v>3159</v>
      </c>
      <c r="BA631" s="154" t="s">
        <v>127</v>
      </c>
      <c r="BB631" s="154" t="s">
        <v>3160</v>
      </c>
      <c r="BC631" s="154" t="s">
        <v>3161</v>
      </c>
      <c r="BD631" s="154" t="s">
        <v>127</v>
      </c>
      <c r="BE631" s="154" t="s">
        <v>127</v>
      </c>
      <c r="BF631" s="154"/>
      <c r="BG631" s="154"/>
      <c r="BH631" s="154"/>
      <c r="BI631" s="154"/>
      <c r="BJ631" s="154"/>
    </row>
    <row r="632" spans="1:67" ht="16" x14ac:dyDescent="0.4">
      <c r="A632" s="6" t="s">
        <v>3156</v>
      </c>
      <c r="B632" s="6" t="s">
        <v>3162</v>
      </c>
      <c r="C632" s="6" t="s">
        <v>127</v>
      </c>
      <c r="D632" s="6" t="s">
        <v>238</v>
      </c>
      <c r="E632" s="191">
        <v>45891</v>
      </c>
      <c r="F632" s="6">
        <v>2025</v>
      </c>
      <c r="G632" s="4" t="s">
        <v>3163</v>
      </c>
      <c r="H632" s="22" t="str">
        <f>VLOOKUP($G632,'Item Classification'!B:C,2,0)</f>
        <v>Anti-aircraft surface-to-air missile (SAM) system</v>
      </c>
      <c r="I632" s="6" t="str">
        <f>VLOOKUP($G632,'Item Classification'!B:D,3,0)</f>
        <v>Air defence system</v>
      </c>
      <c r="J632" s="23">
        <f>VLOOKUP($G632,'Item Classification'!B:E,4,0)</f>
        <v>5</v>
      </c>
      <c r="K632" s="195" t="s">
        <v>211</v>
      </c>
      <c r="L632" s="195" t="s">
        <v>326</v>
      </c>
      <c r="M632" s="116" t="str">
        <f>VLOOKUP(L632,'NATO Classifications'!$D$6:$E$647,2,0)</f>
        <v>Guided Missile Systems, Complete</v>
      </c>
      <c r="N632" s="154">
        <v>6</v>
      </c>
      <c r="O632" s="81"/>
      <c r="P632" s="81"/>
      <c r="Q632" s="154">
        <v>2025</v>
      </c>
      <c r="R632" s="154">
        <v>2028</v>
      </c>
      <c r="T632" s="115" t="s">
        <v>2145</v>
      </c>
      <c r="U632" s="104">
        <f>_xlfn.IFNA(S632/INDEX('Exchange Rates'!$C$7:$F$14,MATCH('MAIN DATA, Orders'!F632,'Exchange Rates'!$B$7:$B$14,0),MATCH('MAIN DATA, Orders'!T632,'Exchange Rates'!$C$6:$F$6,0)), "-")</f>
        <v>0</v>
      </c>
      <c r="V632" s="6" t="s">
        <v>127</v>
      </c>
      <c r="W632" s="6" t="s">
        <v>127</v>
      </c>
      <c r="X632" s="154" t="s">
        <v>238</v>
      </c>
      <c r="Y632" s="24">
        <f t="shared" si="145"/>
        <v>202508</v>
      </c>
      <c r="Z632" s="162">
        <v>0</v>
      </c>
      <c r="AA632" s="162">
        <v>0</v>
      </c>
      <c r="AB632" s="162">
        <v>0</v>
      </c>
      <c r="AC632" s="24">
        <v>1</v>
      </c>
      <c r="AD632" s="24">
        <v>1</v>
      </c>
      <c r="AE632" s="24">
        <v>0</v>
      </c>
      <c r="AF632" s="24">
        <v>1</v>
      </c>
      <c r="AG632" s="10" t="s">
        <v>2248</v>
      </c>
      <c r="AH632" s="10" t="s">
        <v>238</v>
      </c>
      <c r="AI632" s="6" t="s">
        <v>127</v>
      </c>
      <c r="AJ632" s="6" t="s">
        <v>475</v>
      </c>
      <c r="AK632" s="154" t="s">
        <v>127</v>
      </c>
      <c r="AL632" s="154" t="s">
        <v>127</v>
      </c>
      <c r="AM632" s="154" t="s">
        <v>127</v>
      </c>
      <c r="AN632" s="6" t="s">
        <v>151</v>
      </c>
      <c r="AO632" s="6" t="s">
        <v>197</v>
      </c>
      <c r="AP632" s="6" t="s">
        <v>128</v>
      </c>
      <c r="AQ632" s="6" t="s">
        <v>162</v>
      </c>
      <c r="AR632" s="154" t="s">
        <v>127</v>
      </c>
      <c r="AS632" s="154" t="s">
        <v>127</v>
      </c>
      <c r="AT632" s="154" t="s">
        <v>127</v>
      </c>
      <c r="AU632" s="154" t="s">
        <v>127</v>
      </c>
      <c r="AV632" s="154" t="s">
        <v>127</v>
      </c>
      <c r="AW632" s="154" t="s">
        <v>127</v>
      </c>
      <c r="AX632" s="154" t="s">
        <v>127</v>
      </c>
      <c r="AY632" s="155" t="s">
        <v>3158</v>
      </c>
      <c r="AZ632" s="155" t="s">
        <v>3159</v>
      </c>
      <c r="BA632" s="154" t="s">
        <v>127</v>
      </c>
      <c r="BB632" s="154" t="s">
        <v>3160</v>
      </c>
      <c r="BC632" s="154" t="s">
        <v>3161</v>
      </c>
      <c r="BD632" s="154" t="s">
        <v>127</v>
      </c>
      <c r="BE632" s="154" t="s">
        <v>127</v>
      </c>
      <c r="BF632" s="154"/>
      <c r="BG632" s="154"/>
      <c r="BH632" s="154"/>
      <c r="BI632" s="154"/>
      <c r="BJ632" s="154"/>
    </row>
    <row r="633" spans="1:67" ht="16" x14ac:dyDescent="0.4">
      <c r="A633" s="6" t="s">
        <v>3156</v>
      </c>
      <c r="B633" s="6" t="s">
        <v>3164</v>
      </c>
      <c r="C633" s="6" t="s">
        <v>127</v>
      </c>
      <c r="D633" s="6" t="s">
        <v>238</v>
      </c>
      <c r="E633" s="191">
        <v>45891</v>
      </c>
      <c r="F633" s="6">
        <v>2025</v>
      </c>
      <c r="G633" s="4" t="s">
        <v>3165</v>
      </c>
      <c r="H633" s="22" t="str">
        <f>VLOOKUP($G633,'Item Classification'!B:C,2,0)</f>
        <v>Air defence system support vehicle</v>
      </c>
      <c r="I633" s="6" t="str">
        <f>VLOOKUP($G633,'Item Classification'!B:D,3,0)</f>
        <v>Air defence system</v>
      </c>
      <c r="J633" s="23">
        <f>VLOOKUP($G633,'Item Classification'!B:E,4,0)</f>
        <v>5</v>
      </c>
      <c r="K633" s="195" t="s">
        <v>274</v>
      </c>
      <c r="L633" s="195" t="s">
        <v>275</v>
      </c>
      <c r="M633" s="116" t="str">
        <f>VLOOKUP(L633,'NATO Classifications'!$D$6:$E$647,2,0)</f>
        <v>Trucks and Truck Tractors, Wheeled</v>
      </c>
      <c r="N633" s="154">
        <v>12</v>
      </c>
      <c r="O633" s="81"/>
      <c r="P633" s="81"/>
      <c r="Q633" s="154">
        <v>2025</v>
      </c>
      <c r="R633" s="154">
        <v>2028</v>
      </c>
      <c r="S633" s="154"/>
      <c r="T633" s="115" t="s">
        <v>2145</v>
      </c>
      <c r="U633" s="104">
        <f>_xlfn.IFNA(S633/INDEX('Exchange Rates'!$C$7:$F$14,MATCH('MAIN DATA, Orders'!F633,'Exchange Rates'!$B$7:$B$14,0),MATCH('MAIN DATA, Orders'!T633,'Exchange Rates'!$C$6:$F$6,0)), "-")</f>
        <v>0</v>
      </c>
      <c r="V633" s="6" t="s">
        <v>127</v>
      </c>
      <c r="W633" s="6" t="s">
        <v>127</v>
      </c>
      <c r="X633" s="154" t="s">
        <v>238</v>
      </c>
      <c r="Y633" s="24">
        <f t="shared" si="145"/>
        <v>202508</v>
      </c>
      <c r="Z633" s="162">
        <v>0</v>
      </c>
      <c r="AA633" s="162">
        <v>0</v>
      </c>
      <c r="AB633" s="162">
        <v>0</v>
      </c>
      <c r="AC633" s="24">
        <v>1</v>
      </c>
      <c r="AD633" s="24">
        <v>1</v>
      </c>
      <c r="AE633" s="24">
        <v>0</v>
      </c>
      <c r="AF633" s="24">
        <v>1</v>
      </c>
      <c r="AG633" s="10" t="s">
        <v>2248</v>
      </c>
      <c r="AH633" s="10" t="s">
        <v>238</v>
      </c>
      <c r="AI633" s="6" t="s">
        <v>127</v>
      </c>
      <c r="AJ633" s="6" t="s">
        <v>475</v>
      </c>
      <c r="AK633" s="154" t="s">
        <v>127</v>
      </c>
      <c r="AL633" s="154" t="s">
        <v>127</v>
      </c>
      <c r="AM633" s="154" t="s">
        <v>127</v>
      </c>
      <c r="AN633" s="6" t="s">
        <v>151</v>
      </c>
      <c r="AO633" s="6" t="s">
        <v>197</v>
      </c>
      <c r="AP633" s="6" t="s">
        <v>128</v>
      </c>
      <c r="AQ633" s="6" t="s">
        <v>162</v>
      </c>
      <c r="AR633" s="154" t="s">
        <v>127</v>
      </c>
      <c r="AS633" s="154" t="s">
        <v>127</v>
      </c>
      <c r="AT633" s="154" t="s">
        <v>127</v>
      </c>
      <c r="AU633" s="154" t="s">
        <v>127</v>
      </c>
      <c r="AV633" s="154" t="s">
        <v>127</v>
      </c>
      <c r="AW633" s="154" t="s">
        <v>127</v>
      </c>
      <c r="AX633" s="154" t="s">
        <v>127</v>
      </c>
      <c r="AY633" s="155" t="s">
        <v>3158</v>
      </c>
      <c r="AZ633" s="155" t="s">
        <v>3159</v>
      </c>
      <c r="BA633" s="154" t="s">
        <v>127</v>
      </c>
      <c r="BB633" s="154" t="s">
        <v>3160</v>
      </c>
      <c r="BC633" s="154" t="s">
        <v>3161</v>
      </c>
      <c r="BD633" s="154" t="s">
        <v>127</v>
      </c>
      <c r="BE633" s="154" t="s">
        <v>127</v>
      </c>
      <c r="BF633" s="154"/>
      <c r="BG633" s="154"/>
      <c r="BH633" s="154"/>
      <c r="BI633" s="154"/>
      <c r="BJ633" s="154"/>
    </row>
    <row r="634" spans="1:67" ht="16" x14ac:dyDescent="0.4">
      <c r="A634" s="6" t="s">
        <v>3156</v>
      </c>
      <c r="B634" s="6" t="s">
        <v>3166</v>
      </c>
      <c r="C634" s="6" t="s">
        <v>127</v>
      </c>
      <c r="D634" s="6" t="s">
        <v>238</v>
      </c>
      <c r="E634" s="191">
        <v>45891</v>
      </c>
      <c r="F634" s="6">
        <v>2025</v>
      </c>
      <c r="G634" s="4" t="s">
        <v>3167</v>
      </c>
      <c r="H634" s="22" t="str">
        <f>VLOOKUP($G634,'Item Classification'!B:C,2,0)</f>
        <v>Air defence system support vehicle</v>
      </c>
      <c r="I634" s="6" t="str">
        <f>VLOOKUP($G634,'Item Classification'!B:D,3,0)</f>
        <v>Air defence system</v>
      </c>
      <c r="J634" s="23">
        <f>VLOOKUP($G634,'Item Classification'!B:E,4,0)</f>
        <v>5</v>
      </c>
      <c r="K634" s="195" t="s">
        <v>274</v>
      </c>
      <c r="L634" s="195" t="s">
        <v>275</v>
      </c>
      <c r="M634" s="116" t="str">
        <f>VLOOKUP(L634,'NATO Classifications'!$D$6:$E$647,2,0)</f>
        <v>Trucks and Truck Tractors, Wheeled</v>
      </c>
      <c r="N634" s="154">
        <v>8</v>
      </c>
      <c r="O634" s="81"/>
      <c r="P634" s="81"/>
      <c r="Q634" s="154">
        <v>2025</v>
      </c>
      <c r="R634" s="154">
        <v>2028</v>
      </c>
      <c r="S634" s="154"/>
      <c r="T634" s="115" t="s">
        <v>2145</v>
      </c>
      <c r="U634" s="104">
        <f>_xlfn.IFNA(S634/INDEX('Exchange Rates'!$C$7:$F$14,MATCH('MAIN DATA, Orders'!F634,'Exchange Rates'!$B$7:$B$14,0),MATCH('MAIN DATA, Orders'!T634,'Exchange Rates'!$C$6:$F$6,0)), "-")</f>
        <v>0</v>
      </c>
      <c r="V634" s="6" t="s">
        <v>127</v>
      </c>
      <c r="W634" s="6" t="s">
        <v>127</v>
      </c>
      <c r="X634" s="154" t="s">
        <v>238</v>
      </c>
      <c r="Y634" s="24">
        <f t="shared" si="145"/>
        <v>202508</v>
      </c>
      <c r="Z634" s="162">
        <v>0</v>
      </c>
      <c r="AA634" s="162">
        <v>0</v>
      </c>
      <c r="AB634" s="162">
        <v>0</v>
      </c>
      <c r="AC634" s="24">
        <v>1</v>
      </c>
      <c r="AD634" s="24">
        <v>1</v>
      </c>
      <c r="AE634" s="24">
        <v>0</v>
      </c>
      <c r="AF634" s="24">
        <v>1</v>
      </c>
      <c r="AG634" s="10" t="s">
        <v>2248</v>
      </c>
      <c r="AH634" s="10" t="s">
        <v>238</v>
      </c>
      <c r="AI634" s="6" t="s">
        <v>127</v>
      </c>
      <c r="AJ634" s="6" t="s">
        <v>475</v>
      </c>
      <c r="AK634" s="154" t="s">
        <v>127</v>
      </c>
      <c r="AL634" s="154" t="s">
        <v>127</v>
      </c>
      <c r="AM634" s="154" t="s">
        <v>127</v>
      </c>
      <c r="AN634" s="6" t="s">
        <v>151</v>
      </c>
      <c r="AO634" s="6" t="s">
        <v>197</v>
      </c>
      <c r="AP634" s="6" t="s">
        <v>128</v>
      </c>
      <c r="AQ634" s="6" t="s">
        <v>162</v>
      </c>
      <c r="AR634" s="154" t="s">
        <v>127</v>
      </c>
      <c r="AS634" s="154" t="s">
        <v>127</v>
      </c>
      <c r="AT634" s="154" t="s">
        <v>127</v>
      </c>
      <c r="AU634" s="154" t="s">
        <v>127</v>
      </c>
      <c r="AV634" s="154" t="s">
        <v>127</v>
      </c>
      <c r="AW634" s="154" t="s">
        <v>127</v>
      </c>
      <c r="AX634" s="154" t="s">
        <v>127</v>
      </c>
      <c r="AY634" s="111" t="s">
        <v>3158</v>
      </c>
      <c r="AZ634" s="111" t="s">
        <v>3159</v>
      </c>
      <c r="BA634" s="154" t="s">
        <v>127</v>
      </c>
      <c r="BB634" s="154" t="s">
        <v>3160</v>
      </c>
      <c r="BC634" s="154" t="s">
        <v>3161</v>
      </c>
      <c r="BD634" s="154" t="s">
        <v>127</v>
      </c>
      <c r="BE634" s="154" t="s">
        <v>127</v>
      </c>
      <c r="BF634" s="154"/>
      <c r="BG634" s="154"/>
      <c r="BH634" s="154"/>
      <c r="BI634" s="154"/>
      <c r="BJ634" s="154"/>
    </row>
    <row r="635" spans="1:67" ht="16" x14ac:dyDescent="0.4">
      <c r="A635" s="6" t="s">
        <v>3156</v>
      </c>
      <c r="B635" s="6" t="s">
        <v>3168</v>
      </c>
      <c r="C635" s="6" t="s">
        <v>127</v>
      </c>
      <c r="D635" s="6" t="s">
        <v>238</v>
      </c>
      <c r="E635" s="191">
        <v>45891</v>
      </c>
      <c r="F635" s="6">
        <v>2025</v>
      </c>
      <c r="G635" s="4" t="s">
        <v>3169</v>
      </c>
      <c r="H635" s="22" t="str">
        <f>VLOOKUP($G635,'Item Classification'!B:C,2,0)</f>
        <v>Air defence targeting system</v>
      </c>
      <c r="I635" s="6" t="str">
        <f>VLOOKUP($G635,'Item Classification'!B:D,3,0)</f>
        <v>Air defence system</v>
      </c>
      <c r="J635" s="23">
        <f>VLOOKUP($G635,'Item Classification'!B:E,4,0)</f>
        <v>5</v>
      </c>
      <c r="K635" s="195" t="s">
        <v>580</v>
      </c>
      <c r="L635" s="195" t="s">
        <v>3170</v>
      </c>
      <c r="M635" s="116" t="str">
        <f>VLOOKUP(L635,'NATO Classifications'!$D$6:$E$647,2,0)</f>
        <v>Fire Control Systems, Complete</v>
      </c>
      <c r="N635" s="154">
        <v>8</v>
      </c>
      <c r="O635" s="81"/>
      <c r="P635" s="81"/>
      <c r="Q635" s="154">
        <v>2025</v>
      </c>
      <c r="R635" s="154">
        <v>2028</v>
      </c>
      <c r="S635" s="101"/>
      <c r="T635" s="115" t="s">
        <v>2145</v>
      </c>
      <c r="U635" s="104">
        <f>_xlfn.IFNA(S635/INDEX('Exchange Rates'!$C$7:$F$14,MATCH('MAIN DATA, Orders'!F635,'Exchange Rates'!$B$7:$B$14,0),MATCH('MAIN DATA, Orders'!T635,'Exchange Rates'!$C$6:$F$6,0)), "-")</f>
        <v>0</v>
      </c>
      <c r="V635" s="6" t="s">
        <v>127</v>
      </c>
      <c r="W635" s="6" t="s">
        <v>127</v>
      </c>
      <c r="X635" s="154" t="s">
        <v>238</v>
      </c>
      <c r="Y635" s="24">
        <f t="shared" si="145"/>
        <v>202508</v>
      </c>
      <c r="Z635" s="162">
        <v>0</v>
      </c>
      <c r="AA635" s="162">
        <v>0</v>
      </c>
      <c r="AB635" s="162">
        <v>0</v>
      </c>
      <c r="AC635" s="24">
        <v>1</v>
      </c>
      <c r="AD635" s="24">
        <v>1</v>
      </c>
      <c r="AE635" s="24">
        <v>0</v>
      </c>
      <c r="AF635" s="24">
        <v>1</v>
      </c>
      <c r="AG635" s="10" t="s">
        <v>2248</v>
      </c>
      <c r="AH635" s="10" t="s">
        <v>238</v>
      </c>
      <c r="AI635" s="6" t="s">
        <v>127</v>
      </c>
      <c r="AJ635" s="6" t="s">
        <v>475</v>
      </c>
      <c r="AK635" s="154" t="s">
        <v>127</v>
      </c>
      <c r="AL635" s="154" t="s">
        <v>127</v>
      </c>
      <c r="AM635" s="154" t="s">
        <v>127</v>
      </c>
      <c r="AN635" s="6" t="s">
        <v>151</v>
      </c>
      <c r="AO635" s="6" t="s">
        <v>197</v>
      </c>
      <c r="AP635" s="6" t="s">
        <v>128</v>
      </c>
      <c r="AQ635" s="6" t="s">
        <v>162</v>
      </c>
      <c r="AR635" s="154" t="s">
        <v>127</v>
      </c>
      <c r="AS635" s="154" t="s">
        <v>127</v>
      </c>
      <c r="AT635" s="154" t="s">
        <v>127</v>
      </c>
      <c r="AU635" s="154" t="s">
        <v>127</v>
      </c>
      <c r="AV635" s="154" t="s">
        <v>127</v>
      </c>
      <c r="AW635" s="154" t="s">
        <v>127</v>
      </c>
      <c r="AX635" s="154" t="s">
        <v>127</v>
      </c>
      <c r="AY635" s="111" t="s">
        <v>3158</v>
      </c>
      <c r="AZ635" s="111" t="s">
        <v>3159</v>
      </c>
      <c r="BA635" s="154" t="s">
        <v>127</v>
      </c>
      <c r="BB635" s="154" t="s">
        <v>3160</v>
      </c>
      <c r="BC635" s="154" t="s">
        <v>3161</v>
      </c>
      <c r="BD635" s="154" t="s">
        <v>127</v>
      </c>
      <c r="BE635" s="154" t="s">
        <v>127</v>
      </c>
      <c r="BG635" s="154"/>
      <c r="BH635" s="154"/>
      <c r="BI635" s="154"/>
      <c r="BJ635" s="154"/>
    </row>
    <row r="636" spans="1:67" ht="16" x14ac:dyDescent="0.4">
      <c r="A636" s="6" t="s">
        <v>3156</v>
      </c>
      <c r="B636" s="6" t="s">
        <v>3171</v>
      </c>
      <c r="C636" s="6" t="s">
        <v>127</v>
      </c>
      <c r="D636" s="6" t="s">
        <v>238</v>
      </c>
      <c r="E636" s="191">
        <v>45891</v>
      </c>
      <c r="F636" s="6">
        <v>2025</v>
      </c>
      <c r="G636" s="4" t="s">
        <v>3172</v>
      </c>
      <c r="H636" s="22" t="str">
        <f>VLOOKUP($G636,'Item Classification'!B:C,2,0)</f>
        <v>Spare parts logistics</v>
      </c>
      <c r="I636" s="6" t="str">
        <f>VLOOKUP($G636,'Item Classification'!B:D,3,0)</f>
        <v>Maintenance</v>
      </c>
      <c r="J636" s="23">
        <f>VLOOKUP($G636,'Item Classification'!B:E,4,0)</f>
        <v>14</v>
      </c>
      <c r="K636" s="195" t="s">
        <v>211</v>
      </c>
      <c r="L636" s="195" t="s">
        <v>326</v>
      </c>
      <c r="M636" s="116" t="str">
        <f>VLOOKUP(L636,'NATO Classifications'!$D$6:$E$647,2,0)</f>
        <v>Guided Missile Systems, Complete</v>
      </c>
      <c r="N636" s="154">
        <v>3</v>
      </c>
      <c r="O636" s="81"/>
      <c r="P636" s="81"/>
      <c r="Q636" s="154">
        <v>2025</v>
      </c>
      <c r="R636" s="154">
        <v>2028</v>
      </c>
      <c r="S636" s="101"/>
      <c r="T636" s="115" t="s">
        <v>2145</v>
      </c>
      <c r="U636" s="104">
        <f>_xlfn.IFNA(S636/INDEX('Exchange Rates'!$C$7:$F$14,MATCH('MAIN DATA, Orders'!F636,'Exchange Rates'!$B$7:$B$14,0),MATCH('MAIN DATA, Orders'!T636,'Exchange Rates'!$C$6:$F$6,0)), "-")</f>
        <v>0</v>
      </c>
      <c r="V636" s="6" t="s">
        <v>127</v>
      </c>
      <c r="W636" s="6" t="s">
        <v>127</v>
      </c>
      <c r="X636" s="154" t="s">
        <v>238</v>
      </c>
      <c r="Y636" s="24">
        <f t="shared" si="145"/>
        <v>202508</v>
      </c>
      <c r="Z636" s="162">
        <v>0</v>
      </c>
      <c r="AA636" s="162">
        <v>0</v>
      </c>
      <c r="AB636" s="162">
        <v>0</v>
      </c>
      <c r="AC636" s="24">
        <v>1</v>
      </c>
      <c r="AD636" s="24">
        <v>1</v>
      </c>
      <c r="AE636" s="24">
        <v>0</v>
      </c>
      <c r="AF636" s="24">
        <v>1</v>
      </c>
      <c r="AG636" s="10" t="s">
        <v>2248</v>
      </c>
      <c r="AH636" s="10" t="s">
        <v>238</v>
      </c>
      <c r="AI636" s="6" t="s">
        <v>127</v>
      </c>
      <c r="AJ636" s="6" t="s">
        <v>475</v>
      </c>
      <c r="AK636" s="154" t="s">
        <v>127</v>
      </c>
      <c r="AL636" s="154" t="s">
        <v>127</v>
      </c>
      <c r="AM636" s="154" t="s">
        <v>127</v>
      </c>
      <c r="AN636" s="6" t="s">
        <v>151</v>
      </c>
      <c r="AO636" s="6" t="s">
        <v>197</v>
      </c>
      <c r="AP636" s="6" t="s">
        <v>128</v>
      </c>
      <c r="AQ636" s="6" t="s">
        <v>162</v>
      </c>
      <c r="AR636" s="154" t="s">
        <v>127</v>
      </c>
      <c r="AS636" s="154" t="s">
        <v>127</v>
      </c>
      <c r="AT636" s="154" t="s">
        <v>127</v>
      </c>
      <c r="AU636" s="154" t="s">
        <v>127</v>
      </c>
      <c r="AV636" s="154" t="s">
        <v>127</v>
      </c>
      <c r="AW636" s="154" t="s">
        <v>127</v>
      </c>
      <c r="AX636" s="154" t="s">
        <v>127</v>
      </c>
      <c r="AY636" s="111" t="s">
        <v>3158</v>
      </c>
      <c r="AZ636" s="111" t="s">
        <v>3159</v>
      </c>
      <c r="BA636" s="154" t="s">
        <v>127</v>
      </c>
      <c r="BB636" s="154" t="s">
        <v>3160</v>
      </c>
      <c r="BC636" s="154" t="s">
        <v>3161</v>
      </c>
      <c r="BD636" s="154" t="s">
        <v>127</v>
      </c>
      <c r="BE636" s="154" t="s">
        <v>127</v>
      </c>
      <c r="BG636" s="154"/>
      <c r="BH636" s="154"/>
      <c r="BI636" s="154"/>
      <c r="BJ636" s="154"/>
    </row>
    <row r="637" spans="1:67" ht="16" x14ac:dyDescent="0.4">
      <c r="A637" s="6" t="s">
        <v>3173</v>
      </c>
      <c r="B637" s="6" t="s">
        <v>3173</v>
      </c>
      <c r="C637" s="6" t="s">
        <v>127</v>
      </c>
      <c r="D637" s="6" t="s">
        <v>238</v>
      </c>
      <c r="E637" s="191">
        <v>45906</v>
      </c>
      <c r="F637" s="6">
        <v>2025</v>
      </c>
      <c r="G637" s="4" t="s">
        <v>3174</v>
      </c>
      <c r="H637" s="22" t="str">
        <f>VLOOKUP($G637,'Item Classification'!B:C,2,0)</f>
        <v>Specialist training centre</v>
      </c>
      <c r="I637" s="6" t="str">
        <f>VLOOKUP($G637,'Item Classification'!B:D,3,0)</f>
        <v>Other</v>
      </c>
      <c r="J637" s="23">
        <f>VLOOKUP($G637,'Item Classification'!B:E,4,0)</f>
        <v>16</v>
      </c>
      <c r="K637" s="195" t="s">
        <v>941</v>
      </c>
      <c r="L637" s="195" t="s">
        <v>942</v>
      </c>
      <c r="M637" s="116" t="str">
        <f>VLOOKUP(L637,'NATO Classifications'!$D$6:$E$647,2,0)</f>
        <v>Training Aids</v>
      </c>
      <c r="N637" s="154">
        <v>5</v>
      </c>
      <c r="O637" s="81">
        <f t="shared" ref="O637" si="152">S637/N637</f>
        <v>20400000</v>
      </c>
      <c r="P637" s="81">
        <f t="shared" ref="P637" si="153">U637/N637</f>
        <v>23809801.701700531</v>
      </c>
      <c r="Q637" s="154">
        <v>2026</v>
      </c>
      <c r="R637" s="154"/>
      <c r="S637" s="101">
        <v>102000000</v>
      </c>
      <c r="T637" s="115" t="s">
        <v>2145</v>
      </c>
      <c r="U637" s="104">
        <f>_xlfn.IFNA(S637/INDEX('Exchange Rates'!$C$7:$F$14,MATCH('MAIN DATA, Orders'!F637,'Exchange Rates'!$B$7:$B$14,0),MATCH('MAIN DATA, Orders'!T637,'Exchange Rates'!$C$6:$F$6,0)), "-")</f>
        <v>119049008.50850266</v>
      </c>
      <c r="V637" s="6" t="s">
        <v>127</v>
      </c>
      <c r="W637" s="6" t="s">
        <v>127</v>
      </c>
      <c r="X637" s="154" t="s">
        <v>3175</v>
      </c>
      <c r="Y637" s="24">
        <f t="shared" si="145"/>
        <v>202509</v>
      </c>
      <c r="Z637" s="162">
        <v>0</v>
      </c>
      <c r="AA637" s="162">
        <v>1</v>
      </c>
      <c r="AB637" s="162">
        <v>0</v>
      </c>
      <c r="AC637" s="162" t="s">
        <v>127</v>
      </c>
      <c r="AD637" s="162" t="s">
        <v>127</v>
      </c>
      <c r="AE637" s="162" t="s">
        <v>127</v>
      </c>
      <c r="AF637" s="162" t="s">
        <v>127</v>
      </c>
      <c r="AG637" s="154" t="s">
        <v>127</v>
      </c>
      <c r="AH637" s="154" t="s">
        <v>127</v>
      </c>
      <c r="AI637" s="154" t="s">
        <v>127</v>
      </c>
      <c r="AJ637" s="154" t="s">
        <v>127</v>
      </c>
      <c r="AK637" s="154" t="s">
        <v>127</v>
      </c>
      <c r="AL637" s="154" t="s">
        <v>127</v>
      </c>
      <c r="AM637" s="154" t="s">
        <v>127</v>
      </c>
      <c r="AN637" s="154" t="s">
        <v>127</v>
      </c>
      <c r="AO637" s="154" t="s">
        <v>127</v>
      </c>
      <c r="AP637" s="154" t="s">
        <v>127</v>
      </c>
      <c r="AQ637" s="154" t="s">
        <v>127</v>
      </c>
      <c r="AR637" s="154" t="s">
        <v>127</v>
      </c>
      <c r="AS637" s="154" t="s">
        <v>127</v>
      </c>
      <c r="AT637" s="154" t="s">
        <v>127</v>
      </c>
      <c r="AU637" s="154" t="s">
        <v>127</v>
      </c>
      <c r="AV637" s="154" t="s">
        <v>127</v>
      </c>
      <c r="AW637" s="154" t="s">
        <v>127</v>
      </c>
      <c r="AX637" s="154" t="s">
        <v>127</v>
      </c>
      <c r="AY637" s="111" t="s">
        <v>3176</v>
      </c>
      <c r="AZ637" s="154" t="s">
        <v>127</v>
      </c>
      <c r="BA637" s="154" t="s">
        <v>127</v>
      </c>
      <c r="BB637" s="154" t="s">
        <v>3177</v>
      </c>
      <c r="BC637" s="154" t="s">
        <v>127</v>
      </c>
      <c r="BD637" s="154" t="s">
        <v>127</v>
      </c>
      <c r="BE637" s="154" t="s">
        <v>3178</v>
      </c>
      <c r="BF637" s="154" t="s">
        <v>127</v>
      </c>
      <c r="BG637" s="154"/>
      <c r="BH637" s="154"/>
      <c r="BI637" s="154"/>
      <c r="BJ637" s="154"/>
    </row>
    <row r="638" spans="1:67" ht="16" x14ac:dyDescent="0.4">
      <c r="A638" s="6" t="s">
        <v>3179</v>
      </c>
      <c r="B638" s="6" t="s">
        <v>3179</v>
      </c>
      <c r="C638" s="6" t="s">
        <v>127</v>
      </c>
      <c r="D638" s="6" t="s">
        <v>238</v>
      </c>
      <c r="E638" s="191">
        <v>45910</v>
      </c>
      <c r="F638" s="6">
        <v>2025</v>
      </c>
      <c r="G638" s="4" t="s">
        <v>3180</v>
      </c>
      <c r="H638" s="22" t="str">
        <f>VLOOKUP($G638,'Item Classification'!B:C,2,0)</f>
        <v>Air defence drone</v>
      </c>
      <c r="I638" s="6" t="str">
        <f>VLOOKUP($G638,'Item Classification'!B:D,3,0)</f>
        <v>Drone</v>
      </c>
      <c r="J638" s="23">
        <f>VLOOKUP($G638,'Item Classification'!B:E,4,0)</f>
        <v>7</v>
      </c>
      <c r="K638" s="195" t="s">
        <v>130</v>
      </c>
      <c r="L638" s="195" t="s">
        <v>131</v>
      </c>
      <c r="M638" s="116" t="str">
        <f>VLOOKUP(L638,'NATO Classifications'!$D$6:$E$647,2,0)</f>
        <v>Unmanned Aircraft</v>
      </c>
      <c r="N638" s="154"/>
      <c r="O638" s="154"/>
      <c r="P638" s="154"/>
      <c r="Q638" s="154"/>
      <c r="R638" s="154"/>
      <c r="S638" s="10"/>
      <c r="T638" s="115" t="s">
        <v>2145</v>
      </c>
      <c r="U638" s="104">
        <f>_xlfn.IFNA(S638/INDEX('Exchange Rates'!$C$7:$F$14,MATCH('MAIN DATA, Orders'!F638,'Exchange Rates'!$B$7:$B$14,0),MATCH('MAIN DATA, Orders'!T638,'Exchange Rates'!$C$6:$F$6,0)), "-")</f>
        <v>0</v>
      </c>
      <c r="V638" s="6" t="s">
        <v>127</v>
      </c>
      <c r="W638" s="6" t="s">
        <v>127</v>
      </c>
      <c r="X638" s="154" t="s">
        <v>809</v>
      </c>
      <c r="Y638" s="24">
        <f t="shared" si="145"/>
        <v>202509</v>
      </c>
      <c r="Z638" s="162">
        <v>0</v>
      </c>
      <c r="AA638" s="162">
        <v>0</v>
      </c>
      <c r="AB638" s="162">
        <v>0</v>
      </c>
      <c r="AC638" s="162">
        <v>1</v>
      </c>
      <c r="AD638" s="162">
        <v>1</v>
      </c>
      <c r="AE638" s="162">
        <v>0</v>
      </c>
      <c r="AF638" s="162">
        <v>1</v>
      </c>
      <c r="AG638" s="10" t="s">
        <v>3181</v>
      </c>
      <c r="AH638" s="154" t="s">
        <v>809</v>
      </c>
      <c r="AI638" s="154" t="s">
        <v>238</v>
      </c>
      <c r="AJ638" s="154" t="s">
        <v>127</v>
      </c>
      <c r="AK638" s="154" t="s">
        <v>127</v>
      </c>
      <c r="AL638" s="154" t="s">
        <v>127</v>
      </c>
      <c r="AM638" s="154" t="s">
        <v>127</v>
      </c>
      <c r="AN638" s="154" t="s">
        <v>238</v>
      </c>
      <c r="AO638" s="154" t="s">
        <v>127</v>
      </c>
      <c r="AP638" s="154" t="s">
        <v>127</v>
      </c>
      <c r="AQ638" s="154" t="s">
        <v>127</v>
      </c>
      <c r="AR638" s="154" t="s">
        <v>127</v>
      </c>
      <c r="AS638" s="154" t="s">
        <v>127</v>
      </c>
      <c r="AT638" s="154" t="s">
        <v>127</v>
      </c>
      <c r="AU638" s="154" t="s">
        <v>127</v>
      </c>
      <c r="AV638" s="154" t="s">
        <v>127</v>
      </c>
      <c r="AW638" s="154" t="s">
        <v>127</v>
      </c>
      <c r="AX638" s="154" t="s">
        <v>127</v>
      </c>
      <c r="AY638" s="111" t="s">
        <v>3182</v>
      </c>
      <c r="AZ638" s="111" t="s">
        <v>3183</v>
      </c>
      <c r="BA638" s="154" t="s">
        <v>127</v>
      </c>
      <c r="BB638" s="154" t="s">
        <v>3184</v>
      </c>
      <c r="BC638" s="154" t="s">
        <v>3185</v>
      </c>
      <c r="BD638" s="154" t="s">
        <v>127</v>
      </c>
      <c r="BE638" s="154" t="s">
        <v>127</v>
      </c>
      <c r="BF638" s="154"/>
      <c r="BG638" s="154"/>
      <c r="BH638" s="154"/>
      <c r="BI638" s="154"/>
      <c r="BJ638" s="154"/>
    </row>
    <row r="639" spans="1:67" ht="16" x14ac:dyDescent="0.4">
      <c r="A639" s="6" t="s">
        <v>3186</v>
      </c>
      <c r="B639" s="6" t="s">
        <v>3186</v>
      </c>
      <c r="C639" s="6" t="s">
        <v>127</v>
      </c>
      <c r="D639" s="6" t="s">
        <v>238</v>
      </c>
      <c r="E639" s="191">
        <v>45912</v>
      </c>
      <c r="F639" s="6">
        <v>2025</v>
      </c>
      <c r="G639" s="4" t="s">
        <v>409</v>
      </c>
      <c r="H639" s="22" t="str">
        <f>VLOOKUP($G639,'Item Classification'!B:C,2,0)</f>
        <v>Communication and digitalisation</v>
      </c>
      <c r="I639" s="6" t="str">
        <f>VLOOKUP($G639,'Item Classification'!B:D,3,0)</f>
        <v>Modernisation</v>
      </c>
      <c r="J639" s="23">
        <f>VLOOKUP($G639,'Item Classification'!B:E,4,0)</f>
        <v>13</v>
      </c>
      <c r="K639" s="195" t="s">
        <v>168</v>
      </c>
      <c r="L639" s="195" t="s">
        <v>182</v>
      </c>
      <c r="M639" s="116" t="str">
        <f>VLOOKUP(L639,'NATO Classifications'!$D$6:$E$647,2,0)</f>
        <v>ADP Software</v>
      </c>
      <c r="N639" s="154"/>
      <c r="O639" s="154"/>
      <c r="P639" s="154"/>
      <c r="Q639" s="154">
        <v>2026</v>
      </c>
      <c r="R639" s="154"/>
      <c r="S639" s="101">
        <v>400000000</v>
      </c>
      <c r="T639" s="115" t="s">
        <v>2145</v>
      </c>
      <c r="U639" s="104">
        <f>_xlfn.IFNA(S639/INDEX('Exchange Rates'!$C$7:$F$14,MATCH('MAIN DATA, Orders'!F639,'Exchange Rates'!$B$7:$B$14,0),MATCH('MAIN DATA, Orders'!T639,'Exchange Rates'!$C$6:$F$6,0)), "-")</f>
        <v>466858856.89608884</v>
      </c>
      <c r="V639" s="6" t="s">
        <v>127</v>
      </c>
      <c r="W639" s="6" t="s">
        <v>127</v>
      </c>
      <c r="X639" s="154" t="s">
        <v>238</v>
      </c>
      <c r="Y639" s="24">
        <f t="shared" si="145"/>
        <v>202509</v>
      </c>
      <c r="Z639" s="162">
        <v>0</v>
      </c>
      <c r="AA639" s="162">
        <v>0</v>
      </c>
      <c r="AB639" s="162">
        <v>0</v>
      </c>
      <c r="AC639" s="162">
        <v>0</v>
      </c>
      <c r="AD639" s="162">
        <v>0</v>
      </c>
      <c r="AE639" s="162">
        <v>0</v>
      </c>
      <c r="AF639" s="162">
        <v>1</v>
      </c>
      <c r="AG639" s="154" t="s">
        <v>3187</v>
      </c>
      <c r="AH639" s="154" t="s">
        <v>196</v>
      </c>
      <c r="AI639" s="154" t="s">
        <v>196</v>
      </c>
      <c r="AJ639" s="154" t="s">
        <v>3188</v>
      </c>
      <c r="AK639" s="154" t="s">
        <v>127</v>
      </c>
      <c r="AL639" s="154" t="s">
        <v>127</v>
      </c>
      <c r="AM639" s="154" t="s">
        <v>127</v>
      </c>
      <c r="AN639" s="154" t="s">
        <v>127</v>
      </c>
      <c r="AO639" s="154" t="s">
        <v>127</v>
      </c>
      <c r="AP639" s="154" t="s">
        <v>127</v>
      </c>
      <c r="AQ639" s="154" t="s">
        <v>127</v>
      </c>
      <c r="AR639" s="154" t="s">
        <v>127</v>
      </c>
      <c r="AS639" s="154" t="s">
        <v>127</v>
      </c>
      <c r="AT639" s="154" t="s">
        <v>127</v>
      </c>
      <c r="AU639" s="154" t="s">
        <v>127</v>
      </c>
      <c r="AV639" s="154" t="s">
        <v>127</v>
      </c>
      <c r="AW639" s="154" t="s">
        <v>127</v>
      </c>
      <c r="AX639" s="154" t="s">
        <v>127</v>
      </c>
      <c r="AY639" s="111" t="s">
        <v>3189</v>
      </c>
      <c r="AZ639" s="154" t="s">
        <v>127</v>
      </c>
      <c r="BA639" s="154" t="s">
        <v>127</v>
      </c>
      <c r="BB639" s="154" t="s">
        <v>3190</v>
      </c>
      <c r="BC639" s="154" t="s">
        <v>127</v>
      </c>
      <c r="BD639" s="154" t="s">
        <v>127</v>
      </c>
      <c r="BE639" s="154" t="s">
        <v>127</v>
      </c>
      <c r="BF639" s="154"/>
      <c r="BG639" s="154"/>
      <c r="BH639" s="154"/>
      <c r="BI639" s="154"/>
      <c r="BJ639" s="154"/>
      <c r="BK639" s="4"/>
      <c r="BL639" s="4"/>
      <c r="BM639" s="4"/>
      <c r="BN639" s="4"/>
      <c r="BO639" s="4"/>
    </row>
    <row r="640" spans="1:67" ht="16" x14ac:dyDescent="0.4">
      <c r="A640" s="6" t="s">
        <v>3191</v>
      </c>
      <c r="B640" s="6" t="s">
        <v>3191</v>
      </c>
      <c r="C640" s="6" t="s">
        <v>127</v>
      </c>
      <c r="D640" s="6" t="s">
        <v>238</v>
      </c>
      <c r="E640" s="191">
        <v>45922</v>
      </c>
      <c r="F640" s="6">
        <v>2025</v>
      </c>
      <c r="G640" s="4" t="s">
        <v>3192</v>
      </c>
      <c r="H640" s="22" t="str">
        <f>VLOOKUP($G640,'Item Classification'!B:C,2,0)</f>
        <v>Heavy machine gun</v>
      </c>
      <c r="I640" s="6" t="str">
        <f>VLOOKUP($G640,'Item Classification'!B:D,3,0)</f>
        <v>Infantry</v>
      </c>
      <c r="J640" s="23">
        <f>VLOOKUP($G640,'Item Classification'!B:E,4,0)</f>
        <v>8</v>
      </c>
      <c r="K640" s="195" t="s">
        <v>763</v>
      </c>
      <c r="L640" s="195" t="s">
        <v>764</v>
      </c>
      <c r="M640" s="116" t="str">
        <f>VLOOKUP(L640,'NATO Classifications'!$D$6:$E$647,2,0)</f>
        <v>Guns below 75mm</v>
      </c>
      <c r="N640" s="154">
        <v>10</v>
      </c>
      <c r="O640" s="81">
        <f t="shared" ref="O640" si="154">S640/N640</f>
        <v>2000000</v>
      </c>
      <c r="P640" s="81">
        <f t="shared" ref="P640" si="155">U640/N640</f>
        <v>2334294.2844804442</v>
      </c>
      <c r="Q640" s="154">
        <v>2026</v>
      </c>
      <c r="R640" s="154">
        <v>2028</v>
      </c>
      <c r="S640" s="101">
        <v>20000000</v>
      </c>
      <c r="T640" s="115" t="s">
        <v>2145</v>
      </c>
      <c r="U640" s="104">
        <f>_xlfn.IFNA(S640/INDEX('Exchange Rates'!$C$7:$F$14,MATCH('MAIN DATA, Orders'!F640,'Exchange Rates'!$B$7:$B$14,0),MATCH('MAIN DATA, Orders'!T640,'Exchange Rates'!$C$6:$F$6,0)), "-")</f>
        <v>23342942.844804443</v>
      </c>
      <c r="V640" s="6" t="s">
        <v>127</v>
      </c>
      <c r="W640" s="6" t="s">
        <v>127</v>
      </c>
      <c r="X640" s="154" t="s">
        <v>238</v>
      </c>
      <c r="Y640" s="24">
        <f t="shared" si="145"/>
        <v>202509</v>
      </c>
      <c r="Z640" s="162">
        <v>0</v>
      </c>
      <c r="AA640" s="162">
        <v>1</v>
      </c>
      <c r="AB640" s="162">
        <v>0</v>
      </c>
      <c r="AC640" s="162">
        <v>1</v>
      </c>
      <c r="AD640" s="162">
        <v>1</v>
      </c>
      <c r="AE640" s="162">
        <v>0</v>
      </c>
      <c r="AF640" s="162">
        <v>1</v>
      </c>
      <c r="AG640" s="154" t="s">
        <v>3193</v>
      </c>
      <c r="AH640" s="154" t="s">
        <v>238</v>
      </c>
      <c r="AI640" s="154" t="s">
        <v>238</v>
      </c>
      <c r="AJ640" s="154" t="s">
        <v>3194</v>
      </c>
      <c r="AK640" s="154" t="s">
        <v>127</v>
      </c>
      <c r="AL640" s="154" t="s">
        <v>127</v>
      </c>
      <c r="AM640" s="154" t="s">
        <v>127</v>
      </c>
      <c r="AN640" s="154" t="s">
        <v>1222</v>
      </c>
      <c r="AO640" s="154" t="s">
        <v>127</v>
      </c>
      <c r="AP640" s="154" t="s">
        <v>127</v>
      </c>
      <c r="AQ640" s="154" t="s">
        <v>127</v>
      </c>
      <c r="AR640" s="154" t="s">
        <v>127</v>
      </c>
      <c r="AS640" s="154" t="s">
        <v>127</v>
      </c>
      <c r="AT640" s="154" t="s">
        <v>127</v>
      </c>
      <c r="AU640" s="154" t="s">
        <v>127</v>
      </c>
      <c r="AV640" s="154" t="s">
        <v>127</v>
      </c>
      <c r="AW640" s="154" t="s">
        <v>127</v>
      </c>
      <c r="AX640" s="154" t="s">
        <v>127</v>
      </c>
      <c r="AY640" s="111" t="s">
        <v>3195</v>
      </c>
      <c r="AZ640" s="154" t="s">
        <v>127</v>
      </c>
      <c r="BA640" s="154" t="s">
        <v>127</v>
      </c>
      <c r="BB640" s="154" t="s">
        <v>3196</v>
      </c>
      <c r="BC640" s="154" t="s">
        <v>127</v>
      </c>
      <c r="BD640" s="154" t="s">
        <v>127</v>
      </c>
      <c r="BE640" s="154" t="s">
        <v>127</v>
      </c>
      <c r="BF640" s="154"/>
      <c r="BG640" s="154"/>
      <c r="BH640" s="154"/>
      <c r="BI640" s="154"/>
      <c r="BJ640" s="154"/>
      <c r="BK640" s="4"/>
      <c r="BL640" s="4"/>
      <c r="BM640" s="4"/>
      <c r="BN640" s="4"/>
      <c r="BO640" s="4"/>
    </row>
    <row r="641" spans="1:67" ht="16" x14ac:dyDescent="0.4">
      <c r="A641" s="6" t="s">
        <v>3197</v>
      </c>
      <c r="B641" s="6" t="s">
        <v>3197</v>
      </c>
      <c r="C641" s="6" t="s">
        <v>127</v>
      </c>
      <c r="D641" s="6" t="s">
        <v>238</v>
      </c>
      <c r="E641" s="191">
        <v>45932</v>
      </c>
      <c r="F641" s="6">
        <v>2025</v>
      </c>
      <c r="G641" s="4" t="s">
        <v>3198</v>
      </c>
      <c r="H641" s="22" t="str">
        <f>VLOOKUP($G641,'Item Classification'!B:C,2,0)</f>
        <v>Logistics management system</v>
      </c>
      <c r="I641" s="6" t="str">
        <f>VLOOKUP($G641,'Item Classification'!B:D,3,0)</f>
        <v>Modernisation</v>
      </c>
      <c r="J641" s="23">
        <f>VLOOKUP($G641,'Item Classification'!B:E,4,0)</f>
        <v>13</v>
      </c>
      <c r="K641" s="195" t="s">
        <v>168</v>
      </c>
      <c r="L641" s="195" t="s">
        <v>182</v>
      </c>
      <c r="M641" s="116" t="str">
        <f>VLOOKUP(L641,'NATO Classifications'!$D$6:$E$647,2,0)</f>
        <v>ADP Software</v>
      </c>
      <c r="N641" s="154"/>
      <c r="O641" s="154"/>
      <c r="P641" s="154"/>
      <c r="Q641" s="154"/>
      <c r="R641" s="154"/>
      <c r="S641" s="101">
        <v>320000000</v>
      </c>
      <c r="T641" s="115" t="s">
        <v>2145</v>
      </c>
      <c r="U641" s="104">
        <f>_xlfn.IFNA(S641/INDEX('Exchange Rates'!$C$7:$F$14,MATCH('MAIN DATA, Orders'!F641,'Exchange Rates'!$B$7:$B$14,0),MATCH('MAIN DATA, Orders'!T641,'Exchange Rates'!$C$6:$F$6,0)), "-")</f>
        <v>373487085.51687109</v>
      </c>
      <c r="V641" s="6" t="s">
        <v>127</v>
      </c>
      <c r="W641" s="6" t="s">
        <v>127</v>
      </c>
      <c r="X641" s="154" t="s">
        <v>238</v>
      </c>
      <c r="Y641" s="24">
        <f t="shared" si="145"/>
        <v>202510</v>
      </c>
      <c r="Z641" s="162">
        <v>0</v>
      </c>
      <c r="AA641" s="162">
        <v>0</v>
      </c>
      <c r="AB641" s="162">
        <v>0</v>
      </c>
      <c r="AC641" s="162">
        <v>1</v>
      </c>
      <c r="AD641" s="162">
        <v>0</v>
      </c>
      <c r="AE641" s="162">
        <v>1</v>
      </c>
      <c r="AF641" s="162">
        <v>1</v>
      </c>
      <c r="AG641" s="154" t="s">
        <v>3199</v>
      </c>
      <c r="AH641" s="154" t="s">
        <v>238</v>
      </c>
      <c r="AI641" s="154" t="s">
        <v>127</v>
      </c>
      <c r="AJ641" s="154" t="s">
        <v>3200</v>
      </c>
      <c r="AK641" s="154" t="s">
        <v>127</v>
      </c>
      <c r="AL641" s="154" t="s">
        <v>127</v>
      </c>
      <c r="AM641" s="154" t="s">
        <v>127</v>
      </c>
      <c r="AN641" s="154" t="s">
        <v>196</v>
      </c>
      <c r="AO641" s="154" t="s">
        <v>127</v>
      </c>
      <c r="AP641" s="154" t="s">
        <v>127</v>
      </c>
      <c r="AQ641" s="154" t="s">
        <v>127</v>
      </c>
      <c r="AR641" s="154" t="s">
        <v>127</v>
      </c>
      <c r="AS641" s="154" t="s">
        <v>127</v>
      </c>
      <c r="AT641" s="154" t="s">
        <v>127</v>
      </c>
      <c r="AU641" s="154" t="s">
        <v>127</v>
      </c>
      <c r="AV641" s="154" t="s">
        <v>127</v>
      </c>
      <c r="AW641" s="154" t="s">
        <v>127</v>
      </c>
      <c r="AX641" s="154" t="s">
        <v>127</v>
      </c>
      <c r="AY641" s="111" t="s">
        <v>3201</v>
      </c>
      <c r="AZ641" s="111" t="s">
        <v>3202</v>
      </c>
      <c r="BA641" s="154" t="s">
        <v>127</v>
      </c>
      <c r="BB641" s="154" t="s">
        <v>3203</v>
      </c>
      <c r="BC641" s="154" t="s">
        <v>127</v>
      </c>
      <c r="BD641" s="154" t="s">
        <v>127</v>
      </c>
      <c r="BE641" s="154" t="s">
        <v>127</v>
      </c>
      <c r="BF641" s="154"/>
      <c r="BG641" s="154"/>
      <c r="BH641" s="154"/>
      <c r="BI641" s="154"/>
      <c r="BJ641" s="154"/>
    </row>
    <row r="642" spans="1:67" ht="16" x14ac:dyDescent="0.4">
      <c r="A642" s="6" t="s">
        <v>3204</v>
      </c>
      <c r="B642" s="6" t="s">
        <v>3204</v>
      </c>
      <c r="C642" s="6" t="s">
        <v>127</v>
      </c>
      <c r="D642" s="6" t="s">
        <v>238</v>
      </c>
      <c r="E642" s="191">
        <v>45943</v>
      </c>
      <c r="F642" s="6">
        <v>2025</v>
      </c>
      <c r="G642" s="4" t="s">
        <v>3077</v>
      </c>
      <c r="H642" s="22" t="str">
        <f>VLOOKUP($G642,'Item Classification'!B:C,2,0)</f>
        <v>Fighter jet maintenance contract</v>
      </c>
      <c r="I642" s="6" t="str">
        <f>VLOOKUP($G642,'Item Classification'!B:D,3,0)</f>
        <v>Maintenance</v>
      </c>
      <c r="J642" s="23">
        <f>VLOOKUP($G642,'Item Classification'!B:E,4,0)</f>
        <v>14</v>
      </c>
      <c r="K642" s="195" t="s">
        <v>130</v>
      </c>
      <c r="L642" s="195" t="s">
        <v>237</v>
      </c>
      <c r="M642" s="116" t="str">
        <f>VLOOKUP(L642,'NATO Classifications'!$D$6:$E$647,2,0)</f>
        <v>Aircraft, Fixed Wing</v>
      </c>
      <c r="N642" s="154">
        <v>5</v>
      </c>
      <c r="O642" s="81">
        <f t="shared" ref="O642:O643" si="156">S642/N642</f>
        <v>1560000</v>
      </c>
      <c r="P642" s="81">
        <f t="shared" ref="P642:P643" si="157">U642/N642</f>
        <v>1820749.5418947465</v>
      </c>
      <c r="Q642" s="154">
        <v>2025</v>
      </c>
      <c r="R642" s="154">
        <v>2030</v>
      </c>
      <c r="S642" s="101">
        <v>7800000</v>
      </c>
      <c r="T642" s="115" t="s">
        <v>2145</v>
      </c>
      <c r="U642" s="104">
        <f>_xlfn.IFNA(S642/INDEX('Exchange Rates'!$C$7:$F$14,MATCH('MAIN DATA, Orders'!F642,'Exchange Rates'!$B$7:$B$14,0),MATCH('MAIN DATA, Orders'!T642,'Exchange Rates'!$C$6:$F$6,0)), "-")</f>
        <v>9103747.7094737329</v>
      </c>
      <c r="V642" s="6" t="s">
        <v>127</v>
      </c>
      <c r="W642" s="6" t="s">
        <v>127</v>
      </c>
      <c r="X642" s="154" t="s">
        <v>238</v>
      </c>
      <c r="Y642" s="24">
        <f t="shared" si="145"/>
        <v>202510</v>
      </c>
      <c r="Z642" s="162">
        <v>0</v>
      </c>
      <c r="AA642" s="162">
        <v>1</v>
      </c>
      <c r="AB642" s="162">
        <v>0</v>
      </c>
      <c r="AC642" s="162">
        <v>1</v>
      </c>
      <c r="AD642" s="162">
        <v>0</v>
      </c>
      <c r="AE642" s="162">
        <v>0</v>
      </c>
      <c r="AF642" s="162">
        <v>0</v>
      </c>
      <c r="AG642" s="154" t="s">
        <v>3205</v>
      </c>
      <c r="AH642" s="154" t="s">
        <v>238</v>
      </c>
      <c r="AI642" s="154" t="s">
        <v>238</v>
      </c>
      <c r="AJ642" s="154" t="s">
        <v>127</v>
      </c>
      <c r="AK642" s="154" t="s">
        <v>127</v>
      </c>
      <c r="AL642" s="154" t="s">
        <v>127</v>
      </c>
      <c r="AM642" s="154" t="s">
        <v>127</v>
      </c>
      <c r="AN642" s="154" t="s">
        <v>127</v>
      </c>
      <c r="AO642" s="154" t="s">
        <v>127</v>
      </c>
      <c r="AP642" s="154" t="s">
        <v>127</v>
      </c>
      <c r="AQ642" s="154" t="s">
        <v>127</v>
      </c>
      <c r="AR642" s="154" t="s">
        <v>127</v>
      </c>
      <c r="AS642" s="154" t="s">
        <v>127</v>
      </c>
      <c r="AT642" s="154" t="s">
        <v>127</v>
      </c>
      <c r="AU642" s="154" t="s">
        <v>127</v>
      </c>
      <c r="AV642" s="154" t="s">
        <v>127</v>
      </c>
      <c r="AW642" s="154" t="s">
        <v>127</v>
      </c>
      <c r="AX642" s="154" t="s">
        <v>127</v>
      </c>
      <c r="AY642" s="111" t="s">
        <v>3206</v>
      </c>
      <c r="AZ642" s="154" t="s">
        <v>127</v>
      </c>
      <c r="BA642" s="154" t="s">
        <v>127</v>
      </c>
      <c r="BB642" s="154" t="s">
        <v>3207</v>
      </c>
      <c r="BC642" s="154" t="s">
        <v>127</v>
      </c>
      <c r="BD642" s="154" t="s">
        <v>127</v>
      </c>
      <c r="BE642" s="154" t="s">
        <v>127</v>
      </c>
      <c r="BF642" s="154"/>
      <c r="BG642" s="154"/>
      <c r="BH642" s="154"/>
      <c r="BI642" s="154"/>
      <c r="BJ642" s="154"/>
      <c r="BK642" s="4"/>
      <c r="BL642" s="4"/>
      <c r="BM642" s="4"/>
      <c r="BN642" s="4"/>
      <c r="BO642" s="4"/>
    </row>
    <row r="643" spans="1:67" ht="16" x14ac:dyDescent="0.4">
      <c r="A643" s="6" t="s">
        <v>3208</v>
      </c>
      <c r="B643" s="6" t="s">
        <v>3208</v>
      </c>
      <c r="C643" s="6" t="s">
        <v>127</v>
      </c>
      <c r="D643" s="6" t="s">
        <v>238</v>
      </c>
      <c r="E643" s="191">
        <v>45960</v>
      </c>
      <c r="F643" s="6">
        <v>2025</v>
      </c>
      <c r="G643" s="4" t="s">
        <v>3209</v>
      </c>
      <c r="H643" s="22" t="str">
        <f>VLOOKUP($G643,'Item Classification'!B:C,2,0)</f>
        <v>Non-combat military vehicle </v>
      </c>
      <c r="I643" s="6" t="str">
        <f>VLOOKUP($G643,'Item Classification'!B:D,3,0)</f>
        <v>Other</v>
      </c>
      <c r="J643" s="23">
        <f>VLOOKUP($G643,'Item Classification'!B:E,4,0)</f>
        <v>16</v>
      </c>
      <c r="K643" s="195" t="s">
        <v>1549</v>
      </c>
      <c r="L643" s="195" t="s">
        <v>1790</v>
      </c>
      <c r="M643" s="116" t="str">
        <f>VLOOKUP(L643,'NATO Classifications'!$D$6:$E$647,2,0)</f>
        <v>Bridges, Fixed and Floating</v>
      </c>
      <c r="N643" s="154">
        <v>36</v>
      </c>
      <c r="O643" s="81">
        <f t="shared" si="156"/>
        <v>5555555.555555556</v>
      </c>
      <c r="P643" s="81">
        <f t="shared" si="157"/>
        <v>6484150.790223456</v>
      </c>
      <c r="Q643" s="154"/>
      <c r="R643" s="154"/>
      <c r="S643" s="101">
        <v>200000000</v>
      </c>
      <c r="T643" s="115" t="s">
        <v>2145</v>
      </c>
      <c r="U643" s="104">
        <f>_xlfn.IFNA(S643/INDEX('Exchange Rates'!$C$7:$F$14,MATCH('MAIN DATA, Orders'!F643,'Exchange Rates'!$B$7:$B$14,0),MATCH('MAIN DATA, Orders'!T643,'Exchange Rates'!$C$6:$F$6,0)), "-")</f>
        <v>233429428.44804442</v>
      </c>
      <c r="V643" s="6" t="s">
        <v>127</v>
      </c>
      <c r="W643" s="6" t="s">
        <v>127</v>
      </c>
      <c r="X643" s="154" t="s">
        <v>238</v>
      </c>
      <c r="Y643" s="24">
        <f t="shared" si="145"/>
        <v>202510</v>
      </c>
      <c r="Z643" s="162">
        <v>0</v>
      </c>
      <c r="AA643" s="162">
        <v>0</v>
      </c>
      <c r="AB643" s="162">
        <v>0</v>
      </c>
      <c r="AC643" s="162">
        <v>1</v>
      </c>
      <c r="AD643" s="162">
        <v>0</v>
      </c>
      <c r="AE643" s="162">
        <v>0</v>
      </c>
      <c r="AF643" s="162">
        <v>1</v>
      </c>
      <c r="AG643" s="154" t="s">
        <v>1846</v>
      </c>
      <c r="AH643" s="154" t="s">
        <v>128</v>
      </c>
      <c r="AI643" s="154" t="s">
        <v>128</v>
      </c>
      <c r="AJ643" s="154" t="s">
        <v>127</v>
      </c>
      <c r="AK643" s="154" t="s">
        <v>127</v>
      </c>
      <c r="AL643" s="154" t="s">
        <v>127</v>
      </c>
      <c r="AM643" s="154" t="s">
        <v>127</v>
      </c>
      <c r="AN643" s="154" t="s">
        <v>127</v>
      </c>
      <c r="AO643" s="154" t="s">
        <v>127</v>
      </c>
      <c r="AP643" s="154" t="s">
        <v>127</v>
      </c>
      <c r="AQ643" s="154" t="s">
        <v>127</v>
      </c>
      <c r="AR643" s="154" t="s">
        <v>127</v>
      </c>
      <c r="AS643" s="154" t="s">
        <v>127</v>
      </c>
      <c r="AT643" s="154" t="s">
        <v>127</v>
      </c>
      <c r="AU643" s="154" t="s">
        <v>127</v>
      </c>
      <c r="AV643" s="154" t="s">
        <v>127</v>
      </c>
      <c r="AW643" s="154" t="s">
        <v>127</v>
      </c>
      <c r="AX643" s="154" t="s">
        <v>127</v>
      </c>
      <c r="AY643" s="111" t="s">
        <v>3210</v>
      </c>
      <c r="AZ643" s="111" t="s">
        <v>3211</v>
      </c>
      <c r="BA643" s="154" t="s">
        <v>127</v>
      </c>
      <c r="BB643" s="154" t="s">
        <v>3212</v>
      </c>
      <c r="BC643" s="154" t="s">
        <v>127</v>
      </c>
      <c r="BD643" s="154" t="s">
        <v>127</v>
      </c>
      <c r="BE643" s="154" t="s">
        <v>127</v>
      </c>
      <c r="BF643" s="154"/>
      <c r="BG643" s="154"/>
      <c r="BH643" s="154"/>
      <c r="BI643" s="154"/>
      <c r="BJ643" s="154"/>
    </row>
    <row r="644" spans="1:67" ht="16" x14ac:dyDescent="0.4">
      <c r="A644" s="6" t="s">
        <v>3213</v>
      </c>
      <c r="B644" s="6" t="s">
        <v>3213</v>
      </c>
      <c r="C644" s="6" t="s">
        <v>127</v>
      </c>
      <c r="D644" s="6" t="s">
        <v>238</v>
      </c>
      <c r="E644" s="191">
        <v>45981</v>
      </c>
      <c r="F644" s="6">
        <v>2025</v>
      </c>
      <c r="G644" s="4" t="s">
        <v>3214</v>
      </c>
      <c r="H644" s="22" t="str">
        <f>VLOOKUP($G644,'Item Classification'!B:C,2,0)</f>
        <v>Laser for Type 45 Destroyer</v>
      </c>
      <c r="I644" s="6" t="str">
        <f>VLOOKUP($G644,'Item Classification'!B:D,3,0)</f>
        <v>Naval</v>
      </c>
      <c r="J644" s="23">
        <f>VLOOKUP($G644,'Item Classification'!B:E,4,0)</f>
        <v>12</v>
      </c>
      <c r="K644" s="195" t="s">
        <v>158</v>
      </c>
      <c r="L644" s="195" t="s">
        <v>354</v>
      </c>
      <c r="M644" s="116" t="str">
        <f>VLOOKUP(L644,'NATO Classifications'!$D$6:$E$647,2,0)</f>
        <v>Communication, Detection, and Coherent Radiation Equipment (other)</v>
      </c>
      <c r="N644" s="154"/>
      <c r="O644" s="154"/>
      <c r="P644" s="154"/>
      <c r="Q644" s="154">
        <v>2027</v>
      </c>
      <c r="R644" s="154"/>
      <c r="S644" s="101">
        <v>316000000</v>
      </c>
      <c r="T644" s="115" t="s">
        <v>2145</v>
      </c>
      <c r="U644" s="104">
        <f>_xlfn.IFNA(S644/INDEX('Exchange Rates'!$C$7:$F$14,MATCH('MAIN DATA, Orders'!F644,'Exchange Rates'!$B$7:$B$14,0),MATCH('MAIN DATA, Orders'!T644,'Exchange Rates'!$C$6:$F$6,0)), "-")</f>
        <v>368818496.94791019</v>
      </c>
      <c r="V644" s="6" t="s">
        <v>127</v>
      </c>
      <c r="W644" s="6" t="s">
        <v>127</v>
      </c>
      <c r="X644" s="154" t="s">
        <v>238</v>
      </c>
      <c r="Y644" s="24">
        <f t="shared" si="145"/>
        <v>202511</v>
      </c>
      <c r="Z644" s="162">
        <v>0</v>
      </c>
      <c r="AA644" s="162">
        <v>0</v>
      </c>
      <c r="AB644" s="162">
        <v>0</v>
      </c>
      <c r="AC644" s="162">
        <v>1</v>
      </c>
      <c r="AD644" s="162">
        <v>1</v>
      </c>
      <c r="AE644" s="162">
        <v>0</v>
      </c>
      <c r="AF644" s="162">
        <v>1</v>
      </c>
      <c r="AG644" s="154" t="s">
        <v>3215</v>
      </c>
      <c r="AH644" s="154" t="s">
        <v>238</v>
      </c>
      <c r="AI644" s="154" t="s">
        <v>238</v>
      </c>
      <c r="AJ644" s="154" t="s">
        <v>2187</v>
      </c>
      <c r="AK644" s="154" t="s">
        <v>360</v>
      </c>
      <c r="AL644" s="154" t="s">
        <v>127</v>
      </c>
      <c r="AM644" s="154" t="s">
        <v>127</v>
      </c>
      <c r="AN644" s="6" t="s">
        <v>151</v>
      </c>
      <c r="AO644" s="6" t="s">
        <v>197</v>
      </c>
      <c r="AP644" s="6" t="s">
        <v>128</v>
      </c>
      <c r="AQ644" s="6" t="s">
        <v>162</v>
      </c>
      <c r="AR644" s="154" t="s">
        <v>127</v>
      </c>
      <c r="AS644" s="154" t="s">
        <v>127</v>
      </c>
      <c r="AT644" s="154" t="s">
        <v>127</v>
      </c>
      <c r="AU644" s="154" t="s">
        <v>127</v>
      </c>
      <c r="AV644" s="154" t="s">
        <v>127</v>
      </c>
      <c r="AW644" s="154" t="s">
        <v>127</v>
      </c>
      <c r="AX644" s="154" t="s">
        <v>127</v>
      </c>
      <c r="AY644" s="111" t="s">
        <v>3216</v>
      </c>
      <c r="AZ644" s="111" t="s">
        <v>3217</v>
      </c>
      <c r="BA644" s="154" t="s">
        <v>127</v>
      </c>
      <c r="BB644" s="154" t="s">
        <v>3218</v>
      </c>
      <c r="BC644" s="154" t="s">
        <v>127</v>
      </c>
      <c r="BD644" s="154" t="s">
        <v>127</v>
      </c>
      <c r="BE644" s="154" t="s">
        <v>127</v>
      </c>
      <c r="BF644" s="154"/>
      <c r="BG644" s="154"/>
      <c r="BH644" s="154"/>
      <c r="BI644" s="154"/>
      <c r="BJ644" s="154"/>
      <c r="BK644" s="4"/>
      <c r="BL644" s="4"/>
      <c r="BM644" s="4"/>
      <c r="BN644" s="4"/>
      <c r="BO644" s="4"/>
    </row>
    <row r="645" spans="1:67" ht="16" x14ac:dyDescent="0.4">
      <c r="A645" s="6" t="s">
        <v>3219</v>
      </c>
      <c r="B645" s="6" t="s">
        <v>3219</v>
      </c>
      <c r="C645" s="6" t="s">
        <v>127</v>
      </c>
      <c r="D645" s="6" t="s">
        <v>238</v>
      </c>
      <c r="E645" s="191">
        <v>45993</v>
      </c>
      <c r="F645" s="6">
        <v>2025</v>
      </c>
      <c r="G645" s="4" t="s">
        <v>3220</v>
      </c>
      <c r="H645" s="22" t="str">
        <f>VLOOKUP($G645,'Item Classification'!B:C,2,0)</f>
        <v>Medical equipment development</v>
      </c>
      <c r="I645" s="6" t="str">
        <f>VLOOKUP($G645,'Item Classification'!B:D,3,0)</f>
        <v>Development - Modernisation</v>
      </c>
      <c r="J645" s="23">
        <f>VLOOKUP($G645,'Item Classification'!B:E,4,0)</f>
        <v>15</v>
      </c>
      <c r="K645" s="195" t="s">
        <v>843</v>
      </c>
      <c r="L645" s="195" t="s">
        <v>1884</v>
      </c>
      <c r="M645" s="116" t="str">
        <f>VLOOKUP(L645,'NATO Classifications'!$D$6:$E$647,2,0)</f>
        <v>Medical and Surgical Instruments, Equipment, and Supplies</v>
      </c>
      <c r="N645" s="154"/>
      <c r="O645" s="154"/>
      <c r="P645" s="154"/>
      <c r="Q645" s="154"/>
      <c r="R645" s="154">
        <v>2027</v>
      </c>
      <c r="S645" s="101">
        <v>3100000</v>
      </c>
      <c r="T645" s="115" t="s">
        <v>2145</v>
      </c>
      <c r="U645" s="104">
        <f>_xlfn.IFNA(S645/INDEX('Exchange Rates'!$C$7:$F$14,MATCH('MAIN DATA, Orders'!F645,'Exchange Rates'!$B$7:$B$14,0),MATCH('MAIN DATA, Orders'!T645,'Exchange Rates'!$C$6:$F$6,0)), "-")</f>
        <v>3618156.1409446886</v>
      </c>
      <c r="V645" s="6" t="s">
        <v>127</v>
      </c>
      <c r="W645" s="6" t="s">
        <v>127</v>
      </c>
      <c r="X645" s="154" t="s">
        <v>238</v>
      </c>
      <c r="Y645" s="24">
        <f t="shared" si="145"/>
        <v>202512</v>
      </c>
      <c r="Z645" s="162">
        <v>0</v>
      </c>
      <c r="AA645" s="162">
        <v>0</v>
      </c>
      <c r="AB645" s="162">
        <v>0</v>
      </c>
      <c r="AC645" s="162">
        <v>1</v>
      </c>
      <c r="AD645" s="162">
        <v>0</v>
      </c>
      <c r="AE645" s="162">
        <v>0</v>
      </c>
      <c r="AF645" s="162">
        <v>0</v>
      </c>
      <c r="AG645" s="154" t="s">
        <v>3221</v>
      </c>
      <c r="AH645" s="154" t="s">
        <v>238</v>
      </c>
      <c r="AI645" s="154" t="s">
        <v>238</v>
      </c>
      <c r="AJ645" s="154" t="s">
        <v>127</v>
      </c>
      <c r="AK645" s="154" t="s">
        <v>127</v>
      </c>
      <c r="AL645" s="154" t="s">
        <v>127</v>
      </c>
      <c r="AM645" s="154" t="s">
        <v>127</v>
      </c>
      <c r="AN645" s="154" t="s">
        <v>127</v>
      </c>
      <c r="AO645" s="154" t="s">
        <v>127</v>
      </c>
      <c r="AP645" s="154" t="s">
        <v>127</v>
      </c>
      <c r="AQ645" s="154" t="s">
        <v>127</v>
      </c>
      <c r="AR645" s="154" t="s">
        <v>127</v>
      </c>
      <c r="AS645" s="154" t="s">
        <v>127</v>
      </c>
      <c r="AT645" s="154" t="s">
        <v>127</v>
      </c>
      <c r="AU645" s="154" t="s">
        <v>127</v>
      </c>
      <c r="AV645" s="154" t="s">
        <v>127</v>
      </c>
      <c r="AW645" s="154" t="s">
        <v>127</v>
      </c>
      <c r="AX645" s="154" t="s">
        <v>127</v>
      </c>
      <c r="AY645" s="111" t="s">
        <v>3222</v>
      </c>
      <c r="AZ645" s="154" t="s">
        <v>127</v>
      </c>
      <c r="BA645" s="154" t="s">
        <v>127</v>
      </c>
      <c r="BB645" s="154" t="s">
        <v>3223</v>
      </c>
      <c r="BC645" s="154" t="s">
        <v>127</v>
      </c>
      <c r="BD645" s="154" t="s">
        <v>127</v>
      </c>
      <c r="BE645" s="154" t="s">
        <v>127</v>
      </c>
      <c r="BF645" s="154"/>
      <c r="BG645" s="154"/>
      <c r="BH645" s="154"/>
      <c r="BI645" s="154"/>
      <c r="BJ645" s="154"/>
    </row>
    <row r="646" spans="1:67" ht="16" x14ac:dyDescent="0.4">
      <c r="A646" s="6" t="s">
        <v>3224</v>
      </c>
      <c r="B646" s="6" t="s">
        <v>3224</v>
      </c>
      <c r="C646" s="6" t="s">
        <v>127</v>
      </c>
      <c r="D646" s="6" t="s">
        <v>238</v>
      </c>
      <c r="E646" s="191">
        <v>46006</v>
      </c>
      <c r="F646" s="6">
        <v>2025</v>
      </c>
      <c r="G646" s="4" t="s">
        <v>3225</v>
      </c>
      <c r="H646" s="22" t="str">
        <f>VLOOKUP($G646,'Item Classification'!B:C,2,0)</f>
        <v>Drone development</v>
      </c>
      <c r="I646" s="6" t="str">
        <f>VLOOKUP($G646,'Item Classification'!B:D,3,0)</f>
        <v>Development - Drone</v>
      </c>
      <c r="J646" s="23">
        <f>VLOOKUP($G646,'Item Classification'!B:E,4,0)</f>
        <v>15</v>
      </c>
      <c r="K646" s="195" t="s">
        <v>130</v>
      </c>
      <c r="L646" s="195" t="s">
        <v>131</v>
      </c>
      <c r="M646" s="116" t="str">
        <f>VLOOKUP(L646,'NATO Classifications'!$D$6:$E$647,2,0)</f>
        <v>Unmanned Aircraft</v>
      </c>
      <c r="N646" s="154"/>
      <c r="O646" s="154"/>
      <c r="P646" s="154"/>
      <c r="Q646" s="154"/>
      <c r="R646" s="154"/>
      <c r="S646" s="101">
        <v>112000000</v>
      </c>
      <c r="T646" s="115" t="s">
        <v>2145</v>
      </c>
      <c r="U646" s="104">
        <f>_xlfn.IFNA(S646/INDEX('Exchange Rates'!$C$7:$F$14,MATCH('MAIN DATA, Orders'!F646,'Exchange Rates'!$B$7:$B$14,0),MATCH('MAIN DATA, Orders'!T646,'Exchange Rates'!$C$6:$F$6,0)), "-")</f>
        <v>130720479.93090488</v>
      </c>
      <c r="V646" s="6" t="s">
        <v>127</v>
      </c>
      <c r="W646" s="6" t="s">
        <v>127</v>
      </c>
      <c r="X646" s="154" t="s">
        <v>238</v>
      </c>
      <c r="Y646" s="24">
        <f t="shared" si="145"/>
        <v>202512</v>
      </c>
      <c r="Z646" s="162">
        <v>0</v>
      </c>
      <c r="AA646" s="162">
        <v>0</v>
      </c>
      <c r="AB646" s="162">
        <v>0</v>
      </c>
      <c r="AC646" s="162" t="s">
        <v>127</v>
      </c>
      <c r="AD646" s="162" t="s">
        <v>127</v>
      </c>
      <c r="AE646" s="162" t="s">
        <v>127</v>
      </c>
      <c r="AF646" s="162" t="s">
        <v>127</v>
      </c>
      <c r="AG646" s="154" t="s">
        <v>127</v>
      </c>
      <c r="AH646" s="154" t="s">
        <v>127</v>
      </c>
      <c r="AI646" s="154" t="s">
        <v>127</v>
      </c>
      <c r="AJ646" s="154" t="s">
        <v>127</v>
      </c>
      <c r="AK646" s="154" t="s">
        <v>127</v>
      </c>
      <c r="AL646" s="154" t="s">
        <v>127</v>
      </c>
      <c r="AM646" s="154" t="s">
        <v>127</v>
      </c>
      <c r="AN646" s="154" t="s">
        <v>127</v>
      </c>
      <c r="AO646" s="154" t="s">
        <v>127</v>
      </c>
      <c r="AP646" s="154" t="s">
        <v>127</v>
      </c>
      <c r="AQ646" s="154" t="s">
        <v>127</v>
      </c>
      <c r="AR646" s="154" t="s">
        <v>127</v>
      </c>
      <c r="AS646" s="154" t="s">
        <v>127</v>
      </c>
      <c r="AT646" s="154" t="s">
        <v>127</v>
      </c>
      <c r="AU646" s="154" t="s">
        <v>127</v>
      </c>
      <c r="AV646" s="154" t="s">
        <v>127</v>
      </c>
      <c r="AW646" s="154" t="s">
        <v>127</v>
      </c>
      <c r="AX646" s="154" t="s">
        <v>127</v>
      </c>
      <c r="AY646" s="111" t="s">
        <v>3226</v>
      </c>
      <c r="AZ646" s="154" t="s">
        <v>127</v>
      </c>
      <c r="BA646" s="154" t="s">
        <v>127</v>
      </c>
      <c r="BB646" s="154" t="s">
        <v>3227</v>
      </c>
      <c r="BC646" s="154" t="s">
        <v>127</v>
      </c>
      <c r="BD646" s="154" t="s">
        <v>127</v>
      </c>
      <c r="BE646" s="154" t="s">
        <v>127</v>
      </c>
      <c r="BF646" s="154"/>
      <c r="BG646" s="154"/>
      <c r="BH646" s="154"/>
      <c r="BI646" s="154"/>
      <c r="BJ646" s="154"/>
    </row>
    <row r="647" spans="1:67" ht="16" x14ac:dyDescent="0.4">
      <c r="A647" s="6" t="s">
        <v>3228</v>
      </c>
      <c r="B647" s="6" t="s">
        <v>3228</v>
      </c>
      <c r="C647" s="6" t="s">
        <v>127</v>
      </c>
      <c r="D647" s="6" t="s">
        <v>238</v>
      </c>
      <c r="E647" s="191">
        <v>46006</v>
      </c>
      <c r="F647" s="6">
        <v>2025</v>
      </c>
      <c r="G647" s="4" t="s">
        <v>3229</v>
      </c>
      <c r="H647" s="22" t="str">
        <f>VLOOKUP($G647,'Item Classification'!B:C,2,0)</f>
        <v>Air defence development</v>
      </c>
      <c r="I647" s="6" t="str">
        <f>VLOOKUP($G647,'Item Classification'!B:D,3,0)</f>
        <v>Development - Air defence system</v>
      </c>
      <c r="J647" s="23">
        <f>VLOOKUP($G647,'Item Classification'!B:E,4,0)</f>
        <v>15</v>
      </c>
      <c r="K647" s="195" t="s">
        <v>158</v>
      </c>
      <c r="L647" s="195" t="s">
        <v>379</v>
      </c>
      <c r="M647" s="116" t="str">
        <f>VLOOKUP(L647,'NATO Classifications'!$D$6:$E$647,2,0)</f>
        <v>Communication, Detection, and Coherent Radiation Equipment (other)</v>
      </c>
      <c r="N647" s="154"/>
      <c r="O647" s="154"/>
      <c r="P647" s="154"/>
      <c r="Q647" s="154"/>
      <c r="R647" s="154"/>
      <c r="S647" s="101">
        <v>30000000</v>
      </c>
      <c r="T647" s="115" t="s">
        <v>2145</v>
      </c>
      <c r="U647" s="104">
        <f>_xlfn.IFNA(S647/INDEX('Exchange Rates'!$C$7:$F$14,MATCH('MAIN DATA, Orders'!F647,'Exchange Rates'!$B$7:$B$14,0),MATCH('MAIN DATA, Orders'!T647,'Exchange Rates'!$C$6:$F$6,0)), "-")</f>
        <v>35014414.267206661</v>
      </c>
      <c r="V647" s="6" t="s">
        <v>127</v>
      </c>
      <c r="W647" s="6" t="s">
        <v>127</v>
      </c>
      <c r="X647" s="154" t="s">
        <v>238</v>
      </c>
      <c r="Y647" s="24">
        <f t="shared" si="145"/>
        <v>202512</v>
      </c>
      <c r="Z647" s="162">
        <v>0</v>
      </c>
      <c r="AA647" s="162">
        <v>0</v>
      </c>
      <c r="AB647" s="162">
        <v>0</v>
      </c>
      <c r="AC647" s="162" t="s">
        <v>127</v>
      </c>
      <c r="AD647" s="162" t="s">
        <v>127</v>
      </c>
      <c r="AE647" s="162" t="s">
        <v>127</v>
      </c>
      <c r="AF647" s="162" t="s">
        <v>127</v>
      </c>
      <c r="AG647" s="154" t="s">
        <v>127</v>
      </c>
      <c r="AH647" s="154" t="s">
        <v>127</v>
      </c>
      <c r="AI647" s="154" t="s">
        <v>127</v>
      </c>
      <c r="AJ647" s="154" t="s">
        <v>127</v>
      </c>
      <c r="AK647" s="154" t="s">
        <v>127</v>
      </c>
      <c r="AL647" s="154" t="s">
        <v>127</v>
      </c>
      <c r="AM647" s="154" t="s">
        <v>127</v>
      </c>
      <c r="AN647" s="154" t="s">
        <v>127</v>
      </c>
      <c r="AO647" s="154" t="s">
        <v>127</v>
      </c>
      <c r="AP647" s="154" t="s">
        <v>127</v>
      </c>
      <c r="AQ647" s="154" t="s">
        <v>127</v>
      </c>
      <c r="AR647" s="154" t="s">
        <v>127</v>
      </c>
      <c r="AS647" s="154" t="s">
        <v>127</v>
      </c>
      <c r="AT647" s="154" t="s">
        <v>127</v>
      </c>
      <c r="AU647" s="154" t="s">
        <v>127</v>
      </c>
      <c r="AV647" s="154" t="s">
        <v>127</v>
      </c>
      <c r="AW647" s="154" t="s">
        <v>127</v>
      </c>
      <c r="AX647" s="154" t="s">
        <v>127</v>
      </c>
      <c r="AY647" s="111" t="s">
        <v>3226</v>
      </c>
      <c r="AZ647" s="154" t="s">
        <v>127</v>
      </c>
      <c r="BA647" s="154" t="s">
        <v>127</v>
      </c>
      <c r="BB647" s="154" t="s">
        <v>3227</v>
      </c>
      <c r="BC647" s="154" t="s">
        <v>127</v>
      </c>
      <c r="BD647" s="154" t="s">
        <v>127</v>
      </c>
      <c r="BE647" s="154" t="s">
        <v>127</v>
      </c>
      <c r="BF647" s="154"/>
      <c r="BG647" s="154"/>
      <c r="BH647" s="154"/>
      <c r="BI647" s="154"/>
      <c r="BJ647" s="154"/>
      <c r="BK647" s="4"/>
      <c r="BL647" s="4"/>
      <c r="BM647" s="4"/>
      <c r="BN647" s="4"/>
      <c r="BO647" s="4"/>
    </row>
    <row r="648" spans="1:67" ht="16" x14ac:dyDescent="0.4">
      <c r="A648" s="6" t="s">
        <v>3230</v>
      </c>
      <c r="B648" s="6" t="s">
        <v>3230</v>
      </c>
      <c r="C648" s="6" t="s">
        <v>127</v>
      </c>
      <c r="D648" s="6" t="s">
        <v>238</v>
      </c>
      <c r="E648" s="191">
        <v>46006</v>
      </c>
      <c r="F648" s="6">
        <v>2025</v>
      </c>
      <c r="G648" s="4" t="s">
        <v>3231</v>
      </c>
      <c r="H648" s="22" t="str">
        <f>VLOOKUP($G648,'Item Classification'!B:C,2,0)</f>
        <v>Helicopter maintenance</v>
      </c>
      <c r="I648" s="6" t="str">
        <f>VLOOKUP($G648,'Item Classification'!B:D,3,0)</f>
        <v>Maintenance</v>
      </c>
      <c r="J648" s="23">
        <f>VLOOKUP($G648,'Item Classification'!B:E,4,0)</f>
        <v>14</v>
      </c>
      <c r="K648" s="195" t="s">
        <v>130</v>
      </c>
      <c r="L648" s="195" t="s">
        <v>266</v>
      </c>
      <c r="M648" s="116" t="str">
        <f>VLOOKUP(L648,'NATO Classifications'!$D$6:$E$647,2,0)</f>
        <v>Aircraft, Rotary Wing</v>
      </c>
      <c r="N648" s="154">
        <v>2</v>
      </c>
      <c r="O648" s="81">
        <f t="shared" ref="O648" si="158">S648/N648</f>
        <v>16800000</v>
      </c>
      <c r="P648" s="81">
        <f t="shared" ref="P648" si="159">U648/N648</f>
        <v>19608071.989635732</v>
      </c>
      <c r="Q648" s="154">
        <v>2026</v>
      </c>
      <c r="R648" s="154">
        <v>2028</v>
      </c>
      <c r="S648" s="101">
        <v>33600000</v>
      </c>
      <c r="T648" s="115" t="s">
        <v>2145</v>
      </c>
      <c r="U648" s="104">
        <f>_xlfn.IFNA(S648/INDEX('Exchange Rates'!$C$7:$F$14,MATCH('MAIN DATA, Orders'!F648,'Exchange Rates'!$B$7:$B$14,0),MATCH('MAIN DATA, Orders'!T648,'Exchange Rates'!$C$6:$F$6,0)), "-")</f>
        <v>39216143.979271464</v>
      </c>
      <c r="V648" s="6" t="s">
        <v>127</v>
      </c>
      <c r="W648" s="6" t="s">
        <v>127</v>
      </c>
      <c r="X648" s="154" t="s">
        <v>238</v>
      </c>
      <c r="Y648" s="24">
        <f t="shared" si="145"/>
        <v>202512</v>
      </c>
      <c r="Z648" s="162">
        <v>0</v>
      </c>
      <c r="AA648" s="162">
        <v>1</v>
      </c>
      <c r="AB648" s="162">
        <v>0</v>
      </c>
      <c r="AC648" s="162">
        <v>1</v>
      </c>
      <c r="AD648" s="162">
        <v>1</v>
      </c>
      <c r="AE648" s="162">
        <v>0</v>
      </c>
      <c r="AF648" s="162">
        <v>1</v>
      </c>
      <c r="AG648" s="154" t="s">
        <v>3232</v>
      </c>
      <c r="AH648" s="154" t="s">
        <v>238</v>
      </c>
      <c r="AI648" s="154" t="s">
        <v>238</v>
      </c>
      <c r="AJ648" s="154" t="s">
        <v>267</v>
      </c>
      <c r="AK648" s="154" t="s">
        <v>127</v>
      </c>
      <c r="AL648" s="154" t="s">
        <v>127</v>
      </c>
      <c r="AM648" s="154" t="s">
        <v>127</v>
      </c>
      <c r="AN648" s="154" t="s">
        <v>151</v>
      </c>
      <c r="AO648" s="154" t="s">
        <v>128</v>
      </c>
      <c r="AP648" s="154" t="s">
        <v>127</v>
      </c>
      <c r="AQ648" s="154" t="s">
        <v>127</v>
      </c>
      <c r="AR648" s="154" t="s">
        <v>127</v>
      </c>
      <c r="AS648" s="154" t="s">
        <v>127</v>
      </c>
      <c r="AT648" s="154" t="s">
        <v>127</v>
      </c>
      <c r="AU648" s="154" t="s">
        <v>127</v>
      </c>
      <c r="AV648" s="154" t="s">
        <v>127</v>
      </c>
      <c r="AW648" s="154" t="s">
        <v>127</v>
      </c>
      <c r="AX648" s="154" t="s">
        <v>127</v>
      </c>
      <c r="AY648" s="111" t="s">
        <v>3233</v>
      </c>
      <c r="AZ648" s="154" t="s">
        <v>127</v>
      </c>
      <c r="BA648" s="154" t="s">
        <v>127</v>
      </c>
      <c r="BB648" s="154" t="s">
        <v>3234</v>
      </c>
      <c r="BC648" s="154" t="s">
        <v>127</v>
      </c>
      <c r="BD648" s="154" t="s">
        <v>127</v>
      </c>
      <c r="BE648" s="154" t="s">
        <v>127</v>
      </c>
      <c r="BF648" s="154"/>
      <c r="BG648" s="154"/>
      <c r="BH648" s="154"/>
      <c r="BI648" s="154"/>
      <c r="BJ648" s="154"/>
    </row>
    <row r="649" spans="1:67" ht="16" x14ac:dyDescent="0.4">
      <c r="A649" s="6" t="s">
        <v>3235</v>
      </c>
      <c r="B649" s="6" t="s">
        <v>3235</v>
      </c>
      <c r="C649" s="6" t="s">
        <v>127</v>
      </c>
      <c r="D649" s="6" t="s">
        <v>238</v>
      </c>
      <c r="E649" s="191">
        <v>46010</v>
      </c>
      <c r="F649" s="6">
        <v>2025</v>
      </c>
      <c r="G649" s="4" t="s">
        <v>3236</v>
      </c>
      <c r="H649" s="22" t="str">
        <f>VLOOKUP($G649,'Item Classification'!B:C,2,0)</f>
        <v>Wargaming software</v>
      </c>
      <c r="I649" s="6" t="str">
        <f>VLOOKUP($G649,'Item Classification'!B:D,3,0)</f>
        <v>Other</v>
      </c>
      <c r="J649" s="23">
        <f>VLOOKUP($G649,'Item Classification'!B:E,4,0)</f>
        <v>16</v>
      </c>
      <c r="K649" s="195" t="s">
        <v>941</v>
      </c>
      <c r="L649" s="195" t="s">
        <v>942</v>
      </c>
      <c r="M649" s="116" t="str">
        <f>VLOOKUP(L649,'NATO Classifications'!$D$6:$E$647,2,0)</f>
        <v>Training Aids</v>
      </c>
      <c r="N649" s="154">
        <v>2</v>
      </c>
      <c r="O649" s="81">
        <f t="shared" ref="O649:O650" si="160">S649/N649</f>
        <v>8450000</v>
      </c>
      <c r="P649" s="81">
        <f t="shared" ref="P649:P650" si="161">U649/N649</f>
        <v>9862393.351929877</v>
      </c>
      <c r="Q649" s="154">
        <v>2025</v>
      </c>
      <c r="R649" s="154">
        <v>2028</v>
      </c>
      <c r="S649" s="101">
        <v>16900000</v>
      </c>
      <c r="T649" s="115" t="s">
        <v>2145</v>
      </c>
      <c r="U649" s="104">
        <f>_xlfn.IFNA(S649/INDEX('Exchange Rates'!$C$7:$F$14,MATCH('MAIN DATA, Orders'!F649,'Exchange Rates'!$B$7:$B$14,0),MATCH('MAIN DATA, Orders'!T649,'Exchange Rates'!$C$6:$F$6,0)), "-")</f>
        <v>19724786.703859754</v>
      </c>
      <c r="V649" s="6" t="s">
        <v>127</v>
      </c>
      <c r="W649" s="6" t="s">
        <v>127</v>
      </c>
      <c r="X649" s="154" t="s">
        <v>238</v>
      </c>
      <c r="Y649" s="24">
        <f t="shared" si="145"/>
        <v>202512</v>
      </c>
      <c r="Z649" s="162">
        <v>0</v>
      </c>
      <c r="AA649" s="162">
        <v>0</v>
      </c>
      <c r="AB649" s="162">
        <v>0</v>
      </c>
      <c r="AC649" s="162">
        <v>1</v>
      </c>
      <c r="AD649" s="162">
        <v>0</v>
      </c>
      <c r="AE649" s="162">
        <v>1</v>
      </c>
      <c r="AF649" s="162">
        <v>1</v>
      </c>
      <c r="AG649" s="154" t="s">
        <v>2312</v>
      </c>
      <c r="AH649" s="154" t="s">
        <v>238</v>
      </c>
      <c r="AI649" s="154" t="s">
        <v>238</v>
      </c>
      <c r="AJ649" s="154" t="s">
        <v>192</v>
      </c>
      <c r="AK649" s="154" t="s">
        <v>127</v>
      </c>
      <c r="AL649" s="154" t="s">
        <v>127</v>
      </c>
      <c r="AM649" s="154" t="s">
        <v>127</v>
      </c>
      <c r="AN649" s="154" t="s">
        <v>196</v>
      </c>
      <c r="AO649" s="154" t="s">
        <v>127</v>
      </c>
      <c r="AP649" s="154" t="s">
        <v>127</v>
      </c>
      <c r="AQ649" s="154" t="s">
        <v>127</v>
      </c>
      <c r="AR649" s="154" t="s">
        <v>127</v>
      </c>
      <c r="AS649" s="154" t="s">
        <v>127</v>
      </c>
      <c r="AT649" s="154" t="s">
        <v>127</v>
      </c>
      <c r="AU649" s="154" t="s">
        <v>127</v>
      </c>
      <c r="AV649" s="154" t="s">
        <v>127</v>
      </c>
      <c r="AW649" s="154" t="s">
        <v>127</v>
      </c>
      <c r="AX649" s="154" t="s">
        <v>127</v>
      </c>
      <c r="AY649" s="111" t="s">
        <v>3237</v>
      </c>
      <c r="AZ649" s="154" t="s">
        <v>127</v>
      </c>
      <c r="BA649" s="154" t="s">
        <v>127</v>
      </c>
      <c r="BB649" s="154" t="s">
        <v>3238</v>
      </c>
      <c r="BC649" s="154" t="s">
        <v>127</v>
      </c>
      <c r="BD649" s="154" t="s">
        <v>127</v>
      </c>
      <c r="BE649" s="154" t="s">
        <v>127</v>
      </c>
      <c r="BF649" s="154"/>
      <c r="BG649" s="154"/>
      <c r="BH649" s="154"/>
      <c r="BI649" s="154"/>
      <c r="BJ649" s="154"/>
      <c r="BK649" s="4"/>
      <c r="BL649" s="4"/>
      <c r="BM649" s="4"/>
      <c r="BN649" s="4"/>
      <c r="BO649" s="4"/>
    </row>
    <row r="650" spans="1:67" ht="16" x14ac:dyDescent="0.4">
      <c r="A650" s="6" t="s">
        <v>3239</v>
      </c>
      <c r="B650" s="6" t="s">
        <v>3239</v>
      </c>
      <c r="C650" s="6" t="s">
        <v>2652</v>
      </c>
      <c r="D650" s="6" t="s">
        <v>238</v>
      </c>
      <c r="E650" s="191">
        <v>46019</v>
      </c>
      <c r="F650" s="6">
        <v>2025</v>
      </c>
      <c r="G650" s="4" t="s">
        <v>2020</v>
      </c>
      <c r="H650" s="22" t="str">
        <f>VLOOKUP($G650,'Item Classification'!B:C,2,0)</f>
        <v>155mm howitzer</v>
      </c>
      <c r="I650" s="6" t="str">
        <f>VLOOKUP($G650,'Item Classification'!B:D,3,0)</f>
        <v>Artillery</v>
      </c>
      <c r="J650" s="23">
        <f>VLOOKUP($G650,'Item Classification'!B:E,4,0)</f>
        <v>3</v>
      </c>
      <c r="K650" s="195" t="s">
        <v>763</v>
      </c>
      <c r="L650" s="195" t="s">
        <v>2021</v>
      </c>
      <c r="M650" s="116" t="str">
        <f>VLOOKUP(L650,'NATO Classifications'!$D$6:$E$647,2,0)</f>
        <v>Guns over 75mm</v>
      </c>
      <c r="N650" s="154">
        <v>1</v>
      </c>
      <c r="O650" s="81">
        <f t="shared" si="160"/>
        <v>52000000</v>
      </c>
      <c r="P650" s="81">
        <f t="shared" si="161"/>
        <v>60691651.39649155</v>
      </c>
      <c r="Q650" s="154"/>
      <c r="R650" s="154"/>
      <c r="S650" s="101">
        <v>52000000</v>
      </c>
      <c r="T650" s="115" t="s">
        <v>2145</v>
      </c>
      <c r="U650" s="104">
        <f>_xlfn.IFNA(S650/INDEX('Exchange Rates'!$C$7:$F$14,MATCH('MAIN DATA, Orders'!F650,'Exchange Rates'!$B$7:$B$14,0),MATCH('MAIN DATA, Orders'!T650,'Exchange Rates'!$C$6:$F$6,0)), "-")</f>
        <v>60691651.39649155</v>
      </c>
      <c r="V650" s="6" t="s">
        <v>127</v>
      </c>
      <c r="W650" s="6" t="s">
        <v>127</v>
      </c>
      <c r="X650" s="154" t="s">
        <v>238</v>
      </c>
      <c r="Y650" s="24">
        <f t="shared" si="145"/>
        <v>202512</v>
      </c>
      <c r="Z650" s="162">
        <v>1</v>
      </c>
      <c r="AA650" s="162">
        <v>0</v>
      </c>
      <c r="AB650" s="162">
        <v>0</v>
      </c>
      <c r="AC650" s="162">
        <v>1</v>
      </c>
      <c r="AD650" s="162">
        <v>1</v>
      </c>
      <c r="AE650" s="162">
        <v>0</v>
      </c>
      <c r="AF650" s="162">
        <v>1</v>
      </c>
      <c r="AG650" s="154" t="s">
        <v>1213</v>
      </c>
      <c r="AH650" s="154" t="s">
        <v>128</v>
      </c>
      <c r="AI650" s="154" t="s">
        <v>127</v>
      </c>
      <c r="AJ650" s="154" t="s">
        <v>2807</v>
      </c>
      <c r="AK650" s="154" t="s">
        <v>127</v>
      </c>
      <c r="AL650" s="154" t="s">
        <v>127</v>
      </c>
      <c r="AM650" s="154" t="s">
        <v>127</v>
      </c>
      <c r="AN650" s="154" t="s">
        <v>238</v>
      </c>
      <c r="AO650" s="154" t="s">
        <v>127</v>
      </c>
      <c r="AP650" s="154" t="s">
        <v>127</v>
      </c>
      <c r="AQ650" s="154" t="s">
        <v>127</v>
      </c>
      <c r="AR650" s="154" t="s">
        <v>127</v>
      </c>
      <c r="AS650" s="154" t="s">
        <v>127</v>
      </c>
      <c r="AT650" s="154" t="s">
        <v>127</v>
      </c>
      <c r="AU650" s="154" t="s">
        <v>127</v>
      </c>
      <c r="AV650" s="154" t="s">
        <v>127</v>
      </c>
      <c r="AW650" s="154" t="s">
        <v>127</v>
      </c>
      <c r="AX650" s="154" t="s">
        <v>127</v>
      </c>
      <c r="AY650" s="111" t="s">
        <v>3240</v>
      </c>
      <c r="AZ650" s="111" t="s">
        <v>3241</v>
      </c>
      <c r="BA650" s="154" t="s">
        <v>127</v>
      </c>
      <c r="BB650" s="154" t="s">
        <v>3242</v>
      </c>
      <c r="BC650" s="154" t="s">
        <v>127</v>
      </c>
      <c r="BD650" s="154" t="s">
        <v>127</v>
      </c>
      <c r="BE650" s="154" t="s">
        <v>127</v>
      </c>
      <c r="BF650" s="154"/>
      <c r="BG650" s="154"/>
      <c r="BH650" s="154"/>
      <c r="BI650" s="154"/>
      <c r="BJ650" s="154"/>
    </row>
    <row r="651" spans="1:67" ht="16" x14ac:dyDescent="0.4">
      <c r="A651" s="6" t="s">
        <v>3243</v>
      </c>
      <c r="B651" s="6" t="s">
        <v>3243</v>
      </c>
      <c r="C651" s="6" t="s">
        <v>127</v>
      </c>
      <c r="D651" s="6" t="s">
        <v>238</v>
      </c>
      <c r="E651" s="191">
        <v>46020</v>
      </c>
      <c r="F651" s="6">
        <v>2025</v>
      </c>
      <c r="G651" s="4" t="s">
        <v>3244</v>
      </c>
      <c r="H651" s="22" t="str">
        <f>VLOOKUP($G651,'Item Classification'!B:C,2,0)</f>
        <v>Operations and command infrastructure</v>
      </c>
      <c r="I651" s="6" t="str">
        <f>VLOOKUP($G651,'Item Classification'!B:D,3,0)</f>
        <v>Naval</v>
      </c>
      <c r="J651" s="23">
        <f>VLOOKUP($G651,'Item Classification'!B:E,4,0)</f>
        <v>12</v>
      </c>
      <c r="K651" s="195" t="s">
        <v>168</v>
      </c>
      <c r="L651" s="195" t="s">
        <v>169</v>
      </c>
      <c r="M651" s="116" t="str">
        <f>VLOOKUP(L651,'NATO Classifications'!$D$6:$E$647,2,0)</f>
        <v>ADPE System Configuration</v>
      </c>
      <c r="N651" s="154"/>
      <c r="O651" s="154"/>
      <c r="P651" s="154"/>
      <c r="Q651" s="154"/>
      <c r="R651" s="154"/>
      <c r="S651" s="101">
        <v>10000000</v>
      </c>
      <c r="T651" s="115" t="s">
        <v>2145</v>
      </c>
      <c r="U651" s="104">
        <f>_xlfn.IFNA(S651/INDEX('Exchange Rates'!$C$7:$F$14,MATCH('MAIN DATA, Orders'!F651,'Exchange Rates'!$B$7:$B$14,0),MATCH('MAIN DATA, Orders'!T651,'Exchange Rates'!$C$6:$F$6,0)), "-")</f>
        <v>11671471.422402222</v>
      </c>
      <c r="V651" s="6" t="s">
        <v>127</v>
      </c>
      <c r="W651" s="6" t="s">
        <v>127</v>
      </c>
      <c r="X651" s="154" t="s">
        <v>238</v>
      </c>
      <c r="Y651" s="24">
        <f t="shared" si="145"/>
        <v>202512</v>
      </c>
      <c r="Z651" s="162">
        <v>0</v>
      </c>
      <c r="AA651" s="162">
        <v>0</v>
      </c>
      <c r="AB651" s="162">
        <v>0</v>
      </c>
      <c r="AC651" s="162">
        <v>1</v>
      </c>
      <c r="AD651" s="162">
        <v>1</v>
      </c>
      <c r="AE651" s="162">
        <v>0</v>
      </c>
      <c r="AF651" s="162">
        <v>1</v>
      </c>
      <c r="AG651" s="154" t="s">
        <v>2153</v>
      </c>
      <c r="AH651" s="154" t="s">
        <v>238</v>
      </c>
      <c r="AI651" s="154" t="s">
        <v>238</v>
      </c>
      <c r="AJ651" s="154" t="s">
        <v>148</v>
      </c>
      <c r="AK651" s="154" t="s">
        <v>3245</v>
      </c>
      <c r="AL651" s="154" t="s">
        <v>3246</v>
      </c>
      <c r="AM651" s="154" t="s">
        <v>2187</v>
      </c>
      <c r="AN651" s="154" t="s">
        <v>151</v>
      </c>
      <c r="AO651" s="154" t="s">
        <v>127</v>
      </c>
      <c r="AP651" s="154" t="s">
        <v>127</v>
      </c>
      <c r="AQ651" s="154" t="s">
        <v>127</v>
      </c>
      <c r="AR651" s="154" t="s">
        <v>127</v>
      </c>
      <c r="AS651" s="154" t="s">
        <v>127</v>
      </c>
      <c r="AT651" s="154" t="s">
        <v>127</v>
      </c>
      <c r="AU651" s="154" t="s">
        <v>127</v>
      </c>
      <c r="AV651" s="154" t="s">
        <v>127</v>
      </c>
      <c r="AW651" s="154" t="s">
        <v>127</v>
      </c>
      <c r="AX651" s="154" t="s">
        <v>127</v>
      </c>
      <c r="AY651" s="111" t="s">
        <v>3247</v>
      </c>
      <c r="AZ651" s="154" t="s">
        <v>127</v>
      </c>
      <c r="BA651" s="154" t="s">
        <v>127</v>
      </c>
      <c r="BB651" s="154" t="s">
        <v>3248</v>
      </c>
      <c r="BC651" s="154" t="s">
        <v>127</v>
      </c>
      <c r="BD651" s="154" t="s">
        <v>127</v>
      </c>
      <c r="BE651" s="154" t="s">
        <v>127</v>
      </c>
      <c r="BF651" s="154"/>
      <c r="BG651" s="154"/>
      <c r="BH651" s="154"/>
      <c r="BI651" s="154"/>
      <c r="BJ651" s="154"/>
      <c r="BK651" s="4"/>
      <c r="BL651" s="4"/>
      <c r="BM651" s="4"/>
      <c r="BN651" s="4"/>
      <c r="BO651" s="4"/>
    </row>
    <row r="652" spans="1:67" ht="16" x14ac:dyDescent="0.4">
      <c r="A652" s="6" t="s">
        <v>3249</v>
      </c>
      <c r="B652" s="6" t="s">
        <v>3249</v>
      </c>
      <c r="C652" s="6" t="s">
        <v>127</v>
      </c>
      <c r="D652" s="6" t="s">
        <v>238</v>
      </c>
      <c r="E652" s="191">
        <v>46028</v>
      </c>
      <c r="F652" s="6">
        <v>2026</v>
      </c>
      <c r="G652" s="4" t="s">
        <v>3250</v>
      </c>
      <c r="H652" s="22" t="str">
        <f>VLOOKUP($G652,'Item Classification'!B:C,2,0)</f>
        <v>Communication and digitalisation</v>
      </c>
      <c r="I652" s="6" t="str">
        <f>VLOOKUP($G652,'Item Classification'!B:D,3,0)</f>
        <v>Modernisation</v>
      </c>
      <c r="J652" s="23">
        <f>VLOOKUP($G652,'Item Classification'!B:E,4,0)</f>
        <v>13</v>
      </c>
      <c r="K652" s="195" t="s">
        <v>168</v>
      </c>
      <c r="L652" s="195" t="s">
        <v>182</v>
      </c>
      <c r="M652" s="116" t="str">
        <f>VLOOKUP(L652,'NATO Classifications'!$D$6:$E$647,2,0)</f>
        <v>ADP Software</v>
      </c>
      <c r="N652" s="154"/>
      <c r="O652" s="154"/>
      <c r="P652" s="154"/>
      <c r="Q652" s="154">
        <v>2026</v>
      </c>
      <c r="R652" s="154">
        <v>2027</v>
      </c>
      <c r="S652" s="101">
        <v>2500000</v>
      </c>
      <c r="T652" s="115" t="s">
        <v>2145</v>
      </c>
      <c r="U652" s="104">
        <f>_xlfn.IFNA(S652/INDEX('Exchange Rates'!$C$7:$F$14,MATCH('MAIN DATA, Orders'!F652,'Exchange Rates'!$B$7:$B$14,0),MATCH('MAIN DATA, Orders'!T652,'Exchange Rates'!$C$6:$F$6,0)), "-")</f>
        <v>2879255.5396876582</v>
      </c>
      <c r="V652" s="6" t="s">
        <v>127</v>
      </c>
      <c r="W652" s="6" t="s">
        <v>127</v>
      </c>
      <c r="X652" s="154" t="s">
        <v>238</v>
      </c>
      <c r="Y652" s="24">
        <f t="shared" si="145"/>
        <v>202601</v>
      </c>
      <c r="Z652" s="162">
        <v>0</v>
      </c>
      <c r="AA652" s="162">
        <v>0</v>
      </c>
      <c r="AB652" s="162">
        <v>0</v>
      </c>
      <c r="AC652" s="162">
        <v>1</v>
      </c>
      <c r="AD652" s="162">
        <v>0</v>
      </c>
      <c r="AE652" s="162">
        <v>0</v>
      </c>
      <c r="AF652" s="162">
        <v>0</v>
      </c>
      <c r="AG652" s="154" t="s">
        <v>3251</v>
      </c>
      <c r="AH652" s="154" t="s">
        <v>238</v>
      </c>
      <c r="AI652" s="154" t="s">
        <v>238</v>
      </c>
      <c r="AJ652" s="154" t="s">
        <v>127</v>
      </c>
      <c r="AK652" s="154" t="s">
        <v>127</v>
      </c>
      <c r="AL652" s="154" t="s">
        <v>127</v>
      </c>
      <c r="AM652" s="154" t="s">
        <v>127</v>
      </c>
      <c r="AN652" s="154" t="s">
        <v>127</v>
      </c>
      <c r="AO652" s="154" t="s">
        <v>127</v>
      </c>
      <c r="AP652" s="154" t="s">
        <v>127</v>
      </c>
      <c r="AQ652" s="154" t="s">
        <v>127</v>
      </c>
      <c r="AR652" s="154" t="s">
        <v>127</v>
      </c>
      <c r="AS652" s="154" t="s">
        <v>127</v>
      </c>
      <c r="AT652" s="154" t="s">
        <v>127</v>
      </c>
      <c r="AU652" s="154" t="s">
        <v>127</v>
      </c>
      <c r="AV652" s="154" t="s">
        <v>127</v>
      </c>
      <c r="AW652" s="154" t="s">
        <v>127</v>
      </c>
      <c r="AX652" s="154" t="s">
        <v>127</v>
      </c>
      <c r="AY652" s="111" t="s">
        <v>3252</v>
      </c>
      <c r="AZ652" s="154" t="s">
        <v>127</v>
      </c>
      <c r="BA652" s="154" t="s">
        <v>127</v>
      </c>
      <c r="BB652" s="154" t="s">
        <v>3253</v>
      </c>
      <c r="BC652" s="154" t="s">
        <v>127</v>
      </c>
      <c r="BD652" s="154" t="s">
        <v>127</v>
      </c>
      <c r="BE652" s="154" t="s">
        <v>127</v>
      </c>
      <c r="BF652" s="154"/>
      <c r="BG652" s="154"/>
      <c r="BH652" s="154"/>
      <c r="BI652" s="154"/>
      <c r="BJ652" s="154"/>
      <c r="BK652" s="4"/>
      <c r="BL652" s="4"/>
      <c r="BM652" s="4"/>
      <c r="BN652" s="4"/>
      <c r="BO652" s="4"/>
    </row>
    <row r="653" spans="1:67" ht="16" x14ac:dyDescent="0.4">
      <c r="A653" s="6" t="s">
        <v>3254</v>
      </c>
      <c r="B653" s="6" t="s">
        <v>3254</v>
      </c>
      <c r="C653" s="6" t="s">
        <v>127</v>
      </c>
      <c r="D653" s="6" t="s">
        <v>238</v>
      </c>
      <c r="E653" s="191">
        <v>46033</v>
      </c>
      <c r="F653" s="6">
        <v>2026</v>
      </c>
      <c r="G653" s="4" t="s">
        <v>3255</v>
      </c>
      <c r="H653" s="22" t="str">
        <f>VLOOKUP($G653,'Item Classification'!B:C,2,0)</f>
        <v>Ballistic missile development</v>
      </c>
      <c r="I653" s="6" t="str">
        <f>VLOOKUP($G653,'Item Classification'!B:D,3,0)</f>
        <v>Development - Missile (Land)</v>
      </c>
      <c r="J653" s="23">
        <f>VLOOKUP($G653,'Item Classification'!B:E,4,0)</f>
        <v>15</v>
      </c>
      <c r="K653" s="195" t="s">
        <v>211</v>
      </c>
      <c r="L653" s="195" t="s">
        <v>211</v>
      </c>
      <c r="M653" s="116" t="str">
        <f>VLOOKUP(L653,'NATO Classifications'!$D$6:$E$647,2,0)</f>
        <v>Guided Missiles</v>
      </c>
      <c r="N653" s="154"/>
      <c r="O653" s="154"/>
      <c r="P653" s="154"/>
      <c r="Q653" s="154">
        <v>2026</v>
      </c>
      <c r="R653" s="154"/>
      <c r="S653" s="101">
        <v>27000000</v>
      </c>
      <c r="T653" s="115" t="s">
        <v>2145</v>
      </c>
      <c r="U653" s="104">
        <f>_xlfn.IFNA(S653/INDEX('Exchange Rates'!$C$7:$F$14,MATCH('MAIN DATA, Orders'!F653,'Exchange Rates'!$B$7:$B$14,0),MATCH('MAIN DATA, Orders'!T653,'Exchange Rates'!$C$6:$F$6,0)), "-")</f>
        <v>31095959.828626707</v>
      </c>
      <c r="V653" s="6" t="s">
        <v>127</v>
      </c>
      <c r="W653" s="6" t="s">
        <v>127</v>
      </c>
      <c r="X653" s="154" t="s">
        <v>809</v>
      </c>
      <c r="Y653" s="24">
        <f t="shared" si="145"/>
        <v>202601</v>
      </c>
      <c r="Z653" s="162">
        <v>0</v>
      </c>
      <c r="AA653" s="162">
        <v>0</v>
      </c>
      <c r="AB653" s="162">
        <v>0</v>
      </c>
      <c r="AC653" s="162" t="s">
        <v>127</v>
      </c>
      <c r="AD653" s="162" t="s">
        <v>127</v>
      </c>
      <c r="AE653" s="162" t="s">
        <v>127</v>
      </c>
      <c r="AF653" s="162" t="s">
        <v>127</v>
      </c>
      <c r="AG653" s="154" t="s">
        <v>127</v>
      </c>
      <c r="AH653" s="154" t="s">
        <v>127</v>
      </c>
      <c r="AI653" s="154" t="s">
        <v>127</v>
      </c>
      <c r="AJ653" s="154" t="s">
        <v>127</v>
      </c>
      <c r="AK653" s="154" t="s">
        <v>127</v>
      </c>
      <c r="AL653" s="154" t="s">
        <v>127</v>
      </c>
      <c r="AM653" s="154" t="s">
        <v>127</v>
      </c>
      <c r="AN653" s="154" t="s">
        <v>127</v>
      </c>
      <c r="AO653" s="154" t="s">
        <v>127</v>
      </c>
      <c r="AP653" s="154" t="s">
        <v>127</v>
      </c>
      <c r="AQ653" s="154" t="s">
        <v>127</v>
      </c>
      <c r="AR653" s="154" t="s">
        <v>127</v>
      </c>
      <c r="AS653" s="154" t="s">
        <v>127</v>
      </c>
      <c r="AT653" s="154" t="s">
        <v>127</v>
      </c>
      <c r="AU653" s="154" t="s">
        <v>127</v>
      </c>
      <c r="AV653" s="154" t="s">
        <v>127</v>
      </c>
      <c r="AW653" s="154" t="s">
        <v>127</v>
      </c>
      <c r="AX653" s="154" t="s">
        <v>127</v>
      </c>
      <c r="AY653" s="111" t="s">
        <v>3256</v>
      </c>
      <c r="AZ653" s="154" t="s">
        <v>127</v>
      </c>
      <c r="BA653" s="154" t="s">
        <v>127</v>
      </c>
      <c r="BB653" s="154" t="s">
        <v>3257</v>
      </c>
      <c r="BC653" s="154" t="s">
        <v>127</v>
      </c>
      <c r="BD653" s="154" t="s">
        <v>127</v>
      </c>
      <c r="BE653" s="154" t="s">
        <v>127</v>
      </c>
      <c r="BF653" s="154"/>
      <c r="BG653" s="154"/>
      <c r="BH653" s="154"/>
      <c r="BI653" s="154"/>
      <c r="BJ653" s="154"/>
      <c r="BK653" s="4"/>
      <c r="BL653" s="4"/>
      <c r="BM653" s="4"/>
      <c r="BN653" s="4"/>
      <c r="BO653" s="4"/>
    </row>
    <row r="654" spans="1:67" ht="16" x14ac:dyDescent="0.4">
      <c r="A654" s="6" t="s">
        <v>3258</v>
      </c>
      <c r="B654" s="6" t="s">
        <v>3258</v>
      </c>
      <c r="C654" s="6" t="s">
        <v>127</v>
      </c>
      <c r="D654" s="6" t="s">
        <v>238</v>
      </c>
      <c r="E654" s="191">
        <v>46041</v>
      </c>
      <c r="F654" s="6">
        <v>2026</v>
      </c>
      <c r="G654" s="4" t="s">
        <v>3077</v>
      </c>
      <c r="H654" s="22" t="str">
        <f>VLOOKUP($G654,'Item Classification'!B:C,2,0)</f>
        <v>Fighter jet maintenance contract</v>
      </c>
      <c r="I654" s="6" t="str">
        <f>VLOOKUP($G654,'Item Classification'!B:D,3,0)</f>
        <v>Maintenance</v>
      </c>
      <c r="J654" s="23">
        <f>VLOOKUP($G654,'Item Classification'!B:E,4,0)</f>
        <v>14</v>
      </c>
      <c r="K654" s="195" t="s">
        <v>130</v>
      </c>
      <c r="L654" s="195" t="s">
        <v>237</v>
      </c>
      <c r="M654" s="116" t="str">
        <f>VLOOKUP(L654,'NATO Classifications'!$D$6:$E$647,2,0)</f>
        <v>Aircraft, Fixed Wing</v>
      </c>
      <c r="N654" s="154">
        <v>5</v>
      </c>
      <c r="O654" s="81">
        <f t="shared" ref="O654:O655" si="162">S654/N654</f>
        <v>41000000</v>
      </c>
      <c r="P654" s="81">
        <f t="shared" ref="P654:P655" si="163">U654/N654</f>
        <v>47219790.850877598</v>
      </c>
      <c r="Q654" s="154">
        <v>2026</v>
      </c>
      <c r="R654" s="154">
        <v>2031</v>
      </c>
      <c r="S654" s="101">
        <v>205000000</v>
      </c>
      <c r="T654" s="115" t="s">
        <v>2145</v>
      </c>
      <c r="U654" s="104">
        <f>_xlfn.IFNA(S654/INDEX('Exchange Rates'!$C$7:$F$14,MATCH('MAIN DATA, Orders'!F654,'Exchange Rates'!$B$7:$B$14,0),MATCH('MAIN DATA, Orders'!T654,'Exchange Rates'!$C$6:$F$6,0)), "-")</f>
        <v>236098954.25438797</v>
      </c>
      <c r="V654" s="6" t="s">
        <v>127</v>
      </c>
      <c r="W654" s="6" t="s">
        <v>127</v>
      </c>
      <c r="X654" s="154" t="s">
        <v>238</v>
      </c>
      <c r="Y654" s="24">
        <f t="shared" si="145"/>
        <v>202601</v>
      </c>
      <c r="Z654" s="162">
        <v>0</v>
      </c>
      <c r="AA654" s="162">
        <v>1</v>
      </c>
      <c r="AB654" s="162">
        <v>0</v>
      </c>
      <c r="AC654" s="162">
        <v>1</v>
      </c>
      <c r="AD654" s="162">
        <v>0</v>
      </c>
      <c r="AE654" s="162">
        <v>0</v>
      </c>
      <c r="AF654" s="162">
        <v>0</v>
      </c>
      <c r="AG654" s="154" t="s">
        <v>2187</v>
      </c>
      <c r="AH654" s="154" t="s">
        <v>238</v>
      </c>
      <c r="AI654" s="154" t="s">
        <v>238</v>
      </c>
      <c r="AJ654" s="154" t="s">
        <v>127</v>
      </c>
      <c r="AK654" s="154" t="s">
        <v>127</v>
      </c>
      <c r="AL654" s="154" t="s">
        <v>127</v>
      </c>
      <c r="AM654" s="154" t="s">
        <v>127</v>
      </c>
      <c r="AN654" s="154" t="s">
        <v>127</v>
      </c>
      <c r="AO654" s="154" t="s">
        <v>127</v>
      </c>
      <c r="AP654" s="154" t="s">
        <v>127</v>
      </c>
      <c r="AQ654" s="154" t="s">
        <v>127</v>
      </c>
      <c r="AR654" s="154" t="s">
        <v>127</v>
      </c>
      <c r="AS654" s="154" t="s">
        <v>127</v>
      </c>
      <c r="AT654" s="154" t="s">
        <v>127</v>
      </c>
      <c r="AU654" s="154" t="s">
        <v>127</v>
      </c>
      <c r="AV654" s="154" t="s">
        <v>127</v>
      </c>
      <c r="AW654" s="154" t="s">
        <v>127</v>
      </c>
      <c r="AX654" s="154" t="s">
        <v>127</v>
      </c>
      <c r="AY654" s="111" t="s">
        <v>3259</v>
      </c>
      <c r="AZ654" s="111" t="s">
        <v>3260</v>
      </c>
      <c r="BA654" s="154" t="s">
        <v>127</v>
      </c>
      <c r="BB654" s="154" t="s">
        <v>3261</v>
      </c>
      <c r="BC654" s="154" t="s">
        <v>127</v>
      </c>
      <c r="BD654" s="154" t="s">
        <v>127</v>
      </c>
      <c r="BE654" s="154" t="s">
        <v>127</v>
      </c>
      <c r="BF654" s="154"/>
      <c r="BG654" s="154"/>
      <c r="BH654" s="154"/>
      <c r="BI654" s="154"/>
      <c r="BJ654" s="154"/>
    </row>
    <row r="655" spans="1:67" ht="16" x14ac:dyDescent="0.4">
      <c r="A655" s="6" t="s">
        <v>3262</v>
      </c>
      <c r="B655" s="6" t="s">
        <v>3262</v>
      </c>
      <c r="C655" s="6" t="s">
        <v>127</v>
      </c>
      <c r="D655" s="6" t="s">
        <v>238</v>
      </c>
      <c r="E655" s="191">
        <v>46044</v>
      </c>
      <c r="F655" s="6">
        <v>2026</v>
      </c>
      <c r="G655" s="4" t="s">
        <v>157</v>
      </c>
      <c r="H655" s="22" t="str">
        <f>VLOOKUP($G655,'Item Classification'!B:C,2,0)</f>
        <v>Radar technology for fighter jet</v>
      </c>
      <c r="I655" s="6" t="str">
        <f>VLOOKUP($G655,'Item Classification'!B:D,3,0)</f>
        <v>Aircraft</v>
      </c>
      <c r="J655" s="23">
        <f>VLOOKUP($G655,'Item Classification'!B:E,4,0)</f>
        <v>11</v>
      </c>
      <c r="K655" s="195" t="s">
        <v>158</v>
      </c>
      <c r="L655" s="195" t="s">
        <v>159</v>
      </c>
      <c r="M655" s="116" t="str">
        <f>VLOOKUP(L655,'NATO Classifications'!$D$6:$E$647,2,0)</f>
        <v>Radar and Sensor</v>
      </c>
      <c r="N655" s="154">
        <v>40</v>
      </c>
      <c r="O655" s="81">
        <f t="shared" si="162"/>
        <v>11337500</v>
      </c>
      <c r="P655" s="81">
        <f t="shared" si="163"/>
        <v>13057423.872483529</v>
      </c>
      <c r="Q655" s="154"/>
      <c r="R655" s="154"/>
      <c r="S655" s="101">
        <v>453500000</v>
      </c>
      <c r="T655" s="115" t="s">
        <v>2145</v>
      </c>
      <c r="U655" s="104">
        <f>_xlfn.IFNA(S655/INDEX('Exchange Rates'!$C$7:$F$14,MATCH('MAIN DATA, Orders'!F655,'Exchange Rates'!$B$7:$B$14,0),MATCH('MAIN DATA, Orders'!T655,'Exchange Rates'!$C$6:$F$6,0)), "-")</f>
        <v>522296954.89934117</v>
      </c>
      <c r="V655" s="6" t="s">
        <v>127</v>
      </c>
      <c r="W655" s="6" t="s">
        <v>127</v>
      </c>
      <c r="X655" s="154" t="s">
        <v>238</v>
      </c>
      <c r="Y655" s="24">
        <f t="shared" si="145"/>
        <v>202601</v>
      </c>
      <c r="Z655" s="162">
        <v>0</v>
      </c>
      <c r="AA655" s="162">
        <v>0</v>
      </c>
      <c r="AB655" s="162">
        <v>0</v>
      </c>
      <c r="AC655" s="162">
        <v>1</v>
      </c>
      <c r="AD655" s="162">
        <v>1</v>
      </c>
      <c r="AE655" s="162">
        <v>1</v>
      </c>
      <c r="AF655" s="162">
        <v>1</v>
      </c>
      <c r="AG655" s="154" t="s">
        <v>2212</v>
      </c>
      <c r="AH655" s="154" t="s">
        <v>238</v>
      </c>
      <c r="AI655" s="154" t="s">
        <v>238</v>
      </c>
      <c r="AJ655" s="154" t="s">
        <v>1480</v>
      </c>
      <c r="AK655" s="154" t="s">
        <v>2213</v>
      </c>
      <c r="AL655" s="154" t="s">
        <v>2214</v>
      </c>
      <c r="AM655" s="154" t="s">
        <v>360</v>
      </c>
      <c r="AN655" s="154" t="s">
        <v>196</v>
      </c>
      <c r="AO655" s="154" t="s">
        <v>197</v>
      </c>
      <c r="AP655" s="154" t="s">
        <v>127</v>
      </c>
      <c r="AQ655" s="154" t="s">
        <v>127</v>
      </c>
      <c r="AR655" s="154" t="s">
        <v>127</v>
      </c>
      <c r="AS655" s="154" t="s">
        <v>127</v>
      </c>
      <c r="AT655" s="154" t="s">
        <v>127</v>
      </c>
      <c r="AU655" s="154" t="s">
        <v>127</v>
      </c>
      <c r="AV655" s="154" t="s">
        <v>127</v>
      </c>
      <c r="AW655" s="154" t="s">
        <v>127</v>
      </c>
      <c r="AX655" s="154" t="s">
        <v>127</v>
      </c>
      <c r="AY655" s="111" t="s">
        <v>3263</v>
      </c>
      <c r="AZ655" s="111" t="s">
        <v>3264</v>
      </c>
      <c r="BA655" s="154" t="s">
        <v>127</v>
      </c>
      <c r="BB655" s="154" t="s">
        <v>3265</v>
      </c>
      <c r="BC655" s="154" t="s">
        <v>127</v>
      </c>
      <c r="BD655" s="154" t="s">
        <v>127</v>
      </c>
      <c r="BE655" s="154" t="s">
        <v>127</v>
      </c>
      <c r="BF655" s="154"/>
      <c r="BG655" s="154"/>
      <c r="BH655" s="154"/>
      <c r="BI655" s="154"/>
      <c r="BJ655" s="154"/>
      <c r="BK655" s="4"/>
      <c r="BL655" s="4"/>
      <c r="BM655" s="4"/>
      <c r="BN655" s="4"/>
      <c r="BO655" s="4"/>
    </row>
    <row r="656" spans="1:67" ht="16" x14ac:dyDescent="0.4">
      <c r="A656" s="6" t="s">
        <v>3266</v>
      </c>
      <c r="B656" s="6" t="s">
        <v>3266</v>
      </c>
      <c r="C656" s="6" t="s">
        <v>127</v>
      </c>
      <c r="D656" s="6" t="s">
        <v>238</v>
      </c>
      <c r="E656" s="191">
        <v>46045</v>
      </c>
      <c r="F656" s="6">
        <v>2026</v>
      </c>
      <c r="G656" s="4" t="s">
        <v>409</v>
      </c>
      <c r="H656" s="22" t="str">
        <f>VLOOKUP($G656,'Item Classification'!B:C,2,0)</f>
        <v>Communication and digitalisation</v>
      </c>
      <c r="I656" s="6" t="str">
        <f>VLOOKUP($G656,'Item Classification'!B:D,3,0)</f>
        <v>Modernisation</v>
      </c>
      <c r="J656" s="23">
        <f>VLOOKUP($G656,'Item Classification'!B:E,4,0)</f>
        <v>13</v>
      </c>
      <c r="K656" s="195" t="s">
        <v>168</v>
      </c>
      <c r="L656" s="195" t="s">
        <v>182</v>
      </c>
      <c r="M656" s="116" t="str">
        <f>VLOOKUP(L656,'NATO Classifications'!$D$6:$E$647,2,0)</f>
        <v>ADP Software</v>
      </c>
      <c r="N656" s="154"/>
      <c r="O656" s="81"/>
      <c r="P656" s="81"/>
      <c r="Q656" s="154"/>
      <c r="R656" s="154">
        <v>2027</v>
      </c>
      <c r="S656" s="101">
        <v>7800000</v>
      </c>
      <c r="T656" s="115" t="s">
        <v>2145</v>
      </c>
      <c r="U656" s="104">
        <f>_xlfn.IFNA(S656/INDEX('Exchange Rates'!$C$7:$F$14,MATCH('MAIN DATA, Orders'!F656,'Exchange Rates'!$B$7:$B$14,0),MATCH('MAIN DATA, Orders'!T656,'Exchange Rates'!$C$6:$F$6,0)), "-")</f>
        <v>8983277.2838254943</v>
      </c>
      <c r="V656" s="6" t="s">
        <v>127</v>
      </c>
      <c r="W656" s="6" t="s">
        <v>127</v>
      </c>
      <c r="X656" s="154" t="s">
        <v>238</v>
      </c>
      <c r="Y656" s="24">
        <f t="shared" si="145"/>
        <v>202601</v>
      </c>
      <c r="Z656" s="162">
        <v>0</v>
      </c>
      <c r="AA656" s="162">
        <v>1</v>
      </c>
      <c r="AB656" s="162">
        <v>0</v>
      </c>
      <c r="AC656" s="162">
        <v>1</v>
      </c>
      <c r="AD656" s="162">
        <v>0</v>
      </c>
      <c r="AE656" s="162">
        <v>0</v>
      </c>
      <c r="AF656" s="162">
        <v>0</v>
      </c>
      <c r="AG656" s="154" t="s">
        <v>3267</v>
      </c>
      <c r="AH656" s="154" t="s">
        <v>238</v>
      </c>
      <c r="AI656" s="154" t="s">
        <v>238</v>
      </c>
      <c r="AJ656" s="154" t="s">
        <v>127</v>
      </c>
      <c r="AK656" s="154" t="s">
        <v>127</v>
      </c>
      <c r="AL656" s="154" t="s">
        <v>127</v>
      </c>
      <c r="AM656" s="154" t="s">
        <v>127</v>
      </c>
      <c r="AN656" s="154" t="s">
        <v>127</v>
      </c>
      <c r="AO656" s="154" t="s">
        <v>127</v>
      </c>
      <c r="AP656" s="154" t="s">
        <v>127</v>
      </c>
      <c r="AQ656" s="154" t="s">
        <v>127</v>
      </c>
      <c r="AR656" s="154" t="s">
        <v>127</v>
      </c>
      <c r="AS656" s="154" t="s">
        <v>127</v>
      </c>
      <c r="AT656" s="154" t="s">
        <v>127</v>
      </c>
      <c r="AU656" s="154" t="s">
        <v>127</v>
      </c>
      <c r="AV656" s="154" t="s">
        <v>127</v>
      </c>
      <c r="AW656" s="154" t="s">
        <v>127</v>
      </c>
      <c r="AX656" s="154" t="s">
        <v>127</v>
      </c>
      <c r="AY656" s="111" t="s">
        <v>3268</v>
      </c>
      <c r="AZ656" s="154" t="s">
        <v>127</v>
      </c>
      <c r="BA656" s="154" t="s">
        <v>127</v>
      </c>
      <c r="BB656" s="154" t="s">
        <v>3269</v>
      </c>
      <c r="BC656" s="154" t="s">
        <v>127</v>
      </c>
      <c r="BD656" s="154" t="s">
        <v>127</v>
      </c>
      <c r="BE656" s="154" t="s">
        <v>127</v>
      </c>
      <c r="BF656" s="154"/>
      <c r="BG656" s="154"/>
      <c r="BH656" s="154"/>
      <c r="BI656" s="154"/>
      <c r="BJ656" s="154"/>
      <c r="BK656" s="4"/>
      <c r="BL656" s="4"/>
      <c r="BM656" s="4"/>
      <c r="BN656" s="4"/>
      <c r="BO656" s="4"/>
    </row>
    <row r="657" spans="1:57" ht="16" x14ac:dyDescent="0.4">
      <c r="A657" s="92" t="s">
        <v>3271</v>
      </c>
      <c r="B657" s="92" t="s">
        <v>3271</v>
      </c>
      <c r="C657" s="6" t="s">
        <v>127</v>
      </c>
      <c r="D657" s="6" t="s">
        <v>3272</v>
      </c>
      <c r="E657" s="192">
        <v>43490</v>
      </c>
      <c r="F657" s="6">
        <f t="shared" ref="F657:F668" si="164">YEAR(E657)</f>
        <v>2019</v>
      </c>
      <c r="G657" s="118" t="s">
        <v>3273</v>
      </c>
      <c r="H657" s="22" t="str">
        <f>VLOOKUP($G657,'Item Classification'!B:C,2,0)</f>
        <v>Light attack helicopter</v>
      </c>
      <c r="I657" s="6" t="str">
        <f>VLOOKUP($G657,'Item Classification'!B:D,3,0)</f>
        <v>Helicopter</v>
      </c>
      <c r="J657" s="23">
        <f>VLOOKUP($G657,'Item Classification'!B:E,4,0)</f>
        <v>10</v>
      </c>
      <c r="K657" s="195" t="s">
        <v>130</v>
      </c>
      <c r="L657" s="195" t="s">
        <v>266</v>
      </c>
      <c r="M657" s="116" t="str">
        <f>VLOOKUP(L657,'NATO Classifications'!$D$6:$E$647,2,0)</f>
        <v>Aircraft, Rotary Wing</v>
      </c>
      <c r="N657" s="92">
        <v>4</v>
      </c>
      <c r="O657" s="81">
        <f>S657/N657</f>
        <v>170850000</v>
      </c>
      <c r="P657" s="81">
        <f t="shared" ref="P657" si="165">U657/N657</f>
        <v>39754746.835443035</v>
      </c>
      <c r="Q657" s="92">
        <v>2019</v>
      </c>
      <c r="R657" s="92">
        <v>2019</v>
      </c>
      <c r="S657" s="82">
        <v>683400000</v>
      </c>
      <c r="T657" s="91" t="s">
        <v>3274</v>
      </c>
      <c r="U657" s="104">
        <f>_xlfn.IFNA(S657/INDEX('Exchange Rates'!$C$7:$F$14,MATCH('MAIN DATA, Orders'!F657,'Exchange Rates'!$B$7:$B$14,0),MATCH('MAIN DATA, Orders'!T657,'Exchange Rates'!$C$6:$F$6,0)), "-")</f>
        <v>159018987.34177214</v>
      </c>
      <c r="V657" s="6" t="s">
        <v>127</v>
      </c>
      <c r="W657" s="6" t="s">
        <v>127</v>
      </c>
      <c r="X657" s="6" t="s">
        <v>3272</v>
      </c>
      <c r="Y657" s="24">
        <f t="shared" ref="Y657:Y720" si="166">_xlfn.NUMBERVALUE(_xlfn.CONCAT(YEAR(E657),TEXT(E657, "mm")))</f>
        <v>201901</v>
      </c>
      <c r="Z657" s="24">
        <v>0</v>
      </c>
      <c r="AA657" s="24">
        <v>0</v>
      </c>
      <c r="AB657" s="24">
        <v>0</v>
      </c>
      <c r="AC657" s="24">
        <v>1</v>
      </c>
      <c r="AD657" s="24">
        <v>0</v>
      </c>
      <c r="AE657" s="24">
        <v>1</v>
      </c>
      <c r="AF657" s="24">
        <v>1</v>
      </c>
      <c r="AG657" s="10" t="s">
        <v>3275</v>
      </c>
      <c r="AH657" s="10" t="s">
        <v>3272</v>
      </c>
      <c r="AI657" s="6" t="s">
        <v>3272</v>
      </c>
      <c r="AJ657" s="6" t="s">
        <v>795</v>
      </c>
      <c r="AK657" s="6" t="s">
        <v>127</v>
      </c>
      <c r="AL657" s="6" t="s">
        <v>127</v>
      </c>
      <c r="AM657" s="6" t="s">
        <v>127</v>
      </c>
      <c r="AN657" s="6" t="s">
        <v>196</v>
      </c>
      <c r="AO657" s="6" t="s">
        <v>127</v>
      </c>
      <c r="AP657" s="6" t="s">
        <v>127</v>
      </c>
      <c r="AQ657" s="6" t="s">
        <v>127</v>
      </c>
      <c r="AR657" s="6" t="s">
        <v>127</v>
      </c>
      <c r="AS657" s="6" t="s">
        <v>127</v>
      </c>
      <c r="AT657" s="6" t="s">
        <v>127</v>
      </c>
      <c r="AU657" s="6" t="s">
        <v>127</v>
      </c>
      <c r="AV657" s="6" t="s">
        <v>127</v>
      </c>
      <c r="AW657" s="6" t="s">
        <v>127</v>
      </c>
      <c r="AX657" s="6" t="s">
        <v>127</v>
      </c>
      <c r="AY657" s="99" t="s">
        <v>3276</v>
      </c>
      <c r="AZ657" s="107" t="s">
        <v>3277</v>
      </c>
      <c r="BA657" s="107" t="s">
        <v>3278</v>
      </c>
      <c r="BB657" s="6" t="s">
        <v>3279</v>
      </c>
      <c r="BC657" s="6" t="s">
        <v>3280</v>
      </c>
      <c r="BD657" s="6" t="s">
        <v>127</v>
      </c>
      <c r="BE657" s="6" t="s">
        <v>127</v>
      </c>
    </row>
    <row r="658" spans="1:57" ht="16" x14ac:dyDescent="0.4">
      <c r="A658" s="92" t="s">
        <v>3281</v>
      </c>
      <c r="B658" s="92" t="s">
        <v>3281</v>
      </c>
      <c r="C658" s="6" t="s">
        <v>3282</v>
      </c>
      <c r="D658" s="6" t="s">
        <v>3272</v>
      </c>
      <c r="E658" s="192">
        <v>43509</v>
      </c>
      <c r="F658" s="6">
        <f t="shared" si="164"/>
        <v>2019</v>
      </c>
      <c r="G658" s="118" t="s">
        <v>3283</v>
      </c>
      <c r="H658" s="22" t="str">
        <f>VLOOKUP($G658,'Item Classification'!B:C,2,0)</f>
        <v>Multiple rocket launcher system</v>
      </c>
      <c r="I658" s="6" t="str">
        <f>VLOOKUP($G658,'Item Classification'!B:D,3,0)</f>
        <v>Artillery</v>
      </c>
      <c r="J658" s="23">
        <f>VLOOKUP($G658,'Item Classification'!B:E,4,0)</f>
        <v>3</v>
      </c>
      <c r="K658" s="195" t="s">
        <v>763</v>
      </c>
      <c r="L658" s="195" t="s">
        <v>1580</v>
      </c>
      <c r="M658" s="116" t="str">
        <f>VLOOKUP(L658,'NATO Classifications'!$D$6:$E$647,2,0)</f>
        <v>Launchers, Rocket and Pyrotechnic</v>
      </c>
      <c r="N658" s="6">
        <v>18</v>
      </c>
      <c r="O658" s="81">
        <f>S658/N658</f>
        <v>23000000</v>
      </c>
      <c r="P658" s="81">
        <f t="shared" ref="P658" si="167">U658/N658</f>
        <v>20544886.109870479</v>
      </c>
      <c r="Q658" s="25"/>
      <c r="R658" s="6">
        <v>2023</v>
      </c>
      <c r="S658" s="82">
        <v>414000000</v>
      </c>
      <c r="T658" s="91" t="s">
        <v>3284</v>
      </c>
      <c r="U658" s="104">
        <f>_xlfn.IFNA(S658/INDEX('Exchange Rates'!$C$7:$F$14,MATCH('MAIN DATA, Orders'!F658,'Exchange Rates'!$B$7:$B$14,0),MATCH('MAIN DATA, Orders'!T658,'Exchange Rates'!$C$6:$F$6,0)), "-")</f>
        <v>369807949.97766864</v>
      </c>
      <c r="V658" s="6" t="s">
        <v>127</v>
      </c>
      <c r="W658" s="6" t="s">
        <v>127</v>
      </c>
      <c r="X658" s="6" t="s">
        <v>3272</v>
      </c>
      <c r="Y658" s="24">
        <f t="shared" si="166"/>
        <v>201902</v>
      </c>
      <c r="Z658" s="24">
        <v>0</v>
      </c>
      <c r="AA658" s="24">
        <v>0</v>
      </c>
      <c r="AB658" s="24">
        <v>0</v>
      </c>
      <c r="AC658" s="24">
        <v>0</v>
      </c>
      <c r="AD658" s="24">
        <v>0</v>
      </c>
      <c r="AE658" s="24">
        <v>0</v>
      </c>
      <c r="AF658" s="24">
        <v>0</v>
      </c>
      <c r="AG658" s="102" t="s">
        <v>795</v>
      </c>
      <c r="AH658" s="102" t="s">
        <v>196</v>
      </c>
      <c r="AI658" s="92" t="s">
        <v>196</v>
      </c>
      <c r="AJ658" s="6" t="s">
        <v>127</v>
      </c>
      <c r="AK658" s="6" t="s">
        <v>127</v>
      </c>
      <c r="AL658" s="6" t="s">
        <v>127</v>
      </c>
      <c r="AM658" s="6" t="s">
        <v>127</v>
      </c>
      <c r="AN658" s="6" t="s">
        <v>127</v>
      </c>
      <c r="AO658" s="6" t="s">
        <v>127</v>
      </c>
      <c r="AP658" s="6" t="s">
        <v>127</v>
      </c>
      <c r="AQ658" s="6" t="s">
        <v>127</v>
      </c>
      <c r="AR658" s="6" t="s">
        <v>127</v>
      </c>
      <c r="AS658" s="6" t="s">
        <v>127</v>
      </c>
      <c r="AT658" s="6" t="s">
        <v>127</v>
      </c>
      <c r="AU658" s="6" t="s">
        <v>127</v>
      </c>
      <c r="AV658" s="6" t="s">
        <v>127</v>
      </c>
      <c r="AW658" s="6" t="s">
        <v>127</v>
      </c>
      <c r="AX658" s="6" t="s">
        <v>127</v>
      </c>
      <c r="AY658" s="99" t="s">
        <v>3285</v>
      </c>
      <c r="AZ658" s="99" t="s">
        <v>3286</v>
      </c>
      <c r="BA658" s="99" t="s">
        <v>3287</v>
      </c>
      <c r="BB658" s="6" t="s">
        <v>3288</v>
      </c>
      <c r="BC658" s="6" t="s">
        <v>3289</v>
      </c>
      <c r="BD658" s="6" t="s">
        <v>127</v>
      </c>
      <c r="BE658" s="6" t="s">
        <v>127</v>
      </c>
    </row>
    <row r="659" spans="1:57" ht="16" x14ac:dyDescent="0.4">
      <c r="A659" s="92" t="s">
        <v>3290</v>
      </c>
      <c r="B659" s="92" t="s">
        <v>3290</v>
      </c>
      <c r="C659" s="6" t="s">
        <v>127</v>
      </c>
      <c r="D659" s="6" t="s">
        <v>3272</v>
      </c>
      <c r="E659" s="192">
        <v>43524</v>
      </c>
      <c r="F659" s="6">
        <f t="shared" si="164"/>
        <v>2019</v>
      </c>
      <c r="G659" s="6" t="s">
        <v>3291</v>
      </c>
      <c r="H659" s="22" t="str">
        <f>VLOOKUP($G659,'Item Classification'!B:C,2,0)</f>
        <v>Cyberspace defence equipment</v>
      </c>
      <c r="I659" s="6" t="str">
        <f>VLOOKUP($G659,'Item Classification'!B:D,3,0)</f>
        <v>Modernisation</v>
      </c>
      <c r="J659" s="23">
        <f>VLOOKUP($G659,'Item Classification'!B:E,4,0)</f>
        <v>13</v>
      </c>
      <c r="K659" s="195" t="s">
        <v>158</v>
      </c>
      <c r="L659" s="195" t="s">
        <v>174</v>
      </c>
      <c r="M659" s="116" t="str">
        <f>VLOOKUP(L659,'NATO Classifications'!$D$6:$E$647,2,0)</f>
        <v>Communication, Detection, and Coherent Radiation Equipment (other)</v>
      </c>
      <c r="N659" s="25"/>
      <c r="O659" s="81"/>
      <c r="P659" s="25"/>
      <c r="Q659" s="25"/>
      <c r="R659" s="6">
        <v>2026</v>
      </c>
      <c r="S659" s="82">
        <v>3000000000</v>
      </c>
      <c r="T659" s="91" t="s">
        <v>3274</v>
      </c>
      <c r="U659" s="104">
        <f>_xlfn.IFNA(S659/INDEX('Exchange Rates'!$C$7:$F$14,MATCH('MAIN DATA, Orders'!F659,'Exchange Rates'!$B$7:$B$14,0),MATCH('MAIN DATA, Orders'!T659,'Exchange Rates'!$C$6:$F$6,0)), "-")</f>
        <v>698064035.74087858</v>
      </c>
      <c r="V659" s="6" t="s">
        <v>127</v>
      </c>
      <c r="W659" s="6" t="s">
        <v>127</v>
      </c>
      <c r="X659" s="6" t="s">
        <v>3272</v>
      </c>
      <c r="Y659" s="24">
        <f t="shared" si="166"/>
        <v>201902</v>
      </c>
      <c r="Z659" s="24">
        <v>0</v>
      </c>
      <c r="AA659" s="24">
        <v>0</v>
      </c>
      <c r="AB659" s="24">
        <v>0</v>
      </c>
      <c r="AC659" s="24" t="s">
        <v>127</v>
      </c>
      <c r="AD659" s="24" t="s">
        <v>127</v>
      </c>
      <c r="AE659" s="24" t="s">
        <v>127</v>
      </c>
      <c r="AF659" s="24" t="s">
        <v>127</v>
      </c>
      <c r="AG659" s="6" t="s">
        <v>127</v>
      </c>
      <c r="AH659" s="10" t="s">
        <v>127</v>
      </c>
      <c r="AI659" s="6" t="s">
        <v>127</v>
      </c>
      <c r="AJ659" s="6" t="s">
        <v>127</v>
      </c>
      <c r="AK659" s="6" t="s">
        <v>127</v>
      </c>
      <c r="AL659" s="6" t="s">
        <v>127</v>
      </c>
      <c r="AM659" s="6" t="s">
        <v>127</v>
      </c>
      <c r="AN659" s="6" t="s">
        <v>127</v>
      </c>
      <c r="AO659" s="6" t="s">
        <v>127</v>
      </c>
      <c r="AP659" s="6" t="s">
        <v>127</v>
      </c>
      <c r="AQ659" s="6" t="s">
        <v>127</v>
      </c>
      <c r="AR659" s="6" t="s">
        <v>127</v>
      </c>
      <c r="AS659" s="6" t="s">
        <v>127</v>
      </c>
      <c r="AT659" s="6" t="s">
        <v>127</v>
      </c>
      <c r="AU659" s="6" t="s">
        <v>127</v>
      </c>
      <c r="AV659" s="6" t="s">
        <v>127</v>
      </c>
      <c r="AW659" s="6" t="s">
        <v>127</v>
      </c>
      <c r="AX659" s="6" t="s">
        <v>127</v>
      </c>
      <c r="AY659" s="99" t="s">
        <v>3292</v>
      </c>
      <c r="AZ659" s="99" t="s">
        <v>3293</v>
      </c>
      <c r="BA659" s="6" t="s">
        <v>127</v>
      </c>
      <c r="BB659" s="6" t="s">
        <v>3294</v>
      </c>
      <c r="BC659" s="6" t="s">
        <v>3295</v>
      </c>
      <c r="BD659" s="6" t="s">
        <v>3296</v>
      </c>
      <c r="BE659" s="6" t="s">
        <v>127</v>
      </c>
    </row>
    <row r="660" spans="1:57" ht="16" x14ac:dyDescent="0.4">
      <c r="A660" s="92" t="s">
        <v>3297</v>
      </c>
      <c r="B660" s="92" t="s">
        <v>3297</v>
      </c>
      <c r="C660" s="6" t="s">
        <v>3298</v>
      </c>
      <c r="D660" s="6" t="s">
        <v>3272</v>
      </c>
      <c r="E660" s="192">
        <v>43550</v>
      </c>
      <c r="F660" s="6">
        <f t="shared" si="164"/>
        <v>2019</v>
      </c>
      <c r="G660" s="119" t="s">
        <v>3299</v>
      </c>
      <c r="H660" s="22" t="str">
        <f>VLOOKUP($G660,'Item Classification'!B:C,2,0)</f>
        <v>Anti-aircraft surface-to-air missile (SAM) system (long-range)</v>
      </c>
      <c r="I660" s="6" t="str">
        <f>VLOOKUP($G660,'Item Classification'!B:D,3,0)</f>
        <v>Air defence system</v>
      </c>
      <c r="J660" s="23">
        <f>VLOOKUP($G660,'Item Classification'!B:E,4,0)</f>
        <v>5</v>
      </c>
      <c r="K660" s="195" t="s">
        <v>211</v>
      </c>
      <c r="L660" s="195" t="s">
        <v>326</v>
      </c>
      <c r="M660" s="116" t="str">
        <f>VLOOKUP(L660,'NATO Classifications'!$D$6:$E$647,2,0)</f>
        <v>Guided Missile Systems, Complete</v>
      </c>
      <c r="N660" s="25"/>
      <c r="O660" s="81"/>
      <c r="P660" s="25"/>
      <c r="Q660" s="25"/>
      <c r="R660" s="25"/>
      <c r="S660" s="103">
        <v>724764000</v>
      </c>
      <c r="T660" s="91" t="s">
        <v>3274</v>
      </c>
      <c r="U660" s="104">
        <f>_xlfn.IFNA(S660/INDEX('Exchange Rates'!$C$7:$F$14,MATCH('MAIN DATA, Orders'!F660,'Exchange Rates'!$B$7:$B$14,0),MATCH('MAIN DATA, Orders'!T660,'Exchange Rates'!$C$6:$F$6,0)), "-")</f>
        <v>168643894.26656738</v>
      </c>
      <c r="V660" s="6" t="s">
        <v>127</v>
      </c>
      <c r="W660" s="6" t="s">
        <v>127</v>
      </c>
      <c r="X660" s="6" t="s">
        <v>3272</v>
      </c>
      <c r="Y660" s="24">
        <f t="shared" si="166"/>
        <v>201903</v>
      </c>
      <c r="Z660" s="24">
        <v>0</v>
      </c>
      <c r="AA660" s="24">
        <v>1</v>
      </c>
      <c r="AB660" s="24">
        <v>0</v>
      </c>
      <c r="AC660" s="24">
        <v>1</v>
      </c>
      <c r="AD660" s="24">
        <v>0</v>
      </c>
      <c r="AE660" s="24">
        <v>1</v>
      </c>
      <c r="AF660" s="24">
        <v>1</v>
      </c>
      <c r="AG660" s="102" t="s">
        <v>795</v>
      </c>
      <c r="AH660" s="10" t="s">
        <v>196</v>
      </c>
      <c r="AI660" s="92" t="s">
        <v>3272</v>
      </c>
      <c r="AJ660" s="6" t="s">
        <v>3300</v>
      </c>
      <c r="AK660" s="92" t="s">
        <v>3301</v>
      </c>
      <c r="AM660" s="6" t="s">
        <v>127</v>
      </c>
      <c r="AN660" s="6" t="s">
        <v>3272</v>
      </c>
      <c r="AO660" s="6" t="s">
        <v>127</v>
      </c>
      <c r="AP660" s="6" t="s">
        <v>127</v>
      </c>
      <c r="AQ660" s="6" t="s">
        <v>127</v>
      </c>
      <c r="AR660" s="6" t="s">
        <v>127</v>
      </c>
      <c r="AS660" s="6" t="s">
        <v>127</v>
      </c>
      <c r="AT660" s="6" t="s">
        <v>127</v>
      </c>
      <c r="AU660" s="6" t="s">
        <v>127</v>
      </c>
      <c r="AV660" s="6" t="s">
        <v>127</v>
      </c>
      <c r="AW660" s="6" t="s">
        <v>127</v>
      </c>
      <c r="AX660" s="6" t="s">
        <v>127</v>
      </c>
      <c r="AY660" s="99" t="s">
        <v>3302</v>
      </c>
      <c r="AZ660" s="99" t="s">
        <v>3303</v>
      </c>
      <c r="BA660" s="6" t="s">
        <v>127</v>
      </c>
      <c r="BB660" s="6" t="s">
        <v>3304</v>
      </c>
      <c r="BC660" s="6" t="s">
        <v>3305</v>
      </c>
      <c r="BD660" s="6" t="s">
        <v>127</v>
      </c>
      <c r="BE660" s="6" t="s">
        <v>127</v>
      </c>
    </row>
    <row r="661" spans="1:57" ht="16" x14ac:dyDescent="0.4">
      <c r="A661" s="92" t="s">
        <v>3306</v>
      </c>
      <c r="B661" s="92" t="s">
        <v>3306</v>
      </c>
      <c r="C661" s="6" t="s">
        <v>127</v>
      </c>
      <c r="D661" s="6" t="s">
        <v>3272</v>
      </c>
      <c r="E661" s="192">
        <v>43563</v>
      </c>
      <c r="F661" s="6">
        <f t="shared" si="164"/>
        <v>2019</v>
      </c>
      <c r="G661" s="6" t="s">
        <v>3307</v>
      </c>
      <c r="H661" s="22" t="str">
        <f>VLOOKUP($G661,'Item Classification'!B:C,2,0)</f>
        <v>Naval heavy transport helicopter</v>
      </c>
      <c r="I661" s="6" t="str">
        <f>VLOOKUP($G661,'Item Classification'!B:D,3,0)</f>
        <v>Naval</v>
      </c>
      <c r="J661" s="23">
        <f>VLOOKUP($G661,'Item Classification'!B:E,4,0)</f>
        <v>12</v>
      </c>
      <c r="K661" s="195" t="s">
        <v>130</v>
      </c>
      <c r="L661" s="195" t="s">
        <v>266</v>
      </c>
      <c r="M661" s="116" t="str">
        <f>VLOOKUP(L661,'NATO Classifications'!$D$6:$E$647,2,0)</f>
        <v>Aircraft, Rotary Wing</v>
      </c>
      <c r="N661" s="25"/>
      <c r="O661" s="81"/>
      <c r="P661" s="25"/>
      <c r="Q661" s="25"/>
      <c r="R661" s="25"/>
      <c r="S661" s="103">
        <v>395882751</v>
      </c>
      <c r="T661" s="91" t="s">
        <v>3274</v>
      </c>
      <c r="U661" s="104">
        <f>_xlfn.IFNA(S661/INDEX('Exchange Rates'!$C$7:$F$14,MATCH('MAIN DATA, Orders'!F661,'Exchange Rates'!$B$7:$B$14,0),MATCH('MAIN DATA, Orders'!T661,'Exchange Rates'!$C$6:$F$6,0)), "-")</f>
        <v>92117170.281087115</v>
      </c>
      <c r="V661" s="6" t="s">
        <v>127</v>
      </c>
      <c r="W661" s="6" t="s">
        <v>127</v>
      </c>
      <c r="X661" s="6" t="s">
        <v>3272</v>
      </c>
      <c r="Y661" s="24">
        <f t="shared" si="166"/>
        <v>201904</v>
      </c>
      <c r="Z661" s="24">
        <v>0</v>
      </c>
      <c r="AA661" s="24">
        <v>1</v>
      </c>
      <c r="AB661" s="24">
        <v>0</v>
      </c>
      <c r="AC661" s="24">
        <v>1</v>
      </c>
      <c r="AD661" s="24">
        <v>1</v>
      </c>
      <c r="AE661" s="24">
        <v>0</v>
      </c>
      <c r="AF661" s="24">
        <v>1</v>
      </c>
      <c r="AG661" s="10" t="s">
        <v>3308</v>
      </c>
      <c r="AH661" s="10" t="s">
        <v>238</v>
      </c>
      <c r="AI661" s="6" t="s">
        <v>127</v>
      </c>
      <c r="AJ661" s="6" t="s">
        <v>360</v>
      </c>
      <c r="AK661" s="6" t="s">
        <v>3309</v>
      </c>
      <c r="AL661" s="6" t="s">
        <v>127</v>
      </c>
      <c r="AM661" s="6" t="s">
        <v>127</v>
      </c>
      <c r="AN661" s="6" t="s">
        <v>197</v>
      </c>
      <c r="AO661" s="6" t="s">
        <v>3272</v>
      </c>
      <c r="AP661" s="6" t="s">
        <v>127</v>
      </c>
      <c r="AQ661" s="6" t="s">
        <v>127</v>
      </c>
      <c r="AR661" s="6" t="s">
        <v>127</v>
      </c>
      <c r="AS661" s="6" t="s">
        <v>127</v>
      </c>
      <c r="AT661" s="6" t="s">
        <v>127</v>
      </c>
      <c r="AU661" s="6" t="s">
        <v>127</v>
      </c>
      <c r="AV661" s="6" t="s">
        <v>127</v>
      </c>
      <c r="AW661" s="6" t="s">
        <v>127</v>
      </c>
      <c r="AX661" s="6" t="s">
        <v>127</v>
      </c>
      <c r="AY661" s="99" t="s">
        <v>3310</v>
      </c>
      <c r="AZ661" s="6" t="s">
        <v>127</v>
      </c>
      <c r="BA661" s="6" t="s">
        <v>127</v>
      </c>
      <c r="BB661" s="6" t="s">
        <v>3311</v>
      </c>
      <c r="BC661" s="6" t="s">
        <v>3312</v>
      </c>
      <c r="BD661" s="6" t="s">
        <v>3313</v>
      </c>
      <c r="BE661" s="6" t="s">
        <v>127</v>
      </c>
    </row>
    <row r="662" spans="1:57" ht="16" x14ac:dyDescent="0.4">
      <c r="A662" s="92" t="s">
        <v>3314</v>
      </c>
      <c r="B662" s="92" t="s">
        <v>3314</v>
      </c>
      <c r="C662" s="6" t="s">
        <v>127</v>
      </c>
      <c r="D662" s="6" t="s">
        <v>3272</v>
      </c>
      <c r="E662" s="192">
        <v>43581</v>
      </c>
      <c r="F662" s="6">
        <f t="shared" si="164"/>
        <v>2019</v>
      </c>
      <c r="G662" s="118" t="s">
        <v>3315</v>
      </c>
      <c r="H662" s="22" t="str">
        <f>VLOOKUP($G662,'Item Classification'!B:C,2,0)</f>
        <v>Naval heavy transport helicopter</v>
      </c>
      <c r="I662" s="6" t="str">
        <f>VLOOKUP($G662,'Item Classification'!B:D,3,0)</f>
        <v>Naval</v>
      </c>
      <c r="J662" s="23">
        <f>VLOOKUP($G662,'Item Classification'!B:E,4,0)</f>
        <v>12</v>
      </c>
      <c r="K662" s="195" t="s">
        <v>130</v>
      </c>
      <c r="L662" s="195" t="s">
        <v>266</v>
      </c>
      <c r="M662" s="116" t="str">
        <f>VLOOKUP(L662,'NATO Classifications'!$D$6:$E$647,2,0)</f>
        <v>Aircraft, Rotary Wing</v>
      </c>
      <c r="N662" s="25">
        <v>4</v>
      </c>
      <c r="O662" s="81">
        <f>S662/N662</f>
        <v>412500000</v>
      </c>
      <c r="P662" s="81">
        <f t="shared" ref="P662" si="168">U662/N662</f>
        <v>95983804.914370805</v>
      </c>
      <c r="Q662" s="25"/>
      <c r="R662" s="25">
        <v>2022</v>
      </c>
      <c r="S662" s="103">
        <v>1650000000</v>
      </c>
      <c r="T662" s="91" t="s">
        <v>3274</v>
      </c>
      <c r="U662" s="104">
        <f>_xlfn.IFNA(S662/INDEX('Exchange Rates'!$C$7:$F$14,MATCH('MAIN DATA, Orders'!F662,'Exchange Rates'!$B$7:$B$14,0),MATCH('MAIN DATA, Orders'!T662,'Exchange Rates'!$C$6:$F$6,0)), "-")</f>
        <v>383935219.65748322</v>
      </c>
      <c r="V662" s="6" t="s">
        <v>127</v>
      </c>
      <c r="W662" s="6" t="s">
        <v>127</v>
      </c>
      <c r="X662" s="6" t="s">
        <v>3272</v>
      </c>
      <c r="Y662" s="24">
        <f t="shared" si="166"/>
        <v>201904</v>
      </c>
      <c r="Z662" s="24">
        <v>0</v>
      </c>
      <c r="AA662" s="24">
        <v>0</v>
      </c>
      <c r="AB662" s="24">
        <v>0</v>
      </c>
      <c r="AC662" s="24">
        <v>1</v>
      </c>
      <c r="AD662" s="24">
        <v>1</v>
      </c>
      <c r="AE662" s="24">
        <v>0</v>
      </c>
      <c r="AF662" s="24">
        <v>1</v>
      </c>
      <c r="AG662" s="10" t="s">
        <v>3316</v>
      </c>
      <c r="AH662" s="10" t="s">
        <v>3272</v>
      </c>
      <c r="AI662" s="6" t="s">
        <v>3272</v>
      </c>
      <c r="AJ662" s="6" t="s">
        <v>360</v>
      </c>
      <c r="AK662" s="6" t="s">
        <v>127</v>
      </c>
      <c r="AL662" s="6" t="s">
        <v>127</v>
      </c>
      <c r="AM662" s="6" t="s">
        <v>127</v>
      </c>
      <c r="AN662" s="6" t="s">
        <v>197</v>
      </c>
      <c r="AO662" s="6" t="s">
        <v>127</v>
      </c>
      <c r="AP662" s="6" t="s">
        <v>127</v>
      </c>
      <c r="AQ662" s="6" t="s">
        <v>127</v>
      </c>
      <c r="AR662" s="6" t="s">
        <v>127</v>
      </c>
      <c r="AS662" s="6" t="s">
        <v>127</v>
      </c>
      <c r="AT662" s="6" t="s">
        <v>127</v>
      </c>
      <c r="AU662" s="6" t="s">
        <v>127</v>
      </c>
      <c r="AV662" s="6" t="s">
        <v>127</v>
      </c>
      <c r="AW662" s="6" t="s">
        <v>127</v>
      </c>
      <c r="AX662" s="6" t="s">
        <v>127</v>
      </c>
      <c r="AY662" s="99" t="s">
        <v>3317</v>
      </c>
      <c r="AZ662" s="99" t="s">
        <v>3318</v>
      </c>
      <c r="BA662" s="99" t="s">
        <v>3319</v>
      </c>
      <c r="BB662" s="6" t="s">
        <v>3320</v>
      </c>
      <c r="BC662" s="6" t="s">
        <v>3321</v>
      </c>
      <c r="BD662" s="6" t="s">
        <v>3322</v>
      </c>
      <c r="BE662" s="6" t="s">
        <v>127</v>
      </c>
    </row>
    <row r="663" spans="1:57" ht="16" x14ac:dyDescent="0.4">
      <c r="A663" s="92" t="s">
        <v>3323</v>
      </c>
      <c r="B663" s="92" t="s">
        <v>3323</v>
      </c>
      <c r="C663" s="6" t="s">
        <v>3298</v>
      </c>
      <c r="D663" s="6" t="s">
        <v>3272</v>
      </c>
      <c r="E663" s="192">
        <v>43602</v>
      </c>
      <c r="F663" s="6">
        <f t="shared" si="164"/>
        <v>2019</v>
      </c>
      <c r="G663" s="6" t="s">
        <v>3324</v>
      </c>
      <c r="H663" s="22" t="str">
        <f>VLOOKUP($G663,'Item Classification'!B:C,2,0)</f>
        <v>Air defence system support vehicle</v>
      </c>
      <c r="I663" s="6" t="str">
        <f>VLOOKUP($G663,'Item Classification'!B:D,3,0)</f>
        <v>Air defence system</v>
      </c>
      <c r="J663" s="23">
        <f>VLOOKUP($G663,'Item Classification'!B:E,4,0)</f>
        <v>5</v>
      </c>
      <c r="K663" s="195" t="s">
        <v>274</v>
      </c>
      <c r="L663" s="195" t="s">
        <v>275</v>
      </c>
      <c r="M663" s="116" t="str">
        <f>VLOOKUP(L663,'NATO Classifications'!$D$6:$E$647,2,0)</f>
        <v>Trucks and Truck Tractors, Wheeled</v>
      </c>
      <c r="N663" s="25">
        <v>73</v>
      </c>
      <c r="O663" s="81">
        <f>S663/N663</f>
        <v>2341211.4794520549</v>
      </c>
      <c r="P663" s="81">
        <f t="shared" ref="P663" si="169">U663/N663</f>
        <v>544771.8446230581</v>
      </c>
      <c r="Q663" s="25">
        <v>2019</v>
      </c>
      <c r="R663" s="25">
        <v>2022</v>
      </c>
      <c r="S663" s="103">
        <v>170908438</v>
      </c>
      <c r="T663" s="91" t="s">
        <v>3274</v>
      </c>
      <c r="U663" s="104">
        <f>_xlfn.IFNA(S663/INDEX('Exchange Rates'!$C$7:$F$14,MATCH('MAIN DATA, Orders'!F663,'Exchange Rates'!$B$7:$B$14,0),MATCH('MAIN DATA, Orders'!T663,'Exchange Rates'!$C$6:$F$6,0)), "-")</f>
        <v>39768344.657483242</v>
      </c>
      <c r="V663" s="6" t="s">
        <v>127</v>
      </c>
      <c r="W663" s="6" t="s">
        <v>127</v>
      </c>
      <c r="X663" s="6" t="s">
        <v>3272</v>
      </c>
      <c r="Y663" s="24">
        <f t="shared" si="166"/>
        <v>201905</v>
      </c>
      <c r="Z663" s="24">
        <v>0</v>
      </c>
      <c r="AA663" s="24">
        <v>0</v>
      </c>
      <c r="AB663" s="24">
        <v>0</v>
      </c>
      <c r="AC663" s="24">
        <v>1</v>
      </c>
      <c r="AD663" s="24">
        <v>0</v>
      </c>
      <c r="AE663" s="24">
        <v>0</v>
      </c>
      <c r="AF663" s="24">
        <v>0</v>
      </c>
      <c r="AG663" s="10" t="s">
        <v>3325</v>
      </c>
      <c r="AH663" s="10" t="s">
        <v>3272</v>
      </c>
      <c r="AI663" s="6" t="s">
        <v>3272</v>
      </c>
      <c r="AJ663" s="6" t="s">
        <v>127</v>
      </c>
      <c r="AK663" s="6" t="s">
        <v>127</v>
      </c>
      <c r="AL663" s="6" t="s">
        <v>127</v>
      </c>
      <c r="AM663" s="6" t="s">
        <v>127</v>
      </c>
      <c r="AN663" s="6" t="s">
        <v>127</v>
      </c>
      <c r="AO663" s="6" t="s">
        <v>127</v>
      </c>
      <c r="AP663" s="6" t="s">
        <v>127</v>
      </c>
      <c r="AQ663" s="6" t="s">
        <v>127</v>
      </c>
      <c r="AR663" s="6" t="s">
        <v>127</v>
      </c>
      <c r="AS663" s="6" t="s">
        <v>127</v>
      </c>
      <c r="AT663" s="6" t="s">
        <v>127</v>
      </c>
      <c r="AU663" s="6" t="s">
        <v>127</v>
      </c>
      <c r="AV663" s="6" t="s">
        <v>127</v>
      </c>
      <c r="AW663" s="6" t="s">
        <v>127</v>
      </c>
      <c r="AX663" s="6" t="s">
        <v>127</v>
      </c>
      <c r="AY663" s="99" t="s">
        <v>3326</v>
      </c>
      <c r="AZ663" s="6" t="s">
        <v>127</v>
      </c>
      <c r="BA663" s="6" t="s">
        <v>127</v>
      </c>
      <c r="BB663" s="6" t="s">
        <v>3327</v>
      </c>
      <c r="BC663" s="6" t="s">
        <v>3328</v>
      </c>
      <c r="BD663" s="6" t="s">
        <v>3329</v>
      </c>
      <c r="BE663" s="6" t="s">
        <v>127</v>
      </c>
    </row>
    <row r="664" spans="1:57" ht="16" x14ac:dyDescent="0.4">
      <c r="A664" s="92" t="s">
        <v>3330</v>
      </c>
      <c r="B664" s="92" t="s">
        <v>3330</v>
      </c>
      <c r="C664" s="6" t="s">
        <v>127</v>
      </c>
      <c r="D664" s="6" t="s">
        <v>3272</v>
      </c>
      <c r="E664" s="192">
        <v>43657</v>
      </c>
      <c r="F664" s="6">
        <f t="shared" si="164"/>
        <v>2019</v>
      </c>
      <c r="G664" s="6" t="s">
        <v>3331</v>
      </c>
      <c r="H664" s="22" t="str">
        <f>VLOOKUP($G664,'Item Classification'!B:C,2,0)</f>
        <v>Military equipment</v>
      </c>
      <c r="I664" s="6" t="str">
        <f>VLOOKUP($G664,'Item Classification'!B:D,3,0)</f>
        <v>Other</v>
      </c>
      <c r="J664" s="23">
        <f>VLOOKUP($G664,'Item Classification'!B:E,4,0)</f>
        <v>16</v>
      </c>
      <c r="K664" s="195" t="s">
        <v>1549</v>
      </c>
      <c r="L664" s="195" t="s">
        <v>1550</v>
      </c>
      <c r="M664" s="116" t="str">
        <f>VLOOKUP(L664,'NATO Classifications'!$D$6:$E$647,2,0)</f>
        <v>Mining, Rock Drilling, Earth Boring, and Related Equipment</v>
      </c>
      <c r="N664" s="25">
        <v>17</v>
      </c>
      <c r="O664" s="81">
        <f>S664/N664</f>
        <v>1578235.294117647</v>
      </c>
      <c r="P664" s="81">
        <f t="shared" ref="P664" si="170">U664/N664</f>
        <v>367236.43292015244</v>
      </c>
      <c r="Q664" s="25">
        <v>2020</v>
      </c>
      <c r="R664" s="25">
        <v>2021</v>
      </c>
      <c r="S664" s="103">
        <v>26830000</v>
      </c>
      <c r="T664" s="91" t="s">
        <v>3274</v>
      </c>
      <c r="U664" s="104">
        <f>_xlfn.IFNA(S664/INDEX('Exchange Rates'!$C$7:$F$14,MATCH('MAIN DATA, Orders'!F664,'Exchange Rates'!$B$7:$B$14,0),MATCH('MAIN DATA, Orders'!T664,'Exchange Rates'!$C$6:$F$6,0)), "-")</f>
        <v>6243019.3596425913</v>
      </c>
      <c r="V664" s="6" t="s">
        <v>127</v>
      </c>
      <c r="W664" s="6" t="s">
        <v>127</v>
      </c>
      <c r="X664" s="6" t="s">
        <v>3272</v>
      </c>
      <c r="Y664" s="24">
        <f t="shared" si="166"/>
        <v>201907</v>
      </c>
      <c r="Z664" s="24">
        <v>1</v>
      </c>
      <c r="AA664" s="24">
        <v>0</v>
      </c>
      <c r="AB664" s="24">
        <v>0</v>
      </c>
      <c r="AC664" s="24">
        <v>1</v>
      </c>
      <c r="AD664" s="24">
        <v>0</v>
      </c>
      <c r="AE664" s="24">
        <v>0</v>
      </c>
      <c r="AF664" s="24">
        <v>0</v>
      </c>
      <c r="AG664" s="102" t="s">
        <v>3332</v>
      </c>
      <c r="AH664" s="10" t="s">
        <v>3272</v>
      </c>
      <c r="AI664" s="6" t="s">
        <v>3272</v>
      </c>
      <c r="AJ664" s="6" t="s">
        <v>127</v>
      </c>
      <c r="AK664" s="6" t="s">
        <v>127</v>
      </c>
      <c r="AL664" s="6" t="s">
        <v>127</v>
      </c>
      <c r="AM664" s="6" t="s">
        <v>127</v>
      </c>
      <c r="AN664" s="6" t="s">
        <v>127</v>
      </c>
      <c r="AO664" s="6" t="s">
        <v>127</v>
      </c>
      <c r="AP664" s="6" t="s">
        <v>127</v>
      </c>
      <c r="AQ664" s="6" t="s">
        <v>127</v>
      </c>
      <c r="AR664" s="6" t="s">
        <v>127</v>
      </c>
      <c r="AS664" s="6" t="s">
        <v>127</v>
      </c>
      <c r="AT664" s="6" t="s">
        <v>127</v>
      </c>
      <c r="AU664" s="6" t="s">
        <v>127</v>
      </c>
      <c r="AV664" s="6" t="s">
        <v>127</v>
      </c>
      <c r="AW664" s="6" t="s">
        <v>127</v>
      </c>
      <c r="AX664" s="6" t="s">
        <v>127</v>
      </c>
      <c r="AY664" s="99" t="s">
        <v>3333</v>
      </c>
      <c r="AZ664" s="6" t="s">
        <v>127</v>
      </c>
      <c r="BA664" s="6" t="s">
        <v>127</v>
      </c>
      <c r="BB664" s="6" t="s">
        <v>3334</v>
      </c>
      <c r="BC664" s="6" t="s">
        <v>3335</v>
      </c>
      <c r="BD664" s="6" t="s">
        <v>3336</v>
      </c>
      <c r="BE664" s="6" t="s">
        <v>127</v>
      </c>
    </row>
    <row r="665" spans="1:57" ht="16" x14ac:dyDescent="0.4">
      <c r="A665" s="92" t="s">
        <v>3337</v>
      </c>
      <c r="B665" s="92" t="s">
        <v>3337</v>
      </c>
      <c r="C665" s="6" t="s">
        <v>127</v>
      </c>
      <c r="D665" s="6" t="s">
        <v>3272</v>
      </c>
      <c r="E665" s="192">
        <v>43668</v>
      </c>
      <c r="F665" s="6">
        <f>YEAR(E665)</f>
        <v>2019</v>
      </c>
      <c r="G665" s="6" t="s">
        <v>3338</v>
      </c>
      <c r="H665" s="22" t="str">
        <f>VLOOKUP($G665,'Item Classification'!B:C,2,0)</f>
        <v>Main Battle Tank (MBT)</v>
      </c>
      <c r="I665" s="6" t="str">
        <f>VLOOKUP($G665,'Item Classification'!B:D,3,0)</f>
        <v>Tank</v>
      </c>
      <c r="J665" s="23">
        <f>VLOOKUP($G665,'Item Classification'!B:E,4,0)</f>
        <v>1</v>
      </c>
      <c r="K665" s="195" t="s">
        <v>274</v>
      </c>
      <c r="L665" s="195" t="s">
        <v>329</v>
      </c>
      <c r="M665" s="116" t="str">
        <f>VLOOKUP(L665,'NATO Classifications'!$D$6:$E$647,2,0)</f>
        <v>Combat, Assault, and Tactical Vehicles, Tracked</v>
      </c>
      <c r="N665" s="25"/>
      <c r="O665" s="81"/>
      <c r="P665" s="25"/>
      <c r="Q665" s="25">
        <v>2019</v>
      </c>
      <c r="R665" s="25">
        <v>2025</v>
      </c>
      <c r="S665" s="103">
        <v>1750000000</v>
      </c>
      <c r="T665" s="91" t="s">
        <v>3274</v>
      </c>
      <c r="U665" s="104">
        <f>_xlfn.IFNA(S665/INDEX('Exchange Rates'!$C$7:$F$14,MATCH('MAIN DATA, Orders'!F665,'Exchange Rates'!$B$7:$B$14,0),MATCH('MAIN DATA, Orders'!T665,'Exchange Rates'!$C$6:$F$6,0)), "-")</f>
        <v>407204020.84884584</v>
      </c>
      <c r="V665" s="6" t="s">
        <v>127</v>
      </c>
      <c r="W665" s="6" t="s">
        <v>127</v>
      </c>
      <c r="X665" s="6" t="s">
        <v>3272</v>
      </c>
      <c r="Y665" s="24">
        <f t="shared" si="166"/>
        <v>201907</v>
      </c>
      <c r="Z665" s="24">
        <v>0</v>
      </c>
      <c r="AA665" s="24">
        <v>0</v>
      </c>
      <c r="AB665" s="24">
        <v>0</v>
      </c>
      <c r="AC665" s="24">
        <v>1</v>
      </c>
      <c r="AD665" s="24">
        <v>0</v>
      </c>
      <c r="AE665" s="24">
        <v>0</v>
      </c>
      <c r="AF665" s="24">
        <v>0</v>
      </c>
      <c r="AG665" s="102" t="s">
        <v>3339</v>
      </c>
      <c r="AH665" s="10" t="s">
        <v>3272</v>
      </c>
      <c r="AI665" s="6" t="s">
        <v>3272</v>
      </c>
      <c r="AJ665" s="6" t="s">
        <v>127</v>
      </c>
      <c r="AK665" s="6" t="s">
        <v>127</v>
      </c>
      <c r="AL665" s="6" t="s">
        <v>127</v>
      </c>
      <c r="AM665" s="6" t="s">
        <v>127</v>
      </c>
      <c r="AN665" s="6" t="s">
        <v>127</v>
      </c>
      <c r="AO665" s="6" t="s">
        <v>127</v>
      </c>
      <c r="AP665" s="6" t="s">
        <v>127</v>
      </c>
      <c r="AQ665" s="6" t="s">
        <v>127</v>
      </c>
      <c r="AR665" s="6" t="s">
        <v>127</v>
      </c>
      <c r="AS665" s="6" t="s">
        <v>127</v>
      </c>
      <c r="AT665" s="6" t="s">
        <v>127</v>
      </c>
      <c r="AU665" s="6" t="s">
        <v>127</v>
      </c>
      <c r="AV665" s="6" t="s">
        <v>127</v>
      </c>
      <c r="AW665" s="6" t="s">
        <v>127</v>
      </c>
      <c r="AX665" s="6" t="s">
        <v>127</v>
      </c>
      <c r="AY665" s="99" t="s">
        <v>3340</v>
      </c>
      <c r="AZ665" s="6" t="s">
        <v>127</v>
      </c>
      <c r="BA665" s="6" t="s">
        <v>127</v>
      </c>
      <c r="BB665" s="6" t="s">
        <v>3341</v>
      </c>
      <c r="BC665" s="6" t="s">
        <v>3342</v>
      </c>
      <c r="BD665" s="6" t="s">
        <v>127</v>
      </c>
      <c r="BE665" s="6" t="s">
        <v>127</v>
      </c>
    </row>
    <row r="666" spans="1:57" ht="16" x14ac:dyDescent="0.4">
      <c r="A666" s="92" t="s">
        <v>3343</v>
      </c>
      <c r="B666" s="92" t="s">
        <v>3343</v>
      </c>
      <c r="C666" s="6" t="s">
        <v>127</v>
      </c>
      <c r="D666" s="6" t="s">
        <v>3272</v>
      </c>
      <c r="E666" s="192">
        <v>43671</v>
      </c>
      <c r="F666" s="6">
        <f t="shared" si="164"/>
        <v>2019</v>
      </c>
      <c r="G666" s="6" t="s">
        <v>3344</v>
      </c>
      <c r="H666" s="22" t="str">
        <f>VLOOKUP($G666,'Item Classification'!B:C,2,0)</f>
        <v>Industrial company investment</v>
      </c>
      <c r="I666" s="6" t="str">
        <f>VLOOKUP($G666,'Item Classification'!B:D,3,0)</f>
        <v>Other</v>
      </c>
      <c r="J666" s="23">
        <f>VLOOKUP($G666,'Item Classification'!B:E,4,0)</f>
        <v>16</v>
      </c>
      <c r="K666" s="195" t="s">
        <v>229</v>
      </c>
      <c r="L666" s="195" t="s">
        <v>230</v>
      </c>
      <c r="M666" s="116" t="str">
        <f>VLOOKUP(L666,'NATO Classifications'!$D$6:$E$647,2,0)</f>
        <v>Miscellaneous Items</v>
      </c>
      <c r="N666" s="25"/>
      <c r="O666" s="81"/>
      <c r="P666" s="25"/>
      <c r="Q666" s="25"/>
      <c r="R666" s="25">
        <v>2020</v>
      </c>
      <c r="S666" s="103">
        <v>30000000</v>
      </c>
      <c r="T666" s="91" t="s">
        <v>3274</v>
      </c>
      <c r="U666" s="104">
        <f>_xlfn.IFNA(S666/INDEX('Exchange Rates'!$C$7:$F$14,MATCH('MAIN DATA, Orders'!F666,'Exchange Rates'!$B$7:$B$14,0),MATCH('MAIN DATA, Orders'!T666,'Exchange Rates'!$C$6:$F$6,0)), "-")</f>
        <v>6980640.3574087862</v>
      </c>
      <c r="V666" s="6" t="s">
        <v>127</v>
      </c>
      <c r="W666" s="6" t="s">
        <v>127</v>
      </c>
      <c r="X666" s="6" t="s">
        <v>3272</v>
      </c>
      <c r="Y666" s="24">
        <f t="shared" si="166"/>
        <v>201907</v>
      </c>
      <c r="Z666" s="24">
        <v>0</v>
      </c>
      <c r="AA666" s="24">
        <v>0</v>
      </c>
      <c r="AB666" s="24">
        <v>0</v>
      </c>
      <c r="AC666" s="24">
        <v>1</v>
      </c>
      <c r="AD666" s="24">
        <v>1</v>
      </c>
      <c r="AE666" s="24">
        <v>0</v>
      </c>
      <c r="AF666" s="24">
        <v>1</v>
      </c>
      <c r="AG666" s="6" t="s">
        <v>3345</v>
      </c>
      <c r="AH666" s="10" t="s">
        <v>3272</v>
      </c>
      <c r="AI666" s="6" t="s">
        <v>3272</v>
      </c>
      <c r="AJ666" s="6" t="s">
        <v>476</v>
      </c>
      <c r="AK666" s="6" t="s">
        <v>127</v>
      </c>
      <c r="AL666" s="6" t="s">
        <v>127</v>
      </c>
      <c r="AM666" s="6" t="s">
        <v>127</v>
      </c>
      <c r="AN666" s="6" t="s">
        <v>468</v>
      </c>
      <c r="AO666" s="6" t="s">
        <v>127</v>
      </c>
      <c r="AP666" s="6" t="s">
        <v>127</v>
      </c>
      <c r="AQ666" s="6" t="s">
        <v>127</v>
      </c>
      <c r="AR666" s="6" t="s">
        <v>127</v>
      </c>
      <c r="AS666" s="6" t="s">
        <v>127</v>
      </c>
      <c r="AT666" s="6" t="s">
        <v>127</v>
      </c>
      <c r="AU666" s="6" t="s">
        <v>127</v>
      </c>
      <c r="AV666" s="6" t="s">
        <v>127</v>
      </c>
      <c r="AW666" s="6" t="s">
        <v>127</v>
      </c>
      <c r="AX666" s="6" t="s">
        <v>127</v>
      </c>
      <c r="AY666" s="99" t="s">
        <v>3346</v>
      </c>
      <c r="AZ666" s="6" t="s">
        <v>127</v>
      </c>
      <c r="BA666" s="6" t="s">
        <v>127</v>
      </c>
      <c r="BB666" s="6" t="s">
        <v>3347</v>
      </c>
      <c r="BC666" s="6" t="s">
        <v>3348</v>
      </c>
      <c r="BD666" s="6" t="s">
        <v>127</v>
      </c>
      <c r="BE666" s="6" t="s">
        <v>127</v>
      </c>
    </row>
    <row r="667" spans="1:57" ht="16" x14ac:dyDescent="0.4">
      <c r="A667" s="92" t="s">
        <v>3349</v>
      </c>
      <c r="B667" s="92" t="s">
        <v>3349</v>
      </c>
      <c r="C667" s="6" t="s">
        <v>127</v>
      </c>
      <c r="D667" s="6" t="s">
        <v>3272</v>
      </c>
      <c r="E667" s="192">
        <v>43690</v>
      </c>
      <c r="F667" s="6">
        <f t="shared" si="164"/>
        <v>2019</v>
      </c>
      <c r="G667" s="4" t="s">
        <v>3350</v>
      </c>
      <c r="H667" s="22" t="str">
        <f>VLOOKUP($G667,'Item Classification'!B:C,2,0)</f>
        <v>Vehicle for 120mm self-propelled mortar fire modules "Rak"</v>
      </c>
      <c r="I667" s="6" t="str">
        <f>VLOOKUP($G667,'Item Classification'!B:D,3,0)</f>
        <v>Artillery</v>
      </c>
      <c r="J667" s="23">
        <f>VLOOKUP($G667,'Item Classification'!B:E,4,0)</f>
        <v>3</v>
      </c>
      <c r="K667" s="195" t="s">
        <v>274</v>
      </c>
      <c r="L667" s="195" t="s">
        <v>275</v>
      </c>
      <c r="M667" s="116" t="str">
        <f>VLOOKUP(L667,'NATO Classifications'!$D$6:$E$647,2,0)</f>
        <v>Trucks and Truck Tractors, Wheeled</v>
      </c>
      <c r="N667" s="25">
        <v>24</v>
      </c>
      <c r="O667" s="81"/>
      <c r="P667" s="25"/>
      <c r="Q667" s="25">
        <v>2019</v>
      </c>
      <c r="R667" s="25">
        <v>2020</v>
      </c>
      <c r="S667" s="103"/>
      <c r="T667" s="91" t="s">
        <v>3274</v>
      </c>
      <c r="U667" s="104">
        <f>_xlfn.IFNA(S667/INDEX('Exchange Rates'!$C$7:$F$14,MATCH('MAIN DATA, Orders'!F667,'Exchange Rates'!$B$7:$B$14,0),MATCH('MAIN DATA, Orders'!T667,'Exchange Rates'!$C$6:$F$6,0)), "-")</f>
        <v>0</v>
      </c>
      <c r="V667" s="6" t="s">
        <v>127</v>
      </c>
      <c r="W667" s="6" t="s">
        <v>127</v>
      </c>
      <c r="X667" s="6" t="s">
        <v>3272</v>
      </c>
      <c r="Y667" s="24">
        <f t="shared" si="166"/>
        <v>201908</v>
      </c>
      <c r="Z667" s="24">
        <v>0</v>
      </c>
      <c r="AA667" s="24">
        <v>0</v>
      </c>
      <c r="AB667" s="24">
        <v>0</v>
      </c>
      <c r="AC667" s="24">
        <v>1</v>
      </c>
      <c r="AD667" s="24">
        <v>0</v>
      </c>
      <c r="AE667" s="24">
        <v>0</v>
      </c>
      <c r="AF667" s="24">
        <v>0</v>
      </c>
      <c r="AG667" s="10" t="s">
        <v>3301</v>
      </c>
      <c r="AH667" s="10" t="s">
        <v>3272</v>
      </c>
      <c r="AI667" s="6" t="s">
        <v>3272</v>
      </c>
      <c r="AJ667" s="6" t="s">
        <v>127</v>
      </c>
      <c r="AK667" s="6" t="s">
        <v>127</v>
      </c>
      <c r="AL667" s="6" t="s">
        <v>127</v>
      </c>
      <c r="AM667" s="6" t="s">
        <v>127</v>
      </c>
      <c r="AN667" s="6" t="s">
        <v>127</v>
      </c>
      <c r="AO667" s="6" t="s">
        <v>127</v>
      </c>
      <c r="AP667" s="6" t="s">
        <v>127</v>
      </c>
      <c r="AQ667" s="6" t="s">
        <v>127</v>
      </c>
      <c r="AR667" s="6" t="s">
        <v>127</v>
      </c>
      <c r="AS667" s="6" t="s">
        <v>127</v>
      </c>
      <c r="AT667" s="6" t="s">
        <v>127</v>
      </c>
      <c r="AU667" s="6" t="s">
        <v>127</v>
      </c>
      <c r="AV667" s="6" t="s">
        <v>127</v>
      </c>
      <c r="AW667" s="6" t="s">
        <v>127</v>
      </c>
      <c r="AX667" s="6" t="s">
        <v>127</v>
      </c>
      <c r="AY667" s="99" t="s">
        <v>3351</v>
      </c>
      <c r="AZ667" s="6" t="s">
        <v>127</v>
      </c>
      <c r="BA667" s="6" t="s">
        <v>127</v>
      </c>
      <c r="BB667" s="6" t="s">
        <v>3352</v>
      </c>
      <c r="BC667" s="6" t="s">
        <v>127</v>
      </c>
      <c r="BD667" s="6" t="s">
        <v>127</v>
      </c>
      <c r="BE667" s="6" t="s">
        <v>127</v>
      </c>
    </row>
    <row r="668" spans="1:57" ht="16" x14ac:dyDescent="0.4">
      <c r="A668" s="6" t="s">
        <v>3353</v>
      </c>
      <c r="B668" s="92" t="s">
        <v>3353</v>
      </c>
      <c r="C668" s="6" t="s">
        <v>127</v>
      </c>
      <c r="D668" s="6" t="s">
        <v>3272</v>
      </c>
      <c r="E668" s="192">
        <v>43724</v>
      </c>
      <c r="F668" s="6">
        <f t="shared" si="164"/>
        <v>2019</v>
      </c>
      <c r="G668" s="6" t="s">
        <v>3354</v>
      </c>
      <c r="H668" s="22" t="str">
        <f>VLOOKUP($G668,'Item Classification'!B:C,2,0)</f>
        <v>Sanitary assistance helicopter</v>
      </c>
      <c r="I668" s="6" t="str">
        <f>VLOOKUP($G668,'Item Classification'!B:D,3,0)</f>
        <v>Helicopter</v>
      </c>
      <c r="J668" s="23">
        <f>VLOOKUP($G668,'Item Classification'!B:E,4,0)</f>
        <v>10</v>
      </c>
      <c r="K668" s="195" t="s">
        <v>130</v>
      </c>
      <c r="L668" s="195" t="s">
        <v>266</v>
      </c>
      <c r="M668" s="116" t="str">
        <f>VLOOKUP(L668,'NATO Classifications'!$D$6:$E$647,2,0)</f>
        <v>Aircraft, Rotary Wing</v>
      </c>
      <c r="N668" s="25">
        <v>4</v>
      </c>
      <c r="O668" s="81">
        <f>S668/N668</f>
        <v>24875000</v>
      </c>
      <c r="P668" s="81">
        <f t="shared" ref="P668" si="171">U668/N668</f>
        <v>5788114.2963514514</v>
      </c>
      <c r="Q668" s="25">
        <v>2021</v>
      </c>
      <c r="R668" s="25">
        <v>2022</v>
      </c>
      <c r="S668" s="103">
        <v>99500000</v>
      </c>
      <c r="T668" s="91" t="s">
        <v>3274</v>
      </c>
      <c r="U668" s="104">
        <f>_xlfn.IFNA(S668/INDEX('Exchange Rates'!$C$7:$F$14,MATCH('MAIN DATA, Orders'!F668,'Exchange Rates'!$B$7:$B$14,0),MATCH('MAIN DATA, Orders'!T668,'Exchange Rates'!$C$6:$F$6,0)), "-")</f>
        <v>23152457.185405806</v>
      </c>
      <c r="V668" s="6" t="s">
        <v>127</v>
      </c>
      <c r="W668" s="6" t="s">
        <v>127</v>
      </c>
      <c r="X668" s="6" t="s">
        <v>3272</v>
      </c>
      <c r="Y668" s="24">
        <f t="shared" si="166"/>
        <v>201909</v>
      </c>
      <c r="Z668" s="24">
        <v>0</v>
      </c>
      <c r="AA668" s="24">
        <v>0</v>
      </c>
      <c r="AB668" s="24">
        <v>0</v>
      </c>
      <c r="AC668" s="24">
        <v>1</v>
      </c>
      <c r="AD668" s="24">
        <v>0</v>
      </c>
      <c r="AE668" s="24">
        <v>0</v>
      </c>
      <c r="AF668" s="24">
        <v>0</v>
      </c>
      <c r="AG668" s="10" t="s">
        <v>3355</v>
      </c>
      <c r="AH668" s="10" t="s">
        <v>3272</v>
      </c>
      <c r="AI668" s="6" t="s">
        <v>3272</v>
      </c>
      <c r="AJ668" s="6" t="s">
        <v>127</v>
      </c>
      <c r="AK668" s="6" t="s">
        <v>127</v>
      </c>
      <c r="AL668" s="6" t="s">
        <v>127</v>
      </c>
      <c r="AM668" s="6" t="s">
        <v>127</v>
      </c>
      <c r="AN668" s="6" t="s">
        <v>127</v>
      </c>
      <c r="AO668" s="6" t="s">
        <v>127</v>
      </c>
      <c r="AP668" s="6" t="s">
        <v>127</v>
      </c>
      <c r="AQ668" s="6" t="s">
        <v>127</v>
      </c>
      <c r="AR668" s="6" t="s">
        <v>127</v>
      </c>
      <c r="AS668" s="6" t="s">
        <v>127</v>
      </c>
      <c r="AT668" s="6" t="s">
        <v>127</v>
      </c>
      <c r="AU668" s="6" t="s">
        <v>127</v>
      </c>
      <c r="AV668" s="6" t="s">
        <v>127</v>
      </c>
      <c r="AW668" s="6" t="s">
        <v>127</v>
      </c>
      <c r="AX668" s="6" t="s">
        <v>127</v>
      </c>
      <c r="AY668" s="99" t="s">
        <v>3356</v>
      </c>
      <c r="AZ668" s="6" t="s">
        <v>127</v>
      </c>
      <c r="BA668" s="6" t="s">
        <v>127</v>
      </c>
      <c r="BB668" s="6" t="s">
        <v>3357</v>
      </c>
      <c r="BC668" s="6" t="s">
        <v>3358</v>
      </c>
      <c r="BD668" s="6" t="s">
        <v>127</v>
      </c>
      <c r="BE668" s="6" t="s">
        <v>127</v>
      </c>
    </row>
    <row r="669" spans="1:57" ht="16" x14ac:dyDescent="0.4">
      <c r="A669" s="92" t="s">
        <v>3359</v>
      </c>
      <c r="B669" s="92" t="s">
        <v>3359</v>
      </c>
      <c r="C669" s="6" t="s">
        <v>127</v>
      </c>
      <c r="D669" s="6" t="s">
        <v>3272</v>
      </c>
      <c r="E669" s="192">
        <v>43727</v>
      </c>
      <c r="F669" s="6">
        <f>YEAR(E669)</f>
        <v>2019</v>
      </c>
      <c r="G669" s="4" t="s">
        <v>3360</v>
      </c>
      <c r="H669" s="22" t="str">
        <f>VLOOKUP($G669,'Item Classification'!B:C,2,0)</f>
        <v>122mm multiple rocket launcher system munition</v>
      </c>
      <c r="I669" s="6" t="str">
        <f>VLOOKUP($G669,'Item Classification'!B:D,3,0)</f>
        <v>Ammunition</v>
      </c>
      <c r="J669" s="23">
        <f>VLOOKUP($G669,'Item Classification'!B:E,4,0)</f>
        <v>4</v>
      </c>
      <c r="K669" s="195" t="s">
        <v>189</v>
      </c>
      <c r="L669" s="195" t="s">
        <v>1221</v>
      </c>
      <c r="M669" s="116" t="str">
        <f>VLOOKUP(L669,'NATO Classifications'!$D$6:$E$647,2,0)</f>
        <v>Ammunition and Explosives (other)</v>
      </c>
      <c r="N669" s="25">
        <v>820</v>
      </c>
      <c r="O669" s="81">
        <f>S669/N669</f>
        <v>30487.804878048781</v>
      </c>
      <c r="P669" s="81">
        <f>U669/N669</f>
        <v>7094.1467046837251</v>
      </c>
      <c r="Q669" s="25"/>
      <c r="R669" s="25"/>
      <c r="S669" s="103">
        <v>25000000</v>
      </c>
      <c r="T669" s="91" t="s">
        <v>3274</v>
      </c>
      <c r="U669" s="104">
        <f>_xlfn.IFNA(S669/INDEX('Exchange Rates'!$C$7:$F$14,MATCH('MAIN DATA, Orders'!F669,'Exchange Rates'!$B$7:$B$14,0),MATCH('MAIN DATA, Orders'!T669,'Exchange Rates'!$C$6:$F$6,0)), "-")</f>
        <v>5817200.2978406549</v>
      </c>
      <c r="V669" s="6" t="s">
        <v>127</v>
      </c>
      <c r="W669" s="6" t="s">
        <v>127</v>
      </c>
      <c r="X669" s="6" t="s">
        <v>3272</v>
      </c>
      <c r="Y669" s="24">
        <f t="shared" si="166"/>
        <v>201909</v>
      </c>
      <c r="Z669" s="24">
        <v>0</v>
      </c>
      <c r="AA669" s="24">
        <v>0</v>
      </c>
      <c r="AB669" s="24">
        <v>0</v>
      </c>
      <c r="AC669" s="24">
        <v>1</v>
      </c>
      <c r="AD669" s="24">
        <v>0</v>
      </c>
      <c r="AE669" s="24">
        <v>0</v>
      </c>
      <c r="AF669" s="24">
        <v>0</v>
      </c>
      <c r="AG669" s="10" t="s">
        <v>3361</v>
      </c>
      <c r="AH669" s="10" t="s">
        <v>3272</v>
      </c>
      <c r="AI669" s="6" t="s">
        <v>3272</v>
      </c>
      <c r="AJ669" s="6" t="s">
        <v>127</v>
      </c>
      <c r="AK669" s="6" t="s">
        <v>127</v>
      </c>
      <c r="AL669" s="6" t="s">
        <v>127</v>
      </c>
      <c r="AM669" s="6" t="s">
        <v>127</v>
      </c>
      <c r="AN669" s="6" t="s">
        <v>127</v>
      </c>
      <c r="AO669" s="6" t="s">
        <v>127</v>
      </c>
      <c r="AP669" s="6" t="s">
        <v>127</v>
      </c>
      <c r="AQ669" s="6" t="s">
        <v>127</v>
      </c>
      <c r="AR669" s="6" t="s">
        <v>127</v>
      </c>
      <c r="AS669" s="6" t="s">
        <v>127</v>
      </c>
      <c r="AT669" s="6" t="s">
        <v>127</v>
      </c>
      <c r="AU669" s="6" t="s">
        <v>127</v>
      </c>
      <c r="AV669" s="6" t="s">
        <v>127</v>
      </c>
      <c r="AW669" s="6" t="s">
        <v>127</v>
      </c>
      <c r="AX669" s="6" t="s">
        <v>127</v>
      </c>
      <c r="AY669" s="99" t="s">
        <v>3362</v>
      </c>
      <c r="AZ669" s="6" t="s">
        <v>127</v>
      </c>
      <c r="BA669" s="6" t="s">
        <v>127</v>
      </c>
      <c r="BB669" s="6" t="s">
        <v>3363</v>
      </c>
      <c r="BC669" s="6" t="s">
        <v>3364</v>
      </c>
      <c r="BD669" s="6" t="s">
        <v>127</v>
      </c>
      <c r="BE669" s="6" t="s">
        <v>127</v>
      </c>
    </row>
    <row r="670" spans="1:57" ht="16" x14ac:dyDescent="0.4">
      <c r="A670" s="92" t="s">
        <v>3365</v>
      </c>
      <c r="B670" s="92" t="s">
        <v>3365</v>
      </c>
      <c r="C670" s="6" t="s">
        <v>127</v>
      </c>
      <c r="D670" s="6" t="s">
        <v>3272</v>
      </c>
      <c r="E670" s="192">
        <v>43738</v>
      </c>
      <c r="F670" s="6">
        <f>YEAR(E670)</f>
        <v>2019</v>
      </c>
      <c r="G670" s="6" t="s">
        <v>127</v>
      </c>
      <c r="H670" s="22" t="s">
        <v>3366</v>
      </c>
      <c r="I670" s="6" t="s">
        <v>1311</v>
      </c>
      <c r="J670" s="23">
        <v>8</v>
      </c>
      <c r="K670" s="195" t="s">
        <v>763</v>
      </c>
      <c r="L670" s="195" t="s">
        <v>764</v>
      </c>
      <c r="M670" s="116" t="str">
        <f>VLOOKUP(L670,'NATO Classifications'!$D$6:$E$647,2,0)</f>
        <v>Guns below 75mm</v>
      </c>
      <c r="N670" s="25"/>
      <c r="O670" s="81"/>
      <c r="P670" s="25"/>
      <c r="Q670" s="25">
        <v>2020</v>
      </c>
      <c r="R670" s="25">
        <v>2022</v>
      </c>
      <c r="S670" s="103"/>
      <c r="T670" s="91" t="s">
        <v>3274</v>
      </c>
      <c r="U670" s="104">
        <f>_xlfn.IFNA(S670/INDEX('Exchange Rates'!$C$7:$F$14,MATCH('MAIN DATA, Orders'!F670,'Exchange Rates'!$B$7:$B$14,0),MATCH('MAIN DATA, Orders'!T670,'Exchange Rates'!$C$6:$F$6,0)), "-")</f>
        <v>0</v>
      </c>
      <c r="V670" s="6" t="s">
        <v>127</v>
      </c>
      <c r="W670" s="6" t="s">
        <v>127</v>
      </c>
      <c r="X670" s="6" t="s">
        <v>3272</v>
      </c>
      <c r="Y670" s="24">
        <f t="shared" si="166"/>
        <v>201909</v>
      </c>
      <c r="Z670" s="24">
        <v>0</v>
      </c>
      <c r="AA670" s="24">
        <v>0</v>
      </c>
      <c r="AB670" s="24">
        <v>0</v>
      </c>
      <c r="AC670" s="24">
        <v>1</v>
      </c>
      <c r="AD670" s="24">
        <v>0</v>
      </c>
      <c r="AE670" s="24">
        <v>0</v>
      </c>
      <c r="AF670" s="24">
        <v>0</v>
      </c>
      <c r="AG670" s="10" t="s">
        <v>3367</v>
      </c>
      <c r="AH670" s="10" t="s">
        <v>3272</v>
      </c>
      <c r="AI670" s="6" t="s">
        <v>3272</v>
      </c>
      <c r="AJ670" s="6" t="s">
        <v>127</v>
      </c>
      <c r="AK670" s="6" t="s">
        <v>127</v>
      </c>
      <c r="AL670" s="6" t="s">
        <v>127</v>
      </c>
      <c r="AM670" s="6" t="s">
        <v>127</v>
      </c>
      <c r="AN670" s="6" t="s">
        <v>127</v>
      </c>
      <c r="AO670" s="6" t="s">
        <v>127</v>
      </c>
      <c r="AP670" s="6" t="s">
        <v>127</v>
      </c>
      <c r="AQ670" s="6" t="s">
        <v>127</v>
      </c>
      <c r="AR670" s="6" t="s">
        <v>127</v>
      </c>
      <c r="AS670" s="6" t="s">
        <v>127</v>
      </c>
      <c r="AT670" s="6" t="s">
        <v>127</v>
      </c>
      <c r="AU670" s="6" t="s">
        <v>127</v>
      </c>
      <c r="AV670" s="6" t="s">
        <v>127</v>
      </c>
      <c r="AW670" s="6" t="s">
        <v>127</v>
      </c>
      <c r="AX670" s="6" t="s">
        <v>127</v>
      </c>
      <c r="AY670" s="99" t="s">
        <v>3368</v>
      </c>
      <c r="AZ670" s="6" t="s">
        <v>127</v>
      </c>
      <c r="BA670" s="6" t="s">
        <v>127</v>
      </c>
      <c r="BB670" s="6" t="s">
        <v>3369</v>
      </c>
      <c r="BC670" s="6" t="s">
        <v>127</v>
      </c>
      <c r="BD670" s="6" t="s">
        <v>127</v>
      </c>
      <c r="BE670" s="6" t="s">
        <v>127</v>
      </c>
    </row>
    <row r="671" spans="1:57" ht="16" x14ac:dyDescent="0.4">
      <c r="A671" s="92" t="s">
        <v>3365</v>
      </c>
      <c r="B671" s="92" t="s">
        <v>3370</v>
      </c>
      <c r="C671" s="6" t="s">
        <v>127</v>
      </c>
      <c r="D671" s="6" t="s">
        <v>3272</v>
      </c>
      <c r="E671" s="192">
        <v>43738</v>
      </c>
      <c r="F671" s="6">
        <f>YEAR(E671)</f>
        <v>2019</v>
      </c>
      <c r="G671" s="6" t="s">
        <v>3371</v>
      </c>
      <c r="H671" s="22" t="str">
        <f>VLOOKUP($G671,'Item Classification'!B:C,2,0)</f>
        <v>Small Arms and Light Weapons (SALW)</v>
      </c>
      <c r="I671" s="6" t="str">
        <f>VLOOKUP($G671,'Item Classification'!B:D,3,0)</f>
        <v>Infantry</v>
      </c>
      <c r="J671" s="23">
        <f>VLOOKUP($G671,'Item Classification'!B:E,4,0)</f>
        <v>8</v>
      </c>
      <c r="K671" s="195" t="s">
        <v>763</v>
      </c>
      <c r="L671" s="195" t="s">
        <v>764</v>
      </c>
      <c r="M671" s="116" t="str">
        <f>VLOOKUP(L671,'NATO Classifications'!$D$6:$E$647,2,0)</f>
        <v>Guns below 75mm</v>
      </c>
      <c r="N671" s="25">
        <v>18000</v>
      </c>
      <c r="O671" s="81"/>
      <c r="P671" s="25"/>
      <c r="Q671" s="25">
        <v>2020</v>
      </c>
      <c r="R671" s="25">
        <v>2022</v>
      </c>
      <c r="S671" s="103"/>
      <c r="T671" s="91" t="s">
        <v>3274</v>
      </c>
      <c r="U671" s="104">
        <f>_xlfn.IFNA(S671/INDEX('Exchange Rates'!$C$7:$F$14,MATCH('MAIN DATA, Orders'!F671,'Exchange Rates'!$B$7:$B$14,0),MATCH('MAIN DATA, Orders'!T671,'Exchange Rates'!$C$6:$F$6,0)), "-")</f>
        <v>0</v>
      </c>
      <c r="V671" s="6" t="s">
        <v>127</v>
      </c>
      <c r="W671" s="6" t="s">
        <v>127</v>
      </c>
      <c r="X671" s="6" t="s">
        <v>3272</v>
      </c>
      <c r="Y671" s="24">
        <f t="shared" si="166"/>
        <v>201909</v>
      </c>
      <c r="Z671" s="24">
        <v>0</v>
      </c>
      <c r="AA671" s="24">
        <v>0</v>
      </c>
      <c r="AB671" s="24">
        <v>0</v>
      </c>
      <c r="AC671" s="24">
        <v>1</v>
      </c>
      <c r="AD671" s="24">
        <v>0</v>
      </c>
      <c r="AE671" s="24">
        <v>0</v>
      </c>
      <c r="AF671" s="24">
        <v>0</v>
      </c>
      <c r="AG671" s="10" t="s">
        <v>3367</v>
      </c>
      <c r="AH671" s="10" t="s">
        <v>3272</v>
      </c>
      <c r="AI671" s="6" t="s">
        <v>3272</v>
      </c>
      <c r="AJ671" s="6" t="s">
        <v>127</v>
      </c>
      <c r="AK671" s="6" t="s">
        <v>127</v>
      </c>
      <c r="AL671" s="6" t="s">
        <v>127</v>
      </c>
      <c r="AM671" s="6" t="s">
        <v>127</v>
      </c>
      <c r="AN671" s="6" t="s">
        <v>127</v>
      </c>
      <c r="AO671" s="6" t="s">
        <v>127</v>
      </c>
      <c r="AP671" s="6" t="s">
        <v>127</v>
      </c>
      <c r="AQ671" s="6" t="s">
        <v>127</v>
      </c>
      <c r="AR671" s="6" t="s">
        <v>127</v>
      </c>
      <c r="AS671" s="6" t="s">
        <v>127</v>
      </c>
      <c r="AT671" s="6" t="s">
        <v>127</v>
      </c>
      <c r="AU671" s="6" t="s">
        <v>127</v>
      </c>
      <c r="AV671" s="6" t="s">
        <v>127</v>
      </c>
      <c r="AW671" s="6" t="s">
        <v>127</v>
      </c>
      <c r="AX671" s="6" t="s">
        <v>127</v>
      </c>
      <c r="AY671" s="99" t="s">
        <v>3368</v>
      </c>
      <c r="AZ671" s="6" t="s">
        <v>127</v>
      </c>
      <c r="BA671" s="6" t="s">
        <v>127</v>
      </c>
      <c r="BB671" s="6" t="s">
        <v>3369</v>
      </c>
      <c r="BC671" s="6" t="s">
        <v>127</v>
      </c>
      <c r="BD671" s="6" t="s">
        <v>127</v>
      </c>
      <c r="BE671" s="6" t="s">
        <v>127</v>
      </c>
    </row>
    <row r="672" spans="1:57" ht="16" x14ac:dyDescent="0.4">
      <c r="A672" s="92" t="s">
        <v>3365</v>
      </c>
      <c r="B672" s="92" t="s">
        <v>3372</v>
      </c>
      <c r="C672" s="6" t="s">
        <v>127</v>
      </c>
      <c r="D672" s="6" t="s">
        <v>3272</v>
      </c>
      <c r="E672" s="192">
        <v>43738</v>
      </c>
      <c r="F672" s="6">
        <f>YEAR(E672)</f>
        <v>2019</v>
      </c>
      <c r="G672" s="6" t="s">
        <v>3373</v>
      </c>
      <c r="H672" s="22" t="str">
        <f>VLOOKUP($G672,'Item Classification'!B:C,2,0)</f>
        <v>Small Arms and Light Weapons (SALW)</v>
      </c>
      <c r="I672" s="6" t="str">
        <f>VLOOKUP($G672,'Item Classification'!B:D,3,0)</f>
        <v>Infantry</v>
      </c>
      <c r="J672" s="23">
        <f>VLOOKUP($G672,'Item Classification'!B:E,4,0)</f>
        <v>8</v>
      </c>
      <c r="K672" s="195" t="s">
        <v>763</v>
      </c>
      <c r="L672" s="195" t="s">
        <v>764</v>
      </c>
      <c r="M672" s="116" t="str">
        <f>VLOOKUP(L672,'NATO Classifications'!$D$6:$E$647,2,0)</f>
        <v>Guns below 75mm</v>
      </c>
      <c r="N672" s="25">
        <v>2000</v>
      </c>
      <c r="O672" s="81"/>
      <c r="P672" s="25"/>
      <c r="Q672" s="25">
        <v>2020</v>
      </c>
      <c r="R672" s="25">
        <v>2022</v>
      </c>
      <c r="S672" s="103"/>
      <c r="T672" s="91" t="s">
        <v>3274</v>
      </c>
      <c r="U672" s="104">
        <f>_xlfn.IFNA(S672/INDEX('Exchange Rates'!$C$7:$F$14,MATCH('MAIN DATA, Orders'!F672,'Exchange Rates'!$B$7:$B$14,0),MATCH('MAIN DATA, Orders'!T672,'Exchange Rates'!$C$6:$F$6,0)), "-")</f>
        <v>0</v>
      </c>
      <c r="V672" s="6" t="s">
        <v>127</v>
      </c>
      <c r="W672" s="6" t="s">
        <v>127</v>
      </c>
      <c r="X672" s="6" t="s">
        <v>3272</v>
      </c>
      <c r="Y672" s="24">
        <f t="shared" si="166"/>
        <v>201909</v>
      </c>
      <c r="Z672" s="24">
        <v>0</v>
      </c>
      <c r="AA672" s="24">
        <v>0</v>
      </c>
      <c r="AB672" s="24">
        <v>0</v>
      </c>
      <c r="AC672" s="24">
        <v>1</v>
      </c>
      <c r="AD672" s="24">
        <v>0</v>
      </c>
      <c r="AE672" s="24">
        <v>0</v>
      </c>
      <c r="AF672" s="24">
        <v>0</v>
      </c>
      <c r="AG672" s="10" t="s">
        <v>3367</v>
      </c>
      <c r="AH672" s="10" t="s">
        <v>3272</v>
      </c>
      <c r="AI672" s="6" t="s">
        <v>3272</v>
      </c>
      <c r="AJ672" s="6" t="s">
        <v>127</v>
      </c>
      <c r="AK672" s="6" t="s">
        <v>127</v>
      </c>
      <c r="AL672" s="6" t="s">
        <v>127</v>
      </c>
      <c r="AM672" s="6" t="s">
        <v>127</v>
      </c>
      <c r="AN672" s="6" t="s">
        <v>127</v>
      </c>
      <c r="AO672" s="6" t="s">
        <v>127</v>
      </c>
      <c r="AP672" s="6" t="s">
        <v>127</v>
      </c>
      <c r="AQ672" s="6" t="s">
        <v>127</v>
      </c>
      <c r="AR672" s="6" t="s">
        <v>127</v>
      </c>
      <c r="AS672" s="6" t="s">
        <v>127</v>
      </c>
      <c r="AT672" s="6" t="s">
        <v>127</v>
      </c>
      <c r="AU672" s="6" t="s">
        <v>127</v>
      </c>
      <c r="AV672" s="6" t="s">
        <v>127</v>
      </c>
      <c r="AW672" s="6" t="s">
        <v>127</v>
      </c>
      <c r="AX672" s="6" t="s">
        <v>127</v>
      </c>
      <c r="AY672" s="99" t="s">
        <v>3368</v>
      </c>
      <c r="AZ672" s="6" t="s">
        <v>127</v>
      </c>
      <c r="BA672" s="6" t="s">
        <v>127</v>
      </c>
      <c r="BB672" s="6" t="s">
        <v>3369</v>
      </c>
      <c r="BC672" s="6" t="s">
        <v>127</v>
      </c>
      <c r="BD672" s="6" t="s">
        <v>127</v>
      </c>
      <c r="BE672" s="6" t="s">
        <v>127</v>
      </c>
    </row>
    <row r="673" spans="1:57" ht="16" x14ac:dyDescent="0.4">
      <c r="A673" s="92" t="s">
        <v>3374</v>
      </c>
      <c r="B673" s="92" t="s">
        <v>3374</v>
      </c>
      <c r="C673" s="6" t="s">
        <v>127</v>
      </c>
      <c r="D673" s="6" t="s">
        <v>3272</v>
      </c>
      <c r="E673" s="192">
        <v>43749</v>
      </c>
      <c r="F673" s="6">
        <f>YEAR(E673)</f>
        <v>2019</v>
      </c>
      <c r="G673" s="6" t="s">
        <v>127</v>
      </c>
      <c r="H673" s="22" t="s">
        <v>3375</v>
      </c>
      <c r="I673" s="6" t="s">
        <v>3376</v>
      </c>
      <c r="J673" s="23">
        <v>3</v>
      </c>
      <c r="K673" s="195" t="s">
        <v>763</v>
      </c>
      <c r="L673" s="195" t="s">
        <v>1592</v>
      </c>
      <c r="M673" s="116" t="str">
        <f>VLOOKUP(L673,'NATO Classifications'!$D$6:$E$647,2,0)</f>
        <v>Guns over 75mm</v>
      </c>
      <c r="N673" s="25"/>
      <c r="O673" s="81"/>
      <c r="P673" s="25"/>
      <c r="Q673" s="25">
        <v>2020</v>
      </c>
      <c r="R673" s="25">
        <v>2021</v>
      </c>
      <c r="S673" s="103">
        <v>275500000</v>
      </c>
      <c r="T673" s="91" t="s">
        <v>3274</v>
      </c>
      <c r="U673" s="104">
        <f>_xlfn.IFNA(S673/INDEX('Exchange Rates'!$C$7:$F$14,MATCH('MAIN DATA, Orders'!F673,'Exchange Rates'!$B$7:$B$14,0),MATCH('MAIN DATA, Orders'!T673,'Exchange Rates'!$C$6:$F$6,0)), "-")</f>
        <v>64105547.282204017</v>
      </c>
      <c r="V673" s="6" t="s">
        <v>127</v>
      </c>
      <c r="W673" s="6" t="s">
        <v>127</v>
      </c>
      <c r="X673" s="6" t="s">
        <v>3272</v>
      </c>
      <c r="Y673" s="24">
        <f t="shared" si="166"/>
        <v>201910</v>
      </c>
      <c r="Z673" s="24">
        <v>1</v>
      </c>
      <c r="AA673" s="24">
        <v>0</v>
      </c>
      <c r="AB673" s="24">
        <v>0</v>
      </c>
      <c r="AC673" s="24">
        <v>1</v>
      </c>
      <c r="AD673" s="24">
        <v>0</v>
      </c>
      <c r="AE673" s="24">
        <v>0</v>
      </c>
      <c r="AF673" s="24">
        <v>0</v>
      </c>
      <c r="AG673" s="10" t="s">
        <v>3377</v>
      </c>
      <c r="AH673" s="10" t="s">
        <v>3272</v>
      </c>
      <c r="AI673" s="6" t="s">
        <v>3272</v>
      </c>
      <c r="AJ673" s="6" t="s">
        <v>3378</v>
      </c>
      <c r="AK673" s="6" t="s">
        <v>127</v>
      </c>
      <c r="AL673" s="6" t="s">
        <v>127</v>
      </c>
      <c r="AM673" s="6" t="s">
        <v>127</v>
      </c>
      <c r="AN673" s="6" t="s">
        <v>127</v>
      </c>
      <c r="AO673" s="6" t="s">
        <v>127</v>
      </c>
      <c r="AP673" s="6" t="s">
        <v>127</v>
      </c>
      <c r="AQ673" s="6" t="s">
        <v>127</v>
      </c>
      <c r="AR673" s="6" t="s">
        <v>127</v>
      </c>
      <c r="AS673" s="6" t="s">
        <v>127</v>
      </c>
      <c r="AT673" s="6" t="s">
        <v>127</v>
      </c>
      <c r="AU673" s="6" t="s">
        <v>127</v>
      </c>
      <c r="AV673" s="6" t="s">
        <v>127</v>
      </c>
      <c r="AW673" s="6" t="s">
        <v>127</v>
      </c>
      <c r="AX673" s="6" t="s">
        <v>127</v>
      </c>
      <c r="AY673" s="99" t="s">
        <v>3379</v>
      </c>
      <c r="AZ673" s="6" t="s">
        <v>127</v>
      </c>
      <c r="BA673" s="6" t="s">
        <v>127</v>
      </c>
      <c r="BB673" s="6" t="s">
        <v>3380</v>
      </c>
      <c r="BC673" s="6" t="s">
        <v>127</v>
      </c>
      <c r="BD673" s="6" t="s">
        <v>127</v>
      </c>
      <c r="BE673" s="6" t="s">
        <v>127</v>
      </c>
    </row>
    <row r="674" spans="1:57" ht="16" x14ac:dyDescent="0.4">
      <c r="A674" s="92" t="s">
        <v>3374</v>
      </c>
      <c r="B674" s="92" t="s">
        <v>3381</v>
      </c>
      <c r="C674" s="6" t="s">
        <v>127</v>
      </c>
      <c r="D674" s="6" t="s">
        <v>3272</v>
      </c>
      <c r="E674" s="192">
        <v>43749</v>
      </c>
      <c r="F674" s="6">
        <f t="shared" ref="F674:F675" si="172">YEAR(E674)</f>
        <v>2019</v>
      </c>
      <c r="G674" s="6" t="s">
        <v>3382</v>
      </c>
      <c r="H674" s="22" t="str">
        <f>VLOOKUP($G674,'Item Classification'!B:C,2,0)</f>
        <v>120mm mobile mortar system</v>
      </c>
      <c r="I674" s="6" t="str">
        <f>VLOOKUP($G674,'Item Classification'!B:D,3,0)</f>
        <v>Artillery</v>
      </c>
      <c r="J674" s="23">
        <f>VLOOKUP($G674,'Item Classification'!B:E,4,0)</f>
        <v>3</v>
      </c>
      <c r="K674" s="195" t="s">
        <v>763</v>
      </c>
      <c r="L674" s="195" t="s">
        <v>1592</v>
      </c>
      <c r="M674" s="116" t="str">
        <f>VLOOKUP(L674,'NATO Classifications'!$D$6:$E$647,2,0)</f>
        <v>Guns over 75mm</v>
      </c>
      <c r="N674" s="25">
        <v>18</v>
      </c>
      <c r="O674" s="81"/>
      <c r="P674" s="25"/>
      <c r="Q674" s="25">
        <v>2020</v>
      </c>
      <c r="R674" s="25">
        <v>2021</v>
      </c>
      <c r="S674" s="81"/>
      <c r="T674" s="91" t="s">
        <v>3274</v>
      </c>
      <c r="U674" s="104">
        <f>_xlfn.IFNA(S674/INDEX('Exchange Rates'!$C$7:$F$14,MATCH('MAIN DATA, Orders'!F674,'Exchange Rates'!$B$7:$B$14,0),MATCH('MAIN DATA, Orders'!T674,'Exchange Rates'!$C$6:$F$6,0)), "-")</f>
        <v>0</v>
      </c>
      <c r="V674" s="10" t="s">
        <v>127</v>
      </c>
      <c r="W674" s="6" t="s">
        <v>127</v>
      </c>
      <c r="X674" s="6" t="s">
        <v>3272</v>
      </c>
      <c r="Y674" s="24">
        <f t="shared" si="166"/>
        <v>201910</v>
      </c>
      <c r="Z674" s="24">
        <v>1</v>
      </c>
      <c r="AA674" s="24">
        <v>0</v>
      </c>
      <c r="AB674" s="24">
        <v>0</v>
      </c>
      <c r="AC674" s="24">
        <v>1</v>
      </c>
      <c r="AD674" s="24">
        <v>0</v>
      </c>
      <c r="AE674" s="24">
        <v>0</v>
      </c>
      <c r="AF674" s="24">
        <v>0</v>
      </c>
      <c r="AG674" s="10" t="s">
        <v>3377</v>
      </c>
      <c r="AH674" s="10" t="s">
        <v>3272</v>
      </c>
      <c r="AI674" s="6" t="s">
        <v>3272</v>
      </c>
      <c r="AJ674" s="6" t="s">
        <v>3378</v>
      </c>
      <c r="AK674" s="6" t="s">
        <v>127</v>
      </c>
      <c r="AL674" s="6" t="s">
        <v>127</v>
      </c>
      <c r="AM674" s="6" t="s">
        <v>127</v>
      </c>
      <c r="AN674" s="6" t="s">
        <v>127</v>
      </c>
      <c r="AO674" s="6" t="s">
        <v>127</v>
      </c>
      <c r="AP674" s="6" t="s">
        <v>127</v>
      </c>
      <c r="AQ674" s="6" t="s">
        <v>127</v>
      </c>
      <c r="AR674" s="6" t="s">
        <v>127</v>
      </c>
      <c r="AS674" s="6" t="s">
        <v>127</v>
      </c>
      <c r="AT674" s="6" t="s">
        <v>127</v>
      </c>
      <c r="AU674" s="6" t="s">
        <v>127</v>
      </c>
      <c r="AV674" s="6" t="s">
        <v>127</v>
      </c>
      <c r="AW674" s="6" t="s">
        <v>127</v>
      </c>
      <c r="AX674" s="6" t="s">
        <v>127</v>
      </c>
      <c r="AY674" s="99" t="s">
        <v>3379</v>
      </c>
      <c r="AZ674" s="6" t="s">
        <v>127</v>
      </c>
      <c r="BA674" s="6" t="s">
        <v>127</v>
      </c>
      <c r="BB674" s="6" t="s">
        <v>3380</v>
      </c>
      <c r="BC674" s="6" t="s">
        <v>127</v>
      </c>
      <c r="BD674" s="6" t="s">
        <v>127</v>
      </c>
      <c r="BE674" s="6" t="s">
        <v>127</v>
      </c>
    </row>
    <row r="675" spans="1:57" ht="16" x14ac:dyDescent="0.4">
      <c r="A675" s="92" t="s">
        <v>3374</v>
      </c>
      <c r="B675" s="92" t="s">
        <v>3383</v>
      </c>
      <c r="C675" s="6" t="s">
        <v>127</v>
      </c>
      <c r="D675" s="6" t="s">
        <v>3272</v>
      </c>
      <c r="E675" s="192">
        <v>43749</v>
      </c>
      <c r="F675" s="6">
        <f t="shared" si="172"/>
        <v>2019</v>
      </c>
      <c r="G675" s="6" t="s">
        <v>3384</v>
      </c>
      <c r="H675" s="22" t="str">
        <f>VLOOKUP($G675,'Item Classification'!B:C,2,0)</f>
        <v>Artillery command vehicle</v>
      </c>
      <c r="I675" s="6" t="str">
        <f>VLOOKUP($G675,'Item Classification'!B:D,3,0)</f>
        <v>Artillery</v>
      </c>
      <c r="J675" s="23">
        <f>VLOOKUP($G675,'Item Classification'!B:E,4,0)</f>
        <v>3</v>
      </c>
      <c r="K675" s="195" t="s">
        <v>274</v>
      </c>
      <c r="L675" s="195" t="s">
        <v>493</v>
      </c>
      <c r="M675" s="116" t="str">
        <f>VLOOKUP(L675,'NATO Classifications'!$D$6:$E$647,2,0)</f>
        <v>Combat, Assault, and Tactical Vehicles, Wheeled</v>
      </c>
      <c r="N675" s="25">
        <v>8</v>
      </c>
      <c r="O675" s="81"/>
      <c r="P675" s="25"/>
      <c r="Q675" s="25">
        <v>2020</v>
      </c>
      <c r="R675" s="25">
        <v>2021</v>
      </c>
      <c r="S675" s="81"/>
      <c r="T675" s="91" t="s">
        <v>3274</v>
      </c>
      <c r="U675" s="104">
        <f>_xlfn.IFNA(S675/INDEX('Exchange Rates'!$C$7:$F$14,MATCH('MAIN DATA, Orders'!F675,'Exchange Rates'!$B$7:$B$14,0),MATCH('MAIN DATA, Orders'!T675,'Exchange Rates'!$C$6:$F$6,0)), "-")</f>
        <v>0</v>
      </c>
      <c r="V675" s="10" t="s">
        <v>127</v>
      </c>
      <c r="W675" s="6" t="s">
        <v>127</v>
      </c>
      <c r="X675" s="6" t="s">
        <v>3272</v>
      </c>
      <c r="Y675" s="24">
        <f t="shared" si="166"/>
        <v>201910</v>
      </c>
      <c r="Z675" s="24">
        <v>1</v>
      </c>
      <c r="AA675" s="24">
        <v>0</v>
      </c>
      <c r="AB675" s="24">
        <v>0</v>
      </c>
      <c r="AC675" s="24">
        <v>1</v>
      </c>
      <c r="AD675" s="24">
        <v>0</v>
      </c>
      <c r="AE675" s="24">
        <v>0</v>
      </c>
      <c r="AF675" s="24">
        <v>0</v>
      </c>
      <c r="AG675" s="10" t="s">
        <v>3377</v>
      </c>
      <c r="AH675" s="10" t="s">
        <v>3272</v>
      </c>
      <c r="AI675" s="6" t="s">
        <v>3272</v>
      </c>
      <c r="AJ675" s="6" t="s">
        <v>3378</v>
      </c>
      <c r="AK675" s="6" t="s">
        <v>127</v>
      </c>
      <c r="AL675" s="6" t="s">
        <v>127</v>
      </c>
      <c r="AM675" s="6" t="s">
        <v>127</v>
      </c>
      <c r="AN675" s="6" t="s">
        <v>127</v>
      </c>
      <c r="AO675" s="6" t="s">
        <v>127</v>
      </c>
      <c r="AP675" s="6" t="s">
        <v>127</v>
      </c>
      <c r="AQ675" s="6" t="s">
        <v>127</v>
      </c>
      <c r="AR675" s="6" t="s">
        <v>127</v>
      </c>
      <c r="AS675" s="6" t="s">
        <v>127</v>
      </c>
      <c r="AT675" s="6" t="s">
        <v>127</v>
      </c>
      <c r="AU675" s="6" t="s">
        <v>127</v>
      </c>
      <c r="AV675" s="6" t="s">
        <v>127</v>
      </c>
      <c r="AW675" s="6" t="s">
        <v>127</v>
      </c>
      <c r="AX675" s="6" t="s">
        <v>127</v>
      </c>
      <c r="AY675" s="99" t="s">
        <v>3379</v>
      </c>
      <c r="AZ675" s="6" t="s">
        <v>127</v>
      </c>
      <c r="BA675" s="6" t="s">
        <v>127</v>
      </c>
      <c r="BB675" s="6" t="s">
        <v>3380</v>
      </c>
      <c r="BC675" s="6" t="s">
        <v>127</v>
      </c>
      <c r="BD675" s="6" t="s">
        <v>127</v>
      </c>
      <c r="BE675" s="6" t="s">
        <v>127</v>
      </c>
    </row>
    <row r="676" spans="1:57" ht="16" x14ac:dyDescent="0.4">
      <c r="A676" s="92" t="s">
        <v>3385</v>
      </c>
      <c r="B676" s="92" t="s">
        <v>3385</v>
      </c>
      <c r="C676" s="6" t="s">
        <v>127</v>
      </c>
      <c r="D676" s="6" t="s">
        <v>3272</v>
      </c>
      <c r="E676" s="192">
        <v>43762</v>
      </c>
      <c r="F676" s="6">
        <f t="shared" ref="F676:F682" si="173">YEAR(E676)</f>
        <v>2019</v>
      </c>
      <c r="G676" s="6" t="s">
        <v>3386</v>
      </c>
      <c r="H676" s="22" t="str">
        <f>VLOOKUP($G676,'Item Classification'!B:C,2,0)</f>
        <v>Military equipment</v>
      </c>
      <c r="I676" s="6" t="str">
        <f>VLOOKUP($G676,'Item Classification'!B:D,3,0)</f>
        <v>Other</v>
      </c>
      <c r="J676" s="23">
        <f>VLOOKUP($G676,'Item Classification'!B:E,4,0)</f>
        <v>16</v>
      </c>
      <c r="K676" s="195" t="s">
        <v>158</v>
      </c>
      <c r="L676" s="195" t="s">
        <v>369</v>
      </c>
      <c r="M676" s="116" t="str">
        <f>VLOOKUP(L676,'NATO Classifications'!$D$6:$E$647,2,0)</f>
        <v>Communication, Detection, and Coherent Radiation Equipment (other)</v>
      </c>
      <c r="N676" s="25"/>
      <c r="O676" s="81"/>
      <c r="P676" s="25"/>
      <c r="Q676" s="25">
        <v>2019</v>
      </c>
      <c r="R676" s="25">
        <v>2020</v>
      </c>
      <c r="S676" s="81"/>
      <c r="T676" s="91" t="s">
        <v>3274</v>
      </c>
      <c r="U676" s="104">
        <f>_xlfn.IFNA(S676/INDEX('Exchange Rates'!$C$7:$F$14,MATCH('MAIN DATA, Orders'!F676,'Exchange Rates'!$B$7:$B$14,0),MATCH('MAIN DATA, Orders'!T676,'Exchange Rates'!$C$6:$F$6,0)), "-")</f>
        <v>0</v>
      </c>
      <c r="V676" s="10" t="s">
        <v>127</v>
      </c>
      <c r="W676" s="6" t="s">
        <v>127</v>
      </c>
      <c r="X676" s="6" t="s">
        <v>3272</v>
      </c>
      <c r="Y676" s="24">
        <f t="shared" si="166"/>
        <v>201910</v>
      </c>
      <c r="Z676" s="24">
        <v>0</v>
      </c>
      <c r="AA676" s="24">
        <v>0</v>
      </c>
      <c r="AB676" s="24">
        <v>0</v>
      </c>
      <c r="AC676" s="24">
        <v>1</v>
      </c>
      <c r="AD676" s="24">
        <v>0</v>
      </c>
      <c r="AE676" s="24">
        <v>0</v>
      </c>
      <c r="AF676" s="24">
        <v>0</v>
      </c>
      <c r="AG676" s="10" t="s">
        <v>3387</v>
      </c>
      <c r="AH676" s="10" t="s">
        <v>3272</v>
      </c>
      <c r="AI676" s="6" t="s">
        <v>3272</v>
      </c>
      <c r="AJ676" s="6" t="s">
        <v>127</v>
      </c>
      <c r="AK676" s="6" t="s">
        <v>127</v>
      </c>
      <c r="AL676" s="6" t="s">
        <v>127</v>
      </c>
      <c r="AM676" s="6" t="s">
        <v>127</v>
      </c>
      <c r="AN676" s="6" t="s">
        <v>127</v>
      </c>
      <c r="AO676" s="6" t="s">
        <v>127</v>
      </c>
      <c r="AP676" s="6" t="s">
        <v>127</v>
      </c>
      <c r="AQ676" s="6" t="s">
        <v>127</v>
      </c>
      <c r="AR676" s="6" t="s">
        <v>127</v>
      </c>
      <c r="AS676" s="6" t="s">
        <v>127</v>
      </c>
      <c r="AT676" s="6" t="s">
        <v>127</v>
      </c>
      <c r="AU676" s="6" t="s">
        <v>127</v>
      </c>
      <c r="AV676" s="6" t="s">
        <v>127</v>
      </c>
      <c r="AW676" s="6" t="s">
        <v>127</v>
      </c>
      <c r="AX676" s="6" t="s">
        <v>127</v>
      </c>
      <c r="AY676" s="99" t="s">
        <v>3388</v>
      </c>
      <c r="AZ676" s="6" t="s">
        <v>127</v>
      </c>
      <c r="BA676" s="6" t="s">
        <v>127</v>
      </c>
      <c r="BB676" s="6" t="s">
        <v>3389</v>
      </c>
      <c r="BC676" s="6" t="s">
        <v>127</v>
      </c>
      <c r="BD676" s="6" t="s">
        <v>127</v>
      </c>
      <c r="BE676" s="6" t="s">
        <v>127</v>
      </c>
    </row>
    <row r="677" spans="1:57" ht="16" x14ac:dyDescent="0.4">
      <c r="A677" s="92" t="s">
        <v>3390</v>
      </c>
      <c r="B677" s="92" t="s">
        <v>3390</v>
      </c>
      <c r="C677" s="6" t="s">
        <v>127</v>
      </c>
      <c r="D677" s="6" t="s">
        <v>3272</v>
      </c>
      <c r="E677" s="192">
        <v>43796</v>
      </c>
      <c r="F677" s="6">
        <f t="shared" si="173"/>
        <v>2019</v>
      </c>
      <c r="G677" s="6" t="s">
        <v>3391</v>
      </c>
      <c r="H677" s="22" t="str">
        <f>VLOOKUP($G677,'Item Classification'!B:C,2,0)</f>
        <v>Ammunition powder</v>
      </c>
      <c r="I677" s="6" t="str">
        <f>VLOOKUP($G677,'Item Classification'!B:D,3,0)</f>
        <v>Ammunition</v>
      </c>
      <c r="J677" s="23">
        <f>VLOOKUP($G677,'Item Classification'!B:E,4,0)</f>
        <v>4</v>
      </c>
      <c r="K677" s="195" t="s">
        <v>189</v>
      </c>
      <c r="L677" s="195" t="s">
        <v>3392</v>
      </c>
      <c r="M677" s="116" t="str">
        <f>VLOOKUP(L677,'NATO Classifications'!$D$6:$E$647,2,0)</f>
        <v>Explosives, Surface Use and Mines (all types)</v>
      </c>
      <c r="N677" s="25"/>
      <c r="O677" s="81"/>
      <c r="P677" s="25"/>
      <c r="Q677" s="25"/>
      <c r="R677" s="25"/>
      <c r="S677" s="81">
        <v>430000000</v>
      </c>
      <c r="T677" s="24" t="s">
        <v>3274</v>
      </c>
      <c r="U677" s="104">
        <f>_xlfn.IFNA(S677/INDEX('Exchange Rates'!$C$7:$F$14,MATCH('MAIN DATA, Orders'!F677,'Exchange Rates'!$B$7:$B$14,0),MATCH('MAIN DATA, Orders'!T677,'Exchange Rates'!$C$6:$F$6,0)), "-")</f>
        <v>100055845.12285927</v>
      </c>
      <c r="V677" s="10" t="s">
        <v>127</v>
      </c>
      <c r="W677" s="6" t="s">
        <v>127</v>
      </c>
      <c r="X677" s="6" t="s">
        <v>3272</v>
      </c>
      <c r="Y677" s="24">
        <f t="shared" si="166"/>
        <v>201911</v>
      </c>
      <c r="Z677" s="24">
        <v>0</v>
      </c>
      <c r="AA677" s="24">
        <v>0</v>
      </c>
      <c r="AB677" s="24">
        <v>0</v>
      </c>
      <c r="AC677" s="24">
        <v>1</v>
      </c>
      <c r="AD677" s="24">
        <v>0</v>
      </c>
      <c r="AE677" s="24">
        <v>0</v>
      </c>
      <c r="AF677" s="24">
        <v>0</v>
      </c>
      <c r="AG677" s="10" t="s">
        <v>3393</v>
      </c>
      <c r="AH677" s="10" t="s">
        <v>3272</v>
      </c>
      <c r="AI677" s="6" t="s">
        <v>3272</v>
      </c>
      <c r="AJ677" s="6" t="s">
        <v>127</v>
      </c>
      <c r="AK677" s="6" t="s">
        <v>127</v>
      </c>
      <c r="AL677" s="6" t="s">
        <v>127</v>
      </c>
      <c r="AM677" s="6" t="s">
        <v>127</v>
      </c>
      <c r="AN677" s="6" t="s">
        <v>127</v>
      </c>
      <c r="AO677" s="6" t="s">
        <v>127</v>
      </c>
      <c r="AP677" s="6" t="s">
        <v>127</v>
      </c>
      <c r="AQ677" s="6" t="s">
        <v>127</v>
      </c>
      <c r="AR677" s="6" t="s">
        <v>127</v>
      </c>
      <c r="AS677" s="6" t="s">
        <v>127</v>
      </c>
      <c r="AT677" s="6" t="s">
        <v>127</v>
      </c>
      <c r="AU677" s="6" t="s">
        <v>127</v>
      </c>
      <c r="AV677" s="6" t="s">
        <v>127</v>
      </c>
      <c r="AW677" s="6" t="s">
        <v>127</v>
      </c>
      <c r="AX677" s="6" t="s">
        <v>127</v>
      </c>
      <c r="AY677" s="99" t="s">
        <v>3394</v>
      </c>
      <c r="AZ677" s="6" t="s">
        <v>127</v>
      </c>
      <c r="BA677" s="6" t="s">
        <v>127</v>
      </c>
      <c r="BB677" s="6" t="s">
        <v>3395</v>
      </c>
      <c r="BC677" s="6" t="s">
        <v>127</v>
      </c>
      <c r="BD677" s="6" t="s">
        <v>127</v>
      </c>
      <c r="BE677" s="6" t="s">
        <v>127</v>
      </c>
    </row>
    <row r="678" spans="1:57" ht="16" x14ac:dyDescent="0.4">
      <c r="A678" s="92" t="s">
        <v>3396</v>
      </c>
      <c r="B678" s="92" t="s">
        <v>3396</v>
      </c>
      <c r="C678" s="6" t="s">
        <v>127</v>
      </c>
      <c r="D678" s="6" t="s">
        <v>3272</v>
      </c>
      <c r="E678" s="192">
        <v>43861</v>
      </c>
      <c r="F678" s="6">
        <f t="shared" si="173"/>
        <v>2020</v>
      </c>
      <c r="G678" s="6" t="s">
        <v>3122</v>
      </c>
      <c r="H678" s="22" t="str">
        <f>VLOOKUP($G678,'Item Classification'!B:C,2,0)</f>
        <v>Fighter aircraft</v>
      </c>
      <c r="I678" s="6" t="str">
        <f>VLOOKUP($G678,'Item Classification'!B:D,3,0)</f>
        <v>Aircraft</v>
      </c>
      <c r="J678" s="23">
        <f>VLOOKUP($G678,'Item Classification'!B:E,4,0)</f>
        <v>11</v>
      </c>
      <c r="K678" s="195" t="s">
        <v>130</v>
      </c>
      <c r="L678" s="195" t="s">
        <v>237</v>
      </c>
      <c r="M678" s="116" t="str">
        <f>VLOOKUP(L678,'NATO Classifications'!$D$6:$E$647,2,0)</f>
        <v>Aircraft, Fixed Wing</v>
      </c>
      <c r="N678" s="25">
        <v>32</v>
      </c>
      <c r="O678" s="81">
        <f>S678/N678</f>
        <v>143750000</v>
      </c>
      <c r="P678" s="81">
        <f>U678/N678</f>
        <v>125853615.82910173</v>
      </c>
      <c r="Q678" s="25">
        <v>2024</v>
      </c>
      <c r="R678" s="25">
        <v>2030</v>
      </c>
      <c r="S678" s="81">
        <v>4600000000</v>
      </c>
      <c r="T678" s="24" t="s">
        <v>3284</v>
      </c>
      <c r="U678" s="104">
        <f>_xlfn.IFNA(S678/INDEX('Exchange Rates'!$C$7:$F$14,MATCH('MAIN DATA, Orders'!F678,'Exchange Rates'!$B$7:$B$14,0),MATCH('MAIN DATA, Orders'!T678,'Exchange Rates'!$C$6:$F$6,0)), "-")</f>
        <v>4027315706.5312552</v>
      </c>
      <c r="V678" s="10" t="s">
        <v>127</v>
      </c>
      <c r="W678" s="6" t="s">
        <v>127</v>
      </c>
      <c r="X678" s="6" t="s">
        <v>3272</v>
      </c>
      <c r="Y678" s="24">
        <f t="shared" si="166"/>
        <v>202001</v>
      </c>
      <c r="Z678" s="24">
        <v>0</v>
      </c>
      <c r="AA678" s="24">
        <v>0</v>
      </c>
      <c r="AB678" s="24">
        <v>0</v>
      </c>
      <c r="AC678" s="24">
        <v>0</v>
      </c>
      <c r="AD678" s="24">
        <v>0</v>
      </c>
      <c r="AE678" s="24">
        <v>0</v>
      </c>
      <c r="AF678" s="24">
        <v>0</v>
      </c>
      <c r="AG678" s="10" t="s">
        <v>795</v>
      </c>
      <c r="AH678" s="10" t="s">
        <v>196</v>
      </c>
      <c r="AI678" s="6" t="s">
        <v>196</v>
      </c>
      <c r="AJ678" s="6" t="s">
        <v>127</v>
      </c>
      <c r="AK678" s="6" t="s">
        <v>127</v>
      </c>
      <c r="AL678" s="6" t="s">
        <v>127</v>
      </c>
      <c r="AM678" s="6" t="s">
        <v>127</v>
      </c>
      <c r="AN678" s="6" t="s">
        <v>127</v>
      </c>
      <c r="AO678" s="6" t="s">
        <v>127</v>
      </c>
      <c r="AP678" s="6" t="s">
        <v>127</v>
      </c>
      <c r="AQ678" s="6" t="s">
        <v>127</v>
      </c>
      <c r="AR678" s="6" t="s">
        <v>127</v>
      </c>
      <c r="AS678" s="6" t="s">
        <v>127</v>
      </c>
      <c r="AT678" s="6" t="s">
        <v>127</v>
      </c>
      <c r="AU678" s="6" t="s">
        <v>127</v>
      </c>
      <c r="AV678" s="6" t="s">
        <v>127</v>
      </c>
      <c r="AW678" s="6" t="s">
        <v>127</v>
      </c>
      <c r="AX678" s="6" t="s">
        <v>127</v>
      </c>
      <c r="AY678" s="99" t="s">
        <v>3397</v>
      </c>
      <c r="AZ678" s="6" t="s">
        <v>127</v>
      </c>
      <c r="BA678" s="6" t="s">
        <v>127</v>
      </c>
      <c r="BB678" s="6" t="s">
        <v>3398</v>
      </c>
      <c r="BC678" s="6" t="s">
        <v>3399</v>
      </c>
      <c r="BD678" s="6" t="s">
        <v>127</v>
      </c>
      <c r="BE678" s="6" t="s">
        <v>127</v>
      </c>
    </row>
    <row r="679" spans="1:57" ht="16" x14ac:dyDescent="0.4">
      <c r="A679" s="92" t="s">
        <v>3400</v>
      </c>
      <c r="B679" s="6" t="s">
        <v>3400</v>
      </c>
      <c r="C679" s="6" t="s">
        <v>127</v>
      </c>
      <c r="D679" s="6" t="s">
        <v>3272</v>
      </c>
      <c r="E679" s="192">
        <v>43973</v>
      </c>
      <c r="F679" s="6">
        <f t="shared" si="173"/>
        <v>2020</v>
      </c>
      <c r="G679" s="6" t="s">
        <v>127</v>
      </c>
      <c r="H679" s="22" t="s">
        <v>3375</v>
      </c>
      <c r="I679" s="6" t="s">
        <v>3376</v>
      </c>
      <c r="J679" s="23">
        <v>3</v>
      </c>
      <c r="K679" s="195" t="s">
        <v>763</v>
      </c>
      <c r="L679" s="195" t="s">
        <v>1592</v>
      </c>
      <c r="M679" s="116" t="str">
        <f>VLOOKUP(L679,'NATO Classifications'!$D$6:$E$647,2,0)</f>
        <v>Guns over 75mm</v>
      </c>
      <c r="N679" s="25"/>
      <c r="O679" s="81"/>
      <c r="P679" s="25"/>
      <c r="Q679" s="25">
        <v>2022</v>
      </c>
      <c r="R679" s="25">
        <v>2024</v>
      </c>
      <c r="S679" s="81">
        <v>703100000</v>
      </c>
      <c r="T679" s="24" t="s">
        <v>3274</v>
      </c>
      <c r="U679" s="104">
        <f>_xlfn.IFNA(S679/INDEX('Exchange Rates'!$C$7:$F$14,MATCH('MAIN DATA, Orders'!F679,'Exchange Rates'!$B$7:$B$14,0),MATCH('MAIN DATA, Orders'!T679,'Exchange Rates'!$C$6:$F$6,0)), "-")</f>
        <v>158248930.90254334</v>
      </c>
      <c r="V679" s="10" t="s">
        <v>127</v>
      </c>
      <c r="W679" s="6" t="s">
        <v>127</v>
      </c>
      <c r="X679" s="6" t="s">
        <v>3272</v>
      </c>
      <c r="Y679" s="24">
        <f t="shared" si="166"/>
        <v>202005</v>
      </c>
      <c r="Z679" s="24">
        <v>0</v>
      </c>
      <c r="AA679" s="24">
        <v>0</v>
      </c>
      <c r="AB679" s="24">
        <v>0</v>
      </c>
      <c r="AC679" s="24">
        <v>1</v>
      </c>
      <c r="AD679" s="24">
        <v>0</v>
      </c>
      <c r="AE679" s="24">
        <v>0</v>
      </c>
      <c r="AF679" s="24">
        <v>0</v>
      </c>
      <c r="AG679" s="10" t="s">
        <v>3377</v>
      </c>
      <c r="AH679" s="10" t="s">
        <v>3272</v>
      </c>
      <c r="AI679" s="6" t="s">
        <v>3272</v>
      </c>
      <c r="AJ679" s="6" t="s">
        <v>3401</v>
      </c>
      <c r="AK679" s="6" t="s">
        <v>127</v>
      </c>
      <c r="AL679" s="6" t="s">
        <v>127</v>
      </c>
      <c r="AM679" s="6" t="s">
        <v>127</v>
      </c>
      <c r="AN679" s="6" t="s">
        <v>127</v>
      </c>
      <c r="AO679" s="6" t="s">
        <v>127</v>
      </c>
      <c r="AP679" s="6" t="s">
        <v>127</v>
      </c>
      <c r="AQ679" s="6" t="s">
        <v>127</v>
      </c>
      <c r="AR679" s="6" t="s">
        <v>127</v>
      </c>
      <c r="AS679" s="6" t="s">
        <v>127</v>
      </c>
      <c r="AT679" s="6" t="s">
        <v>127</v>
      </c>
      <c r="AU679" s="6" t="s">
        <v>127</v>
      </c>
      <c r="AV679" s="6" t="s">
        <v>127</v>
      </c>
      <c r="AW679" s="6" t="s">
        <v>127</v>
      </c>
      <c r="AX679" s="6" t="s">
        <v>127</v>
      </c>
      <c r="AY679" s="99" t="s">
        <v>3402</v>
      </c>
      <c r="AZ679" s="6" t="s">
        <v>127</v>
      </c>
      <c r="BA679" s="6" t="s">
        <v>127</v>
      </c>
      <c r="BB679" s="6" t="s">
        <v>3403</v>
      </c>
      <c r="BC679" s="6" t="s">
        <v>3404</v>
      </c>
      <c r="BD679" s="6" t="s">
        <v>127</v>
      </c>
      <c r="BE679" s="6" t="s">
        <v>127</v>
      </c>
    </row>
    <row r="680" spans="1:57" ht="16" x14ac:dyDescent="0.4">
      <c r="A680" s="92" t="s">
        <v>3400</v>
      </c>
      <c r="B680" s="6" t="s">
        <v>3405</v>
      </c>
      <c r="C680" s="6" t="s">
        <v>127</v>
      </c>
      <c r="D680" s="6" t="s">
        <v>3272</v>
      </c>
      <c r="E680" s="192">
        <v>43973</v>
      </c>
      <c r="F680" s="6">
        <f t="shared" si="173"/>
        <v>2020</v>
      </c>
      <c r="G680" s="6" t="s">
        <v>3382</v>
      </c>
      <c r="H680" s="22" t="str">
        <f>VLOOKUP($G680,'Item Classification'!B:C,2,0)</f>
        <v>120mm mobile mortar system</v>
      </c>
      <c r="I680" s="6" t="str">
        <f>VLOOKUP($G680,'Item Classification'!B:D,3,0)</f>
        <v>Artillery</v>
      </c>
      <c r="J680" s="23">
        <f>VLOOKUP($G680,'Item Classification'!B:E,4,0)</f>
        <v>3</v>
      </c>
      <c r="K680" s="195" t="s">
        <v>763</v>
      </c>
      <c r="L680" s="195" t="s">
        <v>1592</v>
      </c>
      <c r="M680" s="116" t="str">
        <f>VLOOKUP(L680,'NATO Classifications'!$D$6:$E$647,2,0)</f>
        <v>Guns over 75mm</v>
      </c>
      <c r="N680" s="6">
        <v>40</v>
      </c>
      <c r="O680" s="81"/>
      <c r="P680" s="25"/>
      <c r="Q680" s="25">
        <v>2022</v>
      </c>
      <c r="R680" s="25">
        <v>2024</v>
      </c>
      <c r="S680" s="25"/>
      <c r="T680" s="24" t="s">
        <v>3274</v>
      </c>
      <c r="U680" s="104">
        <f>_xlfn.IFNA(S680/INDEX('Exchange Rates'!$C$7:$F$14,MATCH('MAIN DATA, Orders'!F680,'Exchange Rates'!$B$7:$B$14,0),MATCH('MAIN DATA, Orders'!T680,'Exchange Rates'!$C$6:$F$6,0)), "-")</f>
        <v>0</v>
      </c>
      <c r="V680" s="10" t="s">
        <v>127</v>
      </c>
      <c r="W680" s="6" t="s">
        <v>127</v>
      </c>
      <c r="X680" s="6" t="s">
        <v>3272</v>
      </c>
      <c r="Y680" s="24">
        <f t="shared" si="166"/>
        <v>202005</v>
      </c>
      <c r="Z680" s="24">
        <v>0</v>
      </c>
      <c r="AA680" s="24">
        <v>0</v>
      </c>
      <c r="AB680" s="24">
        <v>0</v>
      </c>
      <c r="AC680" s="24">
        <v>1</v>
      </c>
      <c r="AD680" s="24">
        <v>0</v>
      </c>
      <c r="AE680" s="24">
        <v>0</v>
      </c>
      <c r="AF680" s="24">
        <v>0</v>
      </c>
      <c r="AG680" s="10" t="s">
        <v>3377</v>
      </c>
      <c r="AH680" s="10" t="s">
        <v>3272</v>
      </c>
      <c r="AI680" s="6" t="s">
        <v>3272</v>
      </c>
      <c r="AJ680" s="6" t="s">
        <v>3401</v>
      </c>
      <c r="AK680" s="6" t="s">
        <v>127</v>
      </c>
      <c r="AL680" s="6" t="s">
        <v>127</v>
      </c>
      <c r="AM680" s="6" t="s">
        <v>127</v>
      </c>
      <c r="AN680" s="6" t="s">
        <v>127</v>
      </c>
      <c r="AO680" s="6" t="s">
        <v>127</v>
      </c>
      <c r="AP680" s="6" t="s">
        <v>127</v>
      </c>
      <c r="AQ680" s="6" t="s">
        <v>127</v>
      </c>
      <c r="AR680" s="6" t="s">
        <v>127</v>
      </c>
      <c r="AS680" s="6" t="s">
        <v>127</v>
      </c>
      <c r="AT680" s="6" t="s">
        <v>127</v>
      </c>
      <c r="AU680" s="6" t="s">
        <v>127</v>
      </c>
      <c r="AV680" s="6" t="s">
        <v>127</v>
      </c>
      <c r="AW680" s="6" t="s">
        <v>127</v>
      </c>
      <c r="AX680" s="6" t="s">
        <v>127</v>
      </c>
      <c r="AY680" s="99" t="s">
        <v>3402</v>
      </c>
      <c r="AZ680" s="6" t="s">
        <v>127</v>
      </c>
      <c r="BA680" s="6" t="s">
        <v>127</v>
      </c>
      <c r="BB680" s="6" t="s">
        <v>3403</v>
      </c>
      <c r="BC680" s="6" t="s">
        <v>3404</v>
      </c>
      <c r="BD680" s="6" t="s">
        <v>127</v>
      </c>
      <c r="BE680" s="6" t="s">
        <v>127</v>
      </c>
    </row>
    <row r="681" spans="1:57" ht="16" x14ac:dyDescent="0.4">
      <c r="A681" s="92" t="s">
        <v>3400</v>
      </c>
      <c r="B681" s="6" t="s">
        <v>3406</v>
      </c>
      <c r="C681" s="6" t="s">
        <v>127</v>
      </c>
      <c r="D681" s="6" t="s">
        <v>3272</v>
      </c>
      <c r="E681" s="192">
        <v>43973</v>
      </c>
      <c r="F681" s="6">
        <f t="shared" si="173"/>
        <v>2020</v>
      </c>
      <c r="G681" s="6" t="s">
        <v>3384</v>
      </c>
      <c r="H681" s="22" t="str">
        <f>VLOOKUP($G681,'Item Classification'!B:C,2,0)</f>
        <v>Artillery command vehicle</v>
      </c>
      <c r="I681" s="6" t="str">
        <f>VLOOKUP($G681,'Item Classification'!B:D,3,0)</f>
        <v>Artillery</v>
      </c>
      <c r="J681" s="23">
        <f>VLOOKUP($G681,'Item Classification'!B:E,4,0)</f>
        <v>3</v>
      </c>
      <c r="K681" s="195" t="s">
        <v>274</v>
      </c>
      <c r="L681" s="195" t="s">
        <v>493</v>
      </c>
      <c r="M681" s="116" t="str">
        <f>VLOOKUP(L681,'NATO Classifications'!$D$6:$E$647,2,0)</f>
        <v>Combat, Assault, and Tactical Vehicles, Wheeled</v>
      </c>
      <c r="N681" s="25">
        <v>20</v>
      </c>
      <c r="O681" s="81"/>
      <c r="P681" s="25"/>
      <c r="Q681" s="25">
        <v>2022</v>
      </c>
      <c r="R681" s="25">
        <v>2024</v>
      </c>
      <c r="S681" s="25"/>
      <c r="T681" s="24" t="s">
        <v>3274</v>
      </c>
      <c r="U681" s="104">
        <f>_xlfn.IFNA(S681/INDEX('Exchange Rates'!$C$7:$F$14,MATCH('MAIN DATA, Orders'!F681,'Exchange Rates'!$B$7:$B$14,0),MATCH('MAIN DATA, Orders'!T681,'Exchange Rates'!$C$6:$F$6,0)), "-")</f>
        <v>0</v>
      </c>
      <c r="V681" s="10" t="s">
        <v>127</v>
      </c>
      <c r="W681" s="6" t="s">
        <v>127</v>
      </c>
      <c r="X681" s="6" t="s">
        <v>3272</v>
      </c>
      <c r="Y681" s="24">
        <f t="shared" si="166"/>
        <v>202005</v>
      </c>
      <c r="Z681" s="24">
        <v>0</v>
      </c>
      <c r="AA681" s="24">
        <v>0</v>
      </c>
      <c r="AB681" s="24">
        <v>0</v>
      </c>
      <c r="AC681" s="24">
        <v>1</v>
      </c>
      <c r="AD681" s="24">
        <v>0</v>
      </c>
      <c r="AE681" s="24">
        <v>0</v>
      </c>
      <c r="AF681" s="24">
        <v>0</v>
      </c>
      <c r="AG681" s="10" t="s">
        <v>3377</v>
      </c>
      <c r="AH681" s="10" t="s">
        <v>3272</v>
      </c>
      <c r="AI681" s="6" t="s">
        <v>3272</v>
      </c>
      <c r="AJ681" s="6" t="s">
        <v>3401</v>
      </c>
      <c r="AK681" s="6" t="s">
        <v>127</v>
      </c>
      <c r="AL681" s="6" t="s">
        <v>127</v>
      </c>
      <c r="AM681" s="6" t="s">
        <v>127</v>
      </c>
      <c r="AN681" s="6" t="s">
        <v>127</v>
      </c>
      <c r="AO681" s="6" t="s">
        <v>127</v>
      </c>
      <c r="AP681" s="6" t="s">
        <v>127</v>
      </c>
      <c r="AQ681" s="6" t="s">
        <v>127</v>
      </c>
      <c r="AR681" s="6" t="s">
        <v>127</v>
      </c>
      <c r="AS681" s="6" t="s">
        <v>127</v>
      </c>
      <c r="AT681" s="6" t="s">
        <v>127</v>
      </c>
      <c r="AU681" s="6" t="s">
        <v>127</v>
      </c>
      <c r="AV681" s="6" t="s">
        <v>127</v>
      </c>
      <c r="AW681" s="6" t="s">
        <v>127</v>
      </c>
      <c r="AX681" s="6" t="s">
        <v>127</v>
      </c>
      <c r="AY681" s="99" t="s">
        <v>3402</v>
      </c>
      <c r="AZ681" s="6" t="s">
        <v>127</v>
      </c>
      <c r="BA681" s="6" t="s">
        <v>127</v>
      </c>
      <c r="BB681" s="6" t="s">
        <v>3403</v>
      </c>
      <c r="BC681" s="6" t="s">
        <v>3404</v>
      </c>
      <c r="BD681" s="6" t="s">
        <v>127</v>
      </c>
      <c r="BE681" s="6" t="s">
        <v>127</v>
      </c>
    </row>
    <row r="682" spans="1:57" ht="16" x14ac:dyDescent="0.4">
      <c r="A682" s="92" t="s">
        <v>3407</v>
      </c>
      <c r="B682" s="92" t="s">
        <v>3407</v>
      </c>
      <c r="C682" s="6" t="s">
        <v>127</v>
      </c>
      <c r="D682" s="6" t="s">
        <v>3272</v>
      </c>
      <c r="E682" s="192">
        <v>44020</v>
      </c>
      <c r="F682" s="6">
        <f t="shared" si="173"/>
        <v>2020</v>
      </c>
      <c r="G682" s="6" t="s">
        <v>3371</v>
      </c>
      <c r="H682" s="22" t="str">
        <f>VLOOKUP($G682,'Item Classification'!B:C,2,0)</f>
        <v>Small Arms and Light Weapons (SALW)</v>
      </c>
      <c r="I682" s="6" t="str">
        <f>VLOOKUP($G682,'Item Classification'!B:D,3,0)</f>
        <v>Infantry</v>
      </c>
      <c r="J682" s="23">
        <f>VLOOKUP($G682,'Item Classification'!B:E,4,0)</f>
        <v>8</v>
      </c>
      <c r="K682" s="195" t="s">
        <v>763</v>
      </c>
      <c r="L682" s="195" t="s">
        <v>764</v>
      </c>
      <c r="M682" s="116" t="str">
        <f>VLOOKUP(L682,'NATO Classifications'!$D$6:$E$647,2,0)</f>
        <v>Guns below 75mm</v>
      </c>
      <c r="N682" s="25">
        <v>18000</v>
      </c>
      <c r="O682" s="81">
        <f>S682/N682</f>
        <v>9833.3333333333339</v>
      </c>
      <c r="P682" s="81">
        <f>U682/N682</f>
        <v>2213.2192962712884</v>
      </c>
      <c r="Q682" s="25">
        <v>2020</v>
      </c>
      <c r="R682" s="25">
        <v>2026</v>
      </c>
      <c r="S682" s="81">
        <v>177000000</v>
      </c>
      <c r="T682" s="24" t="s">
        <v>3274</v>
      </c>
      <c r="U682" s="104">
        <f>_xlfn.IFNA(S682/INDEX('Exchange Rates'!$C$7:$F$14,MATCH('MAIN DATA, Orders'!F682,'Exchange Rates'!$B$7:$B$14,0),MATCH('MAIN DATA, Orders'!T682,'Exchange Rates'!$C$6:$F$6,0)), "-")</f>
        <v>39837947.332883194</v>
      </c>
      <c r="V682" s="10" t="s">
        <v>127</v>
      </c>
      <c r="W682" s="6" t="s">
        <v>127</v>
      </c>
      <c r="X682" s="6" t="s">
        <v>3272</v>
      </c>
      <c r="Y682" s="24">
        <f t="shared" si="166"/>
        <v>202007</v>
      </c>
      <c r="Z682" s="24">
        <v>1</v>
      </c>
      <c r="AA682" s="24">
        <v>0</v>
      </c>
      <c r="AB682" s="24">
        <v>0</v>
      </c>
      <c r="AC682" s="24">
        <v>1</v>
      </c>
      <c r="AD682" s="24">
        <v>0</v>
      </c>
      <c r="AE682" s="24">
        <v>0</v>
      </c>
      <c r="AF682" s="24">
        <v>0</v>
      </c>
      <c r="AG682" s="10" t="s">
        <v>3408</v>
      </c>
      <c r="AH682" s="10" t="s">
        <v>3272</v>
      </c>
      <c r="AI682" s="6" t="s">
        <v>3272</v>
      </c>
      <c r="AJ682" s="6" t="s">
        <v>127</v>
      </c>
      <c r="AK682" s="6" t="s">
        <v>127</v>
      </c>
      <c r="AL682" s="6" t="s">
        <v>127</v>
      </c>
      <c r="AM682" s="6" t="s">
        <v>127</v>
      </c>
      <c r="AN682" s="6" t="s">
        <v>127</v>
      </c>
      <c r="AO682" s="6" t="s">
        <v>127</v>
      </c>
      <c r="AP682" s="6" t="s">
        <v>127</v>
      </c>
      <c r="AQ682" s="6" t="s">
        <v>127</v>
      </c>
      <c r="AR682" s="6" t="s">
        <v>127</v>
      </c>
      <c r="AS682" s="6" t="s">
        <v>127</v>
      </c>
      <c r="AT682" s="6" t="s">
        <v>127</v>
      </c>
      <c r="AU682" s="6" t="s">
        <v>127</v>
      </c>
      <c r="AV682" s="6" t="s">
        <v>127</v>
      </c>
      <c r="AW682" s="6" t="s">
        <v>127</v>
      </c>
      <c r="AX682" s="6" t="s">
        <v>127</v>
      </c>
      <c r="AY682" s="99" t="s">
        <v>3409</v>
      </c>
      <c r="AZ682" s="6" t="s">
        <v>127</v>
      </c>
      <c r="BA682" s="6" t="s">
        <v>127</v>
      </c>
      <c r="BB682" s="6" t="s">
        <v>3410</v>
      </c>
      <c r="BC682" s="6" t="s">
        <v>127</v>
      </c>
      <c r="BD682" s="6" t="s">
        <v>127</v>
      </c>
      <c r="BE682" s="6" t="s">
        <v>127</v>
      </c>
    </row>
    <row r="683" spans="1:57" ht="16" x14ac:dyDescent="0.4">
      <c r="A683" s="92" t="s">
        <v>3411</v>
      </c>
      <c r="B683" s="92" t="s">
        <v>3411</v>
      </c>
      <c r="C683" s="6" t="s">
        <v>127</v>
      </c>
      <c r="D683" s="6" t="s">
        <v>3272</v>
      </c>
      <c r="E683" s="192">
        <v>44088</v>
      </c>
      <c r="F683" s="6">
        <f t="shared" ref="F683:F700" si="174">YEAR(E683)</f>
        <v>2020</v>
      </c>
      <c r="G683" s="6" t="s">
        <v>3412</v>
      </c>
      <c r="H683" s="22" t="str">
        <f>VLOOKUP($G683,'Item Classification'!B:C,2,0)</f>
        <v>Armoured personnel carrier</v>
      </c>
      <c r="I683" s="6" t="str">
        <f>VLOOKUP($G683,'Item Classification'!B:D,3,0)</f>
        <v>Armoured vehicle</v>
      </c>
      <c r="J683" s="23">
        <f>VLOOKUP($G683,'Item Classification'!B:E,4,0)</f>
        <v>2</v>
      </c>
      <c r="K683" s="195" t="s">
        <v>274</v>
      </c>
      <c r="L683" s="195" t="s">
        <v>493</v>
      </c>
      <c r="M683" s="116" t="str">
        <f>VLOOKUP(L683,'NATO Classifications'!$D$6:$E$647,2,0)</f>
        <v>Combat, Assault, and Tactical Vehicles, Wheeled</v>
      </c>
      <c r="N683" s="25"/>
      <c r="O683" s="81"/>
      <c r="P683" s="25"/>
      <c r="Q683" s="25">
        <v>2020</v>
      </c>
      <c r="R683" s="25">
        <v>2023</v>
      </c>
      <c r="S683" s="81"/>
      <c r="T683" s="24" t="s">
        <v>3274</v>
      </c>
      <c r="U683" s="104">
        <f>_xlfn.IFNA(S683/INDEX('Exchange Rates'!$C$7:$F$14,MATCH('MAIN DATA, Orders'!F683,'Exchange Rates'!$B$7:$B$14,0),MATCH('MAIN DATA, Orders'!T683,'Exchange Rates'!$C$6:$F$6,0)), "-")</f>
        <v>0</v>
      </c>
      <c r="V683" s="10" t="s">
        <v>127</v>
      </c>
      <c r="W683" s="6" t="s">
        <v>127</v>
      </c>
      <c r="X683" s="6" t="s">
        <v>3272</v>
      </c>
      <c r="Y683" s="24">
        <f t="shared" si="166"/>
        <v>202009</v>
      </c>
      <c r="Z683" s="24">
        <v>0</v>
      </c>
      <c r="AA683" s="24">
        <v>0</v>
      </c>
      <c r="AB683" s="24">
        <v>0</v>
      </c>
      <c r="AC683" s="24">
        <v>1</v>
      </c>
      <c r="AD683" s="24">
        <v>0</v>
      </c>
      <c r="AE683" s="24">
        <v>0</v>
      </c>
      <c r="AF683" s="24">
        <v>0</v>
      </c>
      <c r="AG683" s="10" t="s">
        <v>3361</v>
      </c>
      <c r="AH683" s="10" t="s">
        <v>3272</v>
      </c>
      <c r="AI683" s="6" t="s">
        <v>3272</v>
      </c>
      <c r="AJ683" s="6" t="s">
        <v>3401</v>
      </c>
      <c r="AK683" s="6" t="s">
        <v>127</v>
      </c>
      <c r="AL683" s="6" t="s">
        <v>127</v>
      </c>
      <c r="AM683" s="6" t="s">
        <v>127</v>
      </c>
      <c r="AN683" s="6" t="s">
        <v>3272</v>
      </c>
      <c r="AO683" s="6" t="s">
        <v>127</v>
      </c>
      <c r="AP683" s="6" t="s">
        <v>127</v>
      </c>
      <c r="AQ683" s="6" t="s">
        <v>127</v>
      </c>
      <c r="AR683" s="6" t="s">
        <v>127</v>
      </c>
      <c r="AS683" s="6" t="s">
        <v>127</v>
      </c>
      <c r="AT683" s="6" t="s">
        <v>127</v>
      </c>
      <c r="AU683" s="6" t="s">
        <v>127</v>
      </c>
      <c r="AV683" s="6" t="s">
        <v>127</v>
      </c>
      <c r="AW683" s="6" t="s">
        <v>127</v>
      </c>
      <c r="AX683" s="6" t="s">
        <v>127</v>
      </c>
      <c r="AY683" s="99" t="s">
        <v>3413</v>
      </c>
      <c r="AZ683" s="6" t="s">
        <v>127</v>
      </c>
      <c r="BA683" s="6" t="s">
        <v>127</v>
      </c>
      <c r="BB683" s="6" t="s">
        <v>3414</v>
      </c>
      <c r="BC683" s="6" t="s">
        <v>3415</v>
      </c>
      <c r="BD683" s="6" t="s">
        <v>127</v>
      </c>
      <c r="BE683" s="6" t="s">
        <v>127</v>
      </c>
    </row>
    <row r="684" spans="1:57" ht="16" x14ac:dyDescent="0.4">
      <c r="A684" s="92" t="s">
        <v>3416</v>
      </c>
      <c r="B684" s="92" t="s">
        <v>3416</v>
      </c>
      <c r="C684" s="6" t="s">
        <v>127</v>
      </c>
      <c r="D684" s="6" t="s">
        <v>3272</v>
      </c>
      <c r="E684" s="192">
        <v>44088</v>
      </c>
      <c r="F684" s="6">
        <f t="shared" si="174"/>
        <v>2020</v>
      </c>
      <c r="G684" s="6" t="s">
        <v>2630</v>
      </c>
      <c r="H684" s="22" t="str">
        <f>VLOOKUP($G684,'Item Classification'!B:C,2,0)</f>
        <v>Ammunition (unspecified)</v>
      </c>
      <c r="I684" s="6" t="str">
        <f>VLOOKUP($G684,'Item Classification'!B:D,3,0)</f>
        <v>Ammunition</v>
      </c>
      <c r="J684" s="23">
        <f>VLOOKUP($G684,'Item Classification'!B:E,4,0)</f>
        <v>4</v>
      </c>
      <c r="K684" s="195" t="s">
        <v>189</v>
      </c>
      <c r="L684" s="195" t="s">
        <v>740</v>
      </c>
      <c r="M684" s="116" t="str">
        <f>VLOOKUP(L684,'NATO Classifications'!$D$6:$E$647,2,0)</f>
        <v>Ammunition below 75mm</v>
      </c>
      <c r="N684" s="25"/>
      <c r="O684" s="81"/>
      <c r="P684" s="25"/>
      <c r="Q684" s="25">
        <v>2020</v>
      </c>
      <c r="R684" s="25">
        <v>2023</v>
      </c>
      <c r="S684" s="81"/>
      <c r="T684" s="24" t="s">
        <v>3274</v>
      </c>
      <c r="U684" s="104">
        <f>_xlfn.IFNA(S684/INDEX('Exchange Rates'!$C$7:$F$14,MATCH('MAIN DATA, Orders'!F684,'Exchange Rates'!$B$7:$B$14,0),MATCH('MAIN DATA, Orders'!T684,'Exchange Rates'!$C$6:$F$6,0)), "-")</f>
        <v>0</v>
      </c>
      <c r="V684" s="10" t="s">
        <v>127</v>
      </c>
      <c r="W684" s="6" t="s">
        <v>127</v>
      </c>
      <c r="X684" s="6" t="s">
        <v>3272</v>
      </c>
      <c r="Y684" s="24">
        <f t="shared" si="166"/>
        <v>202009</v>
      </c>
      <c r="Z684" s="24">
        <v>0</v>
      </c>
      <c r="AA684" s="24">
        <v>0</v>
      </c>
      <c r="AB684" s="24">
        <v>0</v>
      </c>
      <c r="AC684" s="24">
        <v>1</v>
      </c>
      <c r="AD684" s="24">
        <v>0</v>
      </c>
      <c r="AE684" s="24">
        <v>0</v>
      </c>
      <c r="AF684" s="24">
        <v>0</v>
      </c>
      <c r="AG684" s="10" t="s">
        <v>3361</v>
      </c>
      <c r="AH684" s="10" t="s">
        <v>3272</v>
      </c>
      <c r="AI684" s="6" t="s">
        <v>3272</v>
      </c>
      <c r="AJ684" s="6" t="s">
        <v>3401</v>
      </c>
      <c r="AK684" s="6" t="s">
        <v>127</v>
      </c>
      <c r="AL684" s="6" t="s">
        <v>127</v>
      </c>
      <c r="AM684" s="6" t="s">
        <v>127</v>
      </c>
      <c r="AN684" s="6" t="s">
        <v>127</v>
      </c>
      <c r="AO684" s="6" t="s">
        <v>127</v>
      </c>
      <c r="AP684" s="6" t="s">
        <v>127</v>
      </c>
      <c r="AQ684" s="6" t="s">
        <v>127</v>
      </c>
      <c r="AR684" s="6" t="s">
        <v>127</v>
      </c>
      <c r="AS684" s="6" t="s">
        <v>127</v>
      </c>
      <c r="AT684" s="6" t="s">
        <v>127</v>
      </c>
      <c r="AU684" s="6" t="s">
        <v>127</v>
      </c>
      <c r="AV684" s="6" t="s">
        <v>127</v>
      </c>
      <c r="AW684" s="6" t="s">
        <v>127</v>
      </c>
      <c r="AX684" s="6" t="s">
        <v>127</v>
      </c>
      <c r="AY684" s="99" t="s">
        <v>3413</v>
      </c>
      <c r="AZ684" s="6" t="s">
        <v>127</v>
      </c>
      <c r="BA684" s="6" t="s">
        <v>127</v>
      </c>
      <c r="BB684" s="6" t="s">
        <v>3415</v>
      </c>
      <c r="BC684" s="6" t="s">
        <v>127</v>
      </c>
      <c r="BD684" s="6" t="s">
        <v>127</v>
      </c>
      <c r="BE684" s="6" t="s">
        <v>127</v>
      </c>
    </row>
    <row r="685" spans="1:57" ht="16" x14ac:dyDescent="0.4">
      <c r="A685" s="92" t="s">
        <v>3417</v>
      </c>
      <c r="B685" s="92" t="s">
        <v>3417</v>
      </c>
      <c r="C685" s="6" t="s">
        <v>127</v>
      </c>
      <c r="D685" s="6" t="s">
        <v>3272</v>
      </c>
      <c r="E685" s="192">
        <v>44129</v>
      </c>
      <c r="F685" s="6">
        <f t="shared" si="174"/>
        <v>2020</v>
      </c>
      <c r="G685" s="6" t="s">
        <v>3418</v>
      </c>
      <c r="H685" s="22" t="str">
        <f>VLOOKUP($G685,'Item Classification'!B:C,2,0)</f>
        <v>Medical support</v>
      </c>
      <c r="I685" s="6" t="str">
        <f>VLOOKUP($G685,'Item Classification'!B:D,3,0)</f>
        <v>Other</v>
      </c>
      <c r="J685" s="23">
        <f>VLOOKUP($G685,'Item Classification'!B:E,4,0)</f>
        <v>16</v>
      </c>
      <c r="K685" s="195" t="s">
        <v>274</v>
      </c>
      <c r="L685" s="195" t="s">
        <v>275</v>
      </c>
      <c r="M685" s="116" t="str">
        <f>VLOOKUP(L685,'NATO Classifications'!$D$6:$E$647,2,0)</f>
        <v>Trucks and Truck Tractors, Wheeled</v>
      </c>
      <c r="N685" s="25">
        <v>175</v>
      </c>
      <c r="O685" s="81">
        <f>S685/N685</f>
        <v>948571.42857142852</v>
      </c>
      <c r="P685" s="81">
        <f>U685/N685</f>
        <v>213497.95826500756</v>
      </c>
      <c r="Q685" s="25"/>
      <c r="R685" s="25"/>
      <c r="S685" s="81">
        <v>166000000</v>
      </c>
      <c r="T685" s="24" t="s">
        <v>3274</v>
      </c>
      <c r="U685" s="104">
        <f>_xlfn.IFNA(S685/INDEX('Exchange Rates'!$C$7:$F$14,MATCH('MAIN DATA, Orders'!F685,'Exchange Rates'!$B$7:$B$14,0),MATCH('MAIN DATA, Orders'!T685,'Exchange Rates'!$C$6:$F$6,0)), "-")</f>
        <v>37362142.696376324</v>
      </c>
      <c r="V685" s="10" t="s">
        <v>127</v>
      </c>
      <c r="W685" s="6" t="s">
        <v>127</v>
      </c>
      <c r="X685" s="6" t="s">
        <v>3272</v>
      </c>
      <c r="Y685" s="24">
        <f t="shared" si="166"/>
        <v>202010</v>
      </c>
      <c r="Z685" s="24">
        <v>1</v>
      </c>
      <c r="AA685" s="24">
        <v>0</v>
      </c>
      <c r="AB685" s="24">
        <v>0</v>
      </c>
      <c r="AC685" s="24">
        <v>1</v>
      </c>
      <c r="AD685" s="24">
        <v>0</v>
      </c>
      <c r="AE685" s="24">
        <v>0</v>
      </c>
      <c r="AF685" s="24">
        <v>0</v>
      </c>
      <c r="AG685" s="10" t="s">
        <v>3419</v>
      </c>
      <c r="AH685" s="10" t="s">
        <v>3272</v>
      </c>
      <c r="AI685" s="6" t="s">
        <v>3272</v>
      </c>
      <c r="AJ685" s="6" t="s">
        <v>127</v>
      </c>
      <c r="AK685" s="6" t="s">
        <v>127</v>
      </c>
      <c r="AL685" s="6" t="s">
        <v>127</v>
      </c>
      <c r="AM685" s="6" t="s">
        <v>127</v>
      </c>
      <c r="AN685" s="6" t="s">
        <v>127</v>
      </c>
      <c r="AO685" s="6" t="s">
        <v>127</v>
      </c>
      <c r="AP685" s="6" t="s">
        <v>127</v>
      </c>
      <c r="AQ685" s="6" t="s">
        <v>127</v>
      </c>
      <c r="AR685" s="6" t="s">
        <v>127</v>
      </c>
      <c r="AS685" s="6" t="s">
        <v>127</v>
      </c>
      <c r="AT685" s="6" t="s">
        <v>127</v>
      </c>
      <c r="AU685" s="6" t="s">
        <v>127</v>
      </c>
      <c r="AV685" s="6" t="s">
        <v>127</v>
      </c>
      <c r="AW685" s="6" t="s">
        <v>127</v>
      </c>
      <c r="AX685" s="6" t="s">
        <v>127</v>
      </c>
      <c r="AY685" s="99" t="s">
        <v>3420</v>
      </c>
      <c r="AZ685" s="6" t="s">
        <v>127</v>
      </c>
      <c r="BA685" s="6" t="s">
        <v>127</v>
      </c>
      <c r="BB685" s="6" t="s">
        <v>3421</v>
      </c>
      <c r="BC685" s="6" t="s">
        <v>127</v>
      </c>
      <c r="BD685" s="6" t="s">
        <v>127</v>
      </c>
      <c r="BE685" s="6" t="s">
        <v>127</v>
      </c>
    </row>
    <row r="686" spans="1:57" ht="16" x14ac:dyDescent="0.4">
      <c r="A686" s="92" t="s">
        <v>3422</v>
      </c>
      <c r="B686" s="92" t="s">
        <v>3422</v>
      </c>
      <c r="C686" s="6" t="s">
        <v>127</v>
      </c>
      <c r="D686" s="6" t="s">
        <v>3272</v>
      </c>
      <c r="E686" s="192">
        <v>44180</v>
      </c>
      <c r="F686" s="6">
        <f t="shared" si="174"/>
        <v>2020</v>
      </c>
      <c r="G686" s="6" t="s">
        <v>3423</v>
      </c>
      <c r="H686" s="22" t="str">
        <f>VLOOKUP($G686,'Item Classification'!B:C,2,0)</f>
        <v>Transport vehicle</v>
      </c>
      <c r="I686" s="6" t="str">
        <f>VLOOKUP($G686,'Item Classification'!B:D,3,0)</f>
        <v>Other</v>
      </c>
      <c r="J686" s="23">
        <f>VLOOKUP($G686,'Item Classification'!B:E,4,0)</f>
        <v>16</v>
      </c>
      <c r="K686" s="195" t="s">
        <v>274</v>
      </c>
      <c r="L686" s="195" t="s">
        <v>275</v>
      </c>
      <c r="M686" s="116" t="str">
        <f>VLOOKUP(L686,'NATO Classifications'!$D$6:$E$647,2,0)</f>
        <v>Trucks and Truck Tractors, Wheeled</v>
      </c>
      <c r="N686" s="25">
        <v>648</v>
      </c>
      <c r="O686" s="81"/>
      <c r="P686" s="25"/>
      <c r="Q686" s="25"/>
      <c r="R686" s="25"/>
      <c r="S686" s="103"/>
      <c r="T686" s="24" t="s">
        <v>3274</v>
      </c>
      <c r="U686" s="104">
        <f>_xlfn.IFNA(S686/INDEX('Exchange Rates'!$C$7:$F$14,MATCH('MAIN DATA, Orders'!F686,'Exchange Rates'!$B$7:$B$14,0),MATCH('MAIN DATA, Orders'!T686,'Exchange Rates'!$C$6:$F$6,0)), "-")</f>
        <v>0</v>
      </c>
      <c r="V686" s="10" t="s">
        <v>127</v>
      </c>
      <c r="W686" s="6" t="s">
        <v>127</v>
      </c>
      <c r="X686" s="6" t="s">
        <v>3272</v>
      </c>
      <c r="Y686" s="24">
        <f t="shared" si="166"/>
        <v>202012</v>
      </c>
      <c r="Z686" s="24">
        <v>0</v>
      </c>
      <c r="AA686" s="24">
        <v>0</v>
      </c>
      <c r="AB686" s="24">
        <v>0</v>
      </c>
      <c r="AC686" s="24">
        <v>1</v>
      </c>
      <c r="AD686" s="24">
        <v>0</v>
      </c>
      <c r="AE686" s="24">
        <v>1</v>
      </c>
      <c r="AF686" s="24">
        <v>1</v>
      </c>
      <c r="AG686" s="10" t="s">
        <v>3424</v>
      </c>
      <c r="AH686" s="10" t="s">
        <v>3272</v>
      </c>
      <c r="AI686" s="6" t="s">
        <v>3272</v>
      </c>
      <c r="AJ686" s="6" t="s">
        <v>127</v>
      </c>
      <c r="AK686" s="6" t="s">
        <v>127</v>
      </c>
      <c r="AL686" s="6" t="s">
        <v>127</v>
      </c>
      <c r="AM686" s="6" t="s">
        <v>127</v>
      </c>
      <c r="AN686" s="6" t="s">
        <v>196</v>
      </c>
      <c r="AO686" s="6" t="s">
        <v>127</v>
      </c>
      <c r="AP686" s="6" t="s">
        <v>127</v>
      </c>
      <c r="AQ686" s="6" t="s">
        <v>127</v>
      </c>
      <c r="AR686" s="6" t="s">
        <v>127</v>
      </c>
      <c r="AS686" s="6" t="s">
        <v>127</v>
      </c>
      <c r="AT686" s="6" t="s">
        <v>127</v>
      </c>
      <c r="AU686" s="6" t="s">
        <v>127</v>
      </c>
      <c r="AV686" s="6" t="s">
        <v>127</v>
      </c>
      <c r="AW686" s="6" t="s">
        <v>127</v>
      </c>
      <c r="AX686" s="6" t="s">
        <v>127</v>
      </c>
      <c r="AY686" s="99" t="s">
        <v>3425</v>
      </c>
      <c r="AZ686" s="6" t="s">
        <v>127</v>
      </c>
      <c r="BA686" s="6" t="s">
        <v>127</v>
      </c>
      <c r="BB686" s="6" t="s">
        <v>3426</v>
      </c>
      <c r="BC686" s="6" t="s">
        <v>127</v>
      </c>
      <c r="BD686" s="6" t="s">
        <v>127</v>
      </c>
      <c r="BE686" s="6" t="s">
        <v>127</v>
      </c>
    </row>
    <row r="687" spans="1:57" ht="16" x14ac:dyDescent="0.4">
      <c r="A687" s="92" t="s">
        <v>3427</v>
      </c>
      <c r="B687" s="92" t="s">
        <v>3427</v>
      </c>
      <c r="C687" s="6" t="s">
        <v>127</v>
      </c>
      <c r="D687" s="6" t="s">
        <v>3272</v>
      </c>
      <c r="E687" s="192">
        <v>44315</v>
      </c>
      <c r="F687" s="6">
        <f t="shared" si="174"/>
        <v>2021</v>
      </c>
      <c r="G687" s="6" t="s">
        <v>3428</v>
      </c>
      <c r="H687" s="22" t="str">
        <f>VLOOKUP($G687,'Item Classification'!B:C,2,0)</f>
        <v>120mm mortar ammunition</v>
      </c>
      <c r="I687" s="6" t="str">
        <f>VLOOKUP($G687,'Item Classification'!B:D,3,0)</f>
        <v>Ammunition</v>
      </c>
      <c r="J687" s="23">
        <f>VLOOKUP($G687,'Item Classification'!B:E,4,0)</f>
        <v>4</v>
      </c>
      <c r="K687" s="195" t="s">
        <v>189</v>
      </c>
      <c r="L687" s="195" t="s">
        <v>255</v>
      </c>
      <c r="M687" s="116" t="str">
        <f>VLOOKUP(L687,'NATO Classifications'!$D$6:$E$647,2,0)</f>
        <v>Ammunition over 75mm</v>
      </c>
      <c r="N687" s="25">
        <v>23000</v>
      </c>
      <c r="O687" s="81">
        <f t="shared" ref="O687:O692" si="175">S687/N687</f>
        <v>11130.434782608696</v>
      </c>
      <c r="P687" s="81">
        <f t="shared" ref="P687:P692" si="176">U687/N687</f>
        <v>2438.1045261124805</v>
      </c>
      <c r="Q687" s="25">
        <v>2022</v>
      </c>
      <c r="R687" s="25">
        <v>2024</v>
      </c>
      <c r="S687" s="103">
        <v>256000000</v>
      </c>
      <c r="T687" s="24" t="s">
        <v>3274</v>
      </c>
      <c r="U687" s="104">
        <f>_xlfn.IFNA(S687/INDEX('Exchange Rates'!$C$7:$F$14,MATCH('MAIN DATA, Orders'!F687,'Exchange Rates'!$B$7:$B$14,0),MATCH('MAIN DATA, Orders'!T687,'Exchange Rates'!$C$6:$F$6,0)), "-")</f>
        <v>56076404.100587048</v>
      </c>
      <c r="V687" s="6" t="s">
        <v>127</v>
      </c>
      <c r="W687" s="6" t="s">
        <v>127</v>
      </c>
      <c r="X687" s="6" t="s">
        <v>3272</v>
      </c>
      <c r="Y687" s="24">
        <f t="shared" si="166"/>
        <v>202104</v>
      </c>
      <c r="Z687" s="24">
        <v>0</v>
      </c>
      <c r="AA687" s="24">
        <v>0</v>
      </c>
      <c r="AB687" s="24">
        <v>0</v>
      </c>
      <c r="AC687" s="24">
        <v>1</v>
      </c>
      <c r="AD687" s="24">
        <v>0</v>
      </c>
      <c r="AE687" s="24">
        <v>0</v>
      </c>
      <c r="AF687" s="24">
        <v>0</v>
      </c>
      <c r="AG687" s="10" t="s">
        <v>3429</v>
      </c>
      <c r="AH687" s="10" t="s">
        <v>3272</v>
      </c>
      <c r="AI687" s="6" t="s">
        <v>3272</v>
      </c>
      <c r="AJ687" s="6" t="s">
        <v>127</v>
      </c>
      <c r="AK687" s="6" t="s">
        <v>127</v>
      </c>
      <c r="AL687" s="6" t="s">
        <v>127</v>
      </c>
      <c r="AM687" s="6" t="s">
        <v>127</v>
      </c>
      <c r="AN687" s="6" t="s">
        <v>127</v>
      </c>
      <c r="AO687" s="6" t="s">
        <v>127</v>
      </c>
      <c r="AP687" s="6" t="s">
        <v>127</v>
      </c>
      <c r="AQ687" s="6" t="s">
        <v>127</v>
      </c>
      <c r="AR687" s="6" t="s">
        <v>127</v>
      </c>
      <c r="AS687" s="6" t="s">
        <v>127</v>
      </c>
      <c r="AT687" s="6" t="s">
        <v>127</v>
      </c>
      <c r="AU687" s="6" t="s">
        <v>127</v>
      </c>
      <c r="AV687" s="6" t="s">
        <v>127</v>
      </c>
      <c r="AW687" s="6" t="s">
        <v>127</v>
      </c>
      <c r="AX687" s="6" t="s">
        <v>127</v>
      </c>
      <c r="AY687" s="99" t="s">
        <v>3430</v>
      </c>
      <c r="AZ687" s="6" t="s">
        <v>127</v>
      </c>
      <c r="BA687" s="6" t="s">
        <v>127</v>
      </c>
      <c r="BB687" s="6" t="s">
        <v>3431</v>
      </c>
      <c r="BC687" s="6" t="s">
        <v>3432</v>
      </c>
      <c r="BD687" s="6" t="s">
        <v>127</v>
      </c>
      <c r="BE687" s="6" t="s">
        <v>127</v>
      </c>
    </row>
    <row r="688" spans="1:57" ht="16" x14ac:dyDescent="0.4">
      <c r="A688" s="92" t="s">
        <v>3433</v>
      </c>
      <c r="B688" s="92" t="s">
        <v>3433</v>
      </c>
      <c r="C688" s="6" t="s">
        <v>127</v>
      </c>
      <c r="D688" s="6" t="s">
        <v>3272</v>
      </c>
      <c r="E688" s="192">
        <v>44315</v>
      </c>
      <c r="F688" s="6">
        <f t="shared" si="174"/>
        <v>2021</v>
      </c>
      <c r="G688" s="6" t="s">
        <v>3434</v>
      </c>
      <c r="H688" s="22" t="str">
        <f>VLOOKUP($G688,'Item Classification'!B:C,2,0)</f>
        <v>Surface-to-air (SAM) missile (short-range)</v>
      </c>
      <c r="I688" s="6" t="str">
        <f>VLOOKUP($G688,'Item Classification'!B:D,3,0)</f>
        <v>Missile (Land)</v>
      </c>
      <c r="J688" s="23">
        <f>VLOOKUP($G688,'Item Classification'!B:E,4,0)</f>
        <v>6</v>
      </c>
      <c r="K688" s="195" t="s">
        <v>211</v>
      </c>
      <c r="L688" s="195" t="s">
        <v>211</v>
      </c>
      <c r="M688" s="116" t="str">
        <f>VLOOKUP(L688,'NATO Classifications'!$D$6:$E$647,2,0)</f>
        <v>Guided Missiles</v>
      </c>
      <c r="N688" s="25">
        <v>2300</v>
      </c>
      <c r="O688" s="81">
        <f t="shared" si="175"/>
        <v>41739.130434782608</v>
      </c>
      <c r="P688" s="81">
        <f t="shared" si="176"/>
        <v>9142.8919729218014</v>
      </c>
      <c r="Q688" s="25"/>
      <c r="R688" s="25">
        <v>2023</v>
      </c>
      <c r="S688" s="103">
        <v>96000000</v>
      </c>
      <c r="T688" s="91" t="s">
        <v>3274</v>
      </c>
      <c r="U688" s="104">
        <f>_xlfn.IFNA(S688/INDEX('Exchange Rates'!$C$7:$F$14,MATCH('MAIN DATA, Orders'!F688,'Exchange Rates'!$B$7:$B$14,0),MATCH('MAIN DATA, Orders'!T688,'Exchange Rates'!$C$6:$F$6,0)), "-")</f>
        <v>21028651.537720144</v>
      </c>
      <c r="V688" s="6" t="s">
        <v>127</v>
      </c>
      <c r="W688" s="6" t="s">
        <v>127</v>
      </c>
      <c r="X688" s="6" t="s">
        <v>3272</v>
      </c>
      <c r="Y688" s="24">
        <f t="shared" si="166"/>
        <v>202104</v>
      </c>
      <c r="Z688" s="24">
        <v>0</v>
      </c>
      <c r="AA688" s="24">
        <v>0</v>
      </c>
      <c r="AB688" s="24">
        <v>0</v>
      </c>
      <c r="AC688" s="24">
        <v>1</v>
      </c>
      <c r="AD688" s="24">
        <v>0</v>
      </c>
      <c r="AE688" s="24">
        <v>0</v>
      </c>
      <c r="AF688" s="24">
        <v>0</v>
      </c>
      <c r="AG688" s="10" t="s">
        <v>3429</v>
      </c>
      <c r="AH688" s="10" t="s">
        <v>3272</v>
      </c>
      <c r="AI688" s="6" t="s">
        <v>3272</v>
      </c>
      <c r="AJ688" s="6" t="s">
        <v>127</v>
      </c>
      <c r="AK688" s="6" t="s">
        <v>127</v>
      </c>
      <c r="AL688" s="6" t="s">
        <v>127</v>
      </c>
      <c r="AM688" s="6" t="s">
        <v>127</v>
      </c>
      <c r="AN688" s="6" t="s">
        <v>127</v>
      </c>
      <c r="AO688" s="6" t="s">
        <v>127</v>
      </c>
      <c r="AP688" s="6" t="s">
        <v>127</v>
      </c>
      <c r="AQ688" s="6" t="s">
        <v>127</v>
      </c>
      <c r="AR688" s="6" t="s">
        <v>127</v>
      </c>
      <c r="AS688" s="6" t="s">
        <v>127</v>
      </c>
      <c r="AT688" s="6" t="s">
        <v>127</v>
      </c>
      <c r="AU688" s="6" t="s">
        <v>127</v>
      </c>
      <c r="AV688" s="6" t="s">
        <v>127</v>
      </c>
      <c r="AW688" s="6" t="s">
        <v>127</v>
      </c>
      <c r="AX688" s="6" t="s">
        <v>127</v>
      </c>
      <c r="AY688" s="99" t="s">
        <v>3430</v>
      </c>
      <c r="AZ688" s="6" t="s">
        <v>127</v>
      </c>
      <c r="BA688" s="6" t="s">
        <v>127</v>
      </c>
      <c r="BB688" s="6" t="s">
        <v>3435</v>
      </c>
      <c r="BC688" s="6" t="s">
        <v>3432</v>
      </c>
      <c r="BD688" s="6" t="s">
        <v>127</v>
      </c>
      <c r="BE688" s="6" t="s">
        <v>127</v>
      </c>
    </row>
    <row r="689" spans="1:58" ht="16" x14ac:dyDescent="0.4">
      <c r="A689" s="92" t="s">
        <v>3436</v>
      </c>
      <c r="B689" s="92" t="s">
        <v>3436</v>
      </c>
      <c r="C689" s="6" t="s">
        <v>127</v>
      </c>
      <c r="D689" s="6" t="s">
        <v>3272</v>
      </c>
      <c r="E689" s="192">
        <v>44338</v>
      </c>
      <c r="F689" s="6">
        <f t="shared" si="174"/>
        <v>2021</v>
      </c>
      <c r="G689" s="6" t="s">
        <v>3437</v>
      </c>
      <c r="H689" s="22" t="str">
        <f>VLOOKUP($G689,'Item Classification'!B:C,2,0)</f>
        <v>Non-combat military vehicle</v>
      </c>
      <c r="I689" s="6" t="str">
        <f>VLOOKUP($G689,'Item Classification'!B:D,3,0)</f>
        <v>Other</v>
      </c>
      <c r="J689" s="23">
        <f>VLOOKUP($G689,'Item Classification'!B:E,4,0)</f>
        <v>16</v>
      </c>
      <c r="K689" s="195" t="s">
        <v>539</v>
      </c>
      <c r="L689" s="195" t="s">
        <v>2633</v>
      </c>
      <c r="M689" s="116" t="str">
        <f>VLOOKUP(L689,'NATO Classifications'!$D$6:$E$647,2,0)</f>
        <v>Miscellaneous Maintenance and Repair Shop Specialized Equipment</v>
      </c>
      <c r="N689" s="25">
        <v>28</v>
      </c>
      <c r="O689" s="81">
        <f t="shared" si="175"/>
        <v>6642857.1428571427</v>
      </c>
      <c r="P689" s="81">
        <f t="shared" si="176"/>
        <v>1455107.5840833136</v>
      </c>
      <c r="Q689" s="25">
        <v>2022</v>
      </c>
      <c r="R689" s="25">
        <v>2024</v>
      </c>
      <c r="S689" s="103">
        <v>186000000</v>
      </c>
      <c r="T689" s="91" t="s">
        <v>3274</v>
      </c>
      <c r="U689" s="104">
        <f>_xlfn.IFNA(S689/INDEX('Exchange Rates'!$C$7:$F$14,MATCH('MAIN DATA, Orders'!F689,'Exchange Rates'!$B$7:$B$14,0),MATCH('MAIN DATA, Orders'!T689,'Exchange Rates'!$C$6:$F$6,0)), "-")</f>
        <v>40743012.354332782</v>
      </c>
      <c r="V689" s="6" t="s">
        <v>127</v>
      </c>
      <c r="W689" s="6" t="s">
        <v>127</v>
      </c>
      <c r="X689" s="6" t="s">
        <v>3272</v>
      </c>
      <c r="Y689" s="24">
        <f t="shared" si="166"/>
        <v>202105</v>
      </c>
      <c r="Z689" s="24">
        <v>0</v>
      </c>
      <c r="AA689" s="24">
        <v>0</v>
      </c>
      <c r="AB689" s="24">
        <v>0</v>
      </c>
      <c r="AC689" s="24">
        <v>1</v>
      </c>
      <c r="AD689" s="24">
        <v>0</v>
      </c>
      <c r="AE689" s="24">
        <v>0</v>
      </c>
      <c r="AF689" s="24">
        <v>0</v>
      </c>
      <c r="AG689" s="10" t="s">
        <v>3377</v>
      </c>
      <c r="AH689" s="10" t="s">
        <v>3272</v>
      </c>
      <c r="AI689" s="6" t="s">
        <v>3272</v>
      </c>
      <c r="AJ689" s="6" t="s">
        <v>127</v>
      </c>
      <c r="AK689" s="6" t="s">
        <v>127</v>
      </c>
      <c r="AL689" s="6" t="s">
        <v>127</v>
      </c>
      <c r="AM689" s="6" t="s">
        <v>127</v>
      </c>
      <c r="AN689" s="6" t="s">
        <v>127</v>
      </c>
      <c r="AO689" s="6" t="s">
        <v>127</v>
      </c>
      <c r="AP689" s="6" t="s">
        <v>127</v>
      </c>
      <c r="AQ689" s="6" t="s">
        <v>127</v>
      </c>
      <c r="AR689" s="6" t="s">
        <v>127</v>
      </c>
      <c r="AS689" s="6" t="s">
        <v>127</v>
      </c>
      <c r="AT689" s="6" t="s">
        <v>127</v>
      </c>
      <c r="AU689" s="6" t="s">
        <v>127</v>
      </c>
      <c r="AV689" s="6" t="s">
        <v>127</v>
      </c>
      <c r="AW689" s="6" t="s">
        <v>127</v>
      </c>
      <c r="AX689" s="6" t="s">
        <v>127</v>
      </c>
      <c r="AY689" s="99" t="s">
        <v>3438</v>
      </c>
      <c r="AZ689" s="6" t="s">
        <v>127</v>
      </c>
      <c r="BA689" s="6" t="s">
        <v>127</v>
      </c>
      <c r="BB689" s="6" t="s">
        <v>3439</v>
      </c>
      <c r="BC689" s="6" t="s">
        <v>127</v>
      </c>
      <c r="BD689" s="6" t="s">
        <v>127</v>
      </c>
      <c r="BE689" s="6" t="s">
        <v>127</v>
      </c>
    </row>
    <row r="690" spans="1:58" ht="16" x14ac:dyDescent="0.4">
      <c r="A690" s="92" t="s">
        <v>3440</v>
      </c>
      <c r="B690" s="92" t="s">
        <v>3440</v>
      </c>
      <c r="C690" s="6" t="s">
        <v>127</v>
      </c>
      <c r="D690" s="6" t="s">
        <v>3272</v>
      </c>
      <c r="E690" s="192">
        <v>44340</v>
      </c>
      <c r="F690" s="6">
        <f t="shared" si="174"/>
        <v>2021</v>
      </c>
      <c r="G690" s="6" t="s">
        <v>3441</v>
      </c>
      <c r="H690" s="22" t="str">
        <f>VLOOKUP($G690,'Item Classification'!B:C,2,0)</f>
        <v>Combat drone</v>
      </c>
      <c r="I690" s="6" t="str">
        <f>VLOOKUP($G690,'Item Classification'!B:D,3,0)</f>
        <v>Drone</v>
      </c>
      <c r="J690" s="23">
        <f>VLOOKUP($G690,'Item Classification'!B:E,4,0)</f>
        <v>7</v>
      </c>
      <c r="K690" s="195" t="s">
        <v>130</v>
      </c>
      <c r="L690" s="195" t="s">
        <v>131</v>
      </c>
      <c r="M690" s="116" t="str">
        <f>VLOOKUP(L690,'NATO Classifications'!$D$6:$E$647,2,0)</f>
        <v>Unmanned Aircraft</v>
      </c>
      <c r="N690" s="25">
        <v>24</v>
      </c>
      <c r="O690" s="81">
        <f t="shared" si="175"/>
        <v>11166666.666666666</v>
      </c>
      <c r="P690" s="81">
        <f t="shared" si="176"/>
        <v>9441673.0080888364</v>
      </c>
      <c r="Q690" s="25">
        <v>2022</v>
      </c>
      <c r="R690" s="25">
        <v>2024</v>
      </c>
      <c r="S690" s="103">
        <v>268000000</v>
      </c>
      <c r="T690" s="91" t="s">
        <v>3284</v>
      </c>
      <c r="U690" s="104">
        <f>_xlfn.IFNA(S690/INDEX('Exchange Rates'!$C$7:$F$14,MATCH('MAIN DATA, Orders'!F690,'Exchange Rates'!$B$7:$B$14,0),MATCH('MAIN DATA, Orders'!T690,'Exchange Rates'!$C$6:$F$6,0)), "-")</f>
        <v>226600152.19413206</v>
      </c>
      <c r="V690" s="6" t="s">
        <v>127</v>
      </c>
      <c r="W690" s="6" t="s">
        <v>127</v>
      </c>
      <c r="X690" s="6" t="s">
        <v>3272</v>
      </c>
      <c r="Y690" s="24">
        <f t="shared" si="166"/>
        <v>202105</v>
      </c>
      <c r="Z690" s="24">
        <v>0</v>
      </c>
      <c r="AA690" s="24">
        <v>0</v>
      </c>
      <c r="AB690" s="24">
        <v>0</v>
      </c>
      <c r="AC690" s="24">
        <v>0</v>
      </c>
      <c r="AD690" s="24">
        <v>0</v>
      </c>
      <c r="AE690" s="24">
        <v>0</v>
      </c>
      <c r="AF690" s="24">
        <v>0</v>
      </c>
      <c r="AG690" s="10" t="s">
        <v>3442</v>
      </c>
      <c r="AH690" s="10" t="s">
        <v>855</v>
      </c>
      <c r="AI690" s="6" t="s">
        <v>855</v>
      </c>
      <c r="AJ690" s="6" t="s">
        <v>127</v>
      </c>
      <c r="AK690" s="6" t="s">
        <v>127</v>
      </c>
      <c r="AL690" s="6" t="s">
        <v>127</v>
      </c>
      <c r="AM690" s="6" t="s">
        <v>127</v>
      </c>
      <c r="AN690" s="6" t="s">
        <v>127</v>
      </c>
      <c r="AO690" s="6" t="s">
        <v>127</v>
      </c>
      <c r="AP690" s="6" t="s">
        <v>127</v>
      </c>
      <c r="AQ690" s="6" t="s">
        <v>127</v>
      </c>
      <c r="AR690" s="6" t="s">
        <v>127</v>
      </c>
      <c r="AS690" s="6" t="s">
        <v>127</v>
      </c>
      <c r="AT690" s="6" t="s">
        <v>127</v>
      </c>
      <c r="AU690" s="6" t="s">
        <v>127</v>
      </c>
      <c r="AV690" s="6" t="s">
        <v>127</v>
      </c>
      <c r="AW690" s="6" t="s">
        <v>127</v>
      </c>
      <c r="AX690" s="6" t="s">
        <v>127</v>
      </c>
      <c r="AY690" s="99" t="s">
        <v>3443</v>
      </c>
      <c r="AZ690" s="6" t="s">
        <v>127</v>
      </c>
      <c r="BA690" s="6" t="s">
        <v>127</v>
      </c>
      <c r="BB690" s="6" t="s">
        <v>3444</v>
      </c>
      <c r="BC690" s="6" t="s">
        <v>127</v>
      </c>
      <c r="BD690" s="6" t="s">
        <v>127</v>
      </c>
      <c r="BE690" s="6" t="s">
        <v>127</v>
      </c>
    </row>
    <row r="691" spans="1:58" ht="16" x14ac:dyDescent="0.4">
      <c r="A691" s="92" t="s">
        <v>3445</v>
      </c>
      <c r="B691" s="92" t="s">
        <v>3445</v>
      </c>
      <c r="C691" s="6" t="s">
        <v>127</v>
      </c>
      <c r="D691" s="6" t="s">
        <v>3272</v>
      </c>
      <c r="E691" s="192">
        <v>44391</v>
      </c>
      <c r="F691" s="6">
        <f t="shared" si="174"/>
        <v>2021</v>
      </c>
      <c r="G691" s="6" t="s">
        <v>3446</v>
      </c>
      <c r="H691" s="22" t="str">
        <f>VLOOKUP($G691,'Item Classification'!B:C,2,0)</f>
        <v>Main Battle Tank (MBT)</v>
      </c>
      <c r="I691" s="6" t="str">
        <f>VLOOKUP($G691,'Item Classification'!B:D,3,0)</f>
        <v>Tank</v>
      </c>
      <c r="J691" s="23">
        <f>VLOOKUP($G691,'Item Classification'!B:E,4,0)</f>
        <v>1</v>
      </c>
      <c r="K691" s="195" t="s">
        <v>274</v>
      </c>
      <c r="L691" s="195" t="s">
        <v>329</v>
      </c>
      <c r="M691" s="116" t="str">
        <f>VLOOKUP(L691,'NATO Classifications'!$D$6:$E$647,2,0)</f>
        <v>Combat, Assault, and Tactical Vehicles, Tracked</v>
      </c>
      <c r="N691" s="25">
        <v>250</v>
      </c>
      <c r="O691" s="81">
        <f t="shared" si="175"/>
        <v>19000000</v>
      </c>
      <c r="P691" s="81">
        <f t="shared" si="176"/>
        <v>16064936.163016824</v>
      </c>
      <c r="Q691" s="25">
        <v>2022</v>
      </c>
      <c r="R691" s="25">
        <v>2026</v>
      </c>
      <c r="S691" s="103">
        <v>4750000000</v>
      </c>
      <c r="T691" s="91" t="s">
        <v>3284</v>
      </c>
      <c r="U691" s="104">
        <f>_xlfn.IFNA(S691/INDEX('Exchange Rates'!$C$7:$F$14,MATCH('MAIN DATA, Orders'!F691,'Exchange Rates'!$B$7:$B$14,0),MATCH('MAIN DATA, Orders'!T691,'Exchange Rates'!$C$6:$F$6,0)), "-")</f>
        <v>4016234040.7542062</v>
      </c>
      <c r="V691" s="6" t="s">
        <v>127</v>
      </c>
      <c r="W691" s="6" t="s">
        <v>127</v>
      </c>
      <c r="X691" s="6" t="s">
        <v>3272</v>
      </c>
      <c r="Y691" s="24">
        <f t="shared" si="166"/>
        <v>202107</v>
      </c>
      <c r="Z691" s="24">
        <v>0</v>
      </c>
      <c r="AA691" s="24">
        <v>0</v>
      </c>
      <c r="AB691" s="24">
        <v>0</v>
      </c>
      <c r="AC691" s="24">
        <v>0</v>
      </c>
      <c r="AD691" s="24">
        <v>0</v>
      </c>
      <c r="AE691" s="24">
        <v>0</v>
      </c>
      <c r="AF691" s="24">
        <v>0</v>
      </c>
      <c r="AG691" s="10" t="s">
        <v>3447</v>
      </c>
      <c r="AH691" s="10" t="s">
        <v>196</v>
      </c>
      <c r="AI691" s="6" t="s">
        <v>196</v>
      </c>
      <c r="AJ691" s="6" t="s">
        <v>127</v>
      </c>
      <c r="AK691" s="6" t="s">
        <v>127</v>
      </c>
      <c r="AL691" s="6" t="s">
        <v>127</v>
      </c>
      <c r="AM691" s="6" t="s">
        <v>127</v>
      </c>
      <c r="AN691" s="6" t="s">
        <v>127</v>
      </c>
      <c r="AO691" s="6" t="s">
        <v>127</v>
      </c>
      <c r="AP691" s="6" t="s">
        <v>127</v>
      </c>
      <c r="AQ691" s="6" t="s">
        <v>127</v>
      </c>
      <c r="AR691" s="6" t="s">
        <v>127</v>
      </c>
      <c r="AS691" s="6" t="s">
        <v>127</v>
      </c>
      <c r="AT691" s="6" t="s">
        <v>127</v>
      </c>
      <c r="AU691" s="6" t="s">
        <v>127</v>
      </c>
      <c r="AV691" s="6" t="s">
        <v>127</v>
      </c>
      <c r="AW691" s="6" t="s">
        <v>127</v>
      </c>
      <c r="AX691" s="6" t="s">
        <v>127</v>
      </c>
      <c r="AY691" s="99" t="s">
        <v>3448</v>
      </c>
      <c r="AZ691" s="96" t="s">
        <v>3449</v>
      </c>
      <c r="BA691" s="6" t="s">
        <v>127</v>
      </c>
      <c r="BB691" s="6" t="s">
        <v>3450</v>
      </c>
      <c r="BC691" s="6" t="s">
        <v>3451</v>
      </c>
      <c r="BD691" s="6" t="s">
        <v>127</v>
      </c>
      <c r="BE691" s="6" t="s">
        <v>127</v>
      </c>
    </row>
    <row r="692" spans="1:58" ht="16" x14ac:dyDescent="0.4">
      <c r="A692" s="92" t="s">
        <v>3452</v>
      </c>
      <c r="B692" s="92" t="s">
        <v>3452</v>
      </c>
      <c r="C692" s="6" t="s">
        <v>3453</v>
      </c>
      <c r="D692" s="6" t="s">
        <v>3272</v>
      </c>
      <c r="E692" s="192">
        <v>44404</v>
      </c>
      <c r="F692" s="6">
        <f t="shared" si="174"/>
        <v>2021</v>
      </c>
      <c r="G692" s="6" t="s">
        <v>3454</v>
      </c>
      <c r="H692" s="22" t="str">
        <f>VLOOKUP($G692,'Item Classification'!B:C,2,0)</f>
        <v>Frigate</v>
      </c>
      <c r="I692" s="6" t="str">
        <f>VLOOKUP($G692,'Item Classification'!B:D,3,0)</f>
        <v>Naval</v>
      </c>
      <c r="J692" s="23">
        <f>VLOOKUP($G692,'Item Classification'!B:E,4,0)</f>
        <v>12</v>
      </c>
      <c r="K692" s="195" t="s">
        <v>143</v>
      </c>
      <c r="L692" s="195" t="s">
        <v>144</v>
      </c>
      <c r="M692" s="116" t="str">
        <f>VLOOKUP(L692,'NATO Classifications'!$D$6:$E$647,2,0)</f>
        <v>Combat Ships and Landing Vessels</v>
      </c>
      <c r="N692" s="25">
        <v>3</v>
      </c>
      <c r="O692" s="81">
        <f t="shared" si="175"/>
        <v>2666666666.6666665</v>
      </c>
      <c r="P692" s="81">
        <f t="shared" si="176"/>
        <v>584129209.38111508</v>
      </c>
      <c r="Q692" s="92">
        <v>2026</v>
      </c>
      <c r="R692" s="92">
        <v>2032</v>
      </c>
      <c r="S692" s="82">
        <v>8000000000</v>
      </c>
      <c r="T692" s="24" t="s">
        <v>3274</v>
      </c>
      <c r="U692" s="104">
        <f>_xlfn.IFNA(S692/INDEX('Exchange Rates'!$C$7:$F$14,MATCH('MAIN DATA, Orders'!F692,'Exchange Rates'!$B$7:$B$14,0),MATCH('MAIN DATA, Orders'!T692,'Exchange Rates'!$C$6:$F$6,0)), "-")</f>
        <v>1752387628.1433454</v>
      </c>
      <c r="V692" s="6" t="s">
        <v>127</v>
      </c>
      <c r="W692" s="6" t="s">
        <v>127</v>
      </c>
      <c r="X692" s="6" t="s">
        <v>3272</v>
      </c>
      <c r="Y692" s="24">
        <f t="shared" si="166"/>
        <v>202107</v>
      </c>
      <c r="Z692" s="24">
        <v>0</v>
      </c>
      <c r="AA692" s="24">
        <v>0</v>
      </c>
      <c r="AB692" s="24">
        <v>0</v>
      </c>
      <c r="AC692" s="24">
        <v>1</v>
      </c>
      <c r="AD692" s="24">
        <v>0</v>
      </c>
      <c r="AE692" s="24">
        <v>0</v>
      </c>
      <c r="AF692" s="24">
        <v>0</v>
      </c>
      <c r="AG692" s="102" t="s">
        <v>3429</v>
      </c>
      <c r="AH692" s="10" t="s">
        <v>3272</v>
      </c>
      <c r="AI692" s="6" t="s">
        <v>3272</v>
      </c>
      <c r="AJ692" s="6" t="s">
        <v>3455</v>
      </c>
      <c r="AK692" s="6" t="s">
        <v>127</v>
      </c>
      <c r="AL692" s="6" t="s">
        <v>127</v>
      </c>
      <c r="AM692" s="6" t="s">
        <v>127</v>
      </c>
      <c r="AN692" s="6" t="s">
        <v>127</v>
      </c>
      <c r="AO692" s="6" t="s">
        <v>127</v>
      </c>
      <c r="AP692" s="6" t="s">
        <v>127</v>
      </c>
      <c r="AQ692" s="6" t="s">
        <v>127</v>
      </c>
      <c r="AR692" s="6" t="s">
        <v>127</v>
      </c>
      <c r="AS692" s="6" t="s">
        <v>127</v>
      </c>
      <c r="AT692" s="6" t="s">
        <v>127</v>
      </c>
      <c r="AU692" s="6" t="s">
        <v>127</v>
      </c>
      <c r="AV692" s="6" t="s">
        <v>127</v>
      </c>
      <c r="AW692" s="6" t="s">
        <v>127</v>
      </c>
      <c r="AX692" s="6" t="s">
        <v>127</v>
      </c>
      <c r="AY692" s="99" t="s">
        <v>3456</v>
      </c>
      <c r="AZ692" s="107" t="s">
        <v>3457</v>
      </c>
      <c r="BA692" s="107" t="s">
        <v>3458</v>
      </c>
      <c r="BB692" s="6" t="s">
        <v>3459</v>
      </c>
      <c r="BC692" s="6" t="s">
        <v>3460</v>
      </c>
      <c r="BD692" s="6" t="s">
        <v>3461</v>
      </c>
      <c r="BE692" s="6" t="s">
        <v>3462</v>
      </c>
      <c r="BF692" s="6" t="s">
        <v>127</v>
      </c>
    </row>
    <row r="693" spans="1:58" ht="16" x14ac:dyDescent="0.4">
      <c r="A693" s="92" t="s">
        <v>3463</v>
      </c>
      <c r="B693" s="92" t="s">
        <v>3463</v>
      </c>
      <c r="C693" s="6" t="s">
        <v>3464</v>
      </c>
      <c r="D693" s="6" t="s">
        <v>3272</v>
      </c>
      <c r="E693" s="192">
        <v>44446</v>
      </c>
      <c r="F693" s="6">
        <f t="shared" si="174"/>
        <v>2021</v>
      </c>
      <c r="G693" s="6" t="s">
        <v>3465</v>
      </c>
      <c r="H693" s="22" t="str">
        <f>VLOOKUP($G693,'Item Classification'!B:C,2,0)</f>
        <v>Anti-aircraft surface-to-air missile (SAM) system (short-range)</v>
      </c>
      <c r="I693" s="6" t="str">
        <f>VLOOKUP($G693,'Item Classification'!B:D,3,0)</f>
        <v>Air defence system</v>
      </c>
      <c r="J693" s="23">
        <f>VLOOKUP($G693,'Item Classification'!B:E,4,0)</f>
        <v>5</v>
      </c>
      <c r="K693" s="195" t="s">
        <v>211</v>
      </c>
      <c r="L693" s="195" t="s">
        <v>326</v>
      </c>
      <c r="M693" s="116" t="str">
        <f>VLOOKUP(L693,'NATO Classifications'!$D$6:$E$647,2,0)</f>
        <v>Guided Missile Systems, Complete</v>
      </c>
      <c r="N693" s="25">
        <v>23</v>
      </c>
      <c r="O693" s="81"/>
      <c r="P693" s="25"/>
      <c r="Q693" s="25"/>
      <c r="R693" s="25"/>
      <c r="S693" s="103"/>
      <c r="T693" s="24" t="s">
        <v>3274</v>
      </c>
      <c r="U693" s="104">
        <f>_xlfn.IFNA(S693/INDEX('Exchange Rates'!$C$7:$F$14,MATCH('MAIN DATA, Orders'!F693,'Exchange Rates'!$B$7:$B$14,0),MATCH('MAIN DATA, Orders'!T693,'Exchange Rates'!$C$6:$F$6,0)), "-")</f>
        <v>0</v>
      </c>
      <c r="V693" s="6" t="s">
        <v>127</v>
      </c>
      <c r="W693" s="6" t="s">
        <v>127</v>
      </c>
      <c r="X693" s="6" t="s">
        <v>3272</v>
      </c>
      <c r="Y693" s="24">
        <f t="shared" si="166"/>
        <v>202109</v>
      </c>
      <c r="Z693" s="24">
        <v>0</v>
      </c>
      <c r="AA693" s="24">
        <v>0</v>
      </c>
      <c r="AB693" s="24">
        <v>0</v>
      </c>
      <c r="AC693" s="24">
        <v>1</v>
      </c>
      <c r="AD693" s="24">
        <v>0</v>
      </c>
      <c r="AE693" s="24">
        <v>0</v>
      </c>
      <c r="AF693" s="24">
        <v>0</v>
      </c>
      <c r="AG693" s="10" t="s">
        <v>3429</v>
      </c>
      <c r="AH693" s="10" t="s">
        <v>3272</v>
      </c>
      <c r="AI693" s="6" t="s">
        <v>3272</v>
      </c>
      <c r="AJ693" s="6" t="s">
        <v>127</v>
      </c>
      <c r="AK693" s="6" t="s">
        <v>127</v>
      </c>
      <c r="AL693" s="6" t="s">
        <v>127</v>
      </c>
      <c r="AM693" s="6" t="s">
        <v>127</v>
      </c>
      <c r="AN693" s="6" t="s">
        <v>127</v>
      </c>
      <c r="AO693" s="6" t="s">
        <v>127</v>
      </c>
      <c r="AP693" s="6" t="s">
        <v>127</v>
      </c>
      <c r="AQ693" s="6" t="s">
        <v>127</v>
      </c>
      <c r="AR693" s="6" t="s">
        <v>127</v>
      </c>
      <c r="AS693" s="6" t="s">
        <v>127</v>
      </c>
      <c r="AT693" s="6" t="s">
        <v>127</v>
      </c>
      <c r="AU693" s="6" t="s">
        <v>127</v>
      </c>
      <c r="AV693" s="6" t="s">
        <v>127</v>
      </c>
      <c r="AW693" s="6" t="s">
        <v>127</v>
      </c>
      <c r="AX693" s="6" t="s">
        <v>127</v>
      </c>
      <c r="AY693" s="99" t="s">
        <v>3466</v>
      </c>
      <c r="AZ693" s="6" t="s">
        <v>127</v>
      </c>
      <c r="BA693" s="6" t="s">
        <v>127</v>
      </c>
      <c r="BB693" s="6" t="s">
        <v>3467</v>
      </c>
      <c r="BC693" s="6" t="s">
        <v>127</v>
      </c>
      <c r="BD693" s="6" t="s">
        <v>127</v>
      </c>
      <c r="BE693" s="6" t="s">
        <v>127</v>
      </c>
    </row>
    <row r="694" spans="1:58" ht="16" x14ac:dyDescent="0.4">
      <c r="A694" s="92" t="s">
        <v>3468</v>
      </c>
      <c r="B694" s="92" t="s">
        <v>3468</v>
      </c>
      <c r="C694" s="6" t="s">
        <v>127</v>
      </c>
      <c r="D694" s="6" t="s">
        <v>3272</v>
      </c>
      <c r="E694" s="192">
        <v>44545</v>
      </c>
      <c r="F694" s="6">
        <f t="shared" si="174"/>
        <v>2021</v>
      </c>
      <c r="G694" s="6" t="s">
        <v>3469</v>
      </c>
      <c r="H694" s="22" t="str">
        <f>VLOOKUP($G694,'Item Classification'!B:C,2,0)</f>
        <v>Light attack helicopter</v>
      </c>
      <c r="I694" s="6" t="str">
        <f>VLOOKUP($G694,'Item Classification'!B:D,3,0)</f>
        <v>Helicopter</v>
      </c>
      <c r="J694" s="23">
        <f>VLOOKUP($G694,'Item Classification'!B:E,4,0)</f>
        <v>10</v>
      </c>
      <c r="K694" s="195" t="s">
        <v>130</v>
      </c>
      <c r="L694" s="195" t="s">
        <v>266</v>
      </c>
      <c r="M694" s="116" t="str">
        <f>VLOOKUP(L694,'NATO Classifications'!$D$6:$E$647,2,0)</f>
        <v>Aircraft, Rotary Wing</v>
      </c>
      <c r="N694" s="25">
        <v>4</v>
      </c>
      <c r="O694" s="81"/>
      <c r="P694" s="25"/>
      <c r="Q694" s="25">
        <v>2023</v>
      </c>
      <c r="R694" s="25"/>
      <c r="S694" s="103"/>
      <c r="T694" s="24" t="s">
        <v>3274</v>
      </c>
      <c r="U694" s="104">
        <f>_xlfn.IFNA(S694/INDEX('Exchange Rates'!$C$7:$F$14,MATCH('MAIN DATA, Orders'!F694,'Exchange Rates'!$B$7:$B$14,0),MATCH('MAIN DATA, Orders'!T694,'Exchange Rates'!$C$6:$F$6,0)), "-")</f>
        <v>0</v>
      </c>
      <c r="V694" s="6" t="s">
        <v>127</v>
      </c>
      <c r="W694" s="6" t="s">
        <v>127</v>
      </c>
      <c r="X694" s="6" t="s">
        <v>3272</v>
      </c>
      <c r="Y694" s="24">
        <f t="shared" si="166"/>
        <v>202112</v>
      </c>
      <c r="Z694" s="24">
        <v>1</v>
      </c>
      <c r="AA694" s="24">
        <v>0</v>
      </c>
      <c r="AB694" s="24">
        <v>0</v>
      </c>
      <c r="AC694" s="24">
        <v>1</v>
      </c>
      <c r="AD694" s="24">
        <v>0</v>
      </c>
      <c r="AE694" s="24">
        <v>0</v>
      </c>
      <c r="AF694" s="24">
        <v>0</v>
      </c>
      <c r="AG694" s="10" t="s">
        <v>3470</v>
      </c>
      <c r="AH694" s="10" t="s">
        <v>3272</v>
      </c>
      <c r="AI694" s="6" t="s">
        <v>3272</v>
      </c>
      <c r="AJ694" s="6" t="s">
        <v>127</v>
      </c>
      <c r="AK694" s="6" t="s">
        <v>127</v>
      </c>
      <c r="AL694" s="6" t="s">
        <v>127</v>
      </c>
      <c r="AM694" s="6" t="s">
        <v>127</v>
      </c>
      <c r="AN694" s="6" t="s">
        <v>127</v>
      </c>
      <c r="AO694" s="6" t="s">
        <v>127</v>
      </c>
      <c r="AP694" s="6" t="s">
        <v>127</v>
      </c>
      <c r="AQ694" s="6" t="s">
        <v>127</v>
      </c>
      <c r="AR694" s="6" t="s">
        <v>127</v>
      </c>
      <c r="AS694" s="6" t="s">
        <v>127</v>
      </c>
      <c r="AT694" s="6" t="s">
        <v>127</v>
      </c>
      <c r="AU694" s="6" t="s">
        <v>127</v>
      </c>
      <c r="AV694" s="6" t="s">
        <v>127</v>
      </c>
      <c r="AW694" s="6" t="s">
        <v>127</v>
      </c>
      <c r="AX694" s="6" t="s">
        <v>127</v>
      </c>
      <c r="AY694" s="99" t="s">
        <v>3471</v>
      </c>
      <c r="AZ694" s="6" t="s">
        <v>127</v>
      </c>
      <c r="BA694" s="6" t="s">
        <v>127</v>
      </c>
      <c r="BB694" s="6" t="s">
        <v>3472</v>
      </c>
      <c r="BC694" s="6" t="s">
        <v>127</v>
      </c>
      <c r="BD694" s="6" t="s">
        <v>127</v>
      </c>
      <c r="BE694" s="6" t="s">
        <v>127</v>
      </c>
    </row>
    <row r="695" spans="1:58" ht="16" x14ac:dyDescent="0.4">
      <c r="A695" s="92" t="s">
        <v>3473</v>
      </c>
      <c r="B695" s="92" t="s">
        <v>3473</v>
      </c>
      <c r="C695" s="6" t="s">
        <v>127</v>
      </c>
      <c r="D695" s="6" t="s">
        <v>3272</v>
      </c>
      <c r="E695" s="192">
        <v>44559</v>
      </c>
      <c r="F695" s="6">
        <f t="shared" si="174"/>
        <v>2021</v>
      </c>
      <c r="G695" s="6" t="s">
        <v>3474</v>
      </c>
      <c r="H695" s="22" t="str">
        <f>VLOOKUP($G695,'Item Classification'!B:C,2,0)</f>
        <v>Reconnaissance drone</v>
      </c>
      <c r="I695" s="6" t="str">
        <f>VLOOKUP($G695,'Item Classification'!B:D,3,0)</f>
        <v>Drone</v>
      </c>
      <c r="J695" s="23">
        <f>VLOOKUP($G695,'Item Classification'!B:E,4,0)</f>
        <v>7</v>
      </c>
      <c r="K695" s="195" t="s">
        <v>130</v>
      </c>
      <c r="L695" s="195" t="s">
        <v>131</v>
      </c>
      <c r="M695" s="116" t="str">
        <f>VLOOKUP(L695,'NATO Classifications'!$D$6:$E$647,2,0)</f>
        <v>Unmanned Aircraft</v>
      </c>
      <c r="N695" s="25">
        <v>100</v>
      </c>
      <c r="O695" s="81">
        <f>S695/N695</f>
        <v>1740000</v>
      </c>
      <c r="P695" s="81">
        <f>U695/N695</f>
        <v>381144.30912117765</v>
      </c>
      <c r="Q695" s="25">
        <v>2024</v>
      </c>
      <c r="R695" s="25">
        <v>2027</v>
      </c>
      <c r="S695" s="103">
        <v>174000000</v>
      </c>
      <c r="T695" s="24" t="s">
        <v>3274</v>
      </c>
      <c r="U695" s="104">
        <f>_xlfn.IFNA(S695/INDEX('Exchange Rates'!$C$7:$F$14,MATCH('MAIN DATA, Orders'!F695,'Exchange Rates'!$B$7:$B$14,0),MATCH('MAIN DATA, Orders'!T695,'Exchange Rates'!$C$6:$F$6,0)), "-")</f>
        <v>38114430.912117764</v>
      </c>
      <c r="V695" s="6" t="s">
        <v>127</v>
      </c>
      <c r="W695" s="6" t="s">
        <v>127</v>
      </c>
      <c r="X695" s="6" t="s">
        <v>3272</v>
      </c>
      <c r="Y695" s="24">
        <f t="shared" si="166"/>
        <v>202112</v>
      </c>
      <c r="Z695" s="24">
        <v>0</v>
      </c>
      <c r="AA695" s="24">
        <v>0</v>
      </c>
      <c r="AB695" s="24">
        <v>0</v>
      </c>
      <c r="AC695" s="24">
        <v>1</v>
      </c>
      <c r="AD695" s="24">
        <v>0</v>
      </c>
      <c r="AE695" s="24">
        <v>0</v>
      </c>
      <c r="AF695" s="24">
        <v>0</v>
      </c>
      <c r="AG695" s="10" t="s">
        <v>3429</v>
      </c>
      <c r="AH695" s="106" t="s">
        <v>3272</v>
      </c>
      <c r="AI695" s="6" t="s">
        <v>3272</v>
      </c>
      <c r="AJ695" s="6" t="s">
        <v>3475</v>
      </c>
      <c r="AK695" s="6" t="s">
        <v>3476</v>
      </c>
      <c r="AL695" s="6" t="s">
        <v>127</v>
      </c>
      <c r="AM695" s="6" t="s">
        <v>127</v>
      </c>
      <c r="AN695" s="6" t="s">
        <v>127</v>
      </c>
      <c r="AO695" s="6" t="s">
        <v>127</v>
      </c>
      <c r="AP695" s="6" t="s">
        <v>127</v>
      </c>
      <c r="AQ695" s="6" t="s">
        <v>127</v>
      </c>
      <c r="AR695" s="6" t="s">
        <v>127</v>
      </c>
      <c r="AS695" s="6" t="s">
        <v>127</v>
      </c>
      <c r="AT695" s="6" t="s">
        <v>127</v>
      </c>
      <c r="AU695" s="6" t="s">
        <v>127</v>
      </c>
      <c r="AV695" s="6" t="s">
        <v>127</v>
      </c>
      <c r="AW695" s="6" t="s">
        <v>127</v>
      </c>
      <c r="AX695" s="6" t="s">
        <v>127</v>
      </c>
      <c r="AY695" s="99" t="s">
        <v>3477</v>
      </c>
      <c r="AZ695" s="6" t="s">
        <v>127</v>
      </c>
      <c r="BA695" s="6" t="s">
        <v>127</v>
      </c>
      <c r="BB695" s="6" t="s">
        <v>3478</v>
      </c>
      <c r="BC695" s="6" t="s">
        <v>3479</v>
      </c>
      <c r="BD695" s="6" t="s">
        <v>127</v>
      </c>
      <c r="BE695" s="6" t="s">
        <v>127</v>
      </c>
    </row>
    <row r="696" spans="1:58" ht="16" x14ac:dyDescent="0.4">
      <c r="A696" s="92" t="s">
        <v>3480</v>
      </c>
      <c r="B696" s="92" t="s">
        <v>3480</v>
      </c>
      <c r="C696" s="6" t="s">
        <v>127</v>
      </c>
      <c r="D696" s="6" t="s">
        <v>3272</v>
      </c>
      <c r="E696" s="192">
        <v>44687</v>
      </c>
      <c r="F696" s="6">
        <f t="shared" si="174"/>
        <v>2022</v>
      </c>
      <c r="G696" s="6" t="s">
        <v>3481</v>
      </c>
      <c r="H696" s="22" t="str">
        <f>VLOOKUP($G696,'Item Classification'!B:C,2,0)</f>
        <v>Surveillance and attack drone</v>
      </c>
      <c r="I696" s="6" t="str">
        <f>VLOOKUP($G696,'Item Classification'!B:D,3,0)</f>
        <v>Drone</v>
      </c>
      <c r="J696" s="23">
        <f>VLOOKUP($G696,'Item Classification'!B:E,4,0)</f>
        <v>7</v>
      </c>
      <c r="K696" s="195" t="s">
        <v>130</v>
      </c>
      <c r="L696" s="195" t="s">
        <v>131</v>
      </c>
      <c r="M696" s="116" t="str">
        <f>VLOOKUP(L696,'NATO Classifications'!$D$6:$E$647,2,0)</f>
        <v>Unmanned Aircraft</v>
      </c>
      <c r="N696" s="25">
        <v>4</v>
      </c>
      <c r="O696" s="81"/>
      <c r="P696" s="81"/>
      <c r="Q696" s="25">
        <v>2022</v>
      </c>
      <c r="R696" s="25"/>
      <c r="S696" s="103"/>
      <c r="T696" s="24" t="s">
        <v>3274</v>
      </c>
      <c r="U696" s="104">
        <f>_xlfn.IFNA(S696/INDEX('Exchange Rates'!$C$7:$F$14,MATCH('MAIN DATA, Orders'!F696,'Exchange Rates'!$B$7:$B$14,0),MATCH('MAIN DATA, Orders'!T696,'Exchange Rates'!$C$6:$F$6,0)), "-")</f>
        <v>0</v>
      </c>
      <c r="V696" s="6" t="s">
        <v>127</v>
      </c>
      <c r="W696" s="6" t="s">
        <v>127</v>
      </c>
      <c r="X696" s="6" t="s">
        <v>3272</v>
      </c>
      <c r="Y696" s="24">
        <f t="shared" si="166"/>
        <v>202205</v>
      </c>
      <c r="Z696" s="24">
        <v>0</v>
      </c>
      <c r="AA696" s="24">
        <v>0</v>
      </c>
      <c r="AB696" s="24">
        <v>0</v>
      </c>
      <c r="AC696" s="24">
        <v>1</v>
      </c>
      <c r="AD696" s="24">
        <v>0</v>
      </c>
      <c r="AE696" s="24">
        <v>0</v>
      </c>
      <c r="AF696" s="24">
        <v>0</v>
      </c>
      <c r="AG696" s="10" t="s">
        <v>3482</v>
      </c>
      <c r="AH696" s="106" t="s">
        <v>3272</v>
      </c>
      <c r="AI696" s="6" t="s">
        <v>3272</v>
      </c>
      <c r="AJ696" s="6" t="s">
        <v>127</v>
      </c>
      <c r="AK696" s="6" t="s">
        <v>127</v>
      </c>
      <c r="AL696" s="6" t="s">
        <v>127</v>
      </c>
      <c r="AM696" s="6" t="s">
        <v>127</v>
      </c>
      <c r="AN696" s="6" t="s">
        <v>127</v>
      </c>
      <c r="AO696" s="6" t="s">
        <v>127</v>
      </c>
      <c r="AP696" s="6" t="s">
        <v>127</v>
      </c>
      <c r="AQ696" s="6" t="s">
        <v>127</v>
      </c>
      <c r="AR696" s="6" t="s">
        <v>127</v>
      </c>
      <c r="AS696" s="6" t="s">
        <v>127</v>
      </c>
      <c r="AT696" s="6" t="s">
        <v>127</v>
      </c>
      <c r="AU696" s="6" t="s">
        <v>127</v>
      </c>
      <c r="AV696" s="6" t="s">
        <v>127</v>
      </c>
      <c r="AW696" s="6" t="s">
        <v>127</v>
      </c>
      <c r="AX696" s="6" t="s">
        <v>127</v>
      </c>
      <c r="AY696" s="99" t="s">
        <v>3483</v>
      </c>
      <c r="AZ696" s="6" t="s">
        <v>127</v>
      </c>
      <c r="BA696" s="6" t="s">
        <v>127</v>
      </c>
      <c r="BB696" s="6" t="s">
        <v>127</v>
      </c>
      <c r="BC696" s="6" t="s">
        <v>127</v>
      </c>
      <c r="BD696" s="6" t="s">
        <v>127</v>
      </c>
      <c r="BE696" s="6" t="s">
        <v>127</v>
      </c>
    </row>
    <row r="697" spans="1:58" ht="16" x14ac:dyDescent="0.4">
      <c r="A697" s="92" t="s">
        <v>3484</v>
      </c>
      <c r="B697" s="92" t="s">
        <v>3484</v>
      </c>
      <c r="C697" s="6" t="s">
        <v>127</v>
      </c>
      <c r="D697" s="6" t="s">
        <v>3272</v>
      </c>
      <c r="E697" s="191">
        <v>44735</v>
      </c>
      <c r="F697" s="6">
        <f t="shared" si="174"/>
        <v>2022</v>
      </c>
      <c r="G697" s="6" t="s">
        <v>127</v>
      </c>
      <c r="H697" s="22" t="s">
        <v>3485</v>
      </c>
      <c r="I697" s="6" t="s">
        <v>315</v>
      </c>
      <c r="J697" s="23">
        <v>6</v>
      </c>
      <c r="K697" s="195" t="s">
        <v>211</v>
      </c>
      <c r="L697" s="195" t="s">
        <v>326</v>
      </c>
      <c r="M697" s="116" t="str">
        <f>VLOOKUP(L697,'NATO Classifications'!$D$6:$E$647,2,0)</f>
        <v>Guided Missile Systems, Complete</v>
      </c>
      <c r="N697" s="25"/>
      <c r="O697" s="81"/>
      <c r="P697" s="81"/>
      <c r="Q697" s="25">
        <v>2022</v>
      </c>
      <c r="R697" s="25"/>
      <c r="S697" s="103">
        <v>3500000000</v>
      </c>
      <c r="T697" s="91" t="s">
        <v>3274</v>
      </c>
      <c r="U697" s="104">
        <f>_xlfn.IFNA(S697/INDEX('Exchange Rates'!$C$7:$F$14,MATCH('MAIN DATA, Orders'!F697,'Exchange Rates'!$B$7:$B$14,0),MATCH('MAIN DATA, Orders'!T697,'Exchange Rates'!$C$6:$F$6,0)), "-")</f>
        <v>746889737.73500359</v>
      </c>
      <c r="V697" s="6" t="s">
        <v>127</v>
      </c>
      <c r="W697" s="6" t="s">
        <v>127</v>
      </c>
      <c r="X697" s="6" t="s">
        <v>3272</v>
      </c>
      <c r="Y697" s="24">
        <f t="shared" si="166"/>
        <v>202206</v>
      </c>
      <c r="Z697" s="24">
        <v>1</v>
      </c>
      <c r="AA697" s="24">
        <v>0</v>
      </c>
      <c r="AB697" s="24">
        <v>0</v>
      </c>
      <c r="AC697" s="24">
        <v>1</v>
      </c>
      <c r="AD697" s="24">
        <v>0</v>
      </c>
      <c r="AE697" s="24">
        <v>0</v>
      </c>
      <c r="AF697" s="24">
        <v>0</v>
      </c>
      <c r="AG697" s="10" t="s">
        <v>3361</v>
      </c>
      <c r="AH697" s="10" t="s">
        <v>3272</v>
      </c>
      <c r="AI697" s="6" t="s">
        <v>3272</v>
      </c>
      <c r="AJ697" s="6" t="s">
        <v>127</v>
      </c>
      <c r="AK697" s="6" t="s">
        <v>127</v>
      </c>
      <c r="AL697" s="6" t="s">
        <v>127</v>
      </c>
      <c r="AM697" s="6" t="s">
        <v>127</v>
      </c>
      <c r="AN697" s="6" t="s">
        <v>127</v>
      </c>
      <c r="AO697" s="6" t="s">
        <v>127</v>
      </c>
      <c r="AP697" s="6" t="s">
        <v>127</v>
      </c>
      <c r="AQ697" s="6" t="s">
        <v>127</v>
      </c>
      <c r="AR697" s="6" t="s">
        <v>127</v>
      </c>
      <c r="AS697" s="6" t="s">
        <v>127</v>
      </c>
      <c r="AT697" s="6" t="s">
        <v>127</v>
      </c>
      <c r="AU697" s="6" t="s">
        <v>127</v>
      </c>
      <c r="AV697" s="6" t="s">
        <v>127</v>
      </c>
      <c r="AW697" s="6" t="s">
        <v>127</v>
      </c>
      <c r="AX697" s="6" t="s">
        <v>127</v>
      </c>
      <c r="AY697" s="99" t="s">
        <v>3486</v>
      </c>
      <c r="AZ697" s="96" t="s">
        <v>3487</v>
      </c>
      <c r="BA697" s="6" t="s">
        <v>127</v>
      </c>
      <c r="BB697" s="6" t="s">
        <v>3488</v>
      </c>
      <c r="BC697" s="6" t="s">
        <v>3489</v>
      </c>
      <c r="BD697" s="6" t="s">
        <v>127</v>
      </c>
      <c r="BE697" s="6" t="s">
        <v>127</v>
      </c>
    </row>
    <row r="698" spans="1:58" ht="16" x14ac:dyDescent="0.4">
      <c r="A698" s="92" t="s">
        <v>3484</v>
      </c>
      <c r="B698" s="92" t="s">
        <v>3490</v>
      </c>
      <c r="C698" s="6" t="s">
        <v>127</v>
      </c>
      <c r="D698" s="6" t="s">
        <v>3272</v>
      </c>
      <c r="E698" s="191">
        <v>44735</v>
      </c>
      <c r="F698" s="6">
        <f t="shared" si="174"/>
        <v>2022</v>
      </c>
      <c r="G698" s="6" t="s">
        <v>3491</v>
      </c>
      <c r="H698" s="22" t="str">
        <f>VLOOKUP($G698,'Item Classification'!B:C,2,0)</f>
        <v>Man-portable surface-to-air (SAM) missile</v>
      </c>
      <c r="I698" s="6" t="str">
        <f>VLOOKUP($G698,'Item Classification'!B:D,3,0)</f>
        <v>Missile (Land)</v>
      </c>
      <c r="J698" s="23">
        <f>VLOOKUP($G698,'Item Classification'!B:E,4,0)</f>
        <v>6</v>
      </c>
      <c r="K698" s="195" t="s">
        <v>211</v>
      </c>
      <c r="L698" s="195" t="s">
        <v>211</v>
      </c>
      <c r="M698" s="116" t="str">
        <f>VLOOKUP(L698,'NATO Classifications'!$D$6:$E$647,2,0)</f>
        <v>Guided Missiles</v>
      </c>
      <c r="N698" s="25">
        <v>3500</v>
      </c>
      <c r="O698" s="81"/>
      <c r="P698" s="81"/>
      <c r="Q698" s="25">
        <v>2022</v>
      </c>
      <c r="R698" s="25"/>
      <c r="T698" s="91" t="s">
        <v>3274</v>
      </c>
      <c r="U698" s="104">
        <f>_xlfn.IFNA(S698/INDEX('Exchange Rates'!$C$7:$F$14,MATCH('MAIN DATA, Orders'!F698,'Exchange Rates'!$B$7:$B$14,0),MATCH('MAIN DATA, Orders'!T698,'Exchange Rates'!$C$6:$F$6,0)), "-")</f>
        <v>0</v>
      </c>
      <c r="V698" s="6" t="s">
        <v>127</v>
      </c>
      <c r="W698" s="6" t="s">
        <v>127</v>
      </c>
      <c r="X698" s="6" t="s">
        <v>3272</v>
      </c>
      <c r="Y698" s="24">
        <f t="shared" si="166"/>
        <v>202206</v>
      </c>
      <c r="Z698" s="24">
        <v>1</v>
      </c>
      <c r="AA698" s="24">
        <v>0</v>
      </c>
      <c r="AB698" s="24">
        <v>0</v>
      </c>
      <c r="AC698" s="24">
        <v>1</v>
      </c>
      <c r="AD698" s="24">
        <v>0</v>
      </c>
      <c r="AE698" s="24">
        <v>0</v>
      </c>
      <c r="AF698" s="24">
        <v>0</v>
      </c>
      <c r="AG698" s="10" t="s">
        <v>3361</v>
      </c>
      <c r="AH698" s="10" t="s">
        <v>3272</v>
      </c>
      <c r="AI698" s="6" t="s">
        <v>3272</v>
      </c>
      <c r="AJ698" s="6" t="s">
        <v>127</v>
      </c>
      <c r="AK698" s="6" t="s">
        <v>127</v>
      </c>
      <c r="AL698" s="6" t="s">
        <v>127</v>
      </c>
      <c r="AM698" s="6" t="s">
        <v>127</v>
      </c>
      <c r="AN698" s="6" t="s">
        <v>127</v>
      </c>
      <c r="AO698" s="6" t="s">
        <v>127</v>
      </c>
      <c r="AP698" s="6" t="s">
        <v>127</v>
      </c>
      <c r="AQ698" s="6" t="s">
        <v>127</v>
      </c>
      <c r="AR698" s="6" t="s">
        <v>127</v>
      </c>
      <c r="AS698" s="6" t="s">
        <v>127</v>
      </c>
      <c r="AT698" s="6" t="s">
        <v>127</v>
      </c>
      <c r="AU698" s="6" t="s">
        <v>127</v>
      </c>
      <c r="AV698" s="6" t="s">
        <v>127</v>
      </c>
      <c r="AW698" s="6" t="s">
        <v>127</v>
      </c>
      <c r="AX698" s="6" t="s">
        <v>127</v>
      </c>
      <c r="AY698" s="99" t="s">
        <v>3486</v>
      </c>
      <c r="AZ698" s="96" t="s">
        <v>3487</v>
      </c>
      <c r="BA698" s="6" t="s">
        <v>127</v>
      </c>
      <c r="BB698" s="6" t="s">
        <v>3488</v>
      </c>
      <c r="BC698" s="6" t="s">
        <v>3489</v>
      </c>
      <c r="BD698" s="6" t="s">
        <v>127</v>
      </c>
      <c r="BE698" s="6" t="s">
        <v>127</v>
      </c>
    </row>
    <row r="699" spans="1:58" ht="16" x14ac:dyDescent="0.4">
      <c r="A699" s="92" t="s">
        <v>3484</v>
      </c>
      <c r="B699" s="92" t="s">
        <v>3492</v>
      </c>
      <c r="C699" s="6" t="s">
        <v>127</v>
      </c>
      <c r="D699" s="6" t="s">
        <v>3272</v>
      </c>
      <c r="E699" s="191">
        <v>44735</v>
      </c>
      <c r="F699" s="6">
        <f t="shared" si="174"/>
        <v>2022</v>
      </c>
      <c r="G699" s="4" t="s">
        <v>3493</v>
      </c>
      <c r="H699" s="22" t="str">
        <f>VLOOKUP($G699,'Item Classification'!B:C,2,0)</f>
        <v>Man-portable surface-to-air missile system (MANPADS)</v>
      </c>
      <c r="I699" s="6" t="str">
        <f>VLOOKUP($G699,'Item Classification'!B:D,3,0)</f>
        <v>Missile (Land)</v>
      </c>
      <c r="J699" s="23">
        <f>VLOOKUP($G699,'Item Classification'!B:E,4,0)</f>
        <v>6</v>
      </c>
      <c r="K699" s="195" t="s">
        <v>211</v>
      </c>
      <c r="L699" s="195" t="s">
        <v>1576</v>
      </c>
      <c r="M699" s="116" t="str">
        <f>VLOOKUP(L699,'NATO Classifications'!$D$6:$E$647,2,0)</f>
        <v>Launchers, Guided Missile</v>
      </c>
      <c r="N699" s="25">
        <v>600</v>
      </c>
      <c r="O699" s="81"/>
      <c r="P699" s="81"/>
      <c r="Q699" s="25">
        <v>2022</v>
      </c>
      <c r="R699" s="25"/>
      <c r="S699" s="103"/>
      <c r="T699" s="91" t="s">
        <v>3274</v>
      </c>
      <c r="U699" s="104">
        <f>_xlfn.IFNA(S699/INDEX('Exchange Rates'!$C$7:$F$14,MATCH('MAIN DATA, Orders'!F699,'Exchange Rates'!$B$7:$B$14,0),MATCH('MAIN DATA, Orders'!T699,'Exchange Rates'!$C$6:$F$6,0)), "-")</f>
        <v>0</v>
      </c>
      <c r="V699" s="6" t="s">
        <v>127</v>
      </c>
      <c r="W699" s="6" t="s">
        <v>127</v>
      </c>
      <c r="X699" s="6" t="s">
        <v>3272</v>
      </c>
      <c r="Y699" s="24">
        <f t="shared" si="166"/>
        <v>202206</v>
      </c>
      <c r="Z699" s="24">
        <v>1</v>
      </c>
      <c r="AA699" s="24">
        <v>0</v>
      </c>
      <c r="AB699" s="24">
        <v>0</v>
      </c>
      <c r="AC699" s="24">
        <v>1</v>
      </c>
      <c r="AD699" s="24">
        <v>0</v>
      </c>
      <c r="AE699" s="24">
        <v>0</v>
      </c>
      <c r="AF699" s="24">
        <v>0</v>
      </c>
      <c r="AG699" s="10" t="s">
        <v>3361</v>
      </c>
      <c r="AH699" s="10" t="s">
        <v>3272</v>
      </c>
      <c r="AI699" s="6" t="s">
        <v>3272</v>
      </c>
      <c r="AJ699" s="6" t="s">
        <v>127</v>
      </c>
      <c r="AK699" s="6" t="s">
        <v>127</v>
      </c>
      <c r="AL699" s="6" t="s">
        <v>127</v>
      </c>
      <c r="AM699" s="6" t="s">
        <v>127</v>
      </c>
      <c r="AN699" s="6" t="s">
        <v>127</v>
      </c>
      <c r="AO699" s="6" t="s">
        <v>127</v>
      </c>
      <c r="AP699" s="6" t="s">
        <v>127</v>
      </c>
      <c r="AQ699" s="6" t="s">
        <v>127</v>
      </c>
      <c r="AR699" s="6" t="s">
        <v>127</v>
      </c>
      <c r="AS699" s="6" t="s">
        <v>127</v>
      </c>
      <c r="AT699" s="6" t="s">
        <v>127</v>
      </c>
      <c r="AU699" s="6" t="s">
        <v>127</v>
      </c>
      <c r="AV699" s="6" t="s">
        <v>127</v>
      </c>
      <c r="AW699" s="6" t="s">
        <v>127</v>
      </c>
      <c r="AX699" s="6" t="s">
        <v>127</v>
      </c>
      <c r="AY699" s="99" t="s">
        <v>3486</v>
      </c>
      <c r="AZ699" s="96" t="s">
        <v>3487</v>
      </c>
      <c r="BA699" s="6" t="s">
        <v>127</v>
      </c>
      <c r="BB699" s="6" t="s">
        <v>3488</v>
      </c>
      <c r="BC699" s="6" t="s">
        <v>3489</v>
      </c>
      <c r="BD699" s="6" t="s">
        <v>127</v>
      </c>
      <c r="BE699" s="6" t="s">
        <v>127</v>
      </c>
    </row>
    <row r="700" spans="1:58" ht="16" x14ac:dyDescent="0.4">
      <c r="A700" s="92" t="s">
        <v>3494</v>
      </c>
      <c r="B700" s="92" t="s">
        <v>3494</v>
      </c>
      <c r="C700" s="6" t="s">
        <v>127</v>
      </c>
      <c r="D700" s="6" t="s">
        <v>3272</v>
      </c>
      <c r="E700" s="192">
        <v>44738</v>
      </c>
      <c r="F700" s="6">
        <f t="shared" si="174"/>
        <v>2022</v>
      </c>
      <c r="G700" s="6" t="s">
        <v>3495</v>
      </c>
      <c r="H700" s="22" t="str">
        <f>VLOOKUP($G700,'Item Classification'!B:C,2,0)</f>
        <v>Destroyer</v>
      </c>
      <c r="I700" s="6" t="str">
        <f>VLOOKUP($G700,'Item Classification'!B:D,3,0)</f>
        <v>Naval</v>
      </c>
      <c r="J700" s="23">
        <f>VLOOKUP($G700,'Item Classification'!B:E,4,0)</f>
        <v>12</v>
      </c>
      <c r="K700" s="195" t="s">
        <v>143</v>
      </c>
      <c r="L700" s="195" t="s">
        <v>144</v>
      </c>
      <c r="M700" s="116" t="str">
        <f>VLOOKUP(L700,'NATO Classifications'!$D$6:$E$647,2,0)</f>
        <v>Combat Ships and Landing Vessels</v>
      </c>
      <c r="N700" s="25">
        <v>3</v>
      </c>
      <c r="O700" s="81">
        <f t="shared" ref="O700:O703" si="177">S700/N700</f>
        <v>833333333.33333337</v>
      </c>
      <c r="P700" s="81">
        <f t="shared" ref="P700:P703" si="178">U700/N700</f>
        <v>177830889.93690559</v>
      </c>
      <c r="Q700" s="25">
        <v>2026</v>
      </c>
      <c r="R700" s="25">
        <v>2027</v>
      </c>
      <c r="S700" s="103">
        <v>2500000000</v>
      </c>
      <c r="T700" s="91" t="s">
        <v>3274</v>
      </c>
      <c r="U700" s="104">
        <f>_xlfn.IFNA(S700/INDEX('Exchange Rates'!$C$7:$F$14,MATCH('MAIN DATA, Orders'!F700,'Exchange Rates'!$B$7:$B$14,0),MATCH('MAIN DATA, Orders'!T700,'Exchange Rates'!$C$6:$F$6,0)), "-")</f>
        <v>533492669.81071681</v>
      </c>
      <c r="V700" s="6" t="s">
        <v>127</v>
      </c>
      <c r="W700" s="6" t="s">
        <v>127</v>
      </c>
      <c r="X700" s="6" t="s">
        <v>3272</v>
      </c>
      <c r="Y700" s="24">
        <f t="shared" si="166"/>
        <v>202206</v>
      </c>
      <c r="Z700" s="24">
        <v>1</v>
      </c>
      <c r="AA700" s="24">
        <v>0</v>
      </c>
      <c r="AB700" s="24">
        <v>0</v>
      </c>
      <c r="AC700" s="24">
        <v>1</v>
      </c>
      <c r="AD700" s="24">
        <v>0</v>
      </c>
      <c r="AE700" s="24">
        <v>0</v>
      </c>
      <c r="AF700" s="24">
        <v>0</v>
      </c>
      <c r="AG700" s="102" t="s">
        <v>3496</v>
      </c>
      <c r="AH700" s="102" t="s">
        <v>3272</v>
      </c>
      <c r="AI700" s="92" t="s">
        <v>3272</v>
      </c>
      <c r="AJ700" s="6" t="s">
        <v>3497</v>
      </c>
      <c r="AK700" s="6" t="s">
        <v>3498</v>
      </c>
      <c r="AL700" s="6" t="s">
        <v>127</v>
      </c>
      <c r="AM700" s="6" t="s">
        <v>127</v>
      </c>
      <c r="AN700" s="6" t="s">
        <v>127</v>
      </c>
      <c r="AO700" s="6" t="s">
        <v>127</v>
      </c>
      <c r="AP700" s="6" t="s">
        <v>127</v>
      </c>
      <c r="AQ700" s="6" t="s">
        <v>127</v>
      </c>
      <c r="AR700" s="6" t="s">
        <v>127</v>
      </c>
      <c r="AS700" s="6" t="s">
        <v>127</v>
      </c>
      <c r="AT700" s="6" t="s">
        <v>127</v>
      </c>
      <c r="AU700" s="6" t="s">
        <v>127</v>
      </c>
      <c r="AV700" s="6" t="s">
        <v>127</v>
      </c>
      <c r="AW700" s="6" t="s">
        <v>127</v>
      </c>
      <c r="AX700" s="6" t="s">
        <v>127</v>
      </c>
      <c r="AY700" s="99" t="s">
        <v>3499</v>
      </c>
      <c r="AZ700" s="99" t="s">
        <v>3500</v>
      </c>
      <c r="BA700" s="6" t="s">
        <v>127</v>
      </c>
      <c r="BB700" s="6" t="s">
        <v>3501</v>
      </c>
      <c r="BC700" s="6" t="s">
        <v>127</v>
      </c>
      <c r="BD700" s="6" t="s">
        <v>127</v>
      </c>
      <c r="BE700" s="6" t="s">
        <v>127</v>
      </c>
    </row>
    <row r="701" spans="1:58" ht="16" x14ac:dyDescent="0.4">
      <c r="A701" s="92" t="s">
        <v>3502</v>
      </c>
      <c r="B701" s="92" t="s">
        <v>3502</v>
      </c>
      <c r="C701" s="6" t="s">
        <v>127</v>
      </c>
      <c r="D701" s="6" t="s">
        <v>3272</v>
      </c>
      <c r="E701" s="192">
        <v>44743</v>
      </c>
      <c r="F701" s="6">
        <f t="shared" ref="F701:F716" si="179">YEAR(E701)</f>
        <v>2022</v>
      </c>
      <c r="G701" s="6" t="s">
        <v>3503</v>
      </c>
      <c r="H701" s="22" t="str">
        <f>VLOOKUP($G701,'Item Classification'!B:C,2,0)</f>
        <v>Heavy transport helicopter</v>
      </c>
      <c r="I701" s="6" t="str">
        <f>VLOOKUP($G701,'Item Classification'!B:D,3,0)</f>
        <v>Helicopter</v>
      </c>
      <c r="J701" s="23">
        <f>VLOOKUP($G701,'Item Classification'!B:E,4,0)</f>
        <v>10</v>
      </c>
      <c r="K701" s="195" t="s">
        <v>130</v>
      </c>
      <c r="L701" s="195" t="s">
        <v>266</v>
      </c>
      <c r="M701" s="116" t="str">
        <f>VLOOKUP(L701,'NATO Classifications'!$D$6:$E$647,2,0)</f>
        <v>Aircraft, Rotary Wing</v>
      </c>
      <c r="N701" s="25">
        <v>32</v>
      </c>
      <c r="O701" s="81">
        <f t="shared" si="177"/>
        <v>257812500</v>
      </c>
      <c r="P701" s="81">
        <f t="shared" si="178"/>
        <v>55016431.574230172</v>
      </c>
      <c r="Q701" s="25">
        <v>2023</v>
      </c>
      <c r="R701" s="25">
        <v>2029</v>
      </c>
      <c r="S701" s="103">
        <v>8250000000</v>
      </c>
      <c r="T701" s="91" t="s">
        <v>3274</v>
      </c>
      <c r="U701" s="104">
        <f>_xlfn.IFNA(S701/INDEX('Exchange Rates'!$C$7:$F$14,MATCH('MAIN DATA, Orders'!F701,'Exchange Rates'!$B$7:$B$14,0),MATCH('MAIN DATA, Orders'!T701,'Exchange Rates'!$C$6:$F$6,0)), "-")</f>
        <v>1760525810.3753655</v>
      </c>
      <c r="V701" s="6" t="s">
        <v>127</v>
      </c>
      <c r="W701" s="6" t="s">
        <v>127</v>
      </c>
      <c r="X701" s="6" t="s">
        <v>3272</v>
      </c>
      <c r="Y701" s="24">
        <f t="shared" si="166"/>
        <v>202207</v>
      </c>
      <c r="Z701" s="24">
        <v>0</v>
      </c>
      <c r="AA701" s="24">
        <v>0</v>
      </c>
      <c r="AB701" s="24">
        <v>0</v>
      </c>
      <c r="AC701" s="24">
        <v>1</v>
      </c>
      <c r="AD701" s="24">
        <v>1</v>
      </c>
      <c r="AE701" s="24">
        <v>0</v>
      </c>
      <c r="AF701" s="24">
        <v>1</v>
      </c>
      <c r="AG701" s="102" t="s">
        <v>360</v>
      </c>
      <c r="AH701" s="102" t="s">
        <v>197</v>
      </c>
      <c r="AI701" s="92" t="s">
        <v>3272</v>
      </c>
      <c r="AJ701" s="6" t="s">
        <v>3504</v>
      </c>
      <c r="AK701" s="6" t="s">
        <v>127</v>
      </c>
      <c r="AL701" s="6" t="s">
        <v>127</v>
      </c>
      <c r="AM701" s="6" t="s">
        <v>127</v>
      </c>
      <c r="AN701" s="6" t="s">
        <v>3272</v>
      </c>
      <c r="AO701" s="6" t="s">
        <v>127</v>
      </c>
      <c r="AP701" s="6" t="s">
        <v>127</v>
      </c>
      <c r="AQ701" s="6" t="s">
        <v>127</v>
      </c>
      <c r="AR701" s="6" t="s">
        <v>127</v>
      </c>
      <c r="AS701" s="6" t="s">
        <v>127</v>
      </c>
      <c r="AT701" s="6" t="s">
        <v>127</v>
      </c>
      <c r="AU701" s="6" t="s">
        <v>127</v>
      </c>
      <c r="AV701" s="6" t="s">
        <v>127</v>
      </c>
      <c r="AW701" s="6" t="s">
        <v>127</v>
      </c>
      <c r="AX701" s="6" t="s">
        <v>127</v>
      </c>
      <c r="AY701" s="99" t="s">
        <v>3505</v>
      </c>
      <c r="AZ701" s="6" t="s">
        <v>127</v>
      </c>
      <c r="BA701" s="6" t="s">
        <v>127</v>
      </c>
      <c r="BB701" s="6" t="s">
        <v>3506</v>
      </c>
      <c r="BC701" s="6" t="s">
        <v>127</v>
      </c>
      <c r="BD701" s="6" t="s">
        <v>127</v>
      </c>
      <c r="BE701" s="6" t="s">
        <v>127</v>
      </c>
    </row>
    <row r="702" spans="1:58" ht="16" x14ac:dyDescent="0.4">
      <c r="A702" s="92" t="s">
        <v>3507</v>
      </c>
      <c r="B702" s="92" t="s">
        <v>3507</v>
      </c>
      <c r="C702" s="6" t="s">
        <v>127</v>
      </c>
      <c r="D702" s="6" t="s">
        <v>3272</v>
      </c>
      <c r="E702" s="192">
        <v>44747</v>
      </c>
      <c r="F702" s="6">
        <f t="shared" si="179"/>
        <v>2022</v>
      </c>
      <c r="G702" s="4" t="s">
        <v>3508</v>
      </c>
      <c r="H702" s="22" t="str">
        <f>VLOOKUP($G702,'Item Classification'!B:C,2,0)</f>
        <v>Armoured personnel carrier part</v>
      </c>
      <c r="I702" s="6" t="str">
        <f>VLOOKUP($G702,'Item Classification'!B:D,3,0)</f>
        <v>Armoured vehicle</v>
      </c>
      <c r="J702" s="23">
        <f>VLOOKUP($G702,'Item Classification'!B:E,4,0)</f>
        <v>2</v>
      </c>
      <c r="K702" s="195" t="s">
        <v>763</v>
      </c>
      <c r="L702" s="195" t="s">
        <v>2186</v>
      </c>
      <c r="M702" s="116" t="str">
        <f>VLOOKUP(L702,'NATO Classifications'!$D$6:$E$647,2,0)</f>
        <v>Weapons (other)</v>
      </c>
      <c r="N702" s="25">
        <v>70</v>
      </c>
      <c r="O702" s="81">
        <f t="shared" si="177"/>
        <v>24285714.285714287</v>
      </c>
      <c r="P702" s="81">
        <f t="shared" si="178"/>
        <v>5182500.2210183917</v>
      </c>
      <c r="Q702" s="25">
        <v>2023</v>
      </c>
      <c r="R702" s="25">
        <v>2027</v>
      </c>
      <c r="S702" s="103">
        <v>1700000000</v>
      </c>
      <c r="T702" s="91" t="s">
        <v>3274</v>
      </c>
      <c r="U702" s="104">
        <f>_xlfn.IFNA(S702/INDEX('Exchange Rates'!$C$7:$F$14,MATCH('MAIN DATA, Orders'!F702,'Exchange Rates'!$B$7:$B$14,0),MATCH('MAIN DATA, Orders'!T702,'Exchange Rates'!$C$6:$F$6,0)), "-")</f>
        <v>362775015.47128743</v>
      </c>
      <c r="V702" s="6" t="s">
        <v>127</v>
      </c>
      <c r="W702" s="6" t="s">
        <v>127</v>
      </c>
      <c r="X702" s="6" t="s">
        <v>3272</v>
      </c>
      <c r="Y702" s="24">
        <f t="shared" si="166"/>
        <v>202207</v>
      </c>
      <c r="Z702" s="24">
        <v>0</v>
      </c>
      <c r="AA702" s="24">
        <v>0</v>
      </c>
      <c r="AB702" s="24">
        <v>0</v>
      </c>
      <c r="AC702" s="24">
        <v>1</v>
      </c>
      <c r="AD702" s="24">
        <v>0</v>
      </c>
      <c r="AE702" s="24">
        <v>0</v>
      </c>
      <c r="AF702" s="24">
        <v>0</v>
      </c>
      <c r="AG702" s="102" t="s">
        <v>3377</v>
      </c>
      <c r="AH702" s="102" t="s">
        <v>3272</v>
      </c>
      <c r="AI702" s="92" t="s">
        <v>3272</v>
      </c>
      <c r="AJ702" s="6" t="s">
        <v>3482</v>
      </c>
      <c r="AK702" s="6" t="s">
        <v>3509</v>
      </c>
      <c r="AL702" s="10" t="s">
        <v>3429</v>
      </c>
      <c r="AM702" s="6" t="s">
        <v>127</v>
      </c>
      <c r="AN702" s="6" t="s">
        <v>127</v>
      </c>
      <c r="AO702" s="6" t="s">
        <v>127</v>
      </c>
      <c r="AP702" s="6" t="s">
        <v>127</v>
      </c>
      <c r="AQ702" s="6" t="s">
        <v>127</v>
      </c>
      <c r="AR702" s="6" t="s">
        <v>127</v>
      </c>
      <c r="AS702" s="6" t="s">
        <v>127</v>
      </c>
      <c r="AT702" s="6" t="s">
        <v>127</v>
      </c>
      <c r="AU702" s="6" t="s">
        <v>127</v>
      </c>
      <c r="AV702" s="6" t="s">
        <v>127</v>
      </c>
      <c r="AW702" s="6" t="s">
        <v>127</v>
      </c>
      <c r="AX702" s="6" t="s">
        <v>127</v>
      </c>
      <c r="AY702" s="99" t="s">
        <v>3510</v>
      </c>
      <c r="AZ702" s="6" t="s">
        <v>127</v>
      </c>
      <c r="BA702" s="6" t="s">
        <v>127</v>
      </c>
      <c r="BB702" s="6" t="s">
        <v>3511</v>
      </c>
      <c r="BC702" s="6" t="s">
        <v>3512</v>
      </c>
      <c r="BD702" s="6" t="s">
        <v>127</v>
      </c>
      <c r="BE702" s="6" t="s">
        <v>127</v>
      </c>
    </row>
    <row r="703" spans="1:58" ht="16" x14ac:dyDescent="0.4">
      <c r="A703" s="92" t="s">
        <v>3513</v>
      </c>
      <c r="B703" s="92" t="s">
        <v>3513</v>
      </c>
      <c r="C703" s="6" t="s">
        <v>127</v>
      </c>
      <c r="D703" s="6" t="s">
        <v>3272</v>
      </c>
      <c r="E703" s="192">
        <v>44769</v>
      </c>
      <c r="F703" s="6">
        <f t="shared" si="179"/>
        <v>2022</v>
      </c>
      <c r="G703" s="6" t="s">
        <v>3514</v>
      </c>
      <c r="H703" s="22" t="str">
        <f>VLOOKUP($G703,'Item Classification'!B:C,2,0)</f>
        <v>155mm howitzer</v>
      </c>
      <c r="I703" s="6" t="str">
        <f>VLOOKUP($G703,'Item Classification'!B:D,3,0)</f>
        <v>Artillery</v>
      </c>
      <c r="J703" s="23">
        <f>VLOOKUP($G703,'Item Classification'!B:E,4,0)</f>
        <v>3</v>
      </c>
      <c r="K703" s="195" t="s">
        <v>763</v>
      </c>
      <c r="L703" s="195" t="s">
        <v>3515</v>
      </c>
      <c r="M703" s="116" t="str">
        <f>VLOOKUP(L703,'NATO Classifications'!$D$6:$E$647,2,0)</f>
        <v>Guns over 75mm</v>
      </c>
      <c r="N703" s="25">
        <v>212</v>
      </c>
      <c r="O703" s="81">
        <f t="shared" si="177"/>
        <v>11320754.716981132</v>
      </c>
      <c r="P703" s="81">
        <f t="shared" si="178"/>
        <v>10750954.147180565</v>
      </c>
      <c r="Q703" s="25">
        <v>2023</v>
      </c>
      <c r="R703" s="25">
        <v>2026</v>
      </c>
      <c r="S703" s="103">
        <v>2400000000</v>
      </c>
      <c r="T703" s="91" t="s">
        <v>3284</v>
      </c>
      <c r="U703" s="104">
        <f>_xlfn.IFNA(S703/INDEX('Exchange Rates'!$C$7:$F$14,MATCH('MAIN DATA, Orders'!F703,'Exchange Rates'!$B$7:$B$14,0),MATCH('MAIN DATA, Orders'!T703,'Exchange Rates'!$C$6:$F$6,0)), "-")</f>
        <v>2279202279.2022796</v>
      </c>
      <c r="V703" s="6" t="s">
        <v>127</v>
      </c>
      <c r="W703" s="6" t="s">
        <v>127</v>
      </c>
      <c r="X703" s="6" t="s">
        <v>3272</v>
      </c>
      <c r="Y703" s="24">
        <f t="shared" si="166"/>
        <v>202207</v>
      </c>
      <c r="Z703" s="24">
        <v>1</v>
      </c>
      <c r="AA703" s="24">
        <v>0</v>
      </c>
      <c r="AB703" s="24">
        <v>0</v>
      </c>
      <c r="AC703" s="24">
        <v>0</v>
      </c>
      <c r="AD703" s="24">
        <v>0</v>
      </c>
      <c r="AE703" s="24">
        <v>0</v>
      </c>
      <c r="AF703" s="24">
        <v>0</v>
      </c>
      <c r="AG703" s="102" t="s">
        <v>3516</v>
      </c>
      <c r="AH703" s="102" t="s">
        <v>3517</v>
      </c>
      <c r="AI703" s="92" t="s">
        <v>3517</v>
      </c>
      <c r="AJ703" s="6" t="s">
        <v>127</v>
      </c>
      <c r="AK703" s="6" t="s">
        <v>127</v>
      </c>
      <c r="AL703" s="6" t="s">
        <v>127</v>
      </c>
      <c r="AM703" s="6" t="s">
        <v>127</v>
      </c>
      <c r="AN703" s="6" t="s">
        <v>127</v>
      </c>
      <c r="AO703" s="6" t="s">
        <v>127</v>
      </c>
      <c r="AP703" s="6" t="s">
        <v>127</v>
      </c>
      <c r="AQ703" s="6" t="s">
        <v>127</v>
      </c>
      <c r="AR703" s="6" t="s">
        <v>127</v>
      </c>
      <c r="AS703" s="6" t="s">
        <v>127</v>
      </c>
      <c r="AT703" s="6" t="s">
        <v>127</v>
      </c>
      <c r="AU703" s="6" t="s">
        <v>127</v>
      </c>
      <c r="AV703" s="6" t="s">
        <v>127</v>
      </c>
      <c r="AW703" s="6" t="s">
        <v>127</v>
      </c>
      <c r="AX703" s="6" t="s">
        <v>127</v>
      </c>
      <c r="AY703" s="96" t="s">
        <v>3518</v>
      </c>
      <c r="AZ703" s="96" t="s">
        <v>3519</v>
      </c>
      <c r="BA703" s="6" t="s">
        <v>127</v>
      </c>
      <c r="BB703" s="6" t="s">
        <v>3520</v>
      </c>
      <c r="BC703" s="6" t="s">
        <v>3521</v>
      </c>
      <c r="BD703" s="6" t="s">
        <v>127</v>
      </c>
      <c r="BE703" s="6" t="s">
        <v>127</v>
      </c>
    </row>
    <row r="704" spans="1:58" ht="16" x14ac:dyDescent="0.4">
      <c r="A704" s="92" t="s">
        <v>3522</v>
      </c>
      <c r="B704" s="92" t="s">
        <v>3522</v>
      </c>
      <c r="C704" s="6" t="s">
        <v>127</v>
      </c>
      <c r="D704" s="6" t="s">
        <v>3272</v>
      </c>
      <c r="E704" s="192">
        <v>44809</v>
      </c>
      <c r="F704" s="6">
        <f>YEAR(E704)</f>
        <v>2022</v>
      </c>
      <c r="G704" s="6" t="s">
        <v>3523</v>
      </c>
      <c r="H704" s="22" t="str">
        <f>VLOOKUP($G704,'Item Classification'!B:C,2,0)</f>
        <v>155mm howitzer</v>
      </c>
      <c r="I704" s="6" t="str">
        <f>VLOOKUP($G704,'Item Classification'!B:D,3,0)</f>
        <v>Artillery</v>
      </c>
      <c r="J704" s="23">
        <f>VLOOKUP($G704,'Item Classification'!B:E,4,0)</f>
        <v>3</v>
      </c>
      <c r="K704" s="195" t="s">
        <v>763</v>
      </c>
      <c r="L704" s="195" t="s">
        <v>3515</v>
      </c>
      <c r="M704" s="116" t="str">
        <f>VLOOKUP(L704,'NATO Classifications'!$D$6:$E$647,2,0)</f>
        <v>Guns over 75mm</v>
      </c>
      <c r="N704" s="25">
        <v>48</v>
      </c>
      <c r="O704" s="81">
        <f>S704/N704</f>
        <v>79166666.666666672</v>
      </c>
      <c r="P704" s="81">
        <f>U704/N704</f>
        <v>16893934.544006031</v>
      </c>
      <c r="Q704" s="25"/>
      <c r="R704" s="25"/>
      <c r="S704" s="103">
        <v>3800000000</v>
      </c>
      <c r="T704" s="91" t="s">
        <v>3274</v>
      </c>
      <c r="U704" s="104">
        <f>_xlfn.IFNA(S704/INDEX('Exchange Rates'!$C$7:$F$14,MATCH('MAIN DATA, Orders'!F704,'Exchange Rates'!$B$7:$B$14,0),MATCH('MAIN DATA, Orders'!T704,'Exchange Rates'!$C$6:$F$6,0)), "-")</f>
        <v>810908858.11228955</v>
      </c>
      <c r="V704" s="6" t="s">
        <v>127</v>
      </c>
      <c r="W704" s="6" t="s">
        <v>127</v>
      </c>
      <c r="X704" s="6" t="s">
        <v>3272</v>
      </c>
      <c r="Y704" s="24">
        <f t="shared" si="166"/>
        <v>202209</v>
      </c>
      <c r="Z704" s="24">
        <v>1</v>
      </c>
      <c r="AA704" s="24">
        <v>0</v>
      </c>
      <c r="AB704" s="24">
        <v>0</v>
      </c>
      <c r="AC704" s="24">
        <v>1</v>
      </c>
      <c r="AD704" s="24">
        <v>0</v>
      </c>
      <c r="AE704" s="24">
        <v>0</v>
      </c>
      <c r="AF704" s="24">
        <v>0</v>
      </c>
      <c r="AG704" s="102" t="s">
        <v>3377</v>
      </c>
      <c r="AH704" s="102" t="s">
        <v>3272</v>
      </c>
      <c r="AI704" s="92" t="s">
        <v>3272</v>
      </c>
      <c r="AJ704" s="6" t="s">
        <v>3429</v>
      </c>
      <c r="AK704" s="6" t="s">
        <v>127</v>
      </c>
      <c r="AL704" s="6" t="s">
        <v>127</v>
      </c>
      <c r="AM704" s="6" t="s">
        <v>127</v>
      </c>
      <c r="AN704" s="6" t="s">
        <v>127</v>
      </c>
      <c r="AO704" s="6" t="s">
        <v>127</v>
      </c>
      <c r="AP704" s="6" t="s">
        <v>127</v>
      </c>
      <c r="AQ704" s="6" t="s">
        <v>127</v>
      </c>
      <c r="AR704" s="6" t="s">
        <v>127</v>
      </c>
      <c r="AS704" s="6" t="s">
        <v>127</v>
      </c>
      <c r="AT704" s="6" t="s">
        <v>127</v>
      </c>
      <c r="AU704" s="6" t="s">
        <v>127</v>
      </c>
      <c r="AV704" s="6" t="s">
        <v>127</v>
      </c>
      <c r="AW704" s="6" t="s">
        <v>127</v>
      </c>
      <c r="AX704" s="6" t="s">
        <v>127</v>
      </c>
      <c r="AY704" s="96" t="s">
        <v>3524</v>
      </c>
      <c r="AZ704" s="6" t="s">
        <v>127</v>
      </c>
      <c r="BA704" s="6" t="s">
        <v>127</v>
      </c>
      <c r="BB704" s="6" t="s">
        <v>3525</v>
      </c>
      <c r="BC704" s="6" t="s">
        <v>127</v>
      </c>
      <c r="BD704" s="6" t="s">
        <v>127</v>
      </c>
      <c r="BE704" s="6" t="s">
        <v>127</v>
      </c>
    </row>
    <row r="705" spans="1:57" ht="16" x14ac:dyDescent="0.4">
      <c r="A705" s="92" t="s">
        <v>3526</v>
      </c>
      <c r="B705" s="92" t="s">
        <v>3526</v>
      </c>
      <c r="C705" s="6" t="s">
        <v>127</v>
      </c>
      <c r="D705" s="6" t="s">
        <v>3272</v>
      </c>
      <c r="E705" s="192">
        <v>44810</v>
      </c>
      <c r="F705" s="6">
        <f t="shared" si="179"/>
        <v>2022</v>
      </c>
      <c r="G705" s="6" t="s">
        <v>127</v>
      </c>
      <c r="H705" s="22" t="s">
        <v>1487</v>
      </c>
      <c r="I705" s="6" t="s">
        <v>287</v>
      </c>
      <c r="J705" s="23">
        <v>16</v>
      </c>
      <c r="K705" s="195" t="s">
        <v>229</v>
      </c>
      <c r="L705" s="195" t="s">
        <v>230</v>
      </c>
      <c r="M705" s="116" t="str">
        <f>VLOOKUP(L705,'NATO Classifications'!$D$6:$E$647,2,0)</f>
        <v>Miscellaneous Items</v>
      </c>
      <c r="N705" s="25"/>
      <c r="O705" s="81"/>
      <c r="P705" s="81"/>
      <c r="Q705" s="25"/>
      <c r="R705" s="25"/>
      <c r="S705" s="103">
        <v>3000000000</v>
      </c>
      <c r="T705" s="91" t="s">
        <v>3274</v>
      </c>
      <c r="U705" s="104">
        <f>_xlfn.IFNA(S705/INDEX('Exchange Rates'!$C$7:$F$14,MATCH('MAIN DATA, Orders'!F705,'Exchange Rates'!$B$7:$B$14,0),MATCH('MAIN DATA, Orders'!T705,'Exchange Rates'!$C$6:$F$6,0)), "-")</f>
        <v>640191203.77286017</v>
      </c>
      <c r="V705" s="6" t="s">
        <v>127</v>
      </c>
      <c r="W705" s="6" t="s">
        <v>127</v>
      </c>
      <c r="X705" s="6" t="s">
        <v>3272</v>
      </c>
      <c r="Y705" s="24">
        <f t="shared" si="166"/>
        <v>202209</v>
      </c>
      <c r="Z705" s="24">
        <v>0</v>
      </c>
      <c r="AA705" s="24">
        <v>0</v>
      </c>
      <c r="AB705" s="24">
        <v>0</v>
      </c>
      <c r="AC705" s="24">
        <v>1</v>
      </c>
      <c r="AD705" s="24">
        <v>0</v>
      </c>
      <c r="AE705" s="24">
        <v>0</v>
      </c>
      <c r="AF705" s="24">
        <v>0</v>
      </c>
      <c r="AG705" s="102" t="s">
        <v>127</v>
      </c>
      <c r="AH705" s="102" t="s">
        <v>127</v>
      </c>
      <c r="AI705" s="92" t="s">
        <v>127</v>
      </c>
      <c r="AJ705" s="6" t="s">
        <v>127</v>
      </c>
      <c r="AK705" s="6" t="s">
        <v>127</v>
      </c>
      <c r="AL705" s="6" t="s">
        <v>127</v>
      </c>
      <c r="AM705" s="6" t="s">
        <v>127</v>
      </c>
      <c r="AN705" s="6" t="s">
        <v>127</v>
      </c>
      <c r="AO705" s="6" t="s">
        <v>127</v>
      </c>
      <c r="AP705" s="6" t="s">
        <v>127</v>
      </c>
      <c r="AQ705" s="6" t="s">
        <v>127</v>
      </c>
      <c r="AR705" s="6" t="s">
        <v>127</v>
      </c>
      <c r="AS705" s="6" t="s">
        <v>127</v>
      </c>
      <c r="AT705" s="6" t="s">
        <v>127</v>
      </c>
      <c r="AU705" s="6" t="s">
        <v>127</v>
      </c>
      <c r="AV705" s="6" t="s">
        <v>127</v>
      </c>
      <c r="AW705" s="6" t="s">
        <v>127</v>
      </c>
      <c r="AX705" s="6" t="s">
        <v>127</v>
      </c>
      <c r="AY705" s="99" t="s">
        <v>3527</v>
      </c>
      <c r="AZ705" s="6" t="s">
        <v>127</v>
      </c>
      <c r="BA705" s="6" t="s">
        <v>127</v>
      </c>
      <c r="BB705" s="6" t="s">
        <v>3528</v>
      </c>
      <c r="BC705" s="6" t="s">
        <v>127</v>
      </c>
      <c r="BD705" s="6" t="s">
        <v>127</v>
      </c>
      <c r="BE705" s="6" t="s">
        <v>127</v>
      </c>
    </row>
    <row r="706" spans="1:57" ht="16" x14ac:dyDescent="0.4">
      <c r="A706" s="92" t="s">
        <v>3526</v>
      </c>
      <c r="B706" s="92" t="s">
        <v>3529</v>
      </c>
      <c r="C706" s="6" t="s">
        <v>127</v>
      </c>
      <c r="D706" s="6" t="s">
        <v>3272</v>
      </c>
      <c r="E706" s="192">
        <v>44810</v>
      </c>
      <c r="F706" s="6">
        <f t="shared" si="179"/>
        <v>2022</v>
      </c>
      <c r="G706" s="6" t="s">
        <v>3530</v>
      </c>
      <c r="H706" s="22" t="str">
        <f>VLOOKUP($G706,'Item Classification'!B:C,2,0)</f>
        <v>Reconnaissance armoured vehicle</v>
      </c>
      <c r="I706" s="6" t="str">
        <f>VLOOKUP($G706,'Item Classification'!B:D,3,0)</f>
        <v>Armoured vehicle</v>
      </c>
      <c r="J706" s="23">
        <f>VLOOKUP($G706,'Item Classification'!B:E,4,0)</f>
        <v>2</v>
      </c>
      <c r="K706" s="195" t="s">
        <v>274</v>
      </c>
      <c r="L706" s="195" t="s">
        <v>329</v>
      </c>
      <c r="M706" s="116" t="str">
        <f>VLOOKUP(L706,'NATO Classifications'!$D$6:$E$647,2,0)</f>
        <v>Combat, Assault, and Tactical Vehicles, Tracked</v>
      </c>
      <c r="N706" s="25"/>
      <c r="O706" s="81"/>
      <c r="P706" s="81"/>
      <c r="Q706" s="25"/>
      <c r="R706" s="25"/>
      <c r="S706" s="103"/>
      <c r="T706" s="91" t="s">
        <v>3274</v>
      </c>
      <c r="U706" s="104">
        <f>_xlfn.IFNA(S706/INDEX('Exchange Rates'!$C$7:$F$14,MATCH('MAIN DATA, Orders'!F706,'Exchange Rates'!$B$7:$B$14,0),MATCH('MAIN DATA, Orders'!T706,'Exchange Rates'!$C$6:$F$6,0)), "-")</f>
        <v>0</v>
      </c>
      <c r="V706" s="6" t="s">
        <v>127</v>
      </c>
      <c r="W706" s="6" t="s">
        <v>127</v>
      </c>
      <c r="X706" s="6" t="s">
        <v>3272</v>
      </c>
      <c r="Y706" s="24">
        <f t="shared" si="166"/>
        <v>202209</v>
      </c>
      <c r="Z706" s="24">
        <v>0</v>
      </c>
      <c r="AA706" s="24">
        <v>0</v>
      </c>
      <c r="AB706" s="24">
        <v>0</v>
      </c>
      <c r="AC706" s="24">
        <v>1</v>
      </c>
      <c r="AD706" s="24">
        <v>0</v>
      </c>
      <c r="AE706" s="24">
        <v>0</v>
      </c>
      <c r="AF706" s="24">
        <v>0</v>
      </c>
      <c r="AG706" s="6" t="s">
        <v>3401</v>
      </c>
      <c r="AH706" s="102" t="s">
        <v>3272</v>
      </c>
      <c r="AI706" s="92" t="s">
        <v>3272</v>
      </c>
      <c r="AJ706" s="6" t="s">
        <v>127</v>
      </c>
      <c r="AK706" s="6" t="s">
        <v>127</v>
      </c>
      <c r="AL706" s="6" t="s">
        <v>127</v>
      </c>
      <c r="AM706" s="6" t="s">
        <v>127</v>
      </c>
      <c r="AN706" s="6" t="s">
        <v>127</v>
      </c>
      <c r="AO706" s="6" t="s">
        <v>127</v>
      </c>
      <c r="AP706" s="6" t="s">
        <v>127</v>
      </c>
      <c r="AQ706" s="6" t="s">
        <v>127</v>
      </c>
      <c r="AR706" s="6" t="s">
        <v>127</v>
      </c>
      <c r="AS706" s="6" t="s">
        <v>127</v>
      </c>
      <c r="AT706" s="6" t="s">
        <v>127</v>
      </c>
      <c r="AU706" s="6" t="s">
        <v>127</v>
      </c>
      <c r="AV706" s="6" t="s">
        <v>127</v>
      </c>
      <c r="AW706" s="6" t="s">
        <v>127</v>
      </c>
      <c r="AX706" s="6" t="s">
        <v>127</v>
      </c>
      <c r="AY706" s="99" t="s">
        <v>3527</v>
      </c>
      <c r="AZ706" s="6" t="s">
        <v>127</v>
      </c>
      <c r="BA706" s="6" t="s">
        <v>127</v>
      </c>
      <c r="BB706" s="6" t="s">
        <v>3528</v>
      </c>
      <c r="BC706" s="6" t="s">
        <v>127</v>
      </c>
      <c r="BD706" s="6" t="s">
        <v>127</v>
      </c>
      <c r="BE706" s="6" t="s">
        <v>127</v>
      </c>
    </row>
    <row r="707" spans="1:57" ht="16" x14ac:dyDescent="0.4">
      <c r="A707" s="92" t="s">
        <v>3526</v>
      </c>
      <c r="B707" s="92" t="s">
        <v>3531</v>
      </c>
      <c r="C707" s="6" t="s">
        <v>127</v>
      </c>
      <c r="D707" s="6" t="s">
        <v>3272</v>
      </c>
      <c r="E707" s="192">
        <v>44810</v>
      </c>
      <c r="F707" s="6">
        <f t="shared" si="179"/>
        <v>2022</v>
      </c>
      <c r="G707" s="6" t="s">
        <v>3532</v>
      </c>
      <c r="H707" s="22" t="str">
        <f>VLOOKUP($G707,'Item Classification'!B:C,2,0)</f>
        <v>IT equipment</v>
      </c>
      <c r="I707" s="6" t="str">
        <f>VLOOKUP($G707,'Item Classification'!B:D,3,0)</f>
        <v>Modernisation</v>
      </c>
      <c r="J707" s="23">
        <f>VLOOKUP($G707,'Item Classification'!B:E,4,0)</f>
        <v>13</v>
      </c>
      <c r="K707" s="195" t="s">
        <v>168</v>
      </c>
      <c r="L707" s="195" t="s">
        <v>182</v>
      </c>
      <c r="M707" s="116" t="str">
        <f>VLOOKUP(L707,'NATO Classifications'!$D$6:$E$647,2,0)</f>
        <v>ADP Software</v>
      </c>
      <c r="N707" s="25"/>
      <c r="O707" s="81"/>
      <c r="P707" s="81"/>
      <c r="Q707" s="25"/>
      <c r="R707" s="25"/>
      <c r="S707" s="103"/>
      <c r="T707" s="91" t="s">
        <v>3274</v>
      </c>
      <c r="U707" s="104">
        <f>_xlfn.IFNA(S707/INDEX('Exchange Rates'!$C$7:$F$14,MATCH('MAIN DATA, Orders'!F707,'Exchange Rates'!$B$7:$B$14,0),MATCH('MAIN DATA, Orders'!T707,'Exchange Rates'!$C$6:$F$6,0)), "-")</f>
        <v>0</v>
      </c>
      <c r="V707" s="6" t="s">
        <v>127</v>
      </c>
      <c r="W707" s="6" t="s">
        <v>127</v>
      </c>
      <c r="X707" s="6" t="s">
        <v>3272</v>
      </c>
      <c r="Y707" s="24">
        <f t="shared" si="166"/>
        <v>202209</v>
      </c>
      <c r="Z707" s="24">
        <v>0</v>
      </c>
      <c r="AA707" s="24">
        <v>0</v>
      </c>
      <c r="AB707" s="24">
        <v>0</v>
      </c>
      <c r="AC707" s="24">
        <v>1</v>
      </c>
      <c r="AD707" s="24">
        <v>0</v>
      </c>
      <c r="AE707" s="24">
        <v>0</v>
      </c>
      <c r="AF707" s="24">
        <v>0</v>
      </c>
      <c r="AG707" s="102" t="s">
        <v>3533</v>
      </c>
      <c r="AH707" s="102" t="s">
        <v>3272</v>
      </c>
      <c r="AI707" s="92" t="s">
        <v>3272</v>
      </c>
      <c r="AJ707" s="6" t="s">
        <v>127</v>
      </c>
      <c r="AK707" s="6" t="s">
        <v>127</v>
      </c>
      <c r="AL707" s="6" t="s">
        <v>127</v>
      </c>
      <c r="AM707" s="6" t="s">
        <v>127</v>
      </c>
      <c r="AN707" s="6" t="s">
        <v>127</v>
      </c>
      <c r="AO707" s="6" t="s">
        <v>127</v>
      </c>
      <c r="AP707" s="6" t="s">
        <v>127</v>
      </c>
      <c r="AQ707" s="6" t="s">
        <v>127</v>
      </c>
      <c r="AR707" s="6" t="s">
        <v>127</v>
      </c>
      <c r="AS707" s="6" t="s">
        <v>127</v>
      </c>
      <c r="AT707" s="6" t="s">
        <v>127</v>
      </c>
      <c r="AU707" s="6" t="s">
        <v>127</v>
      </c>
      <c r="AV707" s="6" t="s">
        <v>127</v>
      </c>
      <c r="AW707" s="6" t="s">
        <v>127</v>
      </c>
      <c r="AX707" s="6" t="s">
        <v>127</v>
      </c>
      <c r="AY707" s="99" t="s">
        <v>3527</v>
      </c>
      <c r="AZ707" s="6" t="s">
        <v>127</v>
      </c>
      <c r="BA707" s="6" t="s">
        <v>127</v>
      </c>
      <c r="BB707" s="6" t="s">
        <v>3528</v>
      </c>
      <c r="BC707" s="6" t="s">
        <v>127</v>
      </c>
      <c r="BD707" s="6" t="s">
        <v>127</v>
      </c>
      <c r="BE707" s="6" t="s">
        <v>127</v>
      </c>
    </row>
    <row r="708" spans="1:57" ht="16" x14ac:dyDescent="0.4">
      <c r="A708" s="92" t="s">
        <v>3526</v>
      </c>
      <c r="B708" s="92" t="s">
        <v>3534</v>
      </c>
      <c r="C708" s="6" t="s">
        <v>3298</v>
      </c>
      <c r="D708" s="6" t="s">
        <v>3272</v>
      </c>
      <c r="E708" s="192">
        <v>44810</v>
      </c>
      <c r="F708" s="6">
        <f t="shared" si="179"/>
        <v>2022</v>
      </c>
      <c r="G708" s="6" t="s">
        <v>3535</v>
      </c>
      <c r="H708" s="22" t="str">
        <f>VLOOKUP($G708,'Item Classification'!B:C,2,0)</f>
        <v>Command cabin for air defence system</v>
      </c>
      <c r="I708" s="6" t="str">
        <f>VLOOKUP($G708,'Item Classification'!B:D,3,0)</f>
        <v>Air defence system</v>
      </c>
      <c r="J708" s="23">
        <f>VLOOKUP($G708,'Item Classification'!B:E,4,0)</f>
        <v>5</v>
      </c>
      <c r="K708" s="195" t="s">
        <v>386</v>
      </c>
      <c r="L708" s="195" t="s">
        <v>387</v>
      </c>
      <c r="M708" s="116" t="str">
        <f>VLOOKUP(L708,'NATO Classifications'!$D$6:$E$647,2,0)</f>
        <v>Prefabricated and Portable Buildings</v>
      </c>
      <c r="N708" s="25"/>
      <c r="O708" s="81"/>
      <c r="P708" s="81"/>
      <c r="Q708" s="25"/>
      <c r="R708" s="25"/>
      <c r="S708" s="103"/>
      <c r="T708" s="91" t="s">
        <v>3274</v>
      </c>
      <c r="U708" s="104">
        <f>_xlfn.IFNA(S708/INDEX('Exchange Rates'!$C$7:$F$14,MATCH('MAIN DATA, Orders'!F708,'Exchange Rates'!$B$7:$B$14,0),MATCH('MAIN DATA, Orders'!T708,'Exchange Rates'!$C$6:$F$6,0)), "-")</f>
        <v>0</v>
      </c>
      <c r="V708" s="6" t="s">
        <v>127</v>
      </c>
      <c r="W708" s="6" t="s">
        <v>127</v>
      </c>
      <c r="X708" s="6" t="s">
        <v>3272</v>
      </c>
      <c r="Y708" s="24">
        <f t="shared" si="166"/>
        <v>202209</v>
      </c>
      <c r="Z708" s="24">
        <v>0</v>
      </c>
      <c r="AA708" s="24">
        <v>0</v>
      </c>
      <c r="AB708" s="24">
        <v>0</v>
      </c>
      <c r="AC708" s="24">
        <v>1</v>
      </c>
      <c r="AD708" s="24">
        <v>0</v>
      </c>
      <c r="AE708" s="24">
        <v>0</v>
      </c>
      <c r="AF708" s="24">
        <v>0</v>
      </c>
      <c r="AG708" s="102" t="s">
        <v>3536</v>
      </c>
      <c r="AH708" s="102" t="s">
        <v>3272</v>
      </c>
      <c r="AI708" s="92" t="s">
        <v>3272</v>
      </c>
      <c r="AJ708" s="6" t="s">
        <v>127</v>
      </c>
      <c r="AK708" s="6" t="s">
        <v>127</v>
      </c>
      <c r="AL708" s="6" t="s">
        <v>127</v>
      </c>
      <c r="AM708" s="6" t="s">
        <v>127</v>
      </c>
      <c r="AN708" s="6" t="s">
        <v>127</v>
      </c>
      <c r="AO708" s="6" t="s">
        <v>127</v>
      </c>
      <c r="AP708" s="6" t="s">
        <v>127</v>
      </c>
      <c r="AQ708" s="6" t="s">
        <v>127</v>
      </c>
      <c r="AR708" s="6" t="s">
        <v>127</v>
      </c>
      <c r="AS708" s="6" t="s">
        <v>127</v>
      </c>
      <c r="AT708" s="6" t="s">
        <v>127</v>
      </c>
      <c r="AU708" s="6" t="s">
        <v>127</v>
      </c>
      <c r="AV708" s="6" t="s">
        <v>127</v>
      </c>
      <c r="AW708" s="6" t="s">
        <v>127</v>
      </c>
      <c r="AX708" s="6" t="s">
        <v>127</v>
      </c>
      <c r="AY708" s="99" t="s">
        <v>3527</v>
      </c>
      <c r="AZ708" s="6" t="s">
        <v>127</v>
      </c>
      <c r="BA708" s="6" t="s">
        <v>127</v>
      </c>
      <c r="BB708" s="6" t="s">
        <v>3528</v>
      </c>
      <c r="BC708" s="6" t="s">
        <v>127</v>
      </c>
      <c r="BD708" s="6" t="s">
        <v>127</v>
      </c>
      <c r="BE708" s="6" t="s">
        <v>127</v>
      </c>
    </row>
    <row r="709" spans="1:57" ht="16" x14ac:dyDescent="0.4">
      <c r="A709" s="92" t="s">
        <v>3526</v>
      </c>
      <c r="B709" s="92" t="s">
        <v>3537</v>
      </c>
      <c r="C709" s="6" t="s">
        <v>127</v>
      </c>
      <c r="D709" s="6" t="s">
        <v>3272</v>
      </c>
      <c r="E709" s="192">
        <v>44810</v>
      </c>
      <c r="F709" s="6">
        <f t="shared" si="179"/>
        <v>2022</v>
      </c>
      <c r="G709" s="6" t="s">
        <v>3538</v>
      </c>
      <c r="H709" s="22" t="str">
        <f>VLOOKUP($G709,'Item Classification'!B:C,2,0)</f>
        <v>Transportation for military personnel vehicle</v>
      </c>
      <c r="I709" s="6" t="str">
        <f>VLOOKUP($G709,'Item Classification'!B:D,3,0)</f>
        <v>Other</v>
      </c>
      <c r="J709" s="23">
        <f>VLOOKUP($G709,'Item Classification'!B:E,4,0)</f>
        <v>16</v>
      </c>
      <c r="K709" s="195" t="s">
        <v>274</v>
      </c>
      <c r="L709" s="195" t="s">
        <v>275</v>
      </c>
      <c r="M709" s="116" t="str">
        <f>VLOOKUP(L709,'NATO Classifications'!$D$6:$E$647,2,0)</f>
        <v>Trucks and Truck Tractors, Wheeled</v>
      </c>
      <c r="N709" s="25"/>
      <c r="O709" s="81"/>
      <c r="P709" s="81"/>
      <c r="Q709" s="25"/>
      <c r="R709" s="25"/>
      <c r="S709" s="103"/>
      <c r="T709" s="91" t="s">
        <v>3274</v>
      </c>
      <c r="U709" s="104">
        <f>_xlfn.IFNA(S709/INDEX('Exchange Rates'!$C$7:$F$14,MATCH('MAIN DATA, Orders'!F709,'Exchange Rates'!$B$7:$B$14,0),MATCH('MAIN DATA, Orders'!T709,'Exchange Rates'!$C$6:$F$6,0)), "-")</f>
        <v>0</v>
      </c>
      <c r="V709" s="6" t="s">
        <v>127</v>
      </c>
      <c r="W709" s="6" t="s">
        <v>127</v>
      </c>
      <c r="X709" s="6" t="s">
        <v>3272</v>
      </c>
      <c r="Y709" s="24">
        <f t="shared" si="166"/>
        <v>202209</v>
      </c>
      <c r="Z709" s="24">
        <v>0</v>
      </c>
      <c r="AA709" s="24">
        <v>0</v>
      </c>
      <c r="AB709" s="24">
        <v>0</v>
      </c>
      <c r="AC709" s="24">
        <v>1</v>
      </c>
      <c r="AD709" s="24">
        <v>0</v>
      </c>
      <c r="AE709" s="24">
        <v>0</v>
      </c>
      <c r="AF709" s="24">
        <v>0</v>
      </c>
      <c r="AG709" s="102" t="s">
        <v>3539</v>
      </c>
      <c r="AH709" s="102" t="s">
        <v>3272</v>
      </c>
      <c r="AI709" s="92" t="s">
        <v>3272</v>
      </c>
      <c r="AJ709" s="6" t="s">
        <v>127</v>
      </c>
      <c r="AK709" s="6" t="s">
        <v>127</v>
      </c>
      <c r="AL709" s="6" t="s">
        <v>127</v>
      </c>
      <c r="AM709" s="6" t="s">
        <v>127</v>
      </c>
      <c r="AN709" s="6" t="s">
        <v>127</v>
      </c>
      <c r="AO709" s="6" t="s">
        <v>127</v>
      </c>
      <c r="AP709" s="6" t="s">
        <v>127</v>
      </c>
      <c r="AQ709" s="6" t="s">
        <v>127</v>
      </c>
      <c r="AR709" s="6" t="s">
        <v>127</v>
      </c>
      <c r="AS709" s="6" t="s">
        <v>127</v>
      </c>
      <c r="AT709" s="6" t="s">
        <v>127</v>
      </c>
      <c r="AU709" s="6" t="s">
        <v>127</v>
      </c>
      <c r="AV709" s="6" t="s">
        <v>127</v>
      </c>
      <c r="AW709" s="6" t="s">
        <v>127</v>
      </c>
      <c r="AX709" s="6" t="s">
        <v>127</v>
      </c>
      <c r="AY709" s="99" t="s">
        <v>3527</v>
      </c>
      <c r="AZ709" s="6" t="s">
        <v>127</v>
      </c>
      <c r="BA709" s="6" t="s">
        <v>127</v>
      </c>
      <c r="BB709" s="6" t="s">
        <v>3528</v>
      </c>
      <c r="BC709" s="6" t="s">
        <v>127</v>
      </c>
      <c r="BD709" s="6" t="s">
        <v>127</v>
      </c>
      <c r="BE709" s="6" t="s">
        <v>127</v>
      </c>
    </row>
    <row r="710" spans="1:57" ht="16" x14ac:dyDescent="0.4">
      <c r="A710" s="92" t="s">
        <v>3526</v>
      </c>
      <c r="B710" s="92" t="s">
        <v>3540</v>
      </c>
      <c r="C710" s="6" t="s">
        <v>127</v>
      </c>
      <c r="D710" s="6" t="s">
        <v>3272</v>
      </c>
      <c r="E710" s="192">
        <v>44810</v>
      </c>
      <c r="F710" s="6">
        <f t="shared" si="179"/>
        <v>2022</v>
      </c>
      <c r="G710" s="6" t="s">
        <v>3541</v>
      </c>
      <c r="H710" s="22" t="str">
        <f>VLOOKUP($G710,'Item Classification'!B:C,2,0)</f>
        <v>IT equipment</v>
      </c>
      <c r="I710" s="6" t="str">
        <f>VLOOKUP($G710,'Item Classification'!B:D,3,0)</f>
        <v>Modernisation</v>
      </c>
      <c r="J710" s="23">
        <f>VLOOKUP($G710,'Item Classification'!B:E,4,0)</f>
        <v>13</v>
      </c>
      <c r="K710" s="195" t="s">
        <v>727</v>
      </c>
      <c r="L710" s="195" t="s">
        <v>2720</v>
      </c>
      <c r="M710" s="116" t="str">
        <f>VLOOKUP(L710,'NATO Classifications'!$D$6:$E$647,2,0)</f>
        <v>Semiconductor Devices and Associated Hardware</v>
      </c>
      <c r="N710" s="25"/>
      <c r="O710" s="81"/>
      <c r="P710" s="81"/>
      <c r="Q710" s="25"/>
      <c r="R710" s="25"/>
      <c r="S710" s="103"/>
      <c r="T710" s="91" t="s">
        <v>3274</v>
      </c>
      <c r="U710" s="104">
        <f>_xlfn.IFNA(S710/INDEX('Exchange Rates'!$C$7:$F$14,MATCH('MAIN DATA, Orders'!F710,'Exchange Rates'!$B$7:$B$14,0),MATCH('MAIN DATA, Orders'!T710,'Exchange Rates'!$C$6:$F$6,0)), "-")</f>
        <v>0</v>
      </c>
      <c r="V710" s="6" t="s">
        <v>127</v>
      </c>
      <c r="W710" s="6" t="s">
        <v>127</v>
      </c>
      <c r="X710" s="6" t="s">
        <v>3272</v>
      </c>
      <c r="Y710" s="24">
        <f t="shared" si="166"/>
        <v>202209</v>
      </c>
      <c r="Z710" s="24">
        <v>0</v>
      </c>
      <c r="AA710" s="24">
        <v>0</v>
      </c>
      <c r="AB710" s="24">
        <v>0</v>
      </c>
      <c r="AC710" s="24">
        <v>1</v>
      </c>
      <c r="AD710" s="24">
        <v>0</v>
      </c>
      <c r="AE710" s="24">
        <v>0</v>
      </c>
      <c r="AF710" s="24">
        <v>0</v>
      </c>
      <c r="AG710" s="102" t="s">
        <v>3387</v>
      </c>
      <c r="AH710" s="102" t="s">
        <v>3272</v>
      </c>
      <c r="AI710" s="92" t="s">
        <v>3272</v>
      </c>
      <c r="AJ710" s="6" t="s">
        <v>127</v>
      </c>
      <c r="AK710" s="6" t="s">
        <v>127</v>
      </c>
      <c r="AL710" s="6" t="s">
        <v>127</v>
      </c>
      <c r="AM710" s="6" t="s">
        <v>127</v>
      </c>
      <c r="AN710" s="6" t="s">
        <v>127</v>
      </c>
      <c r="AO710" s="6" t="s">
        <v>127</v>
      </c>
      <c r="AP710" s="6" t="s">
        <v>127</v>
      </c>
      <c r="AQ710" s="6" t="s">
        <v>127</v>
      </c>
      <c r="AR710" s="6" t="s">
        <v>127</v>
      </c>
      <c r="AS710" s="6" t="s">
        <v>127</v>
      </c>
      <c r="AT710" s="6" t="s">
        <v>127</v>
      </c>
      <c r="AU710" s="6" t="s">
        <v>127</v>
      </c>
      <c r="AV710" s="6" t="s">
        <v>127</v>
      </c>
      <c r="AW710" s="6" t="s">
        <v>127</v>
      </c>
      <c r="AX710" s="6" t="s">
        <v>127</v>
      </c>
      <c r="AY710" s="99" t="s">
        <v>3527</v>
      </c>
      <c r="AZ710" s="6" t="s">
        <v>127</v>
      </c>
      <c r="BA710" s="6" t="s">
        <v>127</v>
      </c>
      <c r="BB710" s="6" t="s">
        <v>3528</v>
      </c>
      <c r="BC710" s="6" t="s">
        <v>127</v>
      </c>
      <c r="BD710" s="6" t="s">
        <v>127</v>
      </c>
      <c r="BE710" s="6" t="s">
        <v>127</v>
      </c>
    </row>
    <row r="711" spans="1:57" ht="16" x14ac:dyDescent="0.4">
      <c r="A711" s="92" t="s">
        <v>3526</v>
      </c>
      <c r="B711" s="92" t="s">
        <v>3542</v>
      </c>
      <c r="C711" s="6" t="s">
        <v>3543</v>
      </c>
      <c r="D711" s="6" t="s">
        <v>3272</v>
      </c>
      <c r="E711" s="192">
        <v>44810</v>
      </c>
      <c r="F711" s="6">
        <f t="shared" si="179"/>
        <v>2022</v>
      </c>
      <c r="G711" s="4" t="s">
        <v>3544</v>
      </c>
      <c r="H711" s="22" t="str">
        <f>VLOOKUP($G711,'Item Classification'!B:C,2,0)</f>
        <v>Drone development</v>
      </c>
      <c r="I711" s="6" t="str">
        <f>VLOOKUP($G711,'Item Classification'!B:D,3,0)</f>
        <v>Development - Drone</v>
      </c>
      <c r="J711" s="23">
        <f>VLOOKUP($G711,'Item Classification'!B:E,4,0)</f>
        <v>15</v>
      </c>
      <c r="K711" s="195" t="s">
        <v>130</v>
      </c>
      <c r="L711" s="195" t="s">
        <v>131</v>
      </c>
      <c r="M711" s="116" t="str">
        <f>VLOOKUP(L711,'NATO Classifications'!$D$6:$E$647,2,0)</f>
        <v>Unmanned Aircraft</v>
      </c>
      <c r="N711" s="25"/>
      <c r="O711" s="81"/>
      <c r="P711" s="81"/>
      <c r="Q711" s="25"/>
      <c r="R711" s="25"/>
      <c r="S711" s="103"/>
      <c r="T711" s="91" t="s">
        <v>3274</v>
      </c>
      <c r="U711" s="104">
        <f>_xlfn.IFNA(S711/INDEX('Exchange Rates'!$C$7:$F$14,MATCH('MAIN DATA, Orders'!F711,'Exchange Rates'!$B$7:$B$14,0),MATCH('MAIN DATA, Orders'!T711,'Exchange Rates'!$C$6:$F$6,0)), "-")</f>
        <v>0</v>
      </c>
      <c r="V711" s="6" t="s">
        <v>127</v>
      </c>
      <c r="W711" s="6" t="s">
        <v>127</v>
      </c>
      <c r="X711" s="6" t="s">
        <v>3272</v>
      </c>
      <c r="Y711" s="24">
        <f t="shared" si="166"/>
        <v>202209</v>
      </c>
      <c r="Z711" s="24">
        <v>0</v>
      </c>
      <c r="AA711" s="24">
        <v>0</v>
      </c>
      <c r="AB711" s="24">
        <v>0</v>
      </c>
      <c r="AC711" s="24">
        <v>1</v>
      </c>
      <c r="AD711" s="24">
        <v>0</v>
      </c>
      <c r="AE711" s="24">
        <v>0</v>
      </c>
      <c r="AF711" s="24">
        <v>0</v>
      </c>
      <c r="AG711" s="102" t="s">
        <v>3545</v>
      </c>
      <c r="AH711" s="102" t="s">
        <v>3272</v>
      </c>
      <c r="AI711" s="92" t="s">
        <v>3272</v>
      </c>
      <c r="AJ711" s="6" t="s">
        <v>127</v>
      </c>
      <c r="AK711" s="6" t="s">
        <v>127</v>
      </c>
      <c r="AL711" s="6" t="s">
        <v>127</v>
      </c>
      <c r="AM711" s="6" t="s">
        <v>127</v>
      </c>
      <c r="AN711" s="6" t="s">
        <v>127</v>
      </c>
      <c r="AO711" s="6" t="s">
        <v>127</v>
      </c>
      <c r="AP711" s="6" t="s">
        <v>127</v>
      </c>
      <c r="AQ711" s="6" t="s">
        <v>127</v>
      </c>
      <c r="AR711" s="6" t="s">
        <v>127</v>
      </c>
      <c r="AS711" s="6" t="s">
        <v>127</v>
      </c>
      <c r="AT711" s="6" t="s">
        <v>127</v>
      </c>
      <c r="AU711" s="6" t="s">
        <v>127</v>
      </c>
      <c r="AV711" s="6" t="s">
        <v>127</v>
      </c>
      <c r="AW711" s="6" t="s">
        <v>127</v>
      </c>
      <c r="AX711" s="6" t="s">
        <v>127</v>
      </c>
      <c r="AY711" s="99" t="s">
        <v>3527</v>
      </c>
      <c r="AZ711" s="6" t="s">
        <v>127</v>
      </c>
      <c r="BA711" s="6" t="s">
        <v>127</v>
      </c>
      <c r="BB711" s="6" t="s">
        <v>3528</v>
      </c>
      <c r="BC711" s="6" t="s">
        <v>127</v>
      </c>
      <c r="BD711" s="6" t="s">
        <v>127</v>
      </c>
      <c r="BE711" s="6" t="s">
        <v>127</v>
      </c>
    </row>
    <row r="712" spans="1:57" ht="16" x14ac:dyDescent="0.4">
      <c r="A712" s="92" t="s">
        <v>3546</v>
      </c>
      <c r="B712" s="92" t="s">
        <v>3546</v>
      </c>
      <c r="C712" s="6" t="s">
        <v>127</v>
      </c>
      <c r="D712" s="6" t="s">
        <v>3272</v>
      </c>
      <c r="E712" s="192">
        <v>44820</v>
      </c>
      <c r="F712" s="6">
        <f t="shared" si="179"/>
        <v>2022</v>
      </c>
      <c r="G712" s="6" t="s">
        <v>3547</v>
      </c>
      <c r="H712" s="22" t="str">
        <f>VLOOKUP($G712,'Item Classification'!B:C,2,0)</f>
        <v>Fighter aircraft</v>
      </c>
      <c r="I712" s="6" t="str">
        <f>VLOOKUP($G712,'Item Classification'!B:D,3,0)</f>
        <v>Aircraft</v>
      </c>
      <c r="J712" s="23">
        <f>VLOOKUP($G712,'Item Classification'!B:E,4,0)</f>
        <v>11</v>
      </c>
      <c r="K712" s="195" t="s">
        <v>130</v>
      </c>
      <c r="L712" s="195" t="s">
        <v>237</v>
      </c>
      <c r="M712" s="116" t="str">
        <f>VLOOKUP(L712,'NATO Classifications'!$D$6:$E$647,2,0)</f>
        <v>Aircraft, Fixed Wing</v>
      </c>
      <c r="N712" s="25">
        <v>48</v>
      </c>
      <c r="O712" s="81">
        <f>S712/N712</f>
        <v>62604166.666666664</v>
      </c>
      <c r="P712" s="81">
        <f>U712/N712</f>
        <v>59453149.73092752</v>
      </c>
      <c r="Q712" s="25">
        <v>2023</v>
      </c>
      <c r="R712" s="25">
        <v>2028</v>
      </c>
      <c r="S712" s="103">
        <v>3005000000</v>
      </c>
      <c r="T712" s="91" t="s">
        <v>3284</v>
      </c>
      <c r="U712" s="104">
        <f>_xlfn.IFNA(S712/INDEX('Exchange Rates'!$C$7:$F$14,MATCH('MAIN DATA, Orders'!F712,'Exchange Rates'!$B$7:$B$14,0),MATCH('MAIN DATA, Orders'!T712,'Exchange Rates'!$C$6:$F$6,0)), "-")</f>
        <v>2853751187.0845208</v>
      </c>
      <c r="V712" s="6" t="s">
        <v>127</v>
      </c>
      <c r="W712" s="6" t="s">
        <v>127</v>
      </c>
      <c r="X712" s="6" t="s">
        <v>3272</v>
      </c>
      <c r="Y712" s="24">
        <f t="shared" si="166"/>
        <v>202209</v>
      </c>
      <c r="Z712" s="24">
        <v>0</v>
      </c>
      <c r="AA712" s="24">
        <v>0</v>
      </c>
      <c r="AB712" s="24">
        <v>0</v>
      </c>
      <c r="AC712" s="24">
        <v>0</v>
      </c>
      <c r="AD712" s="24">
        <v>0</v>
      </c>
      <c r="AE712" s="24">
        <v>0</v>
      </c>
      <c r="AF712" s="24">
        <v>0</v>
      </c>
      <c r="AG712" s="102" t="s">
        <v>3548</v>
      </c>
      <c r="AH712" s="102" t="s">
        <v>3517</v>
      </c>
      <c r="AI712" s="92" t="s">
        <v>3517</v>
      </c>
      <c r="AJ712" s="6" t="s">
        <v>127</v>
      </c>
      <c r="AK712" s="6" t="s">
        <v>127</v>
      </c>
      <c r="AL712" s="6" t="s">
        <v>127</v>
      </c>
      <c r="AM712" s="6" t="s">
        <v>127</v>
      </c>
      <c r="AN712" s="6" t="s">
        <v>127</v>
      </c>
      <c r="AO712" s="6" t="s">
        <v>127</v>
      </c>
      <c r="AP712" s="6" t="s">
        <v>127</v>
      </c>
      <c r="AQ712" s="6" t="s">
        <v>127</v>
      </c>
      <c r="AR712" s="6" t="s">
        <v>127</v>
      </c>
      <c r="AS712" s="6" t="s">
        <v>127</v>
      </c>
      <c r="AT712" s="6" t="s">
        <v>127</v>
      </c>
      <c r="AU712" s="6" t="s">
        <v>127</v>
      </c>
      <c r="AV712" s="6" t="s">
        <v>127</v>
      </c>
      <c r="AW712" s="6" t="s">
        <v>127</v>
      </c>
      <c r="AX712" s="6" t="s">
        <v>127</v>
      </c>
      <c r="AY712" s="99" t="s">
        <v>3549</v>
      </c>
      <c r="AZ712" s="96" t="s">
        <v>3550</v>
      </c>
      <c r="BA712" s="6" t="s">
        <v>127</v>
      </c>
      <c r="BB712" s="6" t="s">
        <v>3551</v>
      </c>
      <c r="BC712" s="6" t="s">
        <v>3552</v>
      </c>
      <c r="BD712" s="6" t="s">
        <v>3553</v>
      </c>
      <c r="BE712" s="6" t="s">
        <v>127</v>
      </c>
    </row>
    <row r="713" spans="1:57" ht="16" x14ac:dyDescent="0.4">
      <c r="A713" s="92" t="s">
        <v>3554</v>
      </c>
      <c r="B713" s="92" t="s">
        <v>3554</v>
      </c>
      <c r="C713" s="6" t="s">
        <v>127</v>
      </c>
      <c r="D713" s="6" t="s">
        <v>3272</v>
      </c>
      <c r="E713" s="192">
        <v>44849</v>
      </c>
      <c r="F713" s="6">
        <f t="shared" si="179"/>
        <v>2022</v>
      </c>
      <c r="G713" s="6" t="s">
        <v>3555</v>
      </c>
      <c r="H713" s="22" t="str">
        <f>VLOOKUP($G713,'Item Classification'!B:C,2,0)</f>
        <v>Main Battle Tank (MBT)</v>
      </c>
      <c r="I713" s="6" t="str">
        <f>VLOOKUP($G713,'Item Classification'!B:D,3,0)</f>
        <v>Tank</v>
      </c>
      <c r="J713" s="23">
        <f>VLOOKUP($G713,'Item Classification'!B:E,4,0)</f>
        <v>1</v>
      </c>
      <c r="K713" s="195" t="s">
        <v>274</v>
      </c>
      <c r="L713" s="195" t="s">
        <v>329</v>
      </c>
      <c r="M713" s="116" t="str">
        <f>VLOOKUP(L713,'NATO Classifications'!$D$6:$E$647,2,0)</f>
        <v>Combat, Assault, and Tactical Vehicles, Tracked</v>
      </c>
      <c r="N713" s="25">
        <v>180</v>
      </c>
      <c r="O713" s="81">
        <f>S713/N713</f>
        <v>18888888.888888888</v>
      </c>
      <c r="P713" s="81">
        <f>U713/N713</f>
        <v>17938166.086314235</v>
      </c>
      <c r="Q713" s="25">
        <v>2022</v>
      </c>
      <c r="R713" s="25">
        <v>2025</v>
      </c>
      <c r="S713" s="103">
        <v>3400000000</v>
      </c>
      <c r="T713" s="91" t="s">
        <v>3284</v>
      </c>
      <c r="U713" s="104">
        <f>_xlfn.IFNA(S713/INDEX('Exchange Rates'!$C$7:$F$14,MATCH('MAIN DATA, Orders'!F713,'Exchange Rates'!$B$7:$B$14,0),MATCH('MAIN DATA, Orders'!T713,'Exchange Rates'!$C$6:$F$6,0)), "-")</f>
        <v>3228869895.5365624</v>
      </c>
      <c r="V713" s="6" t="s">
        <v>127</v>
      </c>
      <c r="W713" s="6" t="s">
        <v>127</v>
      </c>
      <c r="X713" s="6" t="s">
        <v>3272</v>
      </c>
      <c r="Y713" s="24">
        <f t="shared" si="166"/>
        <v>202210</v>
      </c>
      <c r="Z713" s="24">
        <v>1</v>
      </c>
      <c r="AA713" s="24">
        <v>0</v>
      </c>
      <c r="AB713" s="24">
        <v>0</v>
      </c>
      <c r="AC713" s="24">
        <v>0</v>
      </c>
      <c r="AD713" s="24">
        <v>0</v>
      </c>
      <c r="AE713" s="24">
        <v>0</v>
      </c>
      <c r="AF713" s="24">
        <v>0</v>
      </c>
      <c r="AG713" s="102" t="s">
        <v>3556</v>
      </c>
      <c r="AH713" s="102" t="s">
        <v>3517</v>
      </c>
      <c r="AI713" s="92" t="s">
        <v>3517</v>
      </c>
      <c r="AJ713" s="92" t="s">
        <v>127</v>
      </c>
      <c r="AK713" s="92" t="s">
        <v>127</v>
      </c>
      <c r="AL713" s="92" t="s">
        <v>127</v>
      </c>
      <c r="AM713" s="92" t="s">
        <v>127</v>
      </c>
      <c r="AN713" s="92" t="s">
        <v>127</v>
      </c>
      <c r="AO713" s="92" t="s">
        <v>127</v>
      </c>
      <c r="AP713" s="92" t="s">
        <v>127</v>
      </c>
      <c r="AQ713" s="92" t="s">
        <v>127</v>
      </c>
      <c r="AR713" s="92" t="s">
        <v>127</v>
      </c>
      <c r="AS713" s="92" t="s">
        <v>127</v>
      </c>
      <c r="AT713" s="92" t="s">
        <v>127</v>
      </c>
      <c r="AU713" s="92" t="s">
        <v>127</v>
      </c>
      <c r="AV713" s="92" t="s">
        <v>127</v>
      </c>
      <c r="AW713" s="92" t="s">
        <v>127</v>
      </c>
      <c r="AX713" s="92" t="s">
        <v>127</v>
      </c>
      <c r="AY713" s="99" t="s">
        <v>3557</v>
      </c>
      <c r="AZ713" s="99" t="s">
        <v>3558</v>
      </c>
      <c r="BA713" s="99" t="s">
        <v>3559</v>
      </c>
      <c r="BB713" s="6" t="s">
        <v>3560</v>
      </c>
      <c r="BC713" s="6" t="s">
        <v>3561</v>
      </c>
      <c r="BD713" s="6" t="s">
        <v>3562</v>
      </c>
      <c r="BE713" s="6" t="s">
        <v>127</v>
      </c>
    </row>
    <row r="714" spans="1:57" ht="16" x14ac:dyDescent="0.4">
      <c r="A714" s="92" t="s">
        <v>3563</v>
      </c>
      <c r="B714" s="92" t="s">
        <v>3563</v>
      </c>
      <c r="C714" s="6" t="s">
        <v>127</v>
      </c>
      <c r="D714" s="6" t="s">
        <v>3272</v>
      </c>
      <c r="E714" s="192">
        <v>44853</v>
      </c>
      <c r="F714" s="6">
        <f t="shared" si="179"/>
        <v>2022</v>
      </c>
      <c r="G714" s="6" t="s">
        <v>3564</v>
      </c>
      <c r="H714" s="22" t="str">
        <f>VLOOKUP($G714,'Item Classification'!B:C,2,0)</f>
        <v>Multiple rocket launcher system</v>
      </c>
      <c r="I714" s="6" t="str">
        <f>VLOOKUP($G714,'Item Classification'!B:D,3,0)</f>
        <v>Artillery</v>
      </c>
      <c r="J714" s="23">
        <f>VLOOKUP($G714,'Item Classification'!B:E,4,0)</f>
        <v>3</v>
      </c>
      <c r="K714" s="195" t="s">
        <v>763</v>
      </c>
      <c r="L714" s="195" t="s">
        <v>1580</v>
      </c>
      <c r="M714" s="116" t="str">
        <f>VLOOKUP(L714,'NATO Classifications'!$D$6:$E$647,2,0)</f>
        <v>Launchers, Rocket and Pyrotechnic</v>
      </c>
      <c r="N714" s="25">
        <v>218</v>
      </c>
      <c r="O714" s="81">
        <f>S714/N714</f>
        <v>16284403.66972477</v>
      </c>
      <c r="P714" s="81">
        <f>U714/N714</f>
        <v>15464770.816452775</v>
      </c>
      <c r="Q714" s="25"/>
      <c r="R714" s="25"/>
      <c r="S714" s="103">
        <v>3550000000</v>
      </c>
      <c r="T714" s="91" t="s">
        <v>3284</v>
      </c>
      <c r="U714" s="104">
        <f>_xlfn.IFNA(S714/INDEX('Exchange Rates'!$C$7:$F$14,MATCH('MAIN DATA, Orders'!F714,'Exchange Rates'!$B$7:$B$14,0),MATCH('MAIN DATA, Orders'!T714,'Exchange Rates'!$C$6:$F$6,0)), "-")</f>
        <v>3371320037.9867048</v>
      </c>
      <c r="V714" s="6" t="s">
        <v>127</v>
      </c>
      <c r="W714" s="6" t="s">
        <v>127</v>
      </c>
      <c r="X714" s="6" t="s">
        <v>3272</v>
      </c>
      <c r="Y714" s="24">
        <f t="shared" si="166"/>
        <v>202210</v>
      </c>
      <c r="Z714" s="24">
        <v>1</v>
      </c>
      <c r="AA714" s="24">
        <v>0</v>
      </c>
      <c r="AB714" s="24">
        <v>0</v>
      </c>
      <c r="AC714" s="24">
        <v>0</v>
      </c>
      <c r="AD714" s="24">
        <v>0</v>
      </c>
      <c r="AE714" s="24">
        <v>0</v>
      </c>
      <c r="AF714" s="24">
        <v>0</v>
      </c>
      <c r="AG714" s="102" t="s">
        <v>3516</v>
      </c>
      <c r="AH714" s="102" t="s">
        <v>3517</v>
      </c>
      <c r="AI714" s="92" t="s">
        <v>3517</v>
      </c>
      <c r="AJ714" s="6" t="s">
        <v>127</v>
      </c>
      <c r="AK714" s="6" t="s">
        <v>127</v>
      </c>
      <c r="AL714" s="6" t="s">
        <v>127</v>
      </c>
      <c r="AM714" s="6" t="s">
        <v>127</v>
      </c>
      <c r="AN714" s="6" t="s">
        <v>127</v>
      </c>
      <c r="AO714" s="6" t="s">
        <v>127</v>
      </c>
      <c r="AP714" s="6" t="s">
        <v>127</v>
      </c>
      <c r="AQ714" s="6" t="s">
        <v>127</v>
      </c>
      <c r="AR714" s="6" t="s">
        <v>127</v>
      </c>
      <c r="AS714" s="6" t="s">
        <v>127</v>
      </c>
      <c r="AT714" s="6" t="s">
        <v>127</v>
      </c>
      <c r="AU714" s="6" t="s">
        <v>127</v>
      </c>
      <c r="AV714" s="6" t="s">
        <v>127</v>
      </c>
      <c r="AW714" s="6" t="s">
        <v>127</v>
      </c>
      <c r="AX714" s="6" t="s">
        <v>127</v>
      </c>
      <c r="AY714" s="99" t="s">
        <v>3565</v>
      </c>
      <c r="AZ714" s="99" t="s">
        <v>3566</v>
      </c>
      <c r="BA714" s="96" t="s">
        <v>3567</v>
      </c>
      <c r="BB714" s="6" t="s">
        <v>3568</v>
      </c>
      <c r="BC714" s="6" t="s">
        <v>127</v>
      </c>
      <c r="BD714" s="6" t="s">
        <v>127</v>
      </c>
      <c r="BE714" s="6" t="s">
        <v>127</v>
      </c>
    </row>
    <row r="715" spans="1:57" ht="16" x14ac:dyDescent="0.4">
      <c r="A715" s="92" t="s">
        <v>3569</v>
      </c>
      <c r="B715" s="92" t="s">
        <v>3569</v>
      </c>
      <c r="C715" s="6" t="s">
        <v>127</v>
      </c>
      <c r="D715" s="6" t="s">
        <v>3272</v>
      </c>
      <c r="E715" s="192">
        <v>44922</v>
      </c>
      <c r="F715" s="6">
        <f t="shared" si="179"/>
        <v>2022</v>
      </c>
      <c r="G715" s="6" t="s">
        <v>3570</v>
      </c>
      <c r="H715" s="22" t="str">
        <f>VLOOKUP($G715,'Item Classification'!B:C,2,0)</f>
        <v>ISR Satellite</v>
      </c>
      <c r="I715" s="6" t="str">
        <f>VLOOKUP($G715,'Item Classification'!B:D,3,0)</f>
        <v>Modernisation</v>
      </c>
      <c r="J715" s="23">
        <f>VLOOKUP($G715,'Item Classification'!B:E,4,0)</f>
        <v>13</v>
      </c>
      <c r="K715" s="195" t="s">
        <v>2028</v>
      </c>
      <c r="L715" s="195" t="s">
        <v>2028</v>
      </c>
      <c r="M715" s="116" t="str">
        <f>VLOOKUP(L715,'NATO Classifications'!$D$6:$E$647,2,0)</f>
        <v>Space Vehicles</v>
      </c>
      <c r="N715" s="25">
        <v>2</v>
      </c>
      <c r="O715" s="81"/>
      <c r="P715" s="81"/>
      <c r="Q715" s="25"/>
      <c r="R715" s="25">
        <v>2027</v>
      </c>
      <c r="S715" s="103"/>
      <c r="T715" s="91" t="s">
        <v>3274</v>
      </c>
      <c r="U715" s="104">
        <f>_xlfn.IFNA(S715/INDEX('Exchange Rates'!$C$7:$F$14,MATCH('MAIN DATA, Orders'!F715,'Exchange Rates'!$B$7:$B$14,0),MATCH('MAIN DATA, Orders'!T715,'Exchange Rates'!$C$6:$F$6,0)), "-")</f>
        <v>0</v>
      </c>
      <c r="V715" s="6" t="s">
        <v>127</v>
      </c>
      <c r="W715" s="6" t="s">
        <v>127</v>
      </c>
      <c r="X715" s="6" t="s">
        <v>3272</v>
      </c>
      <c r="Y715" s="24">
        <f t="shared" si="166"/>
        <v>202212</v>
      </c>
      <c r="Z715" s="24">
        <v>0</v>
      </c>
      <c r="AA715" s="24">
        <v>0</v>
      </c>
      <c r="AB715" s="24">
        <v>0</v>
      </c>
      <c r="AC715" s="24">
        <v>1</v>
      </c>
      <c r="AD715" s="24">
        <v>1</v>
      </c>
      <c r="AE715" s="24">
        <v>0</v>
      </c>
      <c r="AF715" s="24">
        <v>0</v>
      </c>
      <c r="AG715" s="102" t="s">
        <v>160</v>
      </c>
      <c r="AH715" s="102" t="s">
        <v>151</v>
      </c>
      <c r="AI715" s="92" t="s">
        <v>127</v>
      </c>
      <c r="AJ715" s="6" t="s">
        <v>127</v>
      </c>
      <c r="AK715" s="6" t="s">
        <v>127</v>
      </c>
      <c r="AL715" s="6" t="s">
        <v>127</v>
      </c>
      <c r="AM715" s="6" t="s">
        <v>127</v>
      </c>
      <c r="AN715" s="6" t="s">
        <v>3272</v>
      </c>
      <c r="AO715" s="6" t="s">
        <v>127</v>
      </c>
      <c r="AP715" s="6" t="s">
        <v>127</v>
      </c>
      <c r="AQ715" s="6" t="s">
        <v>127</v>
      </c>
      <c r="AR715" s="6" t="s">
        <v>127</v>
      </c>
      <c r="AS715" s="6" t="s">
        <v>127</v>
      </c>
      <c r="AT715" s="6" t="s">
        <v>127</v>
      </c>
      <c r="AU715" s="6" t="s">
        <v>127</v>
      </c>
      <c r="AV715" s="6" t="s">
        <v>127</v>
      </c>
      <c r="AW715" s="6" t="s">
        <v>127</v>
      </c>
      <c r="AX715" s="6" t="s">
        <v>127</v>
      </c>
      <c r="AY715" s="99" t="s">
        <v>3571</v>
      </c>
      <c r="AZ715" s="6" t="s">
        <v>127</v>
      </c>
      <c r="BA715" s="6" t="s">
        <v>127</v>
      </c>
      <c r="BB715" s="6" t="s">
        <v>3572</v>
      </c>
      <c r="BC715" s="6" t="s">
        <v>3573</v>
      </c>
      <c r="BD715" s="6" t="s">
        <v>127</v>
      </c>
      <c r="BE715" s="6" t="s">
        <v>127</v>
      </c>
    </row>
    <row r="716" spans="1:57" ht="16" x14ac:dyDescent="0.4">
      <c r="A716" s="92" t="s">
        <v>3574</v>
      </c>
      <c r="B716" s="92" t="s">
        <v>3574</v>
      </c>
      <c r="C716" s="6" t="s">
        <v>127</v>
      </c>
      <c r="D716" s="6" t="s">
        <v>3272</v>
      </c>
      <c r="E716" s="192">
        <v>44928</v>
      </c>
      <c r="F716" s="6">
        <f t="shared" si="179"/>
        <v>2023</v>
      </c>
      <c r="G716" s="6" t="s">
        <v>3371</v>
      </c>
      <c r="H716" s="22" t="str">
        <f>VLOOKUP($G716,'Item Classification'!B:C,2,0)</f>
        <v>Small Arms and Light Weapons (SALW)</v>
      </c>
      <c r="I716" s="6" t="str">
        <f>VLOOKUP($G716,'Item Classification'!B:D,3,0)</f>
        <v>Infantry</v>
      </c>
      <c r="J716" s="23">
        <f>VLOOKUP($G716,'Item Classification'!B:E,4,0)</f>
        <v>8</v>
      </c>
      <c r="K716" s="195" t="s">
        <v>763</v>
      </c>
      <c r="L716" s="195" t="s">
        <v>764</v>
      </c>
      <c r="M716" s="116" t="str">
        <f>VLOOKUP(L716,'NATO Classifications'!$D$6:$E$647,2,0)</f>
        <v>Guns below 75mm</v>
      </c>
      <c r="N716" s="25">
        <v>70000</v>
      </c>
      <c r="O716" s="81"/>
      <c r="P716" s="81"/>
      <c r="Q716" s="25"/>
      <c r="R716" s="25"/>
      <c r="S716" s="103"/>
      <c r="T716" s="91" t="s">
        <v>3274</v>
      </c>
      <c r="U716" s="104">
        <f>_xlfn.IFNA(S716/INDEX('Exchange Rates'!$C$7:$F$14,MATCH('MAIN DATA, Orders'!F716,'Exchange Rates'!$B$7:$B$14,0),MATCH('MAIN DATA, Orders'!T716,'Exchange Rates'!$C$6:$F$6,0)), "-")</f>
        <v>0</v>
      </c>
      <c r="V716" s="6" t="s">
        <v>127</v>
      </c>
      <c r="W716" s="6" t="s">
        <v>127</v>
      </c>
      <c r="X716" s="6" t="s">
        <v>3272</v>
      </c>
      <c r="Y716" s="24">
        <f t="shared" si="166"/>
        <v>202301</v>
      </c>
      <c r="Z716" s="24">
        <v>1</v>
      </c>
      <c r="AA716" s="24">
        <v>0</v>
      </c>
      <c r="AB716" s="24">
        <v>0</v>
      </c>
      <c r="AC716" s="24">
        <v>1</v>
      </c>
      <c r="AD716" s="24">
        <v>0</v>
      </c>
      <c r="AE716" s="24">
        <v>0</v>
      </c>
      <c r="AF716" s="24">
        <v>0</v>
      </c>
      <c r="AG716" s="102" t="s">
        <v>3575</v>
      </c>
      <c r="AH716" s="102" t="s">
        <v>3272</v>
      </c>
      <c r="AI716" s="92" t="s">
        <v>3272</v>
      </c>
      <c r="AJ716" s="6" t="s">
        <v>127</v>
      </c>
      <c r="AK716" s="6" t="s">
        <v>127</v>
      </c>
      <c r="AL716" s="6" t="s">
        <v>127</v>
      </c>
      <c r="AM716" s="6" t="s">
        <v>127</v>
      </c>
      <c r="AN716" s="6" t="s">
        <v>127</v>
      </c>
      <c r="AO716" s="6" t="s">
        <v>127</v>
      </c>
      <c r="AP716" s="6" t="s">
        <v>127</v>
      </c>
      <c r="AQ716" s="6" t="s">
        <v>127</v>
      </c>
      <c r="AR716" s="6" t="s">
        <v>127</v>
      </c>
      <c r="AS716" s="6" t="s">
        <v>127</v>
      </c>
      <c r="AT716" s="6" t="s">
        <v>127</v>
      </c>
      <c r="AU716" s="6" t="s">
        <v>127</v>
      </c>
      <c r="AV716" s="6" t="s">
        <v>127</v>
      </c>
      <c r="AW716" s="6" t="s">
        <v>127</v>
      </c>
      <c r="AX716" s="6" t="s">
        <v>127</v>
      </c>
      <c r="AY716" s="99" t="s">
        <v>3576</v>
      </c>
      <c r="AZ716" s="6" t="s">
        <v>127</v>
      </c>
      <c r="BA716" s="6" t="s">
        <v>127</v>
      </c>
      <c r="BB716" s="6" t="s">
        <v>3577</v>
      </c>
      <c r="BC716" s="6" t="s">
        <v>127</v>
      </c>
      <c r="BD716" s="6" t="s">
        <v>127</v>
      </c>
      <c r="BE716" s="6" t="s">
        <v>127</v>
      </c>
    </row>
    <row r="717" spans="1:57" ht="16" x14ac:dyDescent="0.4">
      <c r="A717" s="92" t="s">
        <v>3578</v>
      </c>
      <c r="B717" s="92" t="s">
        <v>3578</v>
      </c>
      <c r="C717" s="6" t="s">
        <v>127</v>
      </c>
      <c r="D717" s="6" t="s">
        <v>3272</v>
      </c>
      <c r="E717" s="192">
        <v>44930</v>
      </c>
      <c r="F717" s="6">
        <f t="shared" ref="F717:F772" si="180">YEAR(E717)</f>
        <v>2023</v>
      </c>
      <c r="G717" s="6" t="s">
        <v>3579</v>
      </c>
      <c r="H717" s="22" t="str">
        <f>VLOOKUP($G717,'Item Classification'!B:C,2,0)</f>
        <v>Main Battle Tank (MBT)</v>
      </c>
      <c r="I717" s="6" t="str">
        <f>VLOOKUP($G717,'Item Classification'!B:D,3,0)</f>
        <v>Tank</v>
      </c>
      <c r="J717" s="23">
        <f>VLOOKUP($G717,'Item Classification'!B:E,4,0)</f>
        <v>1</v>
      </c>
      <c r="K717" s="195" t="s">
        <v>274</v>
      </c>
      <c r="L717" s="195" t="s">
        <v>329</v>
      </c>
      <c r="M717" s="116" t="str">
        <f>VLOOKUP(L717,'NATO Classifications'!$D$6:$E$647,2,0)</f>
        <v>Combat, Assault, and Tactical Vehicles, Tracked</v>
      </c>
      <c r="N717" s="25">
        <v>116</v>
      </c>
      <c r="O717" s="81">
        <f t="shared" ref="O717:O723" si="181">S717/N717</f>
        <v>12068965.517241379</v>
      </c>
      <c r="P717" s="81">
        <f t="shared" ref="P717:P723" si="182">U717/N717</f>
        <v>11161532.893037437</v>
      </c>
      <c r="Q717" s="25">
        <v>2023</v>
      </c>
      <c r="R717" s="25">
        <v>2024</v>
      </c>
      <c r="S717" s="103">
        <v>1400000000</v>
      </c>
      <c r="T717" s="91" t="s">
        <v>3284</v>
      </c>
      <c r="U717" s="104">
        <f>_xlfn.IFNA(S717/INDEX('Exchange Rates'!$C$7:$F$14,MATCH('MAIN DATA, Orders'!F717,'Exchange Rates'!$B$7:$B$14,0),MATCH('MAIN DATA, Orders'!T717,'Exchange Rates'!$C$6:$F$6,0)), "-")</f>
        <v>1294737815.5923426</v>
      </c>
      <c r="V717" s="6" t="s">
        <v>127</v>
      </c>
      <c r="W717" s="6" t="s">
        <v>127</v>
      </c>
      <c r="X717" s="6" t="s">
        <v>3272</v>
      </c>
      <c r="Y717" s="24">
        <f t="shared" si="166"/>
        <v>202301</v>
      </c>
      <c r="Z717" s="24">
        <v>0</v>
      </c>
      <c r="AA717" s="24">
        <v>0</v>
      </c>
      <c r="AB717" s="24">
        <v>0</v>
      </c>
      <c r="AC717" s="24">
        <v>0</v>
      </c>
      <c r="AD717" s="24">
        <v>0</v>
      </c>
      <c r="AE717" s="24">
        <v>0</v>
      </c>
      <c r="AF717" s="24">
        <v>0</v>
      </c>
      <c r="AG717" s="102" t="s">
        <v>3447</v>
      </c>
      <c r="AH717" s="102" t="s">
        <v>196</v>
      </c>
      <c r="AI717" s="92" t="s">
        <v>196</v>
      </c>
      <c r="AJ717" s="6" t="s">
        <v>127</v>
      </c>
      <c r="AK717" s="6" t="s">
        <v>127</v>
      </c>
      <c r="AL717" s="6" t="s">
        <v>127</v>
      </c>
      <c r="AM717" s="6" t="s">
        <v>127</v>
      </c>
      <c r="AN717" s="6" t="s">
        <v>127</v>
      </c>
      <c r="AO717" s="6" t="s">
        <v>127</v>
      </c>
      <c r="AP717" s="6" t="s">
        <v>127</v>
      </c>
      <c r="AQ717" s="6" t="s">
        <v>127</v>
      </c>
      <c r="AR717" s="6" t="s">
        <v>127</v>
      </c>
      <c r="AS717" s="6" t="s">
        <v>127</v>
      </c>
      <c r="AT717" s="6" t="s">
        <v>127</v>
      </c>
      <c r="AU717" s="6" t="s">
        <v>127</v>
      </c>
      <c r="AV717" s="6" t="s">
        <v>127</v>
      </c>
      <c r="AW717" s="6" t="s">
        <v>127</v>
      </c>
      <c r="AX717" s="6" t="s">
        <v>127</v>
      </c>
      <c r="AY717" s="99" t="s">
        <v>3580</v>
      </c>
      <c r="AZ717" s="6" t="s">
        <v>127</v>
      </c>
      <c r="BA717" s="6" t="s">
        <v>127</v>
      </c>
      <c r="BB717" s="6" t="s">
        <v>3581</v>
      </c>
      <c r="BC717" s="6" t="s">
        <v>3582</v>
      </c>
      <c r="BD717" s="6" t="s">
        <v>3583</v>
      </c>
      <c r="BE717" s="6" t="s">
        <v>127</v>
      </c>
    </row>
    <row r="718" spans="1:57" ht="16" x14ac:dyDescent="0.4">
      <c r="A718" s="92" t="s">
        <v>3584</v>
      </c>
      <c r="B718" s="92" t="s">
        <v>3584</v>
      </c>
      <c r="C718" s="6" t="s">
        <v>127</v>
      </c>
      <c r="D718" s="6" t="s">
        <v>3272</v>
      </c>
      <c r="E718" s="192">
        <v>44981</v>
      </c>
      <c r="F718" s="6">
        <f t="shared" si="180"/>
        <v>2023</v>
      </c>
      <c r="G718" s="6" t="s">
        <v>3371</v>
      </c>
      <c r="H718" s="22" t="str">
        <f>VLOOKUP($G718,'Item Classification'!B:C,2,0)</f>
        <v>Small Arms and Light Weapons (SALW)</v>
      </c>
      <c r="I718" s="6" t="str">
        <f>VLOOKUP($G718,'Item Classification'!B:D,3,0)</f>
        <v>Infantry</v>
      </c>
      <c r="J718" s="23">
        <f>VLOOKUP($G718,'Item Classification'!B:E,4,0)</f>
        <v>8</v>
      </c>
      <c r="K718" s="195" t="s">
        <v>763</v>
      </c>
      <c r="L718" s="195" t="s">
        <v>764</v>
      </c>
      <c r="M718" s="116" t="str">
        <f>VLOOKUP(L718,'NATO Classifications'!$D$6:$E$647,2,0)</f>
        <v>Guns below 75mm</v>
      </c>
      <c r="N718" s="25">
        <v>184000</v>
      </c>
      <c r="O718" s="81">
        <f t="shared" si="181"/>
        <v>11413.04347826087</v>
      </c>
      <c r="P718" s="81">
        <f t="shared" si="182"/>
        <v>2512.7792774682675</v>
      </c>
      <c r="Q718" s="25"/>
      <c r="R718" s="25">
        <v>2026</v>
      </c>
      <c r="S718" s="103">
        <v>2100000000</v>
      </c>
      <c r="T718" s="91" t="s">
        <v>3274</v>
      </c>
      <c r="U718" s="104">
        <f>_xlfn.IFNA(S718/INDEX('Exchange Rates'!$C$7:$F$14,MATCH('MAIN DATA, Orders'!F718,'Exchange Rates'!$B$7:$B$14,0),MATCH('MAIN DATA, Orders'!T718,'Exchange Rates'!$C$6:$F$6,0)), "-")</f>
        <v>462351387.05416119</v>
      </c>
      <c r="V718" s="6" t="s">
        <v>127</v>
      </c>
      <c r="W718" s="6" t="s">
        <v>127</v>
      </c>
      <c r="X718" s="6" t="s">
        <v>3272</v>
      </c>
      <c r="Y718" s="24">
        <f t="shared" si="166"/>
        <v>202302</v>
      </c>
      <c r="Z718" s="24">
        <v>1</v>
      </c>
      <c r="AA718" s="24">
        <v>0</v>
      </c>
      <c r="AB718" s="24">
        <v>0</v>
      </c>
      <c r="AC718" s="24">
        <v>1</v>
      </c>
      <c r="AD718" s="24">
        <v>0</v>
      </c>
      <c r="AE718" s="24">
        <v>0</v>
      </c>
      <c r="AF718" s="24">
        <v>0</v>
      </c>
      <c r="AG718" s="102" t="s">
        <v>3575</v>
      </c>
      <c r="AH718" s="102" t="s">
        <v>3272</v>
      </c>
      <c r="AI718" s="92" t="s">
        <v>3272</v>
      </c>
      <c r="AJ718" s="6" t="s">
        <v>127</v>
      </c>
      <c r="AK718" s="6" t="s">
        <v>127</v>
      </c>
      <c r="AL718" s="6" t="s">
        <v>127</v>
      </c>
      <c r="AM718" s="6" t="s">
        <v>127</v>
      </c>
      <c r="AN718" s="6" t="s">
        <v>127</v>
      </c>
      <c r="AO718" s="6" t="s">
        <v>127</v>
      </c>
      <c r="AP718" s="6" t="s">
        <v>127</v>
      </c>
      <c r="AQ718" s="6" t="s">
        <v>127</v>
      </c>
      <c r="AR718" s="6" t="s">
        <v>127</v>
      </c>
      <c r="AS718" s="6" t="s">
        <v>127</v>
      </c>
      <c r="AT718" s="6" t="s">
        <v>127</v>
      </c>
      <c r="AU718" s="6" t="s">
        <v>127</v>
      </c>
      <c r="AV718" s="6" t="s">
        <v>127</v>
      </c>
      <c r="AW718" s="6" t="s">
        <v>127</v>
      </c>
      <c r="AX718" s="6" t="s">
        <v>127</v>
      </c>
      <c r="AY718" s="99" t="s">
        <v>3585</v>
      </c>
      <c r="AZ718" s="6" t="s">
        <v>127</v>
      </c>
      <c r="BA718" s="6" t="s">
        <v>127</v>
      </c>
      <c r="BB718" s="6" t="s">
        <v>3586</v>
      </c>
      <c r="BC718" s="6" t="s">
        <v>127</v>
      </c>
      <c r="BD718" s="6" t="s">
        <v>127</v>
      </c>
      <c r="BE718" s="6" t="s">
        <v>127</v>
      </c>
    </row>
    <row r="719" spans="1:57" ht="16" x14ac:dyDescent="0.4">
      <c r="A719" s="92" t="s">
        <v>3587</v>
      </c>
      <c r="B719" s="92" t="s">
        <v>3587</v>
      </c>
      <c r="C719" s="6" t="s">
        <v>127</v>
      </c>
      <c r="D719" s="6" t="s">
        <v>3272</v>
      </c>
      <c r="E719" s="192">
        <v>44981</v>
      </c>
      <c r="F719" s="6">
        <f t="shared" si="180"/>
        <v>2023</v>
      </c>
      <c r="G719" s="4" t="s">
        <v>3588</v>
      </c>
      <c r="H719" s="22" t="str">
        <f>VLOOKUP($G719,'Item Classification'!B:C,2,0)</f>
        <v>Small Arms and Light Weapons (SALW)</v>
      </c>
      <c r="I719" s="6" t="str">
        <f>VLOOKUP($G719,'Item Classification'!B:D,3,0)</f>
        <v>Infantry</v>
      </c>
      <c r="J719" s="23">
        <f>VLOOKUP($G719,'Item Classification'!B:E,4,0)</f>
        <v>8</v>
      </c>
      <c r="K719" s="195" t="s">
        <v>763</v>
      </c>
      <c r="L719" s="195" t="s">
        <v>764</v>
      </c>
      <c r="M719" s="116" t="str">
        <f>VLOOKUP(L719,'NATO Classifications'!$D$6:$E$647,2,0)</f>
        <v>Guns below 75mm</v>
      </c>
      <c r="N719" s="25">
        <v>250</v>
      </c>
      <c r="O719" s="81">
        <f t="shared" si="181"/>
        <v>44000</v>
      </c>
      <c r="P719" s="81">
        <f t="shared" si="182"/>
        <v>9687.3623954205195</v>
      </c>
      <c r="Q719" s="25">
        <v>2024</v>
      </c>
      <c r="R719" s="25">
        <v>2024</v>
      </c>
      <c r="S719" s="103">
        <v>11000000</v>
      </c>
      <c r="T719" s="91" t="s">
        <v>3274</v>
      </c>
      <c r="U719" s="104">
        <f>_xlfn.IFNA(S719/INDEX('Exchange Rates'!$C$7:$F$14,MATCH('MAIN DATA, Orders'!F719,'Exchange Rates'!$B$7:$B$14,0),MATCH('MAIN DATA, Orders'!T719,'Exchange Rates'!$C$6:$F$6,0)), "-")</f>
        <v>2421840.5988551299</v>
      </c>
      <c r="V719" s="6" t="s">
        <v>127</v>
      </c>
      <c r="W719" s="6" t="s">
        <v>127</v>
      </c>
      <c r="X719" s="6" t="s">
        <v>3272</v>
      </c>
      <c r="Y719" s="24">
        <f t="shared" si="166"/>
        <v>202302</v>
      </c>
      <c r="Z719" s="24">
        <v>0</v>
      </c>
      <c r="AA719" s="24">
        <v>0</v>
      </c>
      <c r="AB719" s="24">
        <v>0</v>
      </c>
      <c r="AC719" s="24">
        <v>1</v>
      </c>
      <c r="AD719" s="24">
        <v>0</v>
      </c>
      <c r="AE719" s="24">
        <v>0</v>
      </c>
      <c r="AF719" s="24">
        <v>0</v>
      </c>
      <c r="AG719" s="102" t="s">
        <v>3575</v>
      </c>
      <c r="AH719" s="102" t="s">
        <v>3272</v>
      </c>
      <c r="AI719" s="92" t="s">
        <v>3272</v>
      </c>
      <c r="AJ719" s="6" t="s">
        <v>127</v>
      </c>
      <c r="AK719" s="6" t="s">
        <v>127</v>
      </c>
      <c r="AL719" s="6" t="s">
        <v>127</v>
      </c>
      <c r="AM719" s="6" t="s">
        <v>127</v>
      </c>
      <c r="AN719" s="6" t="s">
        <v>127</v>
      </c>
      <c r="AO719" s="6" t="s">
        <v>127</v>
      </c>
      <c r="AP719" s="6" t="s">
        <v>127</v>
      </c>
      <c r="AQ719" s="6" t="s">
        <v>127</v>
      </c>
      <c r="AR719" s="6" t="s">
        <v>127</v>
      </c>
      <c r="AS719" s="6" t="s">
        <v>127</v>
      </c>
      <c r="AT719" s="6" t="s">
        <v>127</v>
      </c>
      <c r="AU719" s="6" t="s">
        <v>127</v>
      </c>
      <c r="AV719" s="6" t="s">
        <v>127</v>
      </c>
      <c r="AW719" s="6" t="s">
        <v>127</v>
      </c>
      <c r="AX719" s="6" t="s">
        <v>127</v>
      </c>
      <c r="AY719" s="99" t="s">
        <v>3585</v>
      </c>
      <c r="AZ719" s="6" t="s">
        <v>127</v>
      </c>
      <c r="BA719" s="6" t="s">
        <v>127</v>
      </c>
      <c r="BB719" s="6" t="s">
        <v>3589</v>
      </c>
      <c r="BC719" s="6" t="s">
        <v>127</v>
      </c>
      <c r="BD719" s="6" t="s">
        <v>127</v>
      </c>
      <c r="BE719" s="6" t="s">
        <v>127</v>
      </c>
    </row>
    <row r="720" spans="1:57" ht="16" x14ac:dyDescent="0.4">
      <c r="A720" s="92" t="s">
        <v>3590</v>
      </c>
      <c r="B720" s="92" t="s">
        <v>3590</v>
      </c>
      <c r="C720" s="6" t="s">
        <v>127</v>
      </c>
      <c r="D720" s="6" t="s">
        <v>3272</v>
      </c>
      <c r="E720" s="192">
        <v>45014</v>
      </c>
      <c r="F720" s="6">
        <f t="shared" si="180"/>
        <v>2023</v>
      </c>
      <c r="G720" s="6" t="s">
        <v>3591</v>
      </c>
      <c r="H720" s="22" t="str">
        <f>VLOOKUP($G720,'Item Classification'!B:C,2,0)</f>
        <v>Radar for air defence system</v>
      </c>
      <c r="I720" s="6" t="str">
        <f>VLOOKUP($G720,'Item Classification'!B:D,3,0)</f>
        <v>Air defence system</v>
      </c>
      <c r="J720" s="23">
        <f>VLOOKUP($G720,'Item Classification'!B:E,4,0)</f>
        <v>5</v>
      </c>
      <c r="K720" s="195" t="s">
        <v>158</v>
      </c>
      <c r="L720" s="195" t="s">
        <v>399</v>
      </c>
      <c r="M720" s="116" t="str">
        <f>VLOOKUP(L720,'NATO Classifications'!$D$6:$E$647,2,0)</f>
        <v>Radar and Sensor</v>
      </c>
      <c r="N720" s="25">
        <v>22</v>
      </c>
      <c r="O720" s="81">
        <f t="shared" si="181"/>
        <v>50000000</v>
      </c>
      <c r="P720" s="81">
        <f t="shared" si="182"/>
        <v>11008366.35843241</v>
      </c>
      <c r="Q720" s="25"/>
      <c r="R720" s="25"/>
      <c r="S720" s="103">
        <v>1100000000</v>
      </c>
      <c r="T720" s="91" t="s">
        <v>3274</v>
      </c>
      <c r="U720" s="104">
        <f>_xlfn.IFNA(S720/INDEX('Exchange Rates'!$C$7:$F$14,MATCH('MAIN DATA, Orders'!F720,'Exchange Rates'!$B$7:$B$14,0),MATCH('MAIN DATA, Orders'!T720,'Exchange Rates'!$C$6:$F$6,0)), "-")</f>
        <v>242184059.88551301</v>
      </c>
      <c r="V720" s="6" t="s">
        <v>127</v>
      </c>
      <c r="W720" s="6" t="s">
        <v>127</v>
      </c>
      <c r="X720" s="6" t="s">
        <v>3272</v>
      </c>
      <c r="Y720" s="24">
        <f t="shared" si="166"/>
        <v>202303</v>
      </c>
      <c r="Z720" s="24">
        <v>1</v>
      </c>
      <c r="AA720" s="24">
        <v>0</v>
      </c>
      <c r="AB720" s="24">
        <v>0</v>
      </c>
      <c r="AC720" s="24">
        <v>1</v>
      </c>
      <c r="AD720" s="24">
        <v>0</v>
      </c>
      <c r="AE720" s="24">
        <v>0</v>
      </c>
      <c r="AF720" s="24">
        <v>0</v>
      </c>
      <c r="AG720" s="102" t="s">
        <v>3429</v>
      </c>
      <c r="AH720" s="102" t="s">
        <v>3272</v>
      </c>
      <c r="AI720" s="92" t="s">
        <v>3272</v>
      </c>
      <c r="AJ720" s="6" t="s">
        <v>127</v>
      </c>
      <c r="AK720" s="6" t="s">
        <v>127</v>
      </c>
      <c r="AL720" s="6" t="s">
        <v>127</v>
      </c>
      <c r="AM720" s="6" t="s">
        <v>127</v>
      </c>
      <c r="AN720" s="6" t="s">
        <v>127</v>
      </c>
      <c r="AO720" s="6" t="s">
        <v>127</v>
      </c>
      <c r="AP720" s="6" t="s">
        <v>127</v>
      </c>
      <c r="AQ720" s="6" t="s">
        <v>127</v>
      </c>
      <c r="AR720" s="6" t="s">
        <v>127</v>
      </c>
      <c r="AS720" s="6" t="s">
        <v>127</v>
      </c>
      <c r="AT720" s="6" t="s">
        <v>127</v>
      </c>
      <c r="AU720" s="6" t="s">
        <v>127</v>
      </c>
      <c r="AV720" s="6" t="s">
        <v>127</v>
      </c>
      <c r="AW720" s="6" t="s">
        <v>127</v>
      </c>
      <c r="AX720" s="6" t="s">
        <v>127</v>
      </c>
      <c r="AY720" s="99" t="s">
        <v>3592</v>
      </c>
      <c r="AZ720" s="6" t="s">
        <v>127</v>
      </c>
      <c r="BA720" s="6" t="s">
        <v>127</v>
      </c>
      <c r="BB720" s="6" t="s">
        <v>3593</v>
      </c>
      <c r="BC720" s="6" t="s">
        <v>3594</v>
      </c>
      <c r="BD720" s="6" t="s">
        <v>127</v>
      </c>
      <c r="BE720" s="6" t="s">
        <v>127</v>
      </c>
    </row>
    <row r="721" spans="1:58" ht="16" x14ac:dyDescent="0.4">
      <c r="A721" s="92" t="s">
        <v>3595</v>
      </c>
      <c r="B721" s="92" t="s">
        <v>3595</v>
      </c>
      <c r="C721" s="6" t="s">
        <v>127</v>
      </c>
      <c r="D721" s="6" t="s">
        <v>3272</v>
      </c>
      <c r="E721" s="192">
        <v>45091</v>
      </c>
      <c r="F721" s="6">
        <f t="shared" si="180"/>
        <v>2023</v>
      </c>
      <c r="G721" s="6" t="s">
        <v>3596</v>
      </c>
      <c r="H721" s="22" t="str">
        <f>VLOOKUP($G721,'Item Classification'!B:C,2,0)</f>
        <v>Mine-laying vehicle</v>
      </c>
      <c r="I721" s="6" t="str">
        <f>VLOOKUP($G721,'Item Classification'!B:D,3,0)</f>
        <v>Mine</v>
      </c>
      <c r="J721" s="23">
        <f>VLOOKUP($G721,'Item Classification'!B:E,4,0)</f>
        <v>9</v>
      </c>
      <c r="K721" s="195" t="s">
        <v>274</v>
      </c>
      <c r="L721" s="195" t="s">
        <v>275</v>
      </c>
      <c r="M721" s="116" t="str">
        <f>VLOOKUP(L721,'NATO Classifications'!$D$6:$E$647,2,0)</f>
        <v>Trucks and Truck Tractors, Wheeled</v>
      </c>
      <c r="N721" s="25">
        <v>24</v>
      </c>
      <c r="O721" s="81">
        <f t="shared" si="181"/>
        <v>21250000</v>
      </c>
      <c r="P721" s="81">
        <f t="shared" si="182"/>
        <v>4678555.7023337735</v>
      </c>
      <c r="Q721" s="25">
        <v>2026</v>
      </c>
      <c r="R721" s="25">
        <v>2028</v>
      </c>
      <c r="S721" s="103">
        <v>510000000</v>
      </c>
      <c r="T721" s="91" t="s">
        <v>3274</v>
      </c>
      <c r="U721" s="104">
        <f>_xlfn.IFNA(S721/INDEX('Exchange Rates'!$C$7:$F$14,MATCH('MAIN DATA, Orders'!F721,'Exchange Rates'!$B$7:$B$14,0),MATCH('MAIN DATA, Orders'!T721,'Exchange Rates'!$C$6:$F$6,0)), "-")</f>
        <v>112285336.85601057</v>
      </c>
      <c r="V721" s="6" t="s">
        <v>127</v>
      </c>
      <c r="W721" s="6" t="s">
        <v>127</v>
      </c>
      <c r="X721" s="6" t="s">
        <v>3272</v>
      </c>
      <c r="Y721" s="24">
        <f t="shared" ref="Y721:Y784" si="183">_xlfn.NUMBERVALUE(_xlfn.CONCAT(YEAR(E721),TEXT(E721, "mm")))</f>
        <v>202306</v>
      </c>
      <c r="Z721" s="24">
        <v>0</v>
      </c>
      <c r="AA721" s="24">
        <v>0</v>
      </c>
      <c r="AB721" s="24">
        <v>0</v>
      </c>
      <c r="AC721" s="24">
        <v>1</v>
      </c>
      <c r="AD721" s="24">
        <v>0</v>
      </c>
      <c r="AE721" s="24">
        <v>0</v>
      </c>
      <c r="AF721" s="24">
        <v>0</v>
      </c>
      <c r="AG721" s="102" t="s">
        <v>3597</v>
      </c>
      <c r="AH721" s="102" t="s">
        <v>3272</v>
      </c>
      <c r="AI721" s="92" t="s">
        <v>3272</v>
      </c>
      <c r="AJ721" s="6" t="s">
        <v>3377</v>
      </c>
      <c r="AK721" s="6" t="s">
        <v>127</v>
      </c>
      <c r="AL721" s="6" t="s">
        <v>127</v>
      </c>
      <c r="AM721" s="6" t="s">
        <v>127</v>
      </c>
      <c r="AN721" s="6" t="s">
        <v>127</v>
      </c>
      <c r="AO721" s="6" t="s">
        <v>127</v>
      </c>
      <c r="AP721" s="6" t="s">
        <v>127</v>
      </c>
      <c r="AQ721" s="6" t="s">
        <v>127</v>
      </c>
      <c r="AR721" s="6" t="s">
        <v>127</v>
      </c>
      <c r="AS721" s="6" t="s">
        <v>127</v>
      </c>
      <c r="AT721" s="6" t="s">
        <v>127</v>
      </c>
      <c r="AU721" s="6" t="s">
        <v>127</v>
      </c>
      <c r="AV721" s="6" t="s">
        <v>127</v>
      </c>
      <c r="AW721" s="6" t="s">
        <v>127</v>
      </c>
      <c r="AX721" s="6" t="s">
        <v>127</v>
      </c>
      <c r="AY721" s="99" t="s">
        <v>3598</v>
      </c>
      <c r="AZ721" s="6" t="s">
        <v>127</v>
      </c>
      <c r="BA721" s="6" t="s">
        <v>127</v>
      </c>
      <c r="BB721" s="6" t="s">
        <v>3599</v>
      </c>
      <c r="BC721" s="6" t="s">
        <v>127</v>
      </c>
      <c r="BD721" s="6" t="s">
        <v>127</v>
      </c>
      <c r="BE721" s="6" t="s">
        <v>127</v>
      </c>
    </row>
    <row r="722" spans="1:58" ht="16" x14ac:dyDescent="0.4">
      <c r="A722" s="92" t="s">
        <v>3600</v>
      </c>
      <c r="B722" s="92" t="s">
        <v>3600</v>
      </c>
      <c r="C722" s="6" t="s">
        <v>127</v>
      </c>
      <c r="D722" s="6" t="s">
        <v>3272</v>
      </c>
      <c r="E722" s="192">
        <v>45132</v>
      </c>
      <c r="F722" s="6">
        <f t="shared" si="180"/>
        <v>2023</v>
      </c>
      <c r="G722" s="6" t="s">
        <v>3601</v>
      </c>
      <c r="H722" s="22" t="str">
        <f>VLOOKUP($G722,'Item Classification'!B:C,2,0)</f>
        <v>Airborne surveillance system</v>
      </c>
      <c r="I722" s="6" t="str">
        <f>VLOOKUP($G722,'Item Classification'!B:D,3,0)</f>
        <v>Aircraft</v>
      </c>
      <c r="J722" s="23">
        <f>VLOOKUP($G722,'Item Classification'!B:E,4,0)</f>
        <v>11</v>
      </c>
      <c r="K722" s="195" t="s">
        <v>130</v>
      </c>
      <c r="L722" s="195" t="s">
        <v>237</v>
      </c>
      <c r="M722" s="116" t="str">
        <f>VLOOKUP(L722,'NATO Classifications'!$D$6:$E$647,2,0)</f>
        <v>Aircraft, Fixed Wing</v>
      </c>
      <c r="N722" s="25">
        <v>2</v>
      </c>
      <c r="O722" s="81">
        <f t="shared" si="181"/>
        <v>28905000</v>
      </c>
      <c r="P722" s="81">
        <f t="shared" si="182"/>
        <v>26731711.828354761</v>
      </c>
      <c r="Q722" s="25">
        <v>2023</v>
      </c>
      <c r="R722" s="25">
        <v>2025</v>
      </c>
      <c r="S722" s="103">
        <v>57810000</v>
      </c>
      <c r="T722" s="91" t="s">
        <v>3284</v>
      </c>
      <c r="U722" s="104">
        <f>_xlfn.IFNA(S722/INDEX('Exchange Rates'!$C$7:$F$14,MATCH('MAIN DATA, Orders'!F722,'Exchange Rates'!$B$7:$B$14,0),MATCH('MAIN DATA, Orders'!T722,'Exchange Rates'!$C$6:$F$6,0)), "-")</f>
        <v>53463423.656709522</v>
      </c>
      <c r="V722" s="6" t="s">
        <v>127</v>
      </c>
      <c r="W722" s="6" t="s">
        <v>127</v>
      </c>
      <c r="X722" s="6" t="s">
        <v>3272</v>
      </c>
      <c r="Y722" s="24">
        <f t="shared" si="183"/>
        <v>202307</v>
      </c>
      <c r="Z722" s="24">
        <v>0</v>
      </c>
      <c r="AA722" s="24">
        <v>0</v>
      </c>
      <c r="AB722" s="24">
        <v>0</v>
      </c>
      <c r="AC722" s="24">
        <v>1</v>
      </c>
      <c r="AD722" s="24">
        <v>0</v>
      </c>
      <c r="AE722" s="24">
        <v>0</v>
      </c>
      <c r="AF722" s="24">
        <v>0</v>
      </c>
      <c r="AG722" s="102" t="s">
        <v>212</v>
      </c>
      <c r="AH722" s="102" t="s">
        <v>213</v>
      </c>
      <c r="AI722" s="92" t="s">
        <v>213</v>
      </c>
      <c r="AJ722" s="6" t="s">
        <v>127</v>
      </c>
      <c r="AK722" s="6" t="s">
        <v>127</v>
      </c>
      <c r="AL722" s="6" t="s">
        <v>127</v>
      </c>
      <c r="AM722" s="6" t="s">
        <v>127</v>
      </c>
      <c r="AN722" s="6" t="s">
        <v>127</v>
      </c>
      <c r="AO722" s="6" t="s">
        <v>127</v>
      </c>
      <c r="AP722" s="6" t="s">
        <v>127</v>
      </c>
      <c r="AQ722" s="6" t="s">
        <v>127</v>
      </c>
      <c r="AR722" s="6" t="s">
        <v>127</v>
      </c>
      <c r="AS722" s="6" t="s">
        <v>127</v>
      </c>
      <c r="AT722" s="6" t="s">
        <v>127</v>
      </c>
      <c r="AU722" s="6" t="s">
        <v>127</v>
      </c>
      <c r="AV722" s="6" t="s">
        <v>127</v>
      </c>
      <c r="AW722" s="6" t="s">
        <v>127</v>
      </c>
      <c r="AX722" s="6" t="s">
        <v>127</v>
      </c>
      <c r="AY722" s="99" t="s">
        <v>3602</v>
      </c>
      <c r="AZ722" s="96" t="s">
        <v>3603</v>
      </c>
      <c r="BA722" s="6" t="s">
        <v>127</v>
      </c>
      <c r="BB722" s="6" t="s">
        <v>3604</v>
      </c>
      <c r="BC722" s="6" t="s">
        <v>3605</v>
      </c>
      <c r="BD722" s="6" t="s">
        <v>127</v>
      </c>
      <c r="BE722" s="6" t="s">
        <v>127</v>
      </c>
    </row>
    <row r="723" spans="1:58" ht="16" x14ac:dyDescent="0.4">
      <c r="A723" s="92" t="s">
        <v>3606</v>
      </c>
      <c r="B723" s="92" t="s">
        <v>3606</v>
      </c>
      <c r="C723" s="6" t="s">
        <v>127</v>
      </c>
      <c r="D723" s="6" t="s">
        <v>3272</v>
      </c>
      <c r="E723" s="192">
        <v>45152</v>
      </c>
      <c r="F723" s="6">
        <f t="shared" si="180"/>
        <v>2023</v>
      </c>
      <c r="G723" s="6" t="s">
        <v>3607</v>
      </c>
      <c r="H723" s="22" t="str">
        <f>VLOOKUP($G723,'Item Classification'!B:C,2,0)</f>
        <v>Light reconnaissance vehicle</v>
      </c>
      <c r="I723" s="6" t="str">
        <f>VLOOKUP($G723,'Item Classification'!B:D,3,0)</f>
        <v>Armoured vehicle</v>
      </c>
      <c r="J723" s="23">
        <f>VLOOKUP($G723,'Item Classification'!B:E,4,0)</f>
        <v>2</v>
      </c>
      <c r="K723" s="195" t="s">
        <v>274</v>
      </c>
      <c r="L723" s="195" t="s">
        <v>493</v>
      </c>
      <c r="M723" s="116" t="str">
        <f>VLOOKUP(L723,'NATO Classifications'!$D$6:$E$647,2,0)</f>
        <v>Combat, Assault, and Tactical Vehicles, Wheeled</v>
      </c>
      <c r="N723" s="25">
        <v>400</v>
      </c>
      <c r="O723" s="81">
        <f t="shared" si="181"/>
        <v>3000000</v>
      </c>
      <c r="P723" s="81">
        <f t="shared" si="182"/>
        <v>660501.98150594463</v>
      </c>
      <c r="Q723" s="25">
        <v>2024</v>
      </c>
      <c r="R723" s="25">
        <v>2030</v>
      </c>
      <c r="S723" s="103">
        <v>1200000000</v>
      </c>
      <c r="T723" s="91" t="s">
        <v>3274</v>
      </c>
      <c r="U723" s="104">
        <f>_xlfn.IFNA(S723/INDEX('Exchange Rates'!$C$7:$F$14,MATCH('MAIN DATA, Orders'!F723,'Exchange Rates'!$B$7:$B$14,0),MATCH('MAIN DATA, Orders'!T723,'Exchange Rates'!$C$6:$F$6,0)), "-")</f>
        <v>264200792.60237783</v>
      </c>
      <c r="V723" s="6" t="s">
        <v>127</v>
      </c>
      <c r="W723" s="6" t="s">
        <v>127</v>
      </c>
      <c r="X723" s="6" t="s">
        <v>3272</v>
      </c>
      <c r="Y723" s="24">
        <f t="shared" si="183"/>
        <v>202308</v>
      </c>
      <c r="Z723" s="24">
        <v>0</v>
      </c>
      <c r="AA723" s="24">
        <v>0</v>
      </c>
      <c r="AB723" s="24">
        <v>0</v>
      </c>
      <c r="AC723" s="24">
        <v>1</v>
      </c>
      <c r="AD723" s="24">
        <v>0</v>
      </c>
      <c r="AE723" s="24">
        <v>0</v>
      </c>
      <c r="AF723" s="24">
        <v>0</v>
      </c>
      <c r="AG723" s="102" t="s">
        <v>3429</v>
      </c>
      <c r="AH723" s="102" t="s">
        <v>3272</v>
      </c>
      <c r="AI723" s="92" t="s">
        <v>3272</v>
      </c>
      <c r="AJ723" s="6" t="s">
        <v>3401</v>
      </c>
      <c r="AK723" s="6" t="s">
        <v>127</v>
      </c>
      <c r="AL723" s="6" t="s">
        <v>127</v>
      </c>
      <c r="AM723" s="6" t="s">
        <v>127</v>
      </c>
      <c r="AN723" s="6" t="s">
        <v>127</v>
      </c>
      <c r="AO723" s="6" t="s">
        <v>127</v>
      </c>
      <c r="AP723" s="6" t="s">
        <v>127</v>
      </c>
      <c r="AQ723" s="6" t="s">
        <v>127</v>
      </c>
      <c r="AR723" s="6" t="s">
        <v>127</v>
      </c>
      <c r="AS723" s="6" t="s">
        <v>127</v>
      </c>
      <c r="AT723" s="6" t="s">
        <v>127</v>
      </c>
      <c r="AU723" s="6" t="s">
        <v>127</v>
      </c>
      <c r="AV723" s="6" t="s">
        <v>127</v>
      </c>
      <c r="AW723" s="6" t="s">
        <v>127</v>
      </c>
      <c r="AX723" s="6" t="s">
        <v>127</v>
      </c>
      <c r="AY723" s="99" t="s">
        <v>3608</v>
      </c>
      <c r="AZ723" s="96" t="s">
        <v>3609</v>
      </c>
      <c r="BA723" s="6" t="s">
        <v>127</v>
      </c>
      <c r="BB723" s="6" t="s">
        <v>3610</v>
      </c>
      <c r="BC723" s="6" t="s">
        <v>3611</v>
      </c>
      <c r="BD723" s="6" t="s">
        <v>3612</v>
      </c>
      <c r="BE723" s="6" t="s">
        <v>127</v>
      </c>
    </row>
    <row r="724" spans="1:58" ht="16" x14ac:dyDescent="0.4">
      <c r="A724" s="92" t="s">
        <v>3613</v>
      </c>
      <c r="B724" s="92" t="s">
        <v>3613</v>
      </c>
      <c r="C724" s="6" t="s">
        <v>3298</v>
      </c>
      <c r="D724" s="6" t="s">
        <v>3272</v>
      </c>
      <c r="E724" s="192">
        <v>45163</v>
      </c>
      <c r="F724" s="6">
        <f t="shared" si="180"/>
        <v>2023</v>
      </c>
      <c r="G724" s="4" t="s">
        <v>3614</v>
      </c>
      <c r="H724" s="22" t="str">
        <f>VLOOKUP($G724,'Item Classification'!B:C,2,0)</f>
        <v>Air defence missile system</v>
      </c>
      <c r="I724" s="6" t="str">
        <f>VLOOKUP($G724,'Item Classification'!B:D,3,0)</f>
        <v>Air defence system</v>
      </c>
      <c r="J724" s="23">
        <f>VLOOKUP($G724,'Item Classification'!B:E,4,0)</f>
        <v>5</v>
      </c>
      <c r="K724" s="195" t="s">
        <v>211</v>
      </c>
      <c r="L724" s="195" t="s">
        <v>326</v>
      </c>
      <c r="M724" s="116" t="str">
        <f>VLOOKUP(L724,'NATO Classifications'!$D$6:$E$647,2,0)</f>
        <v>Guided Missile Systems, Complete</v>
      </c>
      <c r="N724" s="25"/>
      <c r="O724" s="81"/>
      <c r="P724" s="81"/>
      <c r="Q724" s="25"/>
      <c r="R724" s="25"/>
      <c r="S724" s="103">
        <v>1000000000</v>
      </c>
      <c r="T724" s="91" t="s">
        <v>3274</v>
      </c>
      <c r="U724" s="104">
        <f>_xlfn.IFNA(S724/INDEX('Exchange Rates'!$C$7:$F$14,MATCH('MAIN DATA, Orders'!F724,'Exchange Rates'!$B$7:$B$14,0),MATCH('MAIN DATA, Orders'!T724,'Exchange Rates'!$C$6:$F$6,0)), "-")</f>
        <v>220167327.16864818</v>
      </c>
      <c r="V724" s="6" t="s">
        <v>127</v>
      </c>
      <c r="W724" s="6" t="s">
        <v>127</v>
      </c>
      <c r="X724" s="6" t="s">
        <v>3272</v>
      </c>
      <c r="Y724" s="24">
        <f t="shared" si="183"/>
        <v>202308</v>
      </c>
      <c r="Z724" s="24">
        <v>0</v>
      </c>
      <c r="AA724" s="24">
        <v>1</v>
      </c>
      <c r="AB724" s="24">
        <v>0</v>
      </c>
      <c r="AC724" s="24">
        <v>0</v>
      </c>
      <c r="AD724" s="24">
        <v>0</v>
      </c>
      <c r="AE724" s="24">
        <v>0</v>
      </c>
      <c r="AF724" s="24">
        <v>0</v>
      </c>
      <c r="AG724" s="102" t="s">
        <v>718</v>
      </c>
      <c r="AH724" s="102" t="s">
        <v>196</v>
      </c>
      <c r="AI724" s="92" t="s">
        <v>127</v>
      </c>
      <c r="AJ724" s="6" t="s">
        <v>795</v>
      </c>
      <c r="AK724" s="6" t="s">
        <v>127</v>
      </c>
      <c r="AL724" s="6" t="s">
        <v>127</v>
      </c>
      <c r="AM724" s="6" t="s">
        <v>127</v>
      </c>
      <c r="AN724" s="6" t="s">
        <v>127</v>
      </c>
      <c r="AO724" s="6" t="s">
        <v>127</v>
      </c>
      <c r="AP724" s="6" t="s">
        <v>127</v>
      </c>
      <c r="AQ724" s="6" t="s">
        <v>127</v>
      </c>
      <c r="AR724" s="6" t="s">
        <v>127</v>
      </c>
      <c r="AS724" s="6" t="s">
        <v>127</v>
      </c>
      <c r="AT724" s="6" t="s">
        <v>127</v>
      </c>
      <c r="AU724" s="6" t="s">
        <v>127</v>
      </c>
      <c r="AV724" s="6" t="s">
        <v>127</v>
      </c>
      <c r="AW724" s="6" t="s">
        <v>127</v>
      </c>
      <c r="AX724" s="6" t="s">
        <v>127</v>
      </c>
      <c r="AY724" s="99" t="s">
        <v>3615</v>
      </c>
      <c r="AZ724" s="6" t="s">
        <v>127</v>
      </c>
      <c r="BA724" s="6" t="s">
        <v>127</v>
      </c>
      <c r="BB724" s="6" t="s">
        <v>3616</v>
      </c>
      <c r="BC724" s="6" t="s">
        <v>3617</v>
      </c>
      <c r="BD724" s="6" t="s">
        <v>127</v>
      </c>
      <c r="BE724" s="6" t="s">
        <v>127</v>
      </c>
    </row>
    <row r="725" spans="1:58" ht="16" x14ac:dyDescent="0.4">
      <c r="A725" s="92" t="s">
        <v>3618</v>
      </c>
      <c r="B725" s="92" t="s">
        <v>3618</v>
      </c>
      <c r="C725" s="6" t="s">
        <v>3298</v>
      </c>
      <c r="D725" s="6" t="s">
        <v>3272</v>
      </c>
      <c r="E725" s="192">
        <v>45174</v>
      </c>
      <c r="F725" s="6">
        <f t="shared" si="180"/>
        <v>2023</v>
      </c>
      <c r="G725" s="6" t="s">
        <v>3619</v>
      </c>
      <c r="H725" s="22" t="str">
        <f>VLOOKUP($G725,'Item Classification'!B:C,2,0)</f>
        <v>Anti-aircraft surface-to-air missile (SAM) system (long-range)</v>
      </c>
      <c r="I725" s="6" t="str">
        <f>VLOOKUP($G725,'Item Classification'!B:D,3,0)</f>
        <v>Air defence system</v>
      </c>
      <c r="J725" s="23">
        <f>VLOOKUP($G725,'Item Classification'!B:E,4,0)</f>
        <v>5</v>
      </c>
      <c r="K725" s="195" t="s">
        <v>211</v>
      </c>
      <c r="L725" s="195" t="s">
        <v>326</v>
      </c>
      <c r="M725" s="116" t="str">
        <f>VLOOKUP(L725,'NATO Classifications'!$D$6:$E$647,2,0)</f>
        <v>Guided Missile Systems, Complete</v>
      </c>
      <c r="N725" s="25">
        <v>6</v>
      </c>
      <c r="O725" s="81"/>
      <c r="P725" s="81"/>
      <c r="Q725" s="25"/>
      <c r="R725" s="25"/>
      <c r="S725" s="103"/>
      <c r="T725" s="91" t="s">
        <v>3274</v>
      </c>
      <c r="U725" s="104">
        <f>_xlfn.IFNA(S725/INDEX('Exchange Rates'!$C$7:$F$14,MATCH('MAIN DATA, Orders'!F725,'Exchange Rates'!$B$7:$B$14,0),MATCH('MAIN DATA, Orders'!T725,'Exchange Rates'!$C$6:$F$6,0)), "-")</f>
        <v>0</v>
      </c>
      <c r="V725" s="6" t="s">
        <v>127</v>
      </c>
      <c r="W725" s="6" t="s">
        <v>127</v>
      </c>
      <c r="X725" s="6" t="s">
        <v>3272</v>
      </c>
      <c r="Y725" s="24">
        <f t="shared" si="183"/>
        <v>202309</v>
      </c>
      <c r="Z725" s="24">
        <v>0</v>
      </c>
      <c r="AA725" s="24">
        <v>0</v>
      </c>
      <c r="AB725" s="24">
        <v>0</v>
      </c>
      <c r="AC725" s="24">
        <v>0</v>
      </c>
      <c r="AD725" s="24">
        <v>0</v>
      </c>
      <c r="AE725" s="24">
        <v>0</v>
      </c>
      <c r="AF725" s="24">
        <v>0</v>
      </c>
      <c r="AG725" s="102" t="s">
        <v>718</v>
      </c>
      <c r="AH725" s="102" t="s">
        <v>196</v>
      </c>
      <c r="AI725" s="92" t="s">
        <v>196</v>
      </c>
      <c r="AJ725" s="6" t="s">
        <v>795</v>
      </c>
      <c r="AK725" s="6" t="s">
        <v>127</v>
      </c>
      <c r="AL725" s="6" t="s">
        <v>127</v>
      </c>
      <c r="AM725" s="6" t="s">
        <v>127</v>
      </c>
      <c r="AN725" s="6" t="s">
        <v>127</v>
      </c>
      <c r="AO725" s="6" t="s">
        <v>127</v>
      </c>
      <c r="AP725" s="6" t="s">
        <v>127</v>
      </c>
      <c r="AQ725" s="6" t="s">
        <v>127</v>
      </c>
      <c r="AR725" s="6" t="s">
        <v>127</v>
      </c>
      <c r="AS725" s="6" t="s">
        <v>127</v>
      </c>
      <c r="AT725" s="6" t="s">
        <v>127</v>
      </c>
      <c r="AU725" s="6" t="s">
        <v>127</v>
      </c>
      <c r="AV725" s="6" t="s">
        <v>127</v>
      </c>
      <c r="AW725" s="6" t="s">
        <v>127</v>
      </c>
      <c r="AX725" s="6" t="s">
        <v>127</v>
      </c>
      <c r="AY725" s="99" t="s">
        <v>3620</v>
      </c>
      <c r="AZ725" s="6" t="s">
        <v>127</v>
      </c>
      <c r="BA725" s="6" t="s">
        <v>127</v>
      </c>
      <c r="BB725" s="6" t="s">
        <v>3621</v>
      </c>
      <c r="BC725" s="6" t="s">
        <v>3622</v>
      </c>
      <c r="BD725" s="6" t="s">
        <v>127</v>
      </c>
      <c r="BE725" s="6" t="s">
        <v>3623</v>
      </c>
      <c r="BF725" s="6" t="s">
        <v>127</v>
      </c>
    </row>
    <row r="726" spans="1:58" ht="16" x14ac:dyDescent="0.4">
      <c r="A726" s="92" t="s">
        <v>3624</v>
      </c>
      <c r="B726" s="92" t="s">
        <v>3624</v>
      </c>
      <c r="C726" s="6" t="s">
        <v>127</v>
      </c>
      <c r="D726" s="6" t="s">
        <v>3272</v>
      </c>
      <c r="E726" s="192">
        <v>45174</v>
      </c>
      <c r="F726" s="6">
        <f t="shared" si="180"/>
        <v>2023</v>
      </c>
      <c r="G726" s="4" t="s">
        <v>3625</v>
      </c>
      <c r="H726" s="22" t="str">
        <f>VLOOKUP($G726,'Item Classification'!B:C,2,0)</f>
        <v>Anti-ship and coastal missile defence system</v>
      </c>
      <c r="I726" s="6" t="str">
        <f>VLOOKUP($G726,'Item Classification'!B:D,3,0)</f>
        <v>Naval</v>
      </c>
      <c r="J726" s="23">
        <f>VLOOKUP($G726,'Item Classification'!B:E,4,0)</f>
        <v>12</v>
      </c>
      <c r="K726" s="195" t="s">
        <v>211</v>
      </c>
      <c r="L726" s="195" t="s">
        <v>326</v>
      </c>
      <c r="M726" s="116" t="str">
        <f>VLOOKUP(L726,'NATO Classifications'!$D$6:$E$647,2,0)</f>
        <v>Guided Missile Systems, Complete</v>
      </c>
      <c r="N726" s="25">
        <v>2</v>
      </c>
      <c r="O726" s="81">
        <f>S726/N726</f>
        <v>4000000000</v>
      </c>
      <c r="P726" s="81">
        <f>U726/N726</f>
        <v>880669308.67459273</v>
      </c>
      <c r="Q726" s="25">
        <v>2026</v>
      </c>
      <c r="R726" s="25">
        <v>2032</v>
      </c>
      <c r="S726" s="103">
        <v>8000000000</v>
      </c>
      <c r="T726" s="91" t="s">
        <v>3274</v>
      </c>
      <c r="U726" s="104">
        <f>_xlfn.IFNA(S726/INDEX('Exchange Rates'!$C$7:$F$14,MATCH('MAIN DATA, Orders'!F726,'Exchange Rates'!$B$7:$B$14,0),MATCH('MAIN DATA, Orders'!T726,'Exchange Rates'!$C$6:$F$6,0)), "-")</f>
        <v>1761338617.3491855</v>
      </c>
      <c r="V726" s="6" t="s">
        <v>127</v>
      </c>
      <c r="W726" s="6" t="s">
        <v>127</v>
      </c>
      <c r="X726" s="6" t="s">
        <v>3272</v>
      </c>
      <c r="Y726" s="24">
        <f t="shared" si="183"/>
        <v>202309</v>
      </c>
      <c r="Z726" s="24">
        <v>0</v>
      </c>
      <c r="AA726" s="24">
        <v>0</v>
      </c>
      <c r="AB726" s="24">
        <v>0</v>
      </c>
      <c r="AC726" s="24">
        <v>1</v>
      </c>
      <c r="AD726" s="24">
        <v>0</v>
      </c>
      <c r="AE726" s="24">
        <v>0</v>
      </c>
      <c r="AF726" s="24">
        <v>0</v>
      </c>
      <c r="AG726" s="102" t="s">
        <v>476</v>
      </c>
      <c r="AH726" s="102" t="s">
        <v>468</v>
      </c>
      <c r="AI726" s="92" t="s">
        <v>468</v>
      </c>
      <c r="AJ726" s="6" t="s">
        <v>127</v>
      </c>
      <c r="AK726" s="6" t="s">
        <v>127</v>
      </c>
      <c r="AL726" s="6" t="s">
        <v>127</v>
      </c>
      <c r="AM726" s="6" t="s">
        <v>127</v>
      </c>
      <c r="AN726" s="6" t="s">
        <v>127</v>
      </c>
      <c r="AO726" s="6" t="s">
        <v>127</v>
      </c>
      <c r="AP726" s="6" t="s">
        <v>127</v>
      </c>
      <c r="AQ726" s="6" t="s">
        <v>127</v>
      </c>
      <c r="AR726" s="6" t="s">
        <v>127</v>
      </c>
      <c r="AS726" s="6" t="s">
        <v>127</v>
      </c>
      <c r="AT726" s="6" t="s">
        <v>127</v>
      </c>
      <c r="AU726" s="6" t="s">
        <v>127</v>
      </c>
      <c r="AV726" s="6" t="s">
        <v>127</v>
      </c>
      <c r="AW726" s="6" t="s">
        <v>127</v>
      </c>
      <c r="AX726" s="6" t="s">
        <v>127</v>
      </c>
      <c r="AY726" s="99" t="s">
        <v>3620</v>
      </c>
      <c r="AZ726" s="96" t="s">
        <v>3626</v>
      </c>
      <c r="BA726" s="6" t="s">
        <v>127</v>
      </c>
      <c r="BB726" s="6" t="s">
        <v>3621</v>
      </c>
      <c r="BC726" s="6" t="s">
        <v>3627</v>
      </c>
      <c r="BD726" s="6" t="s">
        <v>3628</v>
      </c>
      <c r="BE726" s="6" t="s">
        <v>127</v>
      </c>
    </row>
    <row r="727" spans="1:58" ht="16" x14ac:dyDescent="0.4">
      <c r="A727" s="92" t="s">
        <v>3629</v>
      </c>
      <c r="B727" s="92" t="s">
        <v>3629</v>
      </c>
      <c r="C727" s="6" t="s">
        <v>127</v>
      </c>
      <c r="D727" s="6" t="s">
        <v>3272</v>
      </c>
      <c r="E727" s="192">
        <v>45174</v>
      </c>
      <c r="F727" s="6">
        <f t="shared" si="180"/>
        <v>2023</v>
      </c>
      <c r="G727" s="6" t="s">
        <v>3630</v>
      </c>
      <c r="H727" s="22" t="str">
        <f>VLOOKUP($G727,'Item Classification'!B:C,2,0)</f>
        <v>Air defence control system</v>
      </c>
      <c r="I727" s="6" t="str">
        <f>VLOOKUP($G727,'Item Classification'!B:D,3,0)</f>
        <v>Air defence system</v>
      </c>
      <c r="J727" s="23">
        <f>VLOOKUP($G727,'Item Classification'!B:E,4,0)</f>
        <v>5</v>
      </c>
      <c r="K727" s="195" t="s">
        <v>580</v>
      </c>
      <c r="L727" s="195" t="s">
        <v>3170</v>
      </c>
      <c r="M727" s="116" t="str">
        <f>VLOOKUP(L727,'NATO Classifications'!$D$6:$E$647,2,0)</f>
        <v>Fire Control Systems, Complete</v>
      </c>
      <c r="N727" s="25"/>
      <c r="O727" s="81"/>
      <c r="P727" s="81"/>
      <c r="Q727" s="25"/>
      <c r="R727" s="25"/>
      <c r="S727" s="103"/>
      <c r="T727" s="91" t="s">
        <v>3274</v>
      </c>
      <c r="U727" s="104">
        <f>_xlfn.IFNA(S727/INDEX('Exchange Rates'!$C$7:$F$14,MATCH('MAIN DATA, Orders'!F727,'Exchange Rates'!$B$7:$B$14,0),MATCH('MAIN DATA, Orders'!T727,'Exchange Rates'!$C$6:$F$6,0)), "-")</f>
        <v>0</v>
      </c>
      <c r="V727" s="6" t="s">
        <v>127</v>
      </c>
      <c r="W727" s="6" t="s">
        <v>127</v>
      </c>
      <c r="X727" s="6" t="s">
        <v>3272</v>
      </c>
      <c r="Y727" s="24">
        <f t="shared" si="183"/>
        <v>202309</v>
      </c>
      <c r="Z727" s="24" t="s">
        <v>127</v>
      </c>
      <c r="AA727" s="24" t="s">
        <v>127</v>
      </c>
      <c r="AB727" s="24" t="s">
        <v>127</v>
      </c>
      <c r="AC727" s="24" t="s">
        <v>127</v>
      </c>
      <c r="AD727" s="24" t="s">
        <v>127</v>
      </c>
      <c r="AE727" s="24" t="s">
        <v>127</v>
      </c>
      <c r="AF727" s="24" t="s">
        <v>127</v>
      </c>
      <c r="AG727" s="102" t="s">
        <v>127</v>
      </c>
      <c r="AH727" s="102" t="s">
        <v>127</v>
      </c>
      <c r="AI727" s="92" t="s">
        <v>127</v>
      </c>
      <c r="AJ727" s="6" t="s">
        <v>127</v>
      </c>
      <c r="AK727" s="6" t="s">
        <v>127</v>
      </c>
      <c r="AL727" s="6" t="s">
        <v>127</v>
      </c>
      <c r="AM727" s="6" t="s">
        <v>127</v>
      </c>
      <c r="AN727" s="6" t="s">
        <v>127</v>
      </c>
      <c r="AO727" s="6" t="s">
        <v>127</v>
      </c>
      <c r="AP727" s="6" t="s">
        <v>127</v>
      </c>
      <c r="AQ727" s="6" t="s">
        <v>127</v>
      </c>
      <c r="AR727" s="6" t="s">
        <v>127</v>
      </c>
      <c r="AS727" s="6" t="s">
        <v>127</v>
      </c>
      <c r="AT727" s="6" t="s">
        <v>127</v>
      </c>
      <c r="AU727" s="6" t="s">
        <v>127</v>
      </c>
      <c r="AV727" s="6" t="s">
        <v>127</v>
      </c>
      <c r="AW727" s="6" t="s">
        <v>127</v>
      </c>
      <c r="AX727" s="6" t="s">
        <v>127</v>
      </c>
      <c r="AY727" s="99" t="s">
        <v>3620</v>
      </c>
      <c r="AZ727" s="6" t="s">
        <v>127</v>
      </c>
      <c r="BA727" s="6" t="s">
        <v>127</v>
      </c>
      <c r="BB727" s="6" t="s">
        <v>3621</v>
      </c>
      <c r="BC727" s="6" t="s">
        <v>3631</v>
      </c>
      <c r="BD727" s="6" t="s">
        <v>127</v>
      </c>
      <c r="BE727" s="6" t="s">
        <v>127</v>
      </c>
    </row>
    <row r="728" spans="1:58" ht="16" x14ac:dyDescent="0.4">
      <c r="A728" s="92" t="s">
        <v>3632</v>
      </c>
      <c r="B728" s="92" t="s">
        <v>3632</v>
      </c>
      <c r="C728" s="6" t="s">
        <v>3633</v>
      </c>
      <c r="D728" s="6" t="s">
        <v>3272</v>
      </c>
      <c r="E728" s="192">
        <v>45194</v>
      </c>
      <c r="F728" s="6">
        <f t="shared" si="180"/>
        <v>2023</v>
      </c>
      <c r="G728" s="4" t="s">
        <v>3634</v>
      </c>
      <c r="H728" s="22" t="str">
        <f>VLOOKUP($G728,'Item Classification'!B:C,2,0)</f>
        <v>Attack helicopter</v>
      </c>
      <c r="I728" s="6" t="str">
        <f>VLOOKUP($G728,'Item Classification'!B:D,3,0)</f>
        <v>Helicopter</v>
      </c>
      <c r="J728" s="23">
        <f>VLOOKUP($G728,'Item Classification'!B:E,4,0)</f>
        <v>10</v>
      </c>
      <c r="K728" s="195" t="s">
        <v>130</v>
      </c>
      <c r="L728" s="195" t="s">
        <v>266</v>
      </c>
      <c r="M728" s="116" t="str">
        <f>VLOOKUP(L728,'NATO Classifications'!$D$6:$E$647,2,0)</f>
        <v>Aircraft, Rotary Wing</v>
      </c>
      <c r="N728" s="25"/>
      <c r="O728" s="81"/>
      <c r="P728" s="25"/>
      <c r="Q728" s="25">
        <v>2023</v>
      </c>
      <c r="R728" s="25">
        <v>2028</v>
      </c>
      <c r="S728" s="103">
        <v>300000000</v>
      </c>
      <c r="T728" s="91" t="s">
        <v>3274</v>
      </c>
      <c r="U728" s="104">
        <f>_xlfn.IFNA(S728/INDEX('Exchange Rates'!$C$7:$F$14,MATCH('MAIN DATA, Orders'!F728,'Exchange Rates'!$B$7:$B$14,0),MATCH('MAIN DATA, Orders'!T728,'Exchange Rates'!$C$6:$F$6,0)), "-")</f>
        <v>66050198.150594458</v>
      </c>
      <c r="V728" s="6" t="s">
        <v>127</v>
      </c>
      <c r="W728" s="6" t="s">
        <v>127</v>
      </c>
      <c r="X728" s="6" t="s">
        <v>3272</v>
      </c>
      <c r="Y728" s="24">
        <f t="shared" si="183"/>
        <v>202309</v>
      </c>
      <c r="Z728" s="24">
        <v>0</v>
      </c>
      <c r="AA728" s="24">
        <v>1</v>
      </c>
      <c r="AB728" s="24">
        <v>0</v>
      </c>
      <c r="AC728" s="24">
        <v>1</v>
      </c>
      <c r="AD728" s="24">
        <v>0</v>
      </c>
      <c r="AE728" s="24">
        <v>1</v>
      </c>
      <c r="AF728" s="24">
        <v>1</v>
      </c>
      <c r="AG728" s="10" t="s">
        <v>192</v>
      </c>
      <c r="AH728" s="10" t="s">
        <v>196</v>
      </c>
      <c r="AI728" s="6" t="s">
        <v>3272</v>
      </c>
      <c r="AJ728" s="6" t="s">
        <v>127</v>
      </c>
      <c r="AK728" s="6" t="s">
        <v>127</v>
      </c>
      <c r="AL728" s="6" t="s">
        <v>127</v>
      </c>
      <c r="AM728" s="6" t="s">
        <v>127</v>
      </c>
      <c r="AN728" s="6" t="s">
        <v>3272</v>
      </c>
      <c r="AO728" s="6" t="s">
        <v>127</v>
      </c>
      <c r="AP728" s="6" t="s">
        <v>127</v>
      </c>
      <c r="AQ728" s="6" t="s">
        <v>127</v>
      </c>
      <c r="AR728" s="6" t="s">
        <v>127</v>
      </c>
      <c r="AS728" s="6" t="s">
        <v>127</v>
      </c>
      <c r="AT728" s="6" t="s">
        <v>127</v>
      </c>
      <c r="AU728" s="6" t="s">
        <v>127</v>
      </c>
      <c r="AV728" s="6" t="s">
        <v>127</v>
      </c>
      <c r="AW728" s="6" t="s">
        <v>127</v>
      </c>
      <c r="AX728" s="6" t="s">
        <v>127</v>
      </c>
      <c r="AY728" s="99" t="s">
        <v>3635</v>
      </c>
      <c r="AZ728" s="6" t="s">
        <v>127</v>
      </c>
      <c r="BA728" s="6" t="s">
        <v>127</v>
      </c>
      <c r="BB728" s="6" t="s">
        <v>3636</v>
      </c>
      <c r="BC728" s="6" t="s">
        <v>3637</v>
      </c>
      <c r="BD728" s="6" t="s">
        <v>127</v>
      </c>
      <c r="BE728" s="6" t="s">
        <v>127</v>
      </c>
    </row>
    <row r="729" spans="1:58" ht="16" x14ac:dyDescent="0.4">
      <c r="A729" s="92" t="s">
        <v>3638</v>
      </c>
      <c r="B729" s="92" t="s">
        <v>3638</v>
      </c>
      <c r="C729" s="6" t="s">
        <v>127</v>
      </c>
      <c r="D729" s="6" t="s">
        <v>3272</v>
      </c>
      <c r="E729" s="192">
        <v>45210</v>
      </c>
      <c r="F729" s="6">
        <f t="shared" si="180"/>
        <v>2023</v>
      </c>
      <c r="G729" s="6" t="s">
        <v>3639</v>
      </c>
      <c r="H729" s="22" t="str">
        <f>VLOOKUP($G729,'Item Classification'!B:C,2,0)</f>
        <v>Wheeled accompanying bridge</v>
      </c>
      <c r="I729" s="6" t="str">
        <f>VLOOKUP($G729,'Item Classification'!B:D,3,0)</f>
        <v>Other</v>
      </c>
      <c r="J729" s="23">
        <f>VLOOKUP($G729,'Item Classification'!B:E,4,0)</f>
        <v>16</v>
      </c>
      <c r="K729" s="195" t="s">
        <v>386</v>
      </c>
      <c r="L729" s="195" t="s">
        <v>1790</v>
      </c>
      <c r="M729" s="116" t="str">
        <f>VLOOKUP(L729,'NATO Classifications'!$D$6:$E$647,2,0)</f>
        <v>Bridges, Fixed and Floating</v>
      </c>
      <c r="N729" s="25"/>
      <c r="O729" s="25"/>
      <c r="P729" s="25"/>
      <c r="Q729" s="25"/>
      <c r="R729" s="25"/>
      <c r="S729" s="25"/>
      <c r="T729" s="91" t="s">
        <v>3274</v>
      </c>
      <c r="U729" s="104">
        <f>_xlfn.IFNA(S729/INDEX('Exchange Rates'!$C$7:$F$14,MATCH('MAIN DATA, Orders'!F729,'Exchange Rates'!$B$7:$B$14,0),MATCH('MAIN DATA, Orders'!T729,'Exchange Rates'!$C$6:$F$6,0)), "-")</f>
        <v>0</v>
      </c>
      <c r="V729" s="10" t="s">
        <v>127</v>
      </c>
      <c r="W729" s="10" t="s">
        <v>127</v>
      </c>
      <c r="X729" s="6" t="s">
        <v>3272</v>
      </c>
      <c r="Y729" s="24">
        <f t="shared" si="183"/>
        <v>202310</v>
      </c>
      <c r="Z729" s="24" t="s">
        <v>127</v>
      </c>
      <c r="AA729" s="24" t="s">
        <v>127</v>
      </c>
      <c r="AB729" s="24" t="s">
        <v>127</v>
      </c>
      <c r="AC729" s="24" t="s">
        <v>127</v>
      </c>
      <c r="AD729" s="24" t="s">
        <v>127</v>
      </c>
      <c r="AE729" s="24" t="s">
        <v>127</v>
      </c>
      <c r="AF729" s="24" t="s">
        <v>127</v>
      </c>
      <c r="AG729" s="10" t="s">
        <v>127</v>
      </c>
      <c r="AH729" s="10" t="s">
        <v>127</v>
      </c>
      <c r="AI729" s="6" t="s">
        <v>127</v>
      </c>
      <c r="AJ729" s="6" t="s">
        <v>127</v>
      </c>
      <c r="AK729" s="6" t="s">
        <v>127</v>
      </c>
      <c r="AL729" s="6" t="s">
        <v>127</v>
      </c>
      <c r="AM729" s="6" t="s">
        <v>127</v>
      </c>
      <c r="AN729" s="6" t="s">
        <v>127</v>
      </c>
      <c r="AO729" s="6" t="s">
        <v>127</v>
      </c>
      <c r="AP729" s="6" t="s">
        <v>127</v>
      </c>
      <c r="AQ729" s="6" t="s">
        <v>127</v>
      </c>
      <c r="AR729" s="6" t="s">
        <v>127</v>
      </c>
      <c r="AS729" s="6" t="s">
        <v>127</v>
      </c>
      <c r="AT729" s="6" t="s">
        <v>127</v>
      </c>
      <c r="AU729" s="6" t="s">
        <v>127</v>
      </c>
      <c r="AV729" s="6" t="s">
        <v>127</v>
      </c>
      <c r="AW729" s="6" t="s">
        <v>127</v>
      </c>
      <c r="AX729" s="6" t="s">
        <v>127</v>
      </c>
      <c r="AY729" s="99" t="s">
        <v>3640</v>
      </c>
      <c r="AZ729" s="6" t="s">
        <v>127</v>
      </c>
      <c r="BA729" s="6" t="s">
        <v>127</v>
      </c>
      <c r="BB729" s="6" t="s">
        <v>3641</v>
      </c>
      <c r="BC729" s="6" t="s">
        <v>127</v>
      </c>
      <c r="BD729" s="6" t="s">
        <v>127</v>
      </c>
      <c r="BE729" s="6" t="s">
        <v>127</v>
      </c>
    </row>
    <row r="730" spans="1:58" ht="16" x14ac:dyDescent="0.4">
      <c r="A730" s="92" t="s">
        <v>3642</v>
      </c>
      <c r="B730" s="92" t="s">
        <v>3642</v>
      </c>
      <c r="C730" s="6" t="s">
        <v>127</v>
      </c>
      <c r="D730" s="6" t="s">
        <v>3272</v>
      </c>
      <c r="E730" s="192">
        <v>45210</v>
      </c>
      <c r="F730" s="6">
        <f t="shared" si="180"/>
        <v>2023</v>
      </c>
      <c r="G730" s="6" t="s">
        <v>3643</v>
      </c>
      <c r="H730" s="22" t="str">
        <f>VLOOKUP($G730,'Item Classification'!B:C,2,0)</f>
        <v>Command vehicle</v>
      </c>
      <c r="I730" s="6" t="str">
        <f>VLOOKUP($G730,'Item Classification'!B:D,3,0)</f>
        <v>Other</v>
      </c>
      <c r="J730" s="23">
        <f>VLOOKUP($G730,'Item Classification'!B:E,4,0)</f>
        <v>16</v>
      </c>
      <c r="K730" s="195" t="s">
        <v>274</v>
      </c>
      <c r="L730" s="195" t="s">
        <v>275</v>
      </c>
      <c r="M730" s="116" t="str">
        <f>VLOOKUP(L730,'NATO Classifications'!$D$6:$E$647,2,0)</f>
        <v>Trucks and Truck Tractors, Wheeled</v>
      </c>
      <c r="N730" s="25"/>
      <c r="O730" s="25"/>
      <c r="P730" s="25"/>
      <c r="Q730" s="25"/>
      <c r="R730" s="25"/>
      <c r="S730" s="25"/>
      <c r="T730" s="91" t="s">
        <v>3274</v>
      </c>
      <c r="U730" s="104">
        <f>_xlfn.IFNA(S730/INDEX('Exchange Rates'!$C$7:$F$14,MATCH('MAIN DATA, Orders'!F730,'Exchange Rates'!$B$7:$B$14,0),MATCH('MAIN DATA, Orders'!T730,'Exchange Rates'!$C$6:$F$6,0)), "-")</f>
        <v>0</v>
      </c>
      <c r="V730" s="10" t="s">
        <v>127</v>
      </c>
      <c r="W730" s="10" t="s">
        <v>127</v>
      </c>
      <c r="X730" s="6" t="s">
        <v>3272</v>
      </c>
      <c r="Y730" s="24">
        <f t="shared" si="183"/>
        <v>202310</v>
      </c>
      <c r="Z730" s="24" t="s">
        <v>127</v>
      </c>
      <c r="AA730" s="24" t="s">
        <v>127</v>
      </c>
      <c r="AB730" s="24" t="s">
        <v>127</v>
      </c>
      <c r="AC730" s="24" t="s">
        <v>127</v>
      </c>
      <c r="AD730" s="24" t="s">
        <v>127</v>
      </c>
      <c r="AE730" s="24" t="s">
        <v>127</v>
      </c>
      <c r="AF730" s="24" t="s">
        <v>127</v>
      </c>
      <c r="AG730" s="10" t="s">
        <v>127</v>
      </c>
      <c r="AH730" s="10" t="s">
        <v>127</v>
      </c>
      <c r="AI730" s="6" t="s">
        <v>127</v>
      </c>
      <c r="AJ730" s="6" t="s">
        <v>127</v>
      </c>
      <c r="AK730" s="6" t="s">
        <v>127</v>
      </c>
      <c r="AL730" s="6" t="s">
        <v>127</v>
      </c>
      <c r="AM730" s="6" t="s">
        <v>127</v>
      </c>
      <c r="AN730" s="6" t="s">
        <v>127</v>
      </c>
      <c r="AO730" s="6" t="s">
        <v>127</v>
      </c>
      <c r="AP730" s="6" t="s">
        <v>127</v>
      </c>
      <c r="AQ730" s="6" t="s">
        <v>127</v>
      </c>
      <c r="AR730" s="6" t="s">
        <v>127</v>
      </c>
      <c r="AS730" s="6" t="s">
        <v>127</v>
      </c>
      <c r="AT730" s="6" t="s">
        <v>127</v>
      </c>
      <c r="AU730" s="6" t="s">
        <v>127</v>
      </c>
      <c r="AV730" s="6" t="s">
        <v>127</v>
      </c>
      <c r="AW730" s="6" t="s">
        <v>127</v>
      </c>
      <c r="AX730" s="6" t="s">
        <v>127</v>
      </c>
      <c r="AY730" s="99" t="s">
        <v>3640</v>
      </c>
      <c r="AZ730" s="6" t="s">
        <v>127</v>
      </c>
      <c r="BA730" s="6" t="s">
        <v>127</v>
      </c>
      <c r="BB730" s="6" t="s">
        <v>3641</v>
      </c>
      <c r="BC730" s="6" t="s">
        <v>127</v>
      </c>
      <c r="BD730" s="6" t="s">
        <v>127</v>
      </c>
      <c r="BE730" s="6" t="s">
        <v>127</v>
      </c>
    </row>
    <row r="731" spans="1:58" ht="16" x14ac:dyDescent="0.4">
      <c r="A731" s="92" t="s">
        <v>3644</v>
      </c>
      <c r="B731" s="92" t="s">
        <v>3644</v>
      </c>
      <c r="C731" s="6" t="s">
        <v>127</v>
      </c>
      <c r="D731" s="6" t="s">
        <v>3272</v>
      </c>
      <c r="E731" s="192">
        <v>45210</v>
      </c>
      <c r="F731" s="6">
        <f t="shared" si="180"/>
        <v>2023</v>
      </c>
      <c r="G731" s="6" t="s">
        <v>3645</v>
      </c>
      <c r="H731" s="22" t="str">
        <f>VLOOKUP($G731,'Item Classification'!B:C,2,0)</f>
        <v>Motor vehicle</v>
      </c>
      <c r="I731" s="6" t="str">
        <f>VLOOKUP($G731,'Item Classification'!B:D,3,0)</f>
        <v>Naval</v>
      </c>
      <c r="J731" s="23">
        <f>VLOOKUP($G731,'Item Classification'!B:E,4,0)</f>
        <v>12</v>
      </c>
      <c r="K731" s="195" t="s">
        <v>274</v>
      </c>
      <c r="L731" s="195" t="s">
        <v>275</v>
      </c>
      <c r="M731" s="116" t="str">
        <f>VLOOKUP(L731,'NATO Classifications'!$D$6:$E$647,2,0)</f>
        <v>Trucks and Truck Tractors, Wheeled</v>
      </c>
      <c r="N731" s="25"/>
      <c r="O731" s="25"/>
      <c r="P731" s="25"/>
      <c r="Q731" s="25"/>
      <c r="R731" s="25"/>
      <c r="S731" s="25"/>
      <c r="T731" s="91" t="s">
        <v>3274</v>
      </c>
      <c r="U731" s="104">
        <f>_xlfn.IFNA(S731/INDEX('Exchange Rates'!$C$7:$F$14,MATCH('MAIN DATA, Orders'!F731,'Exchange Rates'!$B$7:$B$14,0),MATCH('MAIN DATA, Orders'!T731,'Exchange Rates'!$C$6:$F$6,0)), "-")</f>
        <v>0</v>
      </c>
      <c r="V731" s="10" t="s">
        <v>127</v>
      </c>
      <c r="W731" s="10" t="s">
        <v>127</v>
      </c>
      <c r="X731" s="6" t="s">
        <v>3272</v>
      </c>
      <c r="Y731" s="24">
        <f t="shared" si="183"/>
        <v>202310</v>
      </c>
      <c r="Z731" s="24" t="s">
        <v>127</v>
      </c>
      <c r="AA731" s="24" t="s">
        <v>127</v>
      </c>
      <c r="AB731" s="24" t="s">
        <v>127</v>
      </c>
      <c r="AC731" s="24" t="s">
        <v>127</v>
      </c>
      <c r="AD731" s="24" t="s">
        <v>127</v>
      </c>
      <c r="AE731" s="24" t="s">
        <v>127</v>
      </c>
      <c r="AF731" s="24" t="s">
        <v>127</v>
      </c>
      <c r="AG731" s="10" t="s">
        <v>127</v>
      </c>
      <c r="AH731" s="10" t="s">
        <v>127</v>
      </c>
      <c r="AI731" s="6" t="s">
        <v>127</v>
      </c>
      <c r="AJ731" s="6" t="s">
        <v>127</v>
      </c>
      <c r="AK731" s="6" t="s">
        <v>127</v>
      </c>
      <c r="AL731" s="6" t="s">
        <v>127</v>
      </c>
      <c r="AM731" s="6" t="s">
        <v>127</v>
      </c>
      <c r="AN731" s="6" t="s">
        <v>127</v>
      </c>
      <c r="AO731" s="6" t="s">
        <v>127</v>
      </c>
      <c r="AP731" s="6" t="s">
        <v>127</v>
      </c>
      <c r="AQ731" s="6" t="s">
        <v>127</v>
      </c>
      <c r="AR731" s="6" t="s">
        <v>127</v>
      </c>
      <c r="AS731" s="6" t="s">
        <v>127</v>
      </c>
      <c r="AT731" s="6" t="s">
        <v>127</v>
      </c>
      <c r="AU731" s="6" t="s">
        <v>127</v>
      </c>
      <c r="AV731" s="6" t="s">
        <v>127</v>
      </c>
      <c r="AW731" s="6" t="s">
        <v>127</v>
      </c>
      <c r="AX731" s="6" t="s">
        <v>127</v>
      </c>
      <c r="AY731" s="99" t="s">
        <v>3640</v>
      </c>
      <c r="AZ731" s="6" t="s">
        <v>127</v>
      </c>
      <c r="BA731" s="6" t="s">
        <v>127</v>
      </c>
      <c r="BB731" s="6" t="s">
        <v>3641</v>
      </c>
      <c r="BC731" s="6" t="s">
        <v>127</v>
      </c>
      <c r="BD731" s="6" t="s">
        <v>127</v>
      </c>
      <c r="BE731" s="6" t="s">
        <v>127</v>
      </c>
    </row>
    <row r="732" spans="1:58" ht="16" x14ac:dyDescent="0.4">
      <c r="A732" s="92" t="s">
        <v>3646</v>
      </c>
      <c r="B732" s="92" t="s">
        <v>3646</v>
      </c>
      <c r="C732" s="6" t="s">
        <v>127</v>
      </c>
      <c r="D732" s="6" t="s">
        <v>3272</v>
      </c>
      <c r="E732" s="192">
        <v>45210</v>
      </c>
      <c r="F732" s="6">
        <f t="shared" si="180"/>
        <v>2023</v>
      </c>
      <c r="G732" s="6" t="s">
        <v>3647</v>
      </c>
      <c r="H732" s="22" t="str">
        <f>VLOOKUP($G732,'Item Classification'!B:C,2,0)</f>
        <v>120mm mortar ammunition</v>
      </c>
      <c r="I732" s="6" t="str">
        <f>VLOOKUP($G732,'Item Classification'!B:D,3,0)</f>
        <v>Ammunition</v>
      </c>
      <c r="J732" s="23">
        <f>VLOOKUP($G732,'Item Classification'!B:E,4,0)</f>
        <v>4</v>
      </c>
      <c r="K732" s="195" t="s">
        <v>189</v>
      </c>
      <c r="L732" s="195" t="s">
        <v>255</v>
      </c>
      <c r="M732" s="116" t="str">
        <f>VLOOKUP(L732,'NATO Classifications'!$D$6:$E$647,2,0)</f>
        <v>Ammunition over 75mm</v>
      </c>
      <c r="N732" s="25"/>
      <c r="O732" s="25"/>
      <c r="P732" s="25"/>
      <c r="Q732" s="25"/>
      <c r="R732" s="25"/>
      <c r="S732" s="25"/>
      <c r="T732" s="91" t="s">
        <v>3274</v>
      </c>
      <c r="U732" s="104">
        <f>_xlfn.IFNA(S732/INDEX('Exchange Rates'!$C$7:$F$14,MATCH('MAIN DATA, Orders'!F732,'Exchange Rates'!$B$7:$B$14,0),MATCH('MAIN DATA, Orders'!T732,'Exchange Rates'!$C$6:$F$6,0)), "-")</f>
        <v>0</v>
      </c>
      <c r="V732" s="10" t="s">
        <v>127</v>
      </c>
      <c r="W732" s="10" t="s">
        <v>127</v>
      </c>
      <c r="X732" s="6" t="s">
        <v>3272</v>
      </c>
      <c r="Y732" s="24">
        <f t="shared" si="183"/>
        <v>202310</v>
      </c>
      <c r="Z732" s="24">
        <v>1</v>
      </c>
      <c r="AA732" s="24" t="s">
        <v>127</v>
      </c>
      <c r="AB732" s="24" t="s">
        <v>127</v>
      </c>
      <c r="AC732" s="24" t="s">
        <v>127</v>
      </c>
      <c r="AD732" s="24" t="s">
        <v>127</v>
      </c>
      <c r="AE732" s="24" t="s">
        <v>127</v>
      </c>
      <c r="AF732" s="24" t="s">
        <v>127</v>
      </c>
      <c r="AG732" s="10" t="s">
        <v>127</v>
      </c>
      <c r="AH732" s="10" t="s">
        <v>127</v>
      </c>
      <c r="AI732" s="6" t="s">
        <v>127</v>
      </c>
      <c r="AJ732" s="6" t="s">
        <v>127</v>
      </c>
      <c r="AK732" s="6" t="s">
        <v>127</v>
      </c>
      <c r="AL732" s="6" t="s">
        <v>127</v>
      </c>
      <c r="AM732" s="6" t="s">
        <v>127</v>
      </c>
      <c r="AN732" s="6" t="s">
        <v>127</v>
      </c>
      <c r="AO732" s="6" t="s">
        <v>127</v>
      </c>
      <c r="AP732" s="6" t="s">
        <v>127</v>
      </c>
      <c r="AQ732" s="6" t="s">
        <v>127</v>
      </c>
      <c r="AR732" s="6" t="s">
        <v>127</v>
      </c>
      <c r="AS732" s="6" t="s">
        <v>127</v>
      </c>
      <c r="AT732" s="6" t="s">
        <v>127</v>
      </c>
      <c r="AU732" s="6" t="s">
        <v>127</v>
      </c>
      <c r="AV732" s="6" t="s">
        <v>127</v>
      </c>
      <c r="AW732" s="6" t="s">
        <v>127</v>
      </c>
      <c r="AX732" s="6" t="s">
        <v>127</v>
      </c>
      <c r="AY732" s="99" t="s">
        <v>3640</v>
      </c>
      <c r="AZ732" s="6" t="s">
        <v>127</v>
      </c>
      <c r="BA732" s="6" t="s">
        <v>127</v>
      </c>
      <c r="BB732" s="6" t="s">
        <v>3641</v>
      </c>
      <c r="BC732" s="6" t="s">
        <v>127</v>
      </c>
      <c r="BD732" s="6" t="s">
        <v>127</v>
      </c>
      <c r="BE732" s="6" t="s">
        <v>127</v>
      </c>
    </row>
    <row r="733" spans="1:58" ht="16" x14ac:dyDescent="0.4">
      <c r="A733" s="92" t="s">
        <v>3648</v>
      </c>
      <c r="B733" s="92" t="s">
        <v>3648</v>
      </c>
      <c r="C733" s="6" t="s">
        <v>127</v>
      </c>
      <c r="D733" s="6" t="s">
        <v>3272</v>
      </c>
      <c r="E733" s="192">
        <v>45268</v>
      </c>
      <c r="F733" s="6">
        <f t="shared" si="180"/>
        <v>2023</v>
      </c>
      <c r="G733" s="6" t="s">
        <v>3514</v>
      </c>
      <c r="H733" s="22" t="str">
        <f>VLOOKUP($G733,'Item Classification'!B:C,2,0)</f>
        <v>155mm howitzer</v>
      </c>
      <c r="I733" s="6" t="str">
        <f>VLOOKUP($G733,'Item Classification'!B:D,3,0)</f>
        <v>Artillery</v>
      </c>
      <c r="J733" s="23">
        <f>VLOOKUP($G733,'Item Classification'!B:E,4,0)</f>
        <v>3</v>
      </c>
      <c r="K733" s="195" t="s">
        <v>763</v>
      </c>
      <c r="L733" s="195" t="s">
        <v>3515</v>
      </c>
      <c r="M733" s="116" t="str">
        <f>VLOOKUP(L733,'NATO Classifications'!$D$6:$E$647,2,0)</f>
        <v>Guns over 75mm</v>
      </c>
      <c r="N733" s="25">
        <v>152</v>
      </c>
      <c r="O733" s="81">
        <f>S733/N733</f>
        <v>65789473.684210524</v>
      </c>
      <c r="P733" s="81">
        <f>U733/N733</f>
        <v>14484692.57688475</v>
      </c>
      <c r="Q733" s="25">
        <v>2025</v>
      </c>
      <c r="R733" s="25">
        <v>2027</v>
      </c>
      <c r="S733" s="103">
        <v>10000000000</v>
      </c>
      <c r="T733" s="91" t="s">
        <v>3274</v>
      </c>
      <c r="U733" s="104">
        <f>_xlfn.IFNA(S733/INDEX('Exchange Rates'!$C$7:$F$14,MATCH('MAIN DATA, Orders'!F733,'Exchange Rates'!$B$7:$B$14,0),MATCH('MAIN DATA, Orders'!T733,'Exchange Rates'!$C$6:$F$6,0)), "-")</f>
        <v>2201673271.686482</v>
      </c>
      <c r="V733" s="10" t="s">
        <v>127</v>
      </c>
      <c r="W733" s="10" t="s">
        <v>127</v>
      </c>
      <c r="X733" s="6" t="s">
        <v>3272</v>
      </c>
      <c r="Y733" s="24">
        <f t="shared" si="183"/>
        <v>202312</v>
      </c>
      <c r="Z733" s="24">
        <v>1</v>
      </c>
      <c r="AA733" s="24">
        <v>0</v>
      </c>
      <c r="AB733" s="24">
        <v>0</v>
      </c>
      <c r="AC733" s="24">
        <v>1</v>
      </c>
      <c r="AD733" s="24">
        <v>0</v>
      </c>
      <c r="AE733" s="24">
        <v>1</v>
      </c>
      <c r="AF733" s="24">
        <v>1</v>
      </c>
      <c r="AG733" s="10" t="s">
        <v>3516</v>
      </c>
      <c r="AH733" s="10" t="s">
        <v>3272</v>
      </c>
      <c r="AI733" s="6" t="s">
        <v>3272</v>
      </c>
      <c r="AJ733" s="6" t="s">
        <v>3377</v>
      </c>
      <c r="AK733" s="6" t="s">
        <v>3649</v>
      </c>
      <c r="AL733" s="6" t="s">
        <v>127</v>
      </c>
      <c r="AM733" s="6" t="s">
        <v>127</v>
      </c>
      <c r="AN733" s="6" t="s">
        <v>3517</v>
      </c>
      <c r="AO733" s="6" t="s">
        <v>127</v>
      </c>
      <c r="AP733" s="6" t="s">
        <v>127</v>
      </c>
      <c r="AQ733" s="6" t="s">
        <v>127</v>
      </c>
      <c r="AR733" s="6" t="s">
        <v>127</v>
      </c>
      <c r="AS733" s="6" t="s">
        <v>127</v>
      </c>
      <c r="AT733" s="6" t="s">
        <v>127</v>
      </c>
      <c r="AU733" s="6" t="s">
        <v>127</v>
      </c>
      <c r="AV733" s="6" t="s">
        <v>127</v>
      </c>
      <c r="AW733" s="6" t="s">
        <v>127</v>
      </c>
      <c r="AX733" s="6" t="s">
        <v>127</v>
      </c>
      <c r="AY733" s="99" t="s">
        <v>3650</v>
      </c>
      <c r="AZ733" s="96" t="s">
        <v>3519</v>
      </c>
      <c r="BA733" s="96" t="s">
        <v>3651</v>
      </c>
      <c r="BB733" s="6" t="s">
        <v>3652</v>
      </c>
      <c r="BC733" s="6" t="s">
        <v>3653</v>
      </c>
      <c r="BD733" s="6" t="s">
        <v>127</v>
      </c>
      <c r="BE733" s="6" t="s">
        <v>3654</v>
      </c>
      <c r="BF733" s="6" t="s">
        <v>127</v>
      </c>
    </row>
    <row r="734" spans="1:58" ht="16" x14ac:dyDescent="0.4">
      <c r="A734" s="92" t="s">
        <v>3655</v>
      </c>
      <c r="B734" s="92" t="s">
        <v>3655</v>
      </c>
      <c r="C734" s="6" t="s">
        <v>3298</v>
      </c>
      <c r="D734" s="6" t="s">
        <v>3272</v>
      </c>
      <c r="E734" s="192">
        <v>45342</v>
      </c>
      <c r="F734" s="6">
        <f t="shared" si="180"/>
        <v>2024</v>
      </c>
      <c r="G734" s="6" t="s">
        <v>3656</v>
      </c>
      <c r="H734" s="22" t="str">
        <f>VLOOKUP($G734,'Item Classification'!B:C,2,0)</f>
        <v>Various equipment</v>
      </c>
      <c r="I734" s="6" t="str">
        <f>VLOOKUP($G734,'Item Classification'!B:D,3,0)</f>
        <v>Other</v>
      </c>
      <c r="J734" s="23">
        <f>VLOOKUP($G734,'Item Classification'!B:E,4,0)</f>
        <v>16</v>
      </c>
      <c r="K734" s="195" t="s">
        <v>229</v>
      </c>
      <c r="L734" s="195" t="s">
        <v>230</v>
      </c>
      <c r="M734" s="116" t="str">
        <f>VLOOKUP(L734,'NATO Classifications'!$D$6:$E$647,2,0)</f>
        <v>Miscellaneous Items</v>
      </c>
      <c r="N734" s="25"/>
      <c r="O734" s="81"/>
      <c r="P734" s="25"/>
      <c r="Q734" s="25"/>
      <c r="R734" s="25"/>
      <c r="S734" s="103">
        <v>300000000</v>
      </c>
      <c r="T734" s="91" t="s">
        <v>3274</v>
      </c>
      <c r="U734" s="104">
        <f>_xlfn.IFNA(S734/INDEX('Exchange Rates'!$C$7:$F$14,MATCH('MAIN DATA, Orders'!F734,'Exchange Rates'!$B$7:$B$14,0),MATCH('MAIN DATA, Orders'!T734,'Exchange Rates'!$C$6:$F$6,0)), "-")</f>
        <v>69673463.700125411</v>
      </c>
      <c r="V734" s="6" t="s">
        <v>127</v>
      </c>
      <c r="W734" s="10" t="s">
        <v>127</v>
      </c>
      <c r="X734" s="6" t="s">
        <v>3272</v>
      </c>
      <c r="Y734" s="24">
        <f t="shared" si="183"/>
        <v>202402</v>
      </c>
      <c r="Z734" s="24">
        <v>0</v>
      </c>
      <c r="AA734" s="24">
        <v>1</v>
      </c>
      <c r="AB734" s="24">
        <v>0</v>
      </c>
      <c r="AC734" s="24">
        <v>1</v>
      </c>
      <c r="AD734" s="24">
        <v>0</v>
      </c>
      <c r="AE734" s="24">
        <v>1</v>
      </c>
      <c r="AF734" s="24">
        <v>1</v>
      </c>
      <c r="AG734" s="10" t="s">
        <v>3657</v>
      </c>
      <c r="AH734" s="10" t="s">
        <v>196</v>
      </c>
      <c r="AI734" s="6" t="s">
        <v>3272</v>
      </c>
      <c r="AJ734" s="6" t="s">
        <v>3361</v>
      </c>
      <c r="AK734" s="6" t="s">
        <v>3658</v>
      </c>
      <c r="AL734" s="6" t="s">
        <v>3659</v>
      </c>
      <c r="AM734" s="6" t="s">
        <v>3660</v>
      </c>
      <c r="AN734" s="6" t="s">
        <v>127</v>
      </c>
      <c r="AO734" s="6" t="s">
        <v>127</v>
      </c>
      <c r="AP734" s="6" t="s">
        <v>127</v>
      </c>
      <c r="AQ734" s="6" t="s">
        <v>127</v>
      </c>
      <c r="AR734" s="6" t="s">
        <v>127</v>
      </c>
      <c r="AS734" s="6" t="s">
        <v>127</v>
      </c>
      <c r="AT734" s="6" t="s">
        <v>127</v>
      </c>
      <c r="AU734" s="6" t="s">
        <v>127</v>
      </c>
      <c r="AV734" s="6" t="s">
        <v>127</v>
      </c>
      <c r="AW734" s="6" t="s">
        <v>127</v>
      </c>
      <c r="AX734" s="6" t="s">
        <v>127</v>
      </c>
      <c r="AY734" s="99" t="s">
        <v>3661</v>
      </c>
      <c r="AZ734" s="6" t="s">
        <v>127</v>
      </c>
      <c r="BA734" s="6" t="s">
        <v>127</v>
      </c>
      <c r="BB734" s="6" t="s">
        <v>3662</v>
      </c>
      <c r="BC734" s="6" t="s">
        <v>3663</v>
      </c>
      <c r="BD734" s="6" t="s">
        <v>127</v>
      </c>
      <c r="BE734" s="6" t="s">
        <v>127</v>
      </c>
    </row>
    <row r="735" spans="1:58" ht="16" x14ac:dyDescent="0.4">
      <c r="A735" s="92" t="s">
        <v>3664</v>
      </c>
      <c r="B735" s="92" t="s">
        <v>3664</v>
      </c>
      <c r="C735" s="6" t="s">
        <v>3298</v>
      </c>
      <c r="D735" s="6" t="s">
        <v>3272</v>
      </c>
      <c r="E735" s="192">
        <v>45351</v>
      </c>
      <c r="F735" s="6">
        <f t="shared" si="180"/>
        <v>2024</v>
      </c>
      <c r="G735" s="6" t="s">
        <v>3665</v>
      </c>
      <c r="H735" s="22" t="str">
        <f>VLOOKUP($G735,'Item Classification'!B:C,2,0)</f>
        <v>Air defence command system</v>
      </c>
      <c r="I735" s="6" t="str">
        <f>VLOOKUP($G735,'Item Classification'!B:D,3,0)</f>
        <v>Air defence system</v>
      </c>
      <c r="J735" s="23">
        <f>VLOOKUP($G735,'Item Classification'!B:E,4,0)</f>
        <v>5</v>
      </c>
      <c r="K735" s="195" t="s">
        <v>580</v>
      </c>
      <c r="L735" s="195" t="s">
        <v>3170</v>
      </c>
      <c r="M735" s="116" t="str">
        <f>VLOOKUP(L735,'NATO Classifications'!$D$6:$E$647,2,0)</f>
        <v>Fire Control Systems, Complete</v>
      </c>
      <c r="N735" s="25"/>
      <c r="O735" s="81"/>
      <c r="P735" s="25"/>
      <c r="Q735" s="25">
        <v>2024</v>
      </c>
      <c r="R735" s="25">
        <v>2031</v>
      </c>
      <c r="S735" s="103">
        <v>2530000000</v>
      </c>
      <c r="T735" s="91" t="s">
        <v>3284</v>
      </c>
      <c r="U735" s="104">
        <f>_xlfn.IFNA(S735/INDEX('Exchange Rates'!$C$7:$F$14,MATCH('MAIN DATA, Orders'!F735,'Exchange Rates'!$B$7:$B$14,0),MATCH('MAIN DATA, Orders'!T735,'Exchange Rates'!$C$6:$F$6,0)), "-")</f>
        <v>2337398373.9837399</v>
      </c>
      <c r="V735" s="6" t="s">
        <v>127</v>
      </c>
      <c r="W735" s="6" t="s">
        <v>127</v>
      </c>
      <c r="X735" s="6" t="s">
        <v>3272</v>
      </c>
      <c r="Y735" s="24">
        <f t="shared" si="183"/>
        <v>202402</v>
      </c>
      <c r="Z735" s="24">
        <v>0</v>
      </c>
      <c r="AA735" s="24">
        <v>0</v>
      </c>
      <c r="AB735" s="24">
        <v>0</v>
      </c>
      <c r="AC735" s="24">
        <v>0</v>
      </c>
      <c r="AD735" s="24">
        <v>0</v>
      </c>
      <c r="AE735" s="24">
        <v>0</v>
      </c>
      <c r="AF735" s="24">
        <v>0</v>
      </c>
      <c r="AG735" s="10" t="s">
        <v>127</v>
      </c>
      <c r="AH735" s="10" t="s">
        <v>196</v>
      </c>
      <c r="AI735" s="6" t="s">
        <v>196</v>
      </c>
      <c r="AJ735" s="6" t="s">
        <v>127</v>
      </c>
      <c r="AK735" s="6" t="s">
        <v>127</v>
      </c>
      <c r="AL735" s="6" t="s">
        <v>127</v>
      </c>
      <c r="AM735" s="6" t="s">
        <v>127</v>
      </c>
      <c r="AN735" s="6" t="s">
        <v>127</v>
      </c>
      <c r="AO735" s="6" t="s">
        <v>127</v>
      </c>
      <c r="AP735" s="6" t="s">
        <v>127</v>
      </c>
      <c r="AQ735" s="6" t="s">
        <v>127</v>
      </c>
      <c r="AR735" s="6" t="s">
        <v>127</v>
      </c>
      <c r="AS735" s="6" t="s">
        <v>127</v>
      </c>
      <c r="AT735" s="6" t="s">
        <v>127</v>
      </c>
      <c r="AU735" s="6" t="s">
        <v>127</v>
      </c>
      <c r="AV735" s="6" t="s">
        <v>127</v>
      </c>
      <c r="AW735" s="6" t="s">
        <v>127</v>
      </c>
      <c r="AX735" s="6" t="s">
        <v>127</v>
      </c>
      <c r="AY735" s="99" t="s">
        <v>3666</v>
      </c>
      <c r="AZ735" s="6" t="s">
        <v>127</v>
      </c>
      <c r="BA735" s="6" t="s">
        <v>127</v>
      </c>
      <c r="BB735" s="6" t="s">
        <v>3667</v>
      </c>
      <c r="BC735" s="6" t="s">
        <v>3668</v>
      </c>
      <c r="BD735" s="6" t="s">
        <v>3669</v>
      </c>
      <c r="BE735" s="6" t="s">
        <v>127</v>
      </c>
    </row>
    <row r="736" spans="1:58" ht="16" x14ac:dyDescent="0.4">
      <c r="A736" s="92" t="s">
        <v>3670</v>
      </c>
      <c r="B736" s="92" t="s">
        <v>3670</v>
      </c>
      <c r="C736" s="6" t="s">
        <v>127</v>
      </c>
      <c r="D736" s="6" t="s">
        <v>3272</v>
      </c>
      <c r="E736" s="192">
        <v>45355</v>
      </c>
      <c r="F736" s="6">
        <f t="shared" si="180"/>
        <v>2024</v>
      </c>
      <c r="G736" s="6" t="s">
        <v>3671</v>
      </c>
      <c r="H736" s="22" t="str">
        <f>VLOOKUP($G736,'Item Classification'!B:C,2,0)</f>
        <v>Grenade launcher</v>
      </c>
      <c r="I736" s="6" t="str">
        <f>VLOOKUP($G736,'Item Classification'!B:D,3,0)</f>
        <v>Infantry</v>
      </c>
      <c r="J736" s="23">
        <f>VLOOKUP($G736,'Item Classification'!B:E,4,0)</f>
        <v>8</v>
      </c>
      <c r="K736" s="195" t="s">
        <v>763</v>
      </c>
      <c r="L736" s="195" t="s">
        <v>764</v>
      </c>
      <c r="M736" s="116" t="str">
        <f>VLOOKUP(L736,'NATO Classifications'!$D$6:$E$647,2,0)</f>
        <v>Guns below 75mm</v>
      </c>
      <c r="N736" s="25">
        <v>6000</v>
      </c>
      <c r="O736" s="81">
        <f>S736/N736</f>
        <v>1083333.3333333333</v>
      </c>
      <c r="P736" s="81">
        <f t="shared" ref="P736" si="184">U736/N736</f>
        <v>251598.61891711957</v>
      </c>
      <c r="Q736" s="25"/>
      <c r="R736" s="25">
        <v>2027</v>
      </c>
      <c r="S736" s="103">
        <v>6500000000</v>
      </c>
      <c r="T736" s="91" t="s">
        <v>3274</v>
      </c>
      <c r="U736" s="104">
        <f>_xlfn.IFNA(S736/INDEX('Exchange Rates'!$C$7:$F$14,MATCH('MAIN DATA, Orders'!F736,'Exchange Rates'!$B$7:$B$14,0),MATCH('MAIN DATA, Orders'!T736,'Exchange Rates'!$C$6:$F$6,0)), "-")</f>
        <v>1509591713.5027175</v>
      </c>
      <c r="V736" s="6" t="s">
        <v>127</v>
      </c>
      <c r="W736" s="6" t="s">
        <v>127</v>
      </c>
      <c r="X736" s="6" t="s">
        <v>3272</v>
      </c>
      <c r="Y736" s="24">
        <f t="shared" si="183"/>
        <v>202403</v>
      </c>
      <c r="Z736" s="24">
        <v>0</v>
      </c>
      <c r="AA736" s="24">
        <v>0</v>
      </c>
      <c r="AB736" s="24">
        <v>0</v>
      </c>
      <c r="AC736" s="24">
        <v>1</v>
      </c>
      <c r="AD736" s="24">
        <v>0</v>
      </c>
      <c r="AE736" s="24">
        <v>0</v>
      </c>
      <c r="AF736" s="24">
        <v>1</v>
      </c>
      <c r="AG736" s="10" t="s">
        <v>212</v>
      </c>
      <c r="AH736" s="10" t="s">
        <v>213</v>
      </c>
      <c r="AI736" s="6" t="s">
        <v>213</v>
      </c>
      <c r="AJ736" s="6" t="s">
        <v>127</v>
      </c>
      <c r="AK736" s="6" t="s">
        <v>127</v>
      </c>
      <c r="AL736" s="6" t="s">
        <v>127</v>
      </c>
      <c r="AM736" s="6" t="s">
        <v>127</v>
      </c>
      <c r="AN736" s="6" t="s">
        <v>127</v>
      </c>
      <c r="AO736" s="6" t="s">
        <v>127</v>
      </c>
      <c r="AP736" s="6" t="s">
        <v>127</v>
      </c>
      <c r="AQ736" s="6" t="s">
        <v>127</v>
      </c>
      <c r="AR736" s="6" t="s">
        <v>127</v>
      </c>
      <c r="AS736" s="6" t="s">
        <v>127</v>
      </c>
      <c r="AT736" s="6" t="s">
        <v>127</v>
      </c>
      <c r="AU736" s="6" t="s">
        <v>127</v>
      </c>
      <c r="AV736" s="6" t="s">
        <v>127</v>
      </c>
      <c r="AW736" s="6" t="s">
        <v>127</v>
      </c>
      <c r="AX736" s="6" t="s">
        <v>127</v>
      </c>
      <c r="AY736" s="99" t="s">
        <v>3672</v>
      </c>
      <c r="AZ736" s="99" t="s">
        <v>3673</v>
      </c>
      <c r="BA736" s="96" t="s">
        <v>3674</v>
      </c>
      <c r="BB736" s="6" t="s">
        <v>3675</v>
      </c>
      <c r="BC736" s="6" t="s">
        <v>3676</v>
      </c>
      <c r="BD736" s="6" t="s">
        <v>3677</v>
      </c>
      <c r="BE736" s="6" t="s">
        <v>127</v>
      </c>
    </row>
    <row r="737" spans="1:58" ht="16" x14ac:dyDescent="0.4">
      <c r="A737" s="92" t="s">
        <v>3678</v>
      </c>
      <c r="B737" s="92" t="s">
        <v>3678</v>
      </c>
      <c r="C737" s="6" t="s">
        <v>3679</v>
      </c>
      <c r="D737" s="6" t="s">
        <v>3272</v>
      </c>
      <c r="E737" s="192">
        <v>45399</v>
      </c>
      <c r="F737" s="6">
        <f t="shared" si="180"/>
        <v>2024</v>
      </c>
      <c r="G737" s="4" t="s">
        <v>3680</v>
      </c>
      <c r="H737" s="22" t="str">
        <f>VLOOKUP($G737,'Item Classification'!B:C,2,0)</f>
        <v>Reconnaissance drone</v>
      </c>
      <c r="I737" s="6" t="str">
        <f>VLOOKUP($G737,'Item Classification'!B:D,3,0)</f>
        <v>Drone</v>
      </c>
      <c r="J737" s="23">
        <f>VLOOKUP($G737,'Item Classification'!B:E,4,0)</f>
        <v>7</v>
      </c>
      <c r="K737" s="195" t="s">
        <v>130</v>
      </c>
      <c r="L737" s="195" t="s">
        <v>131</v>
      </c>
      <c r="M737" s="116" t="str">
        <f>VLOOKUP(L737,'NATO Classifications'!$D$6:$E$647,2,0)</f>
        <v>Unmanned Aircraft</v>
      </c>
      <c r="N737" s="25">
        <v>28</v>
      </c>
      <c r="O737" s="81">
        <f t="shared" ref="O737" si="185">S737/N737</f>
        <v>2057142.857142857</v>
      </c>
      <c r="P737" s="81">
        <f t="shared" ref="P737" si="186">U737/N737</f>
        <v>477760.89394371718</v>
      </c>
      <c r="Q737" s="25">
        <v>2024</v>
      </c>
      <c r="R737" s="25">
        <v>2026</v>
      </c>
      <c r="S737" s="103">
        <v>57600000</v>
      </c>
      <c r="T737" s="91" t="s">
        <v>3274</v>
      </c>
      <c r="U737" s="104">
        <f>_xlfn.IFNA(S737/INDEX('Exchange Rates'!$C$7:$F$14,MATCH('MAIN DATA, Orders'!F737,'Exchange Rates'!$B$7:$B$14,0),MATCH('MAIN DATA, Orders'!T737,'Exchange Rates'!$C$6:$F$6,0)), "-")</f>
        <v>13377305.030424081</v>
      </c>
      <c r="V737" s="6" t="s">
        <v>127</v>
      </c>
      <c r="W737" s="6" t="s">
        <v>127</v>
      </c>
      <c r="X737" s="6" t="s">
        <v>3272</v>
      </c>
      <c r="Y737" s="24">
        <f t="shared" si="183"/>
        <v>202404</v>
      </c>
      <c r="Z737" s="24">
        <v>1</v>
      </c>
      <c r="AA737" s="24">
        <v>0</v>
      </c>
      <c r="AB737" s="24">
        <v>0</v>
      </c>
      <c r="AC737" s="24">
        <v>1</v>
      </c>
      <c r="AD737" s="24">
        <v>0</v>
      </c>
      <c r="AE737" s="24">
        <v>0</v>
      </c>
      <c r="AF737" s="24">
        <v>0</v>
      </c>
      <c r="AG737" s="10" t="s">
        <v>3545</v>
      </c>
      <c r="AH737" s="10" t="s">
        <v>3272</v>
      </c>
      <c r="AI737" s="6" t="s">
        <v>3272</v>
      </c>
      <c r="AJ737" s="6" t="s">
        <v>127</v>
      </c>
      <c r="AK737" s="6" t="s">
        <v>127</v>
      </c>
      <c r="AL737" s="6" t="s">
        <v>127</v>
      </c>
      <c r="AM737" s="6" t="s">
        <v>127</v>
      </c>
      <c r="AN737" s="6" t="s">
        <v>127</v>
      </c>
      <c r="AO737" s="6" t="s">
        <v>127</v>
      </c>
      <c r="AP737" s="6" t="s">
        <v>127</v>
      </c>
      <c r="AQ737" s="6" t="s">
        <v>127</v>
      </c>
      <c r="AR737" s="6" t="s">
        <v>127</v>
      </c>
      <c r="AS737" s="6" t="s">
        <v>127</v>
      </c>
      <c r="AT737" s="6" t="s">
        <v>127</v>
      </c>
      <c r="AU737" s="6" t="s">
        <v>127</v>
      </c>
      <c r="AV737" s="6" t="s">
        <v>127</v>
      </c>
      <c r="AW737" s="6" t="s">
        <v>127</v>
      </c>
      <c r="AX737" s="6" t="s">
        <v>127</v>
      </c>
      <c r="AY737" s="99" t="s">
        <v>3681</v>
      </c>
      <c r="AZ737" s="96" t="s">
        <v>3682</v>
      </c>
      <c r="BA737" s="96" t="s">
        <v>3683</v>
      </c>
      <c r="BB737" s="6" t="s">
        <v>3684</v>
      </c>
      <c r="BC737" s="6" t="s">
        <v>3685</v>
      </c>
      <c r="BD737" s="6" t="s">
        <v>3686</v>
      </c>
      <c r="BE737" s="6" t="s">
        <v>3687</v>
      </c>
      <c r="BF737" s="6" t="s">
        <v>127</v>
      </c>
    </row>
    <row r="738" spans="1:58" ht="16" x14ac:dyDescent="0.4">
      <c r="A738" s="92" t="s">
        <v>3688</v>
      </c>
      <c r="B738" s="92" t="s">
        <v>3688</v>
      </c>
      <c r="C738" s="6" t="s">
        <v>127</v>
      </c>
      <c r="D738" s="6" t="s">
        <v>3272</v>
      </c>
      <c r="E738" s="192">
        <v>45407</v>
      </c>
      <c r="F738" s="6">
        <f t="shared" si="180"/>
        <v>2024</v>
      </c>
      <c r="G738" s="6" t="s">
        <v>3564</v>
      </c>
      <c r="H738" s="22" t="str">
        <f>VLOOKUP($G738,'Item Classification'!B:C,2,0)</f>
        <v>Multiple rocket launcher system</v>
      </c>
      <c r="I738" s="6" t="str">
        <f>VLOOKUP($G738,'Item Classification'!B:D,3,0)</f>
        <v>Artillery</v>
      </c>
      <c r="J738" s="23">
        <f>VLOOKUP($G738,'Item Classification'!B:E,4,0)</f>
        <v>3</v>
      </c>
      <c r="K738" s="195" t="s">
        <v>763</v>
      </c>
      <c r="L738" s="195" t="s">
        <v>1580</v>
      </c>
      <c r="M738" s="116" t="str">
        <f>VLOOKUP(L738,'NATO Classifications'!$D$6:$E$647,2,0)</f>
        <v>Launchers, Rocket and Pyrotechnic</v>
      </c>
      <c r="N738" s="25">
        <v>72</v>
      </c>
      <c r="O738" s="81">
        <f>S738/N738</f>
        <v>22222222.222222224</v>
      </c>
      <c r="P738" s="81">
        <f>U738/N738</f>
        <v>20530508.335386381</v>
      </c>
      <c r="Q738" s="25"/>
      <c r="R738" s="25"/>
      <c r="S738" s="103">
        <v>1600000000</v>
      </c>
      <c r="T738" s="91" t="s">
        <v>3284</v>
      </c>
      <c r="U738" s="104">
        <f>_xlfn.IFNA(S738/INDEX('Exchange Rates'!$C$7:$F$14,MATCH('MAIN DATA, Orders'!F738,'Exchange Rates'!$B$7:$B$14,0),MATCH('MAIN DATA, Orders'!T738,'Exchange Rates'!$C$6:$F$6,0)), "-")</f>
        <v>1478196600.1478195</v>
      </c>
      <c r="V738" s="6" t="s">
        <v>127</v>
      </c>
      <c r="W738" s="6" t="s">
        <v>127</v>
      </c>
      <c r="X738" s="6" t="s">
        <v>3272</v>
      </c>
      <c r="Y738" s="24">
        <f t="shared" si="183"/>
        <v>202404</v>
      </c>
      <c r="Z738" s="24">
        <v>1</v>
      </c>
      <c r="AA738" s="24">
        <v>0</v>
      </c>
      <c r="AB738" s="24">
        <v>0</v>
      </c>
      <c r="AC738" s="24">
        <v>0</v>
      </c>
      <c r="AD738" s="24">
        <v>0</v>
      </c>
      <c r="AE738" s="24">
        <v>0</v>
      </c>
      <c r="AF738" s="24">
        <v>1</v>
      </c>
      <c r="AG738" s="10" t="s">
        <v>3516</v>
      </c>
      <c r="AH738" s="10" t="s">
        <v>3517</v>
      </c>
      <c r="AI738" s="6" t="s">
        <v>3517</v>
      </c>
      <c r="AJ738" s="6" t="s">
        <v>127</v>
      </c>
      <c r="AK738" s="6" t="s">
        <v>127</v>
      </c>
      <c r="AL738" s="6" t="s">
        <v>127</v>
      </c>
      <c r="AM738" s="6" t="s">
        <v>127</v>
      </c>
      <c r="AN738" s="6" t="s">
        <v>127</v>
      </c>
      <c r="AO738" s="6" t="s">
        <v>127</v>
      </c>
      <c r="AP738" s="6" t="s">
        <v>127</v>
      </c>
      <c r="AQ738" s="6" t="s">
        <v>127</v>
      </c>
      <c r="AR738" s="6" t="s">
        <v>127</v>
      </c>
      <c r="AS738" s="6" t="s">
        <v>127</v>
      </c>
      <c r="AT738" s="6" t="s">
        <v>127</v>
      </c>
      <c r="AU738" s="6" t="s">
        <v>127</v>
      </c>
      <c r="AV738" s="6" t="s">
        <v>127</v>
      </c>
      <c r="AW738" s="6" t="s">
        <v>127</v>
      </c>
      <c r="AX738" s="6" t="s">
        <v>127</v>
      </c>
      <c r="AY738" s="99" t="s">
        <v>3689</v>
      </c>
      <c r="AZ738" s="96" t="s">
        <v>3690</v>
      </c>
      <c r="BA738" s="6" t="s">
        <v>127</v>
      </c>
      <c r="BB738" s="6" t="s">
        <v>3691</v>
      </c>
      <c r="BC738" s="6" t="s">
        <v>3692</v>
      </c>
      <c r="BD738" s="6" t="s">
        <v>3693</v>
      </c>
      <c r="BE738" s="6" t="s">
        <v>127</v>
      </c>
    </row>
    <row r="739" spans="1:58" ht="16" x14ac:dyDescent="0.4">
      <c r="A739" s="92" t="s">
        <v>3694</v>
      </c>
      <c r="B739" s="92" t="s">
        <v>3694</v>
      </c>
      <c r="C739" s="6" t="s">
        <v>3695</v>
      </c>
      <c r="D739" s="6" t="s">
        <v>3272</v>
      </c>
      <c r="E739" s="192">
        <v>45434</v>
      </c>
      <c r="F739" s="6">
        <f t="shared" si="180"/>
        <v>2024</v>
      </c>
      <c r="G739" s="6" t="s">
        <v>3696</v>
      </c>
      <c r="H739" s="22" t="str">
        <f>VLOOKUP($G739,'Item Classification'!B:C,2,0)</f>
        <v>Radar for air defence system</v>
      </c>
      <c r="I739" s="6" t="str">
        <f>VLOOKUP($G739,'Item Classification'!B:D,3,0)</f>
        <v>Air defence system</v>
      </c>
      <c r="J739" s="23">
        <f>VLOOKUP($G739,'Item Classification'!B:E,4,0)</f>
        <v>5</v>
      </c>
      <c r="K739" s="195" t="s">
        <v>158</v>
      </c>
      <c r="L739" s="195" t="s">
        <v>399</v>
      </c>
      <c r="M739" s="116" t="str">
        <f>VLOOKUP(L739,'NATO Classifications'!$D$6:$E$647,2,0)</f>
        <v>Radar and Sensor</v>
      </c>
      <c r="N739" s="25">
        <v>4</v>
      </c>
      <c r="O739" s="81">
        <f>S739/N739</f>
        <v>240000000</v>
      </c>
      <c r="P739" s="81">
        <f>U739/N739</f>
        <v>221729490.02217296</v>
      </c>
      <c r="Q739" s="25"/>
      <c r="R739" s="25"/>
      <c r="S739" s="103">
        <v>960000000</v>
      </c>
      <c r="T739" s="91" t="s">
        <v>3284</v>
      </c>
      <c r="U739" s="104">
        <f>_xlfn.IFNA(S739/INDEX('Exchange Rates'!$C$7:$F$14,MATCH('MAIN DATA, Orders'!F739,'Exchange Rates'!$B$7:$B$14,0),MATCH('MAIN DATA, Orders'!T739,'Exchange Rates'!$C$6:$F$6,0)), "-")</f>
        <v>886917960.08869183</v>
      </c>
      <c r="V739" s="6" t="s">
        <v>127</v>
      </c>
      <c r="W739" s="6" t="s">
        <v>127</v>
      </c>
      <c r="X739" s="6" t="s">
        <v>3272</v>
      </c>
      <c r="Y739" s="24">
        <f t="shared" si="183"/>
        <v>202405</v>
      </c>
      <c r="Z739" s="24">
        <v>0</v>
      </c>
      <c r="AA739" s="24">
        <v>0</v>
      </c>
      <c r="AB739" s="24">
        <v>0</v>
      </c>
      <c r="AC739" s="24">
        <v>0</v>
      </c>
      <c r="AD739" s="24">
        <v>0</v>
      </c>
      <c r="AE739" s="24">
        <v>0</v>
      </c>
      <c r="AF739" s="24">
        <v>1</v>
      </c>
      <c r="AG739" s="10" t="s">
        <v>795</v>
      </c>
      <c r="AH739" s="10" t="s">
        <v>196</v>
      </c>
      <c r="AI739" s="6" t="s">
        <v>196</v>
      </c>
      <c r="AJ739" s="6" t="s">
        <v>127</v>
      </c>
      <c r="AK739" s="6" t="s">
        <v>127</v>
      </c>
      <c r="AL739" s="6" t="s">
        <v>127</v>
      </c>
      <c r="AM739" s="6" t="s">
        <v>127</v>
      </c>
      <c r="AN739" s="6" t="s">
        <v>127</v>
      </c>
      <c r="AO739" s="6" t="s">
        <v>127</v>
      </c>
      <c r="AP739" s="6" t="s">
        <v>127</v>
      </c>
      <c r="AQ739" s="6" t="s">
        <v>127</v>
      </c>
      <c r="AR739" s="6" t="s">
        <v>127</v>
      </c>
      <c r="AS739" s="6" t="s">
        <v>127</v>
      </c>
      <c r="AT739" s="6" t="s">
        <v>127</v>
      </c>
      <c r="AU739" s="6" t="s">
        <v>127</v>
      </c>
      <c r="AV739" s="6" t="s">
        <v>127</v>
      </c>
      <c r="AW739" s="6" t="s">
        <v>127</v>
      </c>
      <c r="AX739" s="6" t="s">
        <v>127</v>
      </c>
      <c r="AY739" s="99" t="s">
        <v>3697</v>
      </c>
      <c r="AZ739" s="6" t="s">
        <v>127</v>
      </c>
      <c r="BA739" s="6" t="s">
        <v>127</v>
      </c>
      <c r="BB739" s="6" t="s">
        <v>3698</v>
      </c>
      <c r="BC739" s="6" t="s">
        <v>3699</v>
      </c>
      <c r="BD739" s="6" t="s">
        <v>127</v>
      </c>
      <c r="BE739" s="6" t="s">
        <v>127</v>
      </c>
    </row>
    <row r="740" spans="1:58" ht="16" x14ac:dyDescent="0.4">
      <c r="A740" s="92" t="s">
        <v>3700</v>
      </c>
      <c r="B740" s="92" t="s">
        <v>3700</v>
      </c>
      <c r="C740" s="6" t="s">
        <v>127</v>
      </c>
      <c r="D740" s="6" t="s">
        <v>3272</v>
      </c>
      <c r="E740" s="192">
        <v>45440</v>
      </c>
      <c r="F740" s="6">
        <f t="shared" si="180"/>
        <v>2024</v>
      </c>
      <c r="G740" s="6" t="s">
        <v>3701</v>
      </c>
      <c r="H740" s="22" t="str">
        <f>VLOOKUP($G740,'Item Classification'!B:C,2,0)</f>
        <v>Surface-to-air missile (SAM) (long-range)</v>
      </c>
      <c r="I740" s="6" t="str">
        <f>VLOOKUP($G740,'Item Classification'!B:D,3,0)</f>
        <v>Missile (Land)</v>
      </c>
      <c r="J740" s="23">
        <f>VLOOKUP($G740,'Item Classification'!B:E,4,0)</f>
        <v>6</v>
      </c>
      <c r="K740" s="195" t="s">
        <v>211</v>
      </c>
      <c r="L740" s="195" t="s">
        <v>211</v>
      </c>
      <c r="M740" s="116" t="str">
        <f>VLOOKUP(L740,'NATO Classifications'!$D$6:$E$647,2,0)</f>
        <v>Guided Missiles</v>
      </c>
      <c r="N740" s="25"/>
      <c r="O740" s="81"/>
      <c r="P740" s="25"/>
      <c r="Q740" s="25">
        <v>2026</v>
      </c>
      <c r="R740" s="25">
        <v>2030</v>
      </c>
      <c r="S740" s="103">
        <v>735000000</v>
      </c>
      <c r="T740" s="91" t="s">
        <v>3284</v>
      </c>
      <c r="U740" s="104">
        <f>_xlfn.IFNA(S740/INDEX('Exchange Rates'!$C$7:$F$14,MATCH('MAIN DATA, Orders'!F740,'Exchange Rates'!$B$7:$B$14,0),MATCH('MAIN DATA, Orders'!T740,'Exchange Rates'!$C$6:$F$6,0)), "-")</f>
        <v>679046563.19290459</v>
      </c>
      <c r="V740" s="6" t="s">
        <v>127</v>
      </c>
      <c r="W740" s="6" t="s">
        <v>127</v>
      </c>
      <c r="X740" s="6" t="s">
        <v>3272</v>
      </c>
      <c r="Y740" s="24">
        <f t="shared" si="183"/>
        <v>202405</v>
      </c>
      <c r="Z740" s="24">
        <v>0</v>
      </c>
      <c r="AA740" s="24">
        <v>0</v>
      </c>
      <c r="AB740" s="24">
        <v>0</v>
      </c>
      <c r="AC740" s="24">
        <v>0</v>
      </c>
      <c r="AD740" s="24">
        <v>0</v>
      </c>
      <c r="AE740" s="24">
        <v>0</v>
      </c>
      <c r="AF740" s="24">
        <v>1</v>
      </c>
      <c r="AG740" s="10" t="s">
        <v>795</v>
      </c>
      <c r="AH740" s="10" t="s">
        <v>196</v>
      </c>
      <c r="AI740" s="6" t="s">
        <v>196</v>
      </c>
      <c r="AJ740" s="6" t="s">
        <v>127</v>
      </c>
      <c r="AK740" s="6" t="s">
        <v>127</v>
      </c>
      <c r="AL740" s="6" t="s">
        <v>127</v>
      </c>
      <c r="AM740" s="6" t="s">
        <v>127</v>
      </c>
      <c r="AN740" s="6" t="s">
        <v>127</v>
      </c>
      <c r="AO740" s="6" t="s">
        <v>127</v>
      </c>
      <c r="AP740" s="6" t="s">
        <v>127</v>
      </c>
      <c r="AQ740" s="6" t="s">
        <v>127</v>
      </c>
      <c r="AR740" s="6" t="s">
        <v>127</v>
      </c>
      <c r="AS740" s="6" t="s">
        <v>127</v>
      </c>
      <c r="AT740" s="6" t="s">
        <v>127</v>
      </c>
      <c r="AU740" s="6" t="s">
        <v>127</v>
      </c>
      <c r="AV740" s="6" t="s">
        <v>127</v>
      </c>
      <c r="AW740" s="6" t="s">
        <v>127</v>
      </c>
      <c r="AX740" s="6" t="s">
        <v>127</v>
      </c>
      <c r="AY740" s="99" t="s">
        <v>3702</v>
      </c>
      <c r="AZ740" s="6" t="s">
        <v>127</v>
      </c>
      <c r="BA740" s="6" t="s">
        <v>127</v>
      </c>
      <c r="BB740" s="6" t="s">
        <v>3703</v>
      </c>
      <c r="BC740" s="6" t="s">
        <v>127</v>
      </c>
      <c r="BD740" s="6" t="s">
        <v>127</v>
      </c>
      <c r="BE740" s="6" t="s">
        <v>127</v>
      </c>
    </row>
    <row r="741" spans="1:58" ht="16" x14ac:dyDescent="0.4">
      <c r="A741" s="92" t="s">
        <v>3704</v>
      </c>
      <c r="B741" s="92" t="s">
        <v>3704</v>
      </c>
      <c r="C741" s="6" t="s">
        <v>3705</v>
      </c>
      <c r="D741" s="6" t="s">
        <v>3272</v>
      </c>
      <c r="E741" s="192">
        <v>45477</v>
      </c>
      <c r="F741" s="6">
        <f t="shared" si="180"/>
        <v>2024</v>
      </c>
      <c r="G741" s="6" t="s">
        <v>3706</v>
      </c>
      <c r="H741" s="22" t="str">
        <f>VLOOKUP($G741,'Item Classification'!B:C,2,0)</f>
        <v>Anti-aircraft surface-to-air missile (SAM) system (long-range)</v>
      </c>
      <c r="I741" s="6" t="str">
        <f>VLOOKUP($G741,'Item Classification'!B:D,3,0)</f>
        <v>Air defence system</v>
      </c>
      <c r="J741" s="23">
        <f>VLOOKUP($G741,'Item Classification'!B:E,4,0)</f>
        <v>5</v>
      </c>
      <c r="K741" s="195" t="s">
        <v>211</v>
      </c>
      <c r="L741" s="195" t="s">
        <v>326</v>
      </c>
      <c r="M741" s="116" t="str">
        <f>VLOOKUP(L741,'NATO Classifications'!$D$6:$E$647,2,0)</f>
        <v>Guided Missile Systems, Complete</v>
      </c>
      <c r="N741" s="25"/>
      <c r="O741" s="81"/>
      <c r="P741" s="25"/>
      <c r="Q741" s="25">
        <v>2024</v>
      </c>
      <c r="R741" s="25">
        <v>2029</v>
      </c>
      <c r="S741" s="103">
        <v>1400000000</v>
      </c>
      <c r="T741" s="91" t="s">
        <v>3274</v>
      </c>
      <c r="U741" s="104">
        <f>_xlfn.IFNA(S741/INDEX('Exchange Rates'!$C$7:$F$14,MATCH('MAIN DATA, Orders'!F741,'Exchange Rates'!$B$7:$B$14,0),MATCH('MAIN DATA, Orders'!T741,'Exchange Rates'!$C$6:$F$6,0)), "-")</f>
        <v>325142830.60058528</v>
      </c>
      <c r="V741" s="6" t="s">
        <v>127</v>
      </c>
      <c r="W741" s="6" t="s">
        <v>127</v>
      </c>
      <c r="X741" s="6" t="s">
        <v>3272</v>
      </c>
      <c r="Y741" s="24">
        <f t="shared" si="183"/>
        <v>202407</v>
      </c>
      <c r="Z741" s="24">
        <v>0</v>
      </c>
      <c r="AA741" s="24">
        <v>0</v>
      </c>
      <c r="AB741" s="24">
        <v>0</v>
      </c>
      <c r="AC741" s="24">
        <v>1</v>
      </c>
      <c r="AD741" s="24">
        <v>0</v>
      </c>
      <c r="AE741" s="24">
        <v>0</v>
      </c>
      <c r="AF741" s="24">
        <v>0</v>
      </c>
      <c r="AG741" s="10" t="s">
        <v>3429</v>
      </c>
      <c r="AH741" s="10" t="s">
        <v>3272</v>
      </c>
      <c r="AI741" s="6" t="s">
        <v>3272</v>
      </c>
      <c r="AJ741" s="6" t="s">
        <v>127</v>
      </c>
      <c r="AK741" s="6" t="s">
        <v>127</v>
      </c>
      <c r="AL741" s="6" t="s">
        <v>127</v>
      </c>
      <c r="AM741" s="6" t="s">
        <v>127</v>
      </c>
      <c r="AN741" s="6" t="s">
        <v>127</v>
      </c>
      <c r="AO741" s="6" t="s">
        <v>127</v>
      </c>
      <c r="AP741" s="6" t="s">
        <v>127</v>
      </c>
      <c r="AQ741" s="6" t="s">
        <v>127</v>
      </c>
      <c r="AR741" s="6" t="s">
        <v>127</v>
      </c>
      <c r="AS741" s="6" t="s">
        <v>127</v>
      </c>
      <c r="AT741" s="6" t="s">
        <v>127</v>
      </c>
      <c r="AU741" s="6" t="s">
        <v>127</v>
      </c>
      <c r="AV741" s="6" t="s">
        <v>127</v>
      </c>
      <c r="AW741" s="6" t="s">
        <v>127</v>
      </c>
      <c r="AX741" s="6" t="s">
        <v>127</v>
      </c>
      <c r="AY741" s="99" t="s">
        <v>3707</v>
      </c>
      <c r="AZ741" s="6" t="s">
        <v>127</v>
      </c>
      <c r="BA741" s="6" t="s">
        <v>127</v>
      </c>
      <c r="BB741" s="6" t="s">
        <v>3708</v>
      </c>
      <c r="BC741" s="6" t="s">
        <v>3709</v>
      </c>
      <c r="BD741" s="6" t="s">
        <v>127</v>
      </c>
      <c r="BE741" s="6" t="s">
        <v>127</v>
      </c>
    </row>
    <row r="742" spans="1:58" ht="16" x14ac:dyDescent="0.4">
      <c r="A742" s="92" t="s">
        <v>3710</v>
      </c>
      <c r="B742" s="92" t="s">
        <v>3710</v>
      </c>
      <c r="C742" s="6" t="s">
        <v>127</v>
      </c>
      <c r="D742" s="6" t="s">
        <v>3272</v>
      </c>
      <c r="E742" s="192">
        <v>45481</v>
      </c>
      <c r="F742" s="6">
        <f t="shared" si="180"/>
        <v>2024</v>
      </c>
      <c r="G742" s="6" t="s">
        <v>3412</v>
      </c>
      <c r="H742" s="22" t="str">
        <f>VLOOKUP($G742,'Item Classification'!B:C,2,0)</f>
        <v>Armoured personnel carrier</v>
      </c>
      <c r="I742" s="6" t="str">
        <f>VLOOKUP($G742,'Item Classification'!B:D,3,0)</f>
        <v>Armoured vehicle</v>
      </c>
      <c r="J742" s="23">
        <f>VLOOKUP($G742,'Item Classification'!B:E,4,0)</f>
        <v>2</v>
      </c>
      <c r="K742" s="195" t="s">
        <v>274</v>
      </c>
      <c r="L742" s="195" t="s">
        <v>493</v>
      </c>
      <c r="M742" s="116" t="str">
        <f>VLOOKUP(L742,'NATO Classifications'!$D$6:$E$647,2,0)</f>
        <v>Combat, Assault, and Tactical Vehicles, Wheeled</v>
      </c>
      <c r="N742" s="25">
        <v>58</v>
      </c>
      <c r="O742" s="81">
        <f>S742/N742</f>
        <v>44827586.206896551</v>
      </c>
      <c r="P742" s="138">
        <f>U742/N742</f>
        <v>10410977.334501499</v>
      </c>
      <c r="Q742" s="25">
        <v>2026</v>
      </c>
      <c r="R742" s="25">
        <v>2027</v>
      </c>
      <c r="S742" s="103">
        <v>2600000000</v>
      </c>
      <c r="T742" s="91" t="s">
        <v>3274</v>
      </c>
      <c r="U742" s="104">
        <f>_xlfn.IFNA(S742/INDEX('Exchange Rates'!$C$7:$F$14,MATCH('MAIN DATA, Orders'!F742,'Exchange Rates'!$B$7:$B$14,0),MATCH('MAIN DATA, Orders'!T742,'Exchange Rates'!$C$6:$F$6,0)), "-")</f>
        <v>603836685.40108693</v>
      </c>
      <c r="V742" s="6" t="s">
        <v>127</v>
      </c>
      <c r="W742" s="6" t="s">
        <v>127</v>
      </c>
      <c r="X742" s="6" t="s">
        <v>3272</v>
      </c>
      <c r="Y742" s="24">
        <f t="shared" si="183"/>
        <v>202407</v>
      </c>
      <c r="Z742" s="24">
        <v>0</v>
      </c>
      <c r="AA742" s="24">
        <v>0</v>
      </c>
      <c r="AB742" s="24">
        <v>0</v>
      </c>
      <c r="AC742" s="24">
        <v>1</v>
      </c>
      <c r="AD742" s="24">
        <v>0</v>
      </c>
      <c r="AE742" s="24">
        <v>0</v>
      </c>
      <c r="AF742" s="24">
        <v>0</v>
      </c>
      <c r="AG742" s="10" t="s">
        <v>3429</v>
      </c>
      <c r="AH742" s="10" t="s">
        <v>3272</v>
      </c>
      <c r="AI742" s="6" t="s">
        <v>3272</v>
      </c>
      <c r="AJ742" s="6" t="s">
        <v>3377</v>
      </c>
      <c r="AK742" s="6" t="s">
        <v>3597</v>
      </c>
      <c r="AL742" s="6" t="s">
        <v>3401</v>
      </c>
      <c r="AM742" s="6" t="s">
        <v>3545</v>
      </c>
      <c r="AN742" s="6" t="s">
        <v>127</v>
      </c>
      <c r="AO742" s="6" t="s">
        <v>127</v>
      </c>
      <c r="AP742" s="6" t="s">
        <v>127</v>
      </c>
      <c r="AQ742" s="6" t="s">
        <v>127</v>
      </c>
      <c r="AR742" s="6" t="s">
        <v>127</v>
      </c>
      <c r="AS742" s="6" t="s">
        <v>127</v>
      </c>
      <c r="AT742" s="6" t="s">
        <v>127</v>
      </c>
      <c r="AU742" s="6" t="s">
        <v>127</v>
      </c>
      <c r="AV742" s="6" t="s">
        <v>127</v>
      </c>
      <c r="AW742" s="6" t="s">
        <v>127</v>
      </c>
      <c r="AX742" s="6" t="s">
        <v>127</v>
      </c>
      <c r="AY742" s="99" t="s">
        <v>3711</v>
      </c>
      <c r="AZ742" s="6" t="s">
        <v>127</v>
      </c>
      <c r="BA742" s="6" t="s">
        <v>127</v>
      </c>
      <c r="BB742" s="6" t="s">
        <v>3712</v>
      </c>
      <c r="BC742" s="6" t="s">
        <v>3713</v>
      </c>
      <c r="BD742" s="6" t="s">
        <v>127</v>
      </c>
      <c r="BE742" s="6" t="s">
        <v>127</v>
      </c>
    </row>
    <row r="743" spans="1:58" ht="16" x14ac:dyDescent="0.4">
      <c r="A743" s="92" t="s">
        <v>3714</v>
      </c>
      <c r="B743" s="92" t="s">
        <v>3714</v>
      </c>
      <c r="C743" s="6" t="s">
        <v>3633</v>
      </c>
      <c r="D743" s="6" t="s">
        <v>3272</v>
      </c>
      <c r="E743" s="192">
        <v>45509</v>
      </c>
      <c r="F743" s="6">
        <f t="shared" si="180"/>
        <v>2024</v>
      </c>
      <c r="G743" s="4" t="s">
        <v>3634</v>
      </c>
      <c r="H743" s="22" t="str">
        <f>VLOOKUP($G743,'Item Classification'!B:C,2,0)</f>
        <v>Attack helicopter</v>
      </c>
      <c r="I743" s="6" t="str">
        <f>VLOOKUP($G743,'Item Classification'!B:D,3,0)</f>
        <v>Helicopter</v>
      </c>
      <c r="J743" s="23">
        <f>VLOOKUP($G743,'Item Classification'!B:E,4,0)</f>
        <v>10</v>
      </c>
      <c r="K743" s="195" t="s">
        <v>130</v>
      </c>
      <c r="L743" s="195" t="s">
        <v>266</v>
      </c>
      <c r="M743" s="116" t="str">
        <f>VLOOKUP(L743,'NATO Classifications'!$D$6:$E$647,2,0)</f>
        <v>Aircraft, Rotary Wing</v>
      </c>
      <c r="N743" s="25"/>
      <c r="O743" s="81"/>
      <c r="P743" s="25"/>
      <c r="Q743" s="25"/>
      <c r="R743" s="25"/>
      <c r="S743" s="103">
        <v>400000000</v>
      </c>
      <c r="T743" s="91" t="s">
        <v>3274</v>
      </c>
      <c r="U743" s="104">
        <f>_xlfn.IFNA(S743/INDEX('Exchange Rates'!$C$7:$F$14,MATCH('MAIN DATA, Orders'!F743,'Exchange Rates'!$B$7:$B$14,0),MATCH('MAIN DATA, Orders'!T743,'Exchange Rates'!$C$6:$F$6,0)), "-")</f>
        <v>92897951.60016723</v>
      </c>
      <c r="V743" s="6" t="s">
        <v>127</v>
      </c>
      <c r="W743" s="6" t="s">
        <v>127</v>
      </c>
      <c r="X743" s="6" t="s">
        <v>3272</v>
      </c>
      <c r="Y743" s="24">
        <f t="shared" si="183"/>
        <v>202408</v>
      </c>
      <c r="Z743" s="24">
        <v>0</v>
      </c>
      <c r="AA743" s="24">
        <v>1</v>
      </c>
      <c r="AB743" s="24">
        <v>0</v>
      </c>
      <c r="AC743" s="24">
        <v>0</v>
      </c>
      <c r="AD743" s="24">
        <v>0</v>
      </c>
      <c r="AE743" s="24">
        <v>0</v>
      </c>
      <c r="AF743" s="24">
        <v>1</v>
      </c>
      <c r="AG743" s="10" t="s">
        <v>192</v>
      </c>
      <c r="AH743" s="10" t="s">
        <v>196</v>
      </c>
      <c r="AI743" s="6" t="s">
        <v>127</v>
      </c>
      <c r="AJ743" s="6" t="s">
        <v>127</v>
      </c>
      <c r="AK743" s="6" t="s">
        <v>127</v>
      </c>
      <c r="AL743" s="6" t="s">
        <v>127</v>
      </c>
      <c r="AM743" s="6" t="s">
        <v>127</v>
      </c>
      <c r="AN743" s="6" t="s">
        <v>127</v>
      </c>
      <c r="AO743" s="6" t="s">
        <v>127</v>
      </c>
      <c r="AP743" s="6" t="s">
        <v>127</v>
      </c>
      <c r="AQ743" s="6" t="s">
        <v>127</v>
      </c>
      <c r="AR743" s="6" t="s">
        <v>127</v>
      </c>
      <c r="AS743" s="6" t="s">
        <v>127</v>
      </c>
      <c r="AT743" s="6" t="s">
        <v>127</v>
      </c>
      <c r="AU743" s="6" t="s">
        <v>127</v>
      </c>
      <c r="AV743" s="6" t="s">
        <v>127</v>
      </c>
      <c r="AW743" s="6" t="s">
        <v>127</v>
      </c>
      <c r="AX743" s="6" t="s">
        <v>127</v>
      </c>
      <c r="AY743" s="99" t="s">
        <v>3715</v>
      </c>
      <c r="AZ743" s="6" t="s">
        <v>127</v>
      </c>
      <c r="BA743" s="6" t="s">
        <v>127</v>
      </c>
      <c r="BB743" s="6" t="s">
        <v>3716</v>
      </c>
      <c r="BC743" s="6" t="s">
        <v>127</v>
      </c>
      <c r="BD743" s="6" t="s">
        <v>127</v>
      </c>
      <c r="BE743" s="6" t="s">
        <v>127</v>
      </c>
    </row>
    <row r="744" spans="1:58" ht="16" x14ac:dyDescent="0.4">
      <c r="A744" s="92" t="s">
        <v>3717</v>
      </c>
      <c r="B744" s="92" t="s">
        <v>3717</v>
      </c>
      <c r="C744" s="6" t="s">
        <v>127</v>
      </c>
      <c r="D744" s="6" t="s">
        <v>3272</v>
      </c>
      <c r="E744" s="192">
        <v>45509</v>
      </c>
      <c r="F744" s="6">
        <f t="shared" si="180"/>
        <v>2024</v>
      </c>
      <c r="G744" s="6" t="s">
        <v>3718</v>
      </c>
      <c r="H744" s="22" t="str">
        <f>VLOOKUP($G744,'Item Classification'!B:C,2,0)</f>
        <v>Technical maintenance knowledge transfer</v>
      </c>
      <c r="I744" s="6" t="str">
        <f>VLOOKUP($G744,'Item Classification'!B:D,3,0)</f>
        <v>Maintenance</v>
      </c>
      <c r="J744" s="23">
        <f>VLOOKUP($G744,'Item Classification'!B:E,4,0)</f>
        <v>14</v>
      </c>
      <c r="K744" s="195" t="s">
        <v>539</v>
      </c>
      <c r="L744" s="195" t="s">
        <v>2633</v>
      </c>
      <c r="M744" s="116" t="str">
        <f>VLOOKUP(L744,'NATO Classifications'!$D$6:$E$647,2,0)</f>
        <v>Miscellaneous Maintenance and Repair Shop Specialized Equipment</v>
      </c>
      <c r="N744" s="25"/>
      <c r="O744" s="81"/>
      <c r="P744" s="25"/>
      <c r="Q744" s="25"/>
      <c r="R744" s="25"/>
      <c r="S744" s="103">
        <v>530000000</v>
      </c>
      <c r="T744" s="91" t="s">
        <v>3274</v>
      </c>
      <c r="U744" s="104">
        <f>_xlfn.IFNA(S744/INDEX('Exchange Rates'!$C$7:$F$14,MATCH('MAIN DATA, Orders'!F744,'Exchange Rates'!$B$7:$B$14,0),MATCH('MAIN DATA, Orders'!T744,'Exchange Rates'!$C$6:$F$6,0)), "-")</f>
        <v>123089785.87022157</v>
      </c>
      <c r="V744" s="6" t="s">
        <v>127</v>
      </c>
      <c r="W744" s="6" t="s">
        <v>127</v>
      </c>
      <c r="X744" s="6" t="s">
        <v>3272</v>
      </c>
      <c r="Y744" s="24">
        <f t="shared" si="183"/>
        <v>202408</v>
      </c>
      <c r="Z744" s="24">
        <v>0</v>
      </c>
      <c r="AA744" s="24">
        <v>1</v>
      </c>
      <c r="AB744" s="24">
        <v>0</v>
      </c>
      <c r="AC744" s="24">
        <v>0</v>
      </c>
      <c r="AD744" s="24">
        <v>0</v>
      </c>
      <c r="AE744" s="24">
        <v>0</v>
      </c>
      <c r="AF744" s="24">
        <v>1</v>
      </c>
      <c r="AG744" s="10" t="s">
        <v>3719</v>
      </c>
      <c r="AH744" s="10" t="s">
        <v>196</v>
      </c>
      <c r="AI744" s="6" t="s">
        <v>127</v>
      </c>
      <c r="AJ744" s="6" t="s">
        <v>127</v>
      </c>
      <c r="AK744" s="6" t="s">
        <v>127</v>
      </c>
      <c r="AL744" s="6" t="s">
        <v>127</v>
      </c>
      <c r="AM744" s="6" t="s">
        <v>127</v>
      </c>
      <c r="AN744" s="6" t="s">
        <v>127</v>
      </c>
      <c r="AO744" s="6" t="s">
        <v>127</v>
      </c>
      <c r="AP744" s="6" t="s">
        <v>127</v>
      </c>
      <c r="AQ744" s="6" t="s">
        <v>127</v>
      </c>
      <c r="AR744" s="6" t="s">
        <v>127</v>
      </c>
      <c r="AS744" s="6" t="s">
        <v>127</v>
      </c>
      <c r="AT744" s="6" t="s">
        <v>127</v>
      </c>
      <c r="AU744" s="6" t="s">
        <v>127</v>
      </c>
      <c r="AV744" s="6" t="s">
        <v>127</v>
      </c>
      <c r="AW744" s="6" t="s">
        <v>127</v>
      </c>
      <c r="AX744" s="6" t="s">
        <v>127</v>
      </c>
      <c r="AY744" s="99" t="s">
        <v>3715</v>
      </c>
      <c r="AZ744" s="6" t="s">
        <v>127</v>
      </c>
      <c r="BA744" s="6" t="s">
        <v>127</v>
      </c>
      <c r="BB744" s="6" t="s">
        <v>3720</v>
      </c>
      <c r="BC744" s="6" t="s">
        <v>127</v>
      </c>
      <c r="BD744" s="6" t="s">
        <v>127</v>
      </c>
      <c r="BE744" s="6" t="s">
        <v>127</v>
      </c>
    </row>
    <row r="745" spans="1:58" ht="16" x14ac:dyDescent="0.4">
      <c r="A745" s="92" t="s">
        <v>3721</v>
      </c>
      <c r="B745" s="92" t="s">
        <v>3721</v>
      </c>
      <c r="C745" s="6" t="s">
        <v>3298</v>
      </c>
      <c r="D745" s="6" t="s">
        <v>3272</v>
      </c>
      <c r="E745" s="192">
        <v>45516</v>
      </c>
      <c r="F745" s="6">
        <f t="shared" si="180"/>
        <v>2024</v>
      </c>
      <c r="G745" s="6" t="s">
        <v>3722</v>
      </c>
      <c r="H745" s="22" t="str">
        <f>VLOOKUP($G745,'Item Classification'!B:C,2,0)</f>
        <v>Anti-aircraft surface-to-air missile (SAM) system (long-range)</v>
      </c>
      <c r="I745" s="6" t="str">
        <f>VLOOKUP($G745,'Item Classification'!B:D,3,0)</f>
        <v>Air defence system</v>
      </c>
      <c r="J745" s="23">
        <f>VLOOKUP($G745,'Item Classification'!B:E,4,0)</f>
        <v>5</v>
      </c>
      <c r="K745" s="195" t="s">
        <v>211</v>
      </c>
      <c r="L745" s="195" t="s">
        <v>1576</v>
      </c>
      <c r="M745" s="116" t="str">
        <f>VLOOKUP(L745,'NATO Classifications'!$D$6:$E$647,2,0)</f>
        <v>Launchers, Guided Missile</v>
      </c>
      <c r="N745" s="25">
        <v>48</v>
      </c>
      <c r="O745" s="81">
        <f>S745/N745</f>
        <v>97916666.666666672</v>
      </c>
      <c r="P745" s="81">
        <f>U745/N745</f>
        <v>22740644.402124271</v>
      </c>
      <c r="Q745" s="25"/>
      <c r="R745" s="25"/>
      <c r="S745" s="103">
        <v>4700000000</v>
      </c>
      <c r="T745" s="91" t="s">
        <v>3274</v>
      </c>
      <c r="U745" s="104">
        <f>_xlfn.IFNA(S745/INDEX('Exchange Rates'!$C$7:$F$14,MATCH('MAIN DATA, Orders'!F745,'Exchange Rates'!$B$7:$B$14,0),MATCH('MAIN DATA, Orders'!T745,'Exchange Rates'!$C$6:$F$6,0)), "-")</f>
        <v>1091550931.301965</v>
      </c>
      <c r="V745" s="6" t="s">
        <v>127</v>
      </c>
      <c r="W745" s="6" t="s">
        <v>127</v>
      </c>
      <c r="X745" s="6" t="s">
        <v>3272</v>
      </c>
      <c r="Y745" s="24">
        <f t="shared" si="183"/>
        <v>202408</v>
      </c>
      <c r="Z745" s="24">
        <v>0</v>
      </c>
      <c r="AA745" s="24">
        <v>0</v>
      </c>
      <c r="AB745" s="24">
        <v>0</v>
      </c>
      <c r="AC745" s="24">
        <v>0</v>
      </c>
      <c r="AD745" s="24">
        <v>0</v>
      </c>
      <c r="AE745" s="24">
        <v>0</v>
      </c>
      <c r="AF745" s="24">
        <v>1</v>
      </c>
      <c r="AG745" s="10" t="s">
        <v>3723</v>
      </c>
      <c r="AH745" s="10" t="s">
        <v>196</v>
      </c>
      <c r="AI745" s="6" t="s">
        <v>3272</v>
      </c>
      <c r="AJ745" s="6" t="s">
        <v>3377</v>
      </c>
      <c r="AK745" s="6" t="s">
        <v>718</v>
      </c>
      <c r="AL745" s="6" t="s">
        <v>127</v>
      </c>
      <c r="AM745" s="6" t="s">
        <v>127</v>
      </c>
      <c r="AN745" s="6" t="s">
        <v>127</v>
      </c>
      <c r="AO745" s="6" t="s">
        <v>127</v>
      </c>
      <c r="AP745" s="6" t="s">
        <v>127</v>
      </c>
      <c r="AQ745" s="6" t="s">
        <v>127</v>
      </c>
      <c r="AR745" s="6" t="s">
        <v>127</v>
      </c>
      <c r="AS745" s="6" t="s">
        <v>127</v>
      </c>
      <c r="AT745" s="6" t="s">
        <v>127</v>
      </c>
      <c r="AU745" s="6" t="s">
        <v>127</v>
      </c>
      <c r="AV745" s="6" t="s">
        <v>127</v>
      </c>
      <c r="AW745" s="6" t="s">
        <v>127</v>
      </c>
      <c r="AX745" s="6" t="s">
        <v>127</v>
      </c>
      <c r="AY745" s="99" t="s">
        <v>3724</v>
      </c>
      <c r="AZ745" s="96" t="s">
        <v>3725</v>
      </c>
      <c r="BA745" s="6" t="s">
        <v>127</v>
      </c>
      <c r="BB745" s="6" t="s">
        <v>3726</v>
      </c>
      <c r="BC745" s="6" t="s">
        <v>3727</v>
      </c>
      <c r="BD745" s="6" t="s">
        <v>127</v>
      </c>
      <c r="BE745" s="6" t="s">
        <v>127</v>
      </c>
    </row>
    <row r="746" spans="1:58" ht="16" x14ac:dyDescent="0.4">
      <c r="A746" s="92" t="s">
        <v>3728</v>
      </c>
      <c r="B746" s="92" t="s">
        <v>3728</v>
      </c>
      <c r="C746" s="6" t="s">
        <v>3633</v>
      </c>
      <c r="D746" s="6" t="s">
        <v>3272</v>
      </c>
      <c r="E746" s="192">
        <v>45517</v>
      </c>
      <c r="F746" s="6">
        <f t="shared" si="180"/>
        <v>2024</v>
      </c>
      <c r="G746" s="6" t="s">
        <v>3729</v>
      </c>
      <c r="H746" s="22" t="str">
        <f>VLOOKUP($G746,'Item Classification'!B:C,2,0)</f>
        <v>Attack helicopter</v>
      </c>
      <c r="I746" s="6" t="str">
        <f>VLOOKUP($G746,'Item Classification'!B:D,3,0)</f>
        <v>Helicopter</v>
      </c>
      <c r="J746" s="23">
        <f>VLOOKUP($G746,'Item Classification'!B:E,4,0)</f>
        <v>10</v>
      </c>
      <c r="K746" s="195" t="s">
        <v>130</v>
      </c>
      <c r="L746" s="195" t="s">
        <v>266</v>
      </c>
      <c r="M746" s="116" t="str">
        <f>VLOOKUP(L746,'NATO Classifications'!$D$6:$E$647,2,0)</f>
        <v>Aircraft, Rotary Wing</v>
      </c>
      <c r="N746" s="25">
        <v>96</v>
      </c>
      <c r="O746" s="81">
        <f>S746/N746</f>
        <v>104166666.66666667</v>
      </c>
      <c r="P746" s="81">
        <f>U746/N746</f>
        <v>96236757.822123662</v>
      </c>
      <c r="Q746" s="25"/>
      <c r="R746" s="25"/>
      <c r="S746" s="103">
        <v>10000000000</v>
      </c>
      <c r="T746" s="91" t="s">
        <v>3284</v>
      </c>
      <c r="U746" s="104">
        <f>_xlfn.IFNA(S746/INDEX('Exchange Rates'!$C$7:$F$14,MATCH('MAIN DATA, Orders'!F746,'Exchange Rates'!$B$7:$B$14,0),MATCH('MAIN DATA, Orders'!T746,'Exchange Rates'!$C$6:$F$6,0)), "-")</f>
        <v>9238728750.923872</v>
      </c>
      <c r="V746" s="6" t="s">
        <v>127</v>
      </c>
      <c r="W746" s="6" t="s">
        <v>127</v>
      </c>
      <c r="X746" s="6" t="s">
        <v>3272</v>
      </c>
      <c r="Y746" s="24">
        <f t="shared" si="183"/>
        <v>202408</v>
      </c>
      <c r="Z746" s="24">
        <v>0</v>
      </c>
      <c r="AA746" s="24">
        <v>0</v>
      </c>
      <c r="AB746" s="24">
        <v>0</v>
      </c>
      <c r="AC746" s="24">
        <v>0</v>
      </c>
      <c r="AD746" s="24">
        <v>0</v>
      </c>
      <c r="AE746" s="24">
        <v>0</v>
      </c>
      <c r="AF746" s="24">
        <v>1</v>
      </c>
      <c r="AG746" s="10" t="s">
        <v>192</v>
      </c>
      <c r="AH746" s="10" t="s">
        <v>196</v>
      </c>
      <c r="AI746" s="6" t="s">
        <v>3272</v>
      </c>
      <c r="AJ746" s="6" t="s">
        <v>127</v>
      </c>
      <c r="AK746" s="6" t="s">
        <v>127</v>
      </c>
      <c r="AL746" s="6" t="s">
        <v>127</v>
      </c>
      <c r="AM746" s="6" t="s">
        <v>127</v>
      </c>
      <c r="AN746" s="6" t="s">
        <v>127</v>
      </c>
      <c r="AO746" s="6" t="s">
        <v>127</v>
      </c>
      <c r="AP746" s="6" t="s">
        <v>127</v>
      </c>
      <c r="AQ746" s="6" t="s">
        <v>127</v>
      </c>
      <c r="AR746" s="6" t="s">
        <v>127</v>
      </c>
      <c r="AS746" s="6" t="s">
        <v>127</v>
      </c>
      <c r="AT746" s="6" t="s">
        <v>127</v>
      </c>
      <c r="AU746" s="6" t="s">
        <v>127</v>
      </c>
      <c r="AV746" s="6" t="s">
        <v>127</v>
      </c>
      <c r="AW746" s="6" t="s">
        <v>127</v>
      </c>
      <c r="AX746" s="6" t="s">
        <v>127</v>
      </c>
      <c r="AY746" s="99" t="s">
        <v>3730</v>
      </c>
      <c r="AZ746" s="99" t="s">
        <v>3731</v>
      </c>
      <c r="BA746" s="6" t="s">
        <v>127</v>
      </c>
      <c r="BB746" s="6" t="s">
        <v>3732</v>
      </c>
      <c r="BC746" s="6" t="s">
        <v>3733</v>
      </c>
      <c r="BD746" s="6" t="s">
        <v>127</v>
      </c>
      <c r="BE746" s="6" t="s">
        <v>127</v>
      </c>
    </row>
    <row r="747" spans="1:58" ht="16" x14ac:dyDescent="0.4">
      <c r="A747" s="92" t="s">
        <v>3734</v>
      </c>
      <c r="B747" s="92" t="s">
        <v>3734</v>
      </c>
      <c r="C747" s="6" t="s">
        <v>127</v>
      </c>
      <c r="D747" s="6" t="s">
        <v>3272</v>
      </c>
      <c r="E747" s="192">
        <v>45518</v>
      </c>
      <c r="F747" s="6">
        <f t="shared" si="180"/>
        <v>2024</v>
      </c>
      <c r="G747" s="6" t="s">
        <v>3735</v>
      </c>
      <c r="H747" s="22" t="str">
        <f>VLOOKUP($G747,'Item Classification'!B:C,2,0)</f>
        <v>Armoured reconnaissance personnel carrier</v>
      </c>
      <c r="I747" s="6" t="str">
        <f>VLOOKUP($G747,'Item Classification'!B:D,3,0)</f>
        <v>Armoured vehicle</v>
      </c>
      <c r="J747" s="23">
        <f>VLOOKUP($G747,'Item Classification'!B:E,4,0)</f>
        <v>2</v>
      </c>
      <c r="K747" s="195" t="s">
        <v>274</v>
      </c>
      <c r="L747" s="195" t="s">
        <v>493</v>
      </c>
      <c r="M747" s="116" t="str">
        <f>VLOOKUP(L747,'NATO Classifications'!$D$6:$E$647,2,0)</f>
        <v>Combat, Assault, and Tactical Vehicles, Wheeled</v>
      </c>
      <c r="N747" s="25">
        <v>28</v>
      </c>
      <c r="O747" s="81">
        <f>S747/N747</f>
        <v>28571428.571428571</v>
      </c>
      <c r="P747" s="81">
        <f>U747/N747</f>
        <v>6635567.9714405164</v>
      </c>
      <c r="Q747" s="25">
        <v>2026</v>
      </c>
      <c r="R747" s="25">
        <v>2028</v>
      </c>
      <c r="S747" s="103">
        <v>800000000</v>
      </c>
      <c r="T747" s="91" t="s">
        <v>3274</v>
      </c>
      <c r="U747" s="104">
        <f>_xlfn.IFNA(S747/INDEX('Exchange Rates'!$C$7:$F$14,MATCH('MAIN DATA, Orders'!F747,'Exchange Rates'!$B$7:$B$14,0),MATCH('MAIN DATA, Orders'!T747,'Exchange Rates'!$C$6:$F$6,0)), "-")</f>
        <v>185795903.20033446</v>
      </c>
      <c r="V747" s="6" t="s">
        <v>127</v>
      </c>
      <c r="W747" s="6" t="s">
        <v>127</v>
      </c>
      <c r="X747" s="6" t="s">
        <v>3272</v>
      </c>
      <c r="Y747" s="24">
        <f t="shared" si="183"/>
        <v>202408</v>
      </c>
      <c r="Z747" s="24">
        <v>1</v>
      </c>
      <c r="AA747" s="24">
        <v>0</v>
      </c>
      <c r="AB747" s="24">
        <v>0</v>
      </c>
      <c r="AC747" s="24">
        <v>1</v>
      </c>
      <c r="AD747" s="24">
        <v>0</v>
      </c>
      <c r="AE747" s="24">
        <v>0</v>
      </c>
      <c r="AF747" s="24">
        <v>0</v>
      </c>
      <c r="AG747" s="10" t="s">
        <v>3736</v>
      </c>
      <c r="AH747" s="6" t="s">
        <v>3272</v>
      </c>
      <c r="AI747" s="6" t="s">
        <v>3272</v>
      </c>
      <c r="AJ747" s="10" t="s">
        <v>3737</v>
      </c>
      <c r="AK747" s="6" t="s">
        <v>3738</v>
      </c>
      <c r="AL747" s="6" t="s">
        <v>3739</v>
      </c>
      <c r="AM747" s="6" t="s">
        <v>127</v>
      </c>
      <c r="AN747" s="6" t="s">
        <v>127</v>
      </c>
      <c r="AO747" s="6" t="s">
        <v>127</v>
      </c>
      <c r="AP747" s="6" t="s">
        <v>127</v>
      </c>
      <c r="AQ747" s="6" t="s">
        <v>127</v>
      </c>
      <c r="AR747" s="6" t="s">
        <v>127</v>
      </c>
      <c r="AS747" s="6" t="s">
        <v>127</v>
      </c>
      <c r="AT747" s="6" t="s">
        <v>127</v>
      </c>
      <c r="AU747" s="6" t="s">
        <v>127</v>
      </c>
      <c r="AV747" s="6" t="s">
        <v>127</v>
      </c>
      <c r="AW747" s="6" t="s">
        <v>127</v>
      </c>
      <c r="AX747" s="6" t="s">
        <v>127</v>
      </c>
      <c r="AY747" s="99" t="s">
        <v>3740</v>
      </c>
      <c r="AZ747" s="6" t="s">
        <v>127</v>
      </c>
      <c r="BA747" s="6" t="s">
        <v>127</v>
      </c>
      <c r="BB747" s="6" t="s">
        <v>3741</v>
      </c>
      <c r="BC747" s="6" t="s">
        <v>3742</v>
      </c>
      <c r="BD747" s="6" t="s">
        <v>127</v>
      </c>
      <c r="BE747" s="6" t="s">
        <v>127</v>
      </c>
    </row>
    <row r="748" spans="1:58" ht="16" x14ac:dyDescent="0.4">
      <c r="A748" s="92" t="s">
        <v>3743</v>
      </c>
      <c r="B748" s="92" t="s">
        <v>3743</v>
      </c>
      <c r="C748" s="6" t="s">
        <v>3679</v>
      </c>
      <c r="D748" s="6" t="s">
        <v>3272</v>
      </c>
      <c r="E748" s="192">
        <v>45539</v>
      </c>
      <c r="F748" s="6">
        <f>YEAR(E748)</f>
        <v>2024</v>
      </c>
      <c r="G748" s="4" t="s">
        <v>3680</v>
      </c>
      <c r="H748" s="22" t="str">
        <f>VLOOKUP($G748,'Item Classification'!B:C,2,0)</f>
        <v>Reconnaissance drone</v>
      </c>
      <c r="I748" s="6" t="str">
        <f>VLOOKUP($G748,'Item Classification'!B:D,3,0)</f>
        <v>Drone</v>
      </c>
      <c r="J748" s="23">
        <f>VLOOKUP($G748,'Item Classification'!B:E,4,0)</f>
        <v>7</v>
      </c>
      <c r="K748" s="195" t="s">
        <v>130</v>
      </c>
      <c r="L748" s="195" t="s">
        <v>131</v>
      </c>
      <c r="M748" s="116" t="str">
        <f>VLOOKUP(L748,'NATO Classifications'!$D$6:$E$647,2,0)</f>
        <v>Unmanned Aircraft</v>
      </c>
      <c r="N748" s="25">
        <v>24</v>
      </c>
      <c r="O748" s="81">
        <f>S748/N748</f>
        <v>2779166.6666666665</v>
      </c>
      <c r="P748" s="81">
        <f>U748/N748</f>
        <v>645447.2262219952</v>
      </c>
      <c r="Q748" s="25">
        <v>2024</v>
      </c>
      <c r="R748" s="25">
        <v>2026</v>
      </c>
      <c r="S748" s="103">
        <v>66700000</v>
      </c>
      <c r="T748" s="91" t="s">
        <v>3274</v>
      </c>
      <c r="U748" s="104">
        <f>_xlfn.IFNA(S748/INDEX('Exchange Rates'!$C$7:$F$14,MATCH('MAIN DATA, Orders'!F748,'Exchange Rates'!$B$7:$B$14,0),MATCH('MAIN DATA, Orders'!T748,'Exchange Rates'!$C$6:$F$6,0)), "-")</f>
        <v>15490733.429327885</v>
      </c>
      <c r="V748" s="6" t="s">
        <v>127</v>
      </c>
      <c r="W748" s="6" t="s">
        <v>127</v>
      </c>
      <c r="X748" s="6" t="s">
        <v>3272</v>
      </c>
      <c r="Y748" s="24">
        <f t="shared" si="183"/>
        <v>202409</v>
      </c>
      <c r="Z748" s="24">
        <v>1</v>
      </c>
      <c r="AA748" s="24">
        <v>0</v>
      </c>
      <c r="AB748" s="24">
        <v>0</v>
      </c>
      <c r="AC748" s="24">
        <v>1</v>
      </c>
      <c r="AD748" s="24">
        <v>0</v>
      </c>
      <c r="AE748" s="24">
        <v>0</v>
      </c>
      <c r="AF748" s="24">
        <v>0</v>
      </c>
      <c r="AG748" s="10" t="s">
        <v>3545</v>
      </c>
      <c r="AH748" s="10" t="s">
        <v>3272</v>
      </c>
      <c r="AI748" s="6" t="s">
        <v>3272</v>
      </c>
      <c r="AJ748" s="6" t="s">
        <v>127</v>
      </c>
      <c r="AK748" s="6" t="s">
        <v>127</v>
      </c>
      <c r="AL748" s="6" t="s">
        <v>127</v>
      </c>
      <c r="AM748" s="6" t="s">
        <v>127</v>
      </c>
      <c r="AN748" s="6" t="s">
        <v>127</v>
      </c>
      <c r="AO748" s="6" t="s">
        <v>127</v>
      </c>
      <c r="AP748" s="6" t="s">
        <v>127</v>
      </c>
      <c r="AQ748" s="6" t="s">
        <v>127</v>
      </c>
      <c r="AR748" s="6" t="s">
        <v>127</v>
      </c>
      <c r="AS748" s="6" t="s">
        <v>127</v>
      </c>
      <c r="AT748" s="6" t="s">
        <v>127</v>
      </c>
      <c r="AU748" s="6" t="s">
        <v>127</v>
      </c>
      <c r="AV748" s="6" t="s">
        <v>127</v>
      </c>
      <c r="AW748" s="6" t="s">
        <v>127</v>
      </c>
      <c r="AX748" s="6" t="s">
        <v>127</v>
      </c>
      <c r="AY748" s="99" t="s">
        <v>3681</v>
      </c>
      <c r="AZ748" s="96" t="s">
        <v>3682</v>
      </c>
      <c r="BA748" s="96" t="s">
        <v>3683</v>
      </c>
      <c r="BB748" s="6" t="s">
        <v>3684</v>
      </c>
      <c r="BC748" s="6" t="s">
        <v>3744</v>
      </c>
      <c r="BD748" s="6" t="s">
        <v>3686</v>
      </c>
      <c r="BE748" s="6" t="s">
        <v>3745</v>
      </c>
      <c r="BF748" s="6" t="s">
        <v>127</v>
      </c>
    </row>
    <row r="749" spans="1:58" ht="16" x14ac:dyDescent="0.4">
      <c r="A749" s="92" t="s">
        <v>3746</v>
      </c>
      <c r="B749" s="92" t="s">
        <v>3746</v>
      </c>
      <c r="C749" s="6" t="s">
        <v>127</v>
      </c>
      <c r="D749" s="6" t="s">
        <v>3272</v>
      </c>
      <c r="E749" s="192">
        <v>45604</v>
      </c>
      <c r="F749" s="6">
        <f t="shared" si="180"/>
        <v>2024</v>
      </c>
      <c r="G749" s="6" t="s">
        <v>3747</v>
      </c>
      <c r="H749" s="22" t="str">
        <f>VLOOKUP($G749,'Item Classification'!B:C,2,0)</f>
        <v>Accompanying vehicle MLRS</v>
      </c>
      <c r="I749" s="6" t="str">
        <f>VLOOKUP($G749,'Item Classification'!B:D,3,0)</f>
        <v>Artillery</v>
      </c>
      <c r="J749" s="23">
        <f>VLOOKUP($G749,'Item Classification'!B:E,4,0)</f>
        <v>3</v>
      </c>
      <c r="K749" s="195" t="s">
        <v>274</v>
      </c>
      <c r="L749" s="195" t="s">
        <v>275</v>
      </c>
      <c r="M749" s="116" t="str">
        <f>VLOOKUP(L749,'NATO Classifications'!$D$6:$E$647,2,0)</f>
        <v>Trucks and Truck Tractors, Wheeled</v>
      </c>
      <c r="N749" s="25"/>
      <c r="O749" s="81"/>
      <c r="P749" s="25"/>
      <c r="Q749" s="25">
        <v>2027</v>
      </c>
      <c r="R749" s="25">
        <v>2028</v>
      </c>
      <c r="S749" s="103">
        <v>1300000000</v>
      </c>
      <c r="T749" s="91" t="s">
        <v>3274</v>
      </c>
      <c r="U749" s="104">
        <f>_xlfn.IFNA(S749/INDEX('Exchange Rates'!$C$7:$F$14,MATCH('MAIN DATA, Orders'!F749,'Exchange Rates'!$B$7:$B$14,0),MATCH('MAIN DATA, Orders'!T749,'Exchange Rates'!$C$6:$F$6,0)), "-")</f>
        <v>301918342.70054346</v>
      </c>
      <c r="V749" s="6" t="s">
        <v>127</v>
      </c>
      <c r="W749" s="6" t="s">
        <v>127</v>
      </c>
      <c r="X749" s="6" t="s">
        <v>3272</v>
      </c>
      <c r="Y749" s="24">
        <f t="shared" si="183"/>
        <v>202411</v>
      </c>
      <c r="Z749" s="24">
        <v>0</v>
      </c>
      <c r="AA749" s="24">
        <v>0</v>
      </c>
      <c r="AB749" s="24">
        <v>0</v>
      </c>
      <c r="AC749" s="24">
        <v>1</v>
      </c>
      <c r="AD749" s="24">
        <v>0</v>
      </c>
      <c r="AE749" s="24">
        <v>0</v>
      </c>
      <c r="AF749" s="24">
        <v>0</v>
      </c>
      <c r="AG749" s="10" t="s">
        <v>3377</v>
      </c>
      <c r="AH749" s="10" t="s">
        <v>3272</v>
      </c>
      <c r="AI749" s="6" t="s">
        <v>3272</v>
      </c>
      <c r="AJ749" s="6" t="s">
        <v>3597</v>
      </c>
      <c r="AK749" s="6" t="s">
        <v>127</v>
      </c>
      <c r="AL749" s="6" t="s">
        <v>127</v>
      </c>
      <c r="AM749" s="6" t="s">
        <v>127</v>
      </c>
      <c r="AN749" s="6" t="s">
        <v>127</v>
      </c>
      <c r="AO749" s="6" t="s">
        <v>127</v>
      </c>
      <c r="AP749" s="6" t="s">
        <v>127</v>
      </c>
      <c r="AQ749" s="6" t="s">
        <v>127</v>
      </c>
      <c r="AR749" s="6" t="s">
        <v>127</v>
      </c>
      <c r="AS749" s="6" t="s">
        <v>127</v>
      </c>
      <c r="AT749" s="6" t="s">
        <v>127</v>
      </c>
      <c r="AU749" s="6" t="s">
        <v>127</v>
      </c>
      <c r="AV749" s="6" t="s">
        <v>127</v>
      </c>
      <c r="AW749" s="6" t="s">
        <v>127</v>
      </c>
      <c r="AX749" s="6" t="s">
        <v>127</v>
      </c>
      <c r="AY749" s="99" t="s">
        <v>3748</v>
      </c>
      <c r="AZ749" s="6" t="s">
        <v>127</v>
      </c>
      <c r="BA749" s="6" t="s">
        <v>127</v>
      </c>
      <c r="BB749" s="6" t="s">
        <v>3749</v>
      </c>
      <c r="BC749" s="6" t="s">
        <v>3750</v>
      </c>
      <c r="BD749" s="6" t="s">
        <v>127</v>
      </c>
      <c r="BE749" s="6" t="s">
        <v>127</v>
      </c>
    </row>
    <row r="750" spans="1:58" ht="16" x14ac:dyDescent="0.4">
      <c r="A750" s="92" t="s">
        <v>3751</v>
      </c>
      <c r="B750" s="92" t="s">
        <v>3751</v>
      </c>
      <c r="C750" s="6" t="s">
        <v>3679</v>
      </c>
      <c r="D750" s="6" t="s">
        <v>3272</v>
      </c>
      <c r="E750" s="192">
        <v>45611</v>
      </c>
      <c r="F750" s="6">
        <f t="shared" si="180"/>
        <v>2024</v>
      </c>
      <c r="G750" s="6" t="s">
        <v>3680</v>
      </c>
      <c r="H750" s="22" t="str">
        <f>VLOOKUP($G750,'Item Classification'!B:C,2,0)</f>
        <v>Reconnaissance drone</v>
      </c>
      <c r="I750" s="6" t="str">
        <f>VLOOKUP($G750,'Item Classification'!B:D,3,0)</f>
        <v>Drone</v>
      </c>
      <c r="J750" s="23">
        <f>VLOOKUP($G750,'Item Classification'!B:E,4,0)</f>
        <v>7</v>
      </c>
      <c r="K750" s="195" t="s">
        <v>130</v>
      </c>
      <c r="L750" s="195" t="s">
        <v>131</v>
      </c>
      <c r="M750" s="116" t="str">
        <f>VLOOKUP(L750,'NATO Classifications'!$D$6:$E$647,2,0)</f>
        <v>Unmanned Aircraft</v>
      </c>
      <c r="N750" s="25">
        <v>52</v>
      </c>
      <c r="O750" s="81">
        <f t="shared" ref="O750:O755" si="187">S750/N750</f>
        <v>1923076.923076923</v>
      </c>
      <c r="P750" s="81">
        <f t="shared" ref="P750:P755" si="188">U750/N750</f>
        <v>446624.76730849629</v>
      </c>
      <c r="Q750" s="25">
        <v>2024</v>
      </c>
      <c r="R750" s="25">
        <v>2024</v>
      </c>
      <c r="S750" s="103">
        <v>100000000</v>
      </c>
      <c r="T750" s="91" t="s">
        <v>3274</v>
      </c>
      <c r="U750" s="104">
        <f>_xlfn.IFNA(S750/INDEX('Exchange Rates'!$C$7:$F$14,MATCH('MAIN DATA, Orders'!F750,'Exchange Rates'!$B$7:$B$14,0),MATCH('MAIN DATA, Orders'!T750,'Exchange Rates'!$C$6:$F$6,0)), "-")</f>
        <v>23224487.900041807</v>
      </c>
      <c r="V750" s="6" t="s">
        <v>127</v>
      </c>
      <c r="W750" s="6" t="s">
        <v>127</v>
      </c>
      <c r="X750" s="6" t="s">
        <v>3272</v>
      </c>
      <c r="Y750" s="24">
        <f t="shared" si="183"/>
        <v>202411</v>
      </c>
      <c r="Z750" s="24">
        <v>1</v>
      </c>
      <c r="AA750" s="24">
        <v>0</v>
      </c>
      <c r="AB750" s="24">
        <v>0</v>
      </c>
      <c r="AC750" s="24">
        <v>1</v>
      </c>
      <c r="AD750" s="24">
        <v>0</v>
      </c>
      <c r="AE750" s="24">
        <v>0</v>
      </c>
      <c r="AF750" s="24">
        <v>0</v>
      </c>
      <c r="AG750" s="10" t="s">
        <v>3649</v>
      </c>
      <c r="AH750" s="10" t="s">
        <v>3272</v>
      </c>
      <c r="AI750" s="6" t="s">
        <v>3272</v>
      </c>
      <c r="AJ750" s="6" t="s">
        <v>127</v>
      </c>
      <c r="AK750" s="6" t="s">
        <v>127</v>
      </c>
      <c r="AL750" s="6" t="s">
        <v>127</v>
      </c>
      <c r="AM750" s="6" t="s">
        <v>127</v>
      </c>
      <c r="AN750" s="6" t="s">
        <v>127</v>
      </c>
      <c r="AO750" s="6" t="s">
        <v>127</v>
      </c>
      <c r="AP750" s="6" t="s">
        <v>127</v>
      </c>
      <c r="AQ750" s="6" t="s">
        <v>127</v>
      </c>
      <c r="AR750" s="6" t="s">
        <v>127</v>
      </c>
      <c r="AS750" s="6" t="s">
        <v>127</v>
      </c>
      <c r="AT750" s="6" t="s">
        <v>127</v>
      </c>
      <c r="AU750" s="6" t="s">
        <v>127</v>
      </c>
      <c r="AV750" s="6" t="s">
        <v>127</v>
      </c>
      <c r="AW750" s="6" t="s">
        <v>127</v>
      </c>
      <c r="AX750" s="6" t="s">
        <v>127</v>
      </c>
      <c r="AY750" s="99" t="s">
        <v>3683</v>
      </c>
      <c r="AZ750" s="96" t="s">
        <v>3682</v>
      </c>
      <c r="BA750" s="6" t="s">
        <v>127</v>
      </c>
      <c r="BB750" s="6" t="s">
        <v>3752</v>
      </c>
      <c r="BC750" s="6" t="s">
        <v>3753</v>
      </c>
      <c r="BD750" s="6" t="s">
        <v>127</v>
      </c>
      <c r="BE750" s="6" t="s">
        <v>127</v>
      </c>
    </row>
    <row r="751" spans="1:58" ht="16" x14ac:dyDescent="0.4">
      <c r="A751" s="92" t="s">
        <v>3754</v>
      </c>
      <c r="B751" s="92" t="s">
        <v>3754</v>
      </c>
      <c r="C751" s="6" t="s">
        <v>127</v>
      </c>
      <c r="D751" s="6" t="s">
        <v>3272</v>
      </c>
      <c r="E751" s="192">
        <v>45625</v>
      </c>
      <c r="F751" s="6">
        <f t="shared" si="180"/>
        <v>2024</v>
      </c>
      <c r="G751" s="6" t="s">
        <v>3755</v>
      </c>
      <c r="H751" s="22" t="str">
        <f>VLOOKUP($G751,'Item Classification'!B:C,2,0)</f>
        <v>Air-to-air missile (AAM) (short-range)</v>
      </c>
      <c r="I751" s="6" t="str">
        <f>VLOOKUP($G751,'Item Classification'!B:D,3,0)</f>
        <v>Missile (Air)</v>
      </c>
      <c r="J751" s="23">
        <f>VLOOKUP($G751,'Item Classification'!B:E,4,0)</f>
        <v>6</v>
      </c>
      <c r="K751" s="195" t="s">
        <v>211</v>
      </c>
      <c r="L751" s="195" t="s">
        <v>211</v>
      </c>
      <c r="M751" s="116" t="str">
        <f>VLOOKUP(L751,'NATO Classifications'!$D$6:$E$647,2,0)</f>
        <v>Guided Missiles</v>
      </c>
      <c r="N751" s="25">
        <v>232</v>
      </c>
      <c r="O751" s="81">
        <f t="shared" si="187"/>
        <v>754310.3448275862</v>
      </c>
      <c r="P751" s="81">
        <f t="shared" si="188"/>
        <v>696886.86698779208</v>
      </c>
      <c r="Q751" s="25">
        <v>2028</v>
      </c>
      <c r="R751" s="25">
        <v>2030</v>
      </c>
      <c r="S751" s="103">
        <v>175000000</v>
      </c>
      <c r="T751" s="91" t="s">
        <v>3284</v>
      </c>
      <c r="U751" s="104">
        <f>_xlfn.IFNA(S751/INDEX('Exchange Rates'!$C$7:$F$14,MATCH('MAIN DATA, Orders'!F751,'Exchange Rates'!$B$7:$B$14,0),MATCH('MAIN DATA, Orders'!T751,'Exchange Rates'!$C$6:$F$6,0)), "-")</f>
        <v>161677753.14116776</v>
      </c>
      <c r="V751" s="6" t="s">
        <v>127</v>
      </c>
      <c r="W751" s="6" t="s">
        <v>127</v>
      </c>
      <c r="X751" s="6" t="s">
        <v>3272</v>
      </c>
      <c r="Y751" s="24">
        <f t="shared" si="183"/>
        <v>202411</v>
      </c>
      <c r="Z751" s="24">
        <v>0</v>
      </c>
      <c r="AA751" s="24">
        <v>0</v>
      </c>
      <c r="AB751" s="24">
        <v>0</v>
      </c>
      <c r="AC751" s="24">
        <v>0</v>
      </c>
      <c r="AD751" s="24">
        <v>0</v>
      </c>
      <c r="AE751" s="24">
        <v>0</v>
      </c>
      <c r="AF751" s="24">
        <v>1</v>
      </c>
      <c r="AG751" s="10" t="s">
        <v>718</v>
      </c>
      <c r="AH751" s="10" t="s">
        <v>196</v>
      </c>
      <c r="AI751" s="6" t="s">
        <v>196</v>
      </c>
      <c r="AJ751" s="6" t="s">
        <v>127</v>
      </c>
      <c r="AK751" s="6" t="s">
        <v>127</v>
      </c>
      <c r="AL751" s="6" t="s">
        <v>127</v>
      </c>
      <c r="AM751" s="6" t="s">
        <v>127</v>
      </c>
      <c r="AN751" s="6" t="s">
        <v>127</v>
      </c>
      <c r="AO751" s="6" t="s">
        <v>127</v>
      </c>
      <c r="AP751" s="6" t="s">
        <v>127</v>
      </c>
      <c r="AQ751" s="6" t="s">
        <v>127</v>
      </c>
      <c r="AR751" s="6" t="s">
        <v>127</v>
      </c>
      <c r="AS751" s="6" t="s">
        <v>127</v>
      </c>
      <c r="AT751" s="6" t="s">
        <v>127</v>
      </c>
      <c r="AU751" s="6" t="s">
        <v>127</v>
      </c>
      <c r="AV751" s="6" t="s">
        <v>127</v>
      </c>
      <c r="AW751" s="6" t="s">
        <v>127</v>
      </c>
      <c r="AX751" s="6" t="s">
        <v>127</v>
      </c>
      <c r="AY751" s="99" t="s">
        <v>3756</v>
      </c>
      <c r="AZ751" s="96" t="s">
        <v>3757</v>
      </c>
      <c r="BA751" s="6" t="s">
        <v>127</v>
      </c>
      <c r="BB751" s="6" t="s">
        <v>3758</v>
      </c>
      <c r="BC751" s="6" t="s">
        <v>3759</v>
      </c>
      <c r="BD751" s="6" t="s">
        <v>127</v>
      </c>
      <c r="BE751" s="6" t="s">
        <v>127</v>
      </c>
    </row>
    <row r="752" spans="1:58" ht="16" x14ac:dyDescent="0.4">
      <c r="A752" s="92" t="s">
        <v>3760</v>
      </c>
      <c r="B752" s="92" t="s">
        <v>3760</v>
      </c>
      <c r="C752" s="6" t="s">
        <v>127</v>
      </c>
      <c r="D752" s="6" t="s">
        <v>3272</v>
      </c>
      <c r="E752" s="192">
        <v>45630</v>
      </c>
      <c r="F752" s="6">
        <f t="shared" si="180"/>
        <v>2024</v>
      </c>
      <c r="G752" s="6" t="s">
        <v>3761</v>
      </c>
      <c r="H752" s="22" t="str">
        <f>VLOOKUP($G752,'Item Classification'!B:C,2,0)</f>
        <v>Non-combat military vehicle</v>
      </c>
      <c r="I752" s="6" t="str">
        <f>VLOOKUP($G752,'Item Classification'!B:D,3,0)</f>
        <v>Other</v>
      </c>
      <c r="J752" s="23">
        <f>VLOOKUP($G752,'Item Classification'!B:E,4,0)</f>
        <v>16</v>
      </c>
      <c r="K752" s="195" t="s">
        <v>274</v>
      </c>
      <c r="L752" s="195" t="s">
        <v>275</v>
      </c>
      <c r="M752" s="116" t="str">
        <f>VLOOKUP(L752,'NATO Classifications'!$D$6:$E$647,2,0)</f>
        <v>Trucks and Truck Tractors, Wheeled</v>
      </c>
      <c r="N752" s="25">
        <v>215</v>
      </c>
      <c r="O752" s="81">
        <f t="shared" si="187"/>
        <v>3255813.9534883723</v>
      </c>
      <c r="P752" s="81">
        <f t="shared" si="188"/>
        <v>756146.11767577974</v>
      </c>
      <c r="Q752" s="25">
        <v>2026</v>
      </c>
      <c r="R752" s="25">
        <v>2028</v>
      </c>
      <c r="S752" s="103">
        <v>700000000</v>
      </c>
      <c r="T752" s="91" t="s">
        <v>3274</v>
      </c>
      <c r="U752" s="104">
        <f>_xlfn.IFNA(S752/INDEX('Exchange Rates'!$C$7:$F$14,MATCH('MAIN DATA, Orders'!F752,'Exchange Rates'!$B$7:$B$14,0),MATCH('MAIN DATA, Orders'!T752,'Exchange Rates'!$C$6:$F$6,0)), "-")</f>
        <v>162571415.30029264</v>
      </c>
      <c r="V752" s="6" t="s">
        <v>127</v>
      </c>
      <c r="W752" s="6" t="s">
        <v>127</v>
      </c>
      <c r="X752" s="6" t="s">
        <v>3272</v>
      </c>
      <c r="Y752" s="24">
        <f t="shared" si="183"/>
        <v>202412</v>
      </c>
      <c r="Z752" s="24">
        <v>1</v>
      </c>
      <c r="AA752" s="24">
        <v>0</v>
      </c>
      <c r="AB752" s="24">
        <v>0</v>
      </c>
      <c r="AC752" s="24">
        <v>1</v>
      </c>
      <c r="AD752" s="24">
        <v>0</v>
      </c>
      <c r="AE752" s="24">
        <v>0</v>
      </c>
      <c r="AF752" s="24">
        <v>0</v>
      </c>
      <c r="AG752" s="10" t="s">
        <v>3762</v>
      </c>
      <c r="AH752" s="10" t="s">
        <v>3272</v>
      </c>
      <c r="AI752" s="6" t="s">
        <v>3272</v>
      </c>
      <c r="AJ752" s="6" t="s">
        <v>127</v>
      </c>
      <c r="AK752" s="6" t="s">
        <v>127</v>
      </c>
      <c r="AL752" s="6" t="s">
        <v>127</v>
      </c>
      <c r="AM752" s="6" t="s">
        <v>127</v>
      </c>
      <c r="AN752" s="6" t="s">
        <v>127</v>
      </c>
      <c r="AO752" s="6" t="s">
        <v>127</v>
      </c>
      <c r="AP752" s="6" t="s">
        <v>127</v>
      </c>
      <c r="AQ752" s="6" t="s">
        <v>127</v>
      </c>
      <c r="AR752" s="6" t="s">
        <v>127</v>
      </c>
      <c r="AS752" s="6" t="s">
        <v>127</v>
      </c>
      <c r="AT752" s="6" t="s">
        <v>127</v>
      </c>
      <c r="AU752" s="6" t="s">
        <v>127</v>
      </c>
      <c r="AV752" s="6" t="s">
        <v>127</v>
      </c>
      <c r="AW752" s="6" t="s">
        <v>127</v>
      </c>
      <c r="AX752" s="6" t="s">
        <v>127</v>
      </c>
      <c r="AY752" s="99" t="s">
        <v>3763</v>
      </c>
      <c r="AZ752" s="6" t="s">
        <v>127</v>
      </c>
      <c r="BA752" s="6" t="s">
        <v>127</v>
      </c>
      <c r="BB752" s="6" t="s">
        <v>3764</v>
      </c>
      <c r="BC752" s="6" t="s">
        <v>3765</v>
      </c>
      <c r="BD752" s="6" t="s">
        <v>3766</v>
      </c>
      <c r="BE752" s="6" t="s">
        <v>127</v>
      </c>
    </row>
    <row r="753" spans="1:58" ht="16" x14ac:dyDescent="0.4">
      <c r="A753" s="92" t="s">
        <v>3767</v>
      </c>
      <c r="B753" s="92" t="s">
        <v>3767</v>
      </c>
      <c r="C753" s="6" t="s">
        <v>127</v>
      </c>
      <c r="D753" s="6" t="s">
        <v>3272</v>
      </c>
      <c r="E753" s="192">
        <v>45638</v>
      </c>
      <c r="F753" s="6">
        <f t="shared" si="180"/>
        <v>2024</v>
      </c>
      <c r="G753" s="6" t="s">
        <v>3768</v>
      </c>
      <c r="H753" s="22" t="str">
        <f>VLOOKUP($G753,'Item Classification'!B:C,2,0)</f>
        <v>Reconnaissance drone</v>
      </c>
      <c r="I753" s="6" t="str">
        <f>VLOOKUP($G753,'Item Classification'!B:D,3,0)</f>
        <v>Drone</v>
      </c>
      <c r="J753" s="23">
        <f>VLOOKUP($G753,'Item Classification'!B:E,4,0)</f>
        <v>7</v>
      </c>
      <c r="K753" s="195" t="s">
        <v>130</v>
      </c>
      <c r="L753" s="195" t="s">
        <v>131</v>
      </c>
      <c r="M753" s="116" t="str">
        <f>VLOOKUP(L753,'NATO Classifications'!$D$6:$E$647,2,0)</f>
        <v>Unmanned Aircraft</v>
      </c>
      <c r="N753" s="25">
        <v>1</v>
      </c>
      <c r="O753" s="81">
        <f t="shared" si="187"/>
        <v>1200000000</v>
      </c>
      <c r="P753" s="81">
        <f t="shared" si="188"/>
        <v>278693854.80050164</v>
      </c>
      <c r="Q753" s="25">
        <v>2027</v>
      </c>
      <c r="R753" s="25">
        <v>2027</v>
      </c>
      <c r="S753" s="103">
        <v>1200000000</v>
      </c>
      <c r="T753" s="91" t="s">
        <v>3274</v>
      </c>
      <c r="U753" s="104">
        <f>_xlfn.IFNA(S753/INDEX('Exchange Rates'!$C$7:$F$14,MATCH('MAIN DATA, Orders'!F753,'Exchange Rates'!$B$7:$B$14,0),MATCH('MAIN DATA, Orders'!T753,'Exchange Rates'!$C$6:$F$6,0)), "-")</f>
        <v>278693854.80050164</v>
      </c>
      <c r="V753" s="6" t="s">
        <v>127</v>
      </c>
      <c r="W753" s="6" t="s">
        <v>127</v>
      </c>
      <c r="X753" s="6" t="s">
        <v>3272</v>
      </c>
      <c r="Y753" s="24">
        <f t="shared" si="183"/>
        <v>202412</v>
      </c>
      <c r="Z753" s="24">
        <v>0</v>
      </c>
      <c r="AA753" s="24">
        <v>0</v>
      </c>
      <c r="AB753" s="24">
        <v>0</v>
      </c>
      <c r="AC753" s="24">
        <v>0</v>
      </c>
      <c r="AD753" s="24">
        <v>0</v>
      </c>
      <c r="AE753" s="24">
        <v>0</v>
      </c>
      <c r="AF753" s="24">
        <v>1</v>
      </c>
      <c r="AG753" s="10" t="s">
        <v>3769</v>
      </c>
      <c r="AH753" s="10" t="s">
        <v>196</v>
      </c>
      <c r="AI753" s="6" t="s">
        <v>196</v>
      </c>
      <c r="AJ753" s="6" t="s">
        <v>127</v>
      </c>
      <c r="AK753" s="6" t="s">
        <v>127</v>
      </c>
      <c r="AL753" s="6" t="s">
        <v>127</v>
      </c>
      <c r="AM753" s="6" t="s">
        <v>127</v>
      </c>
      <c r="AN753" s="6" t="s">
        <v>127</v>
      </c>
      <c r="AO753" s="6" t="s">
        <v>127</v>
      </c>
      <c r="AP753" s="6" t="s">
        <v>127</v>
      </c>
      <c r="AQ753" s="6" t="s">
        <v>127</v>
      </c>
      <c r="AR753" s="6" t="s">
        <v>127</v>
      </c>
      <c r="AS753" s="6" t="s">
        <v>127</v>
      </c>
      <c r="AT753" s="6" t="s">
        <v>127</v>
      </c>
      <c r="AU753" s="6" t="s">
        <v>127</v>
      </c>
      <c r="AV753" s="6" t="s">
        <v>127</v>
      </c>
      <c r="AW753" s="6" t="s">
        <v>127</v>
      </c>
      <c r="AX753" s="6" t="s">
        <v>127</v>
      </c>
      <c r="AY753" s="99" t="s">
        <v>3770</v>
      </c>
      <c r="AZ753" s="6" t="s">
        <v>127</v>
      </c>
      <c r="BA753" s="6" t="s">
        <v>127</v>
      </c>
      <c r="BB753" s="6" t="s">
        <v>3771</v>
      </c>
      <c r="BC753" s="6" t="s">
        <v>3772</v>
      </c>
      <c r="BD753" s="6" t="s">
        <v>127</v>
      </c>
      <c r="BE753" s="6" t="s">
        <v>127</v>
      </c>
    </row>
    <row r="754" spans="1:58" ht="16" x14ac:dyDescent="0.4">
      <c r="A754" s="92" t="s">
        <v>3773</v>
      </c>
      <c r="B754" s="92" t="s">
        <v>3773</v>
      </c>
      <c r="C754" s="6" t="s">
        <v>127</v>
      </c>
      <c r="D754" s="6" t="s">
        <v>3272</v>
      </c>
      <c r="E754" s="192">
        <v>45639</v>
      </c>
      <c r="F754" s="6">
        <f t="shared" si="180"/>
        <v>2024</v>
      </c>
      <c r="G754" s="6" t="s">
        <v>3774</v>
      </c>
      <c r="H754" s="22" t="str">
        <f>VLOOKUP($G754,'Item Classification'!B:C,2,0)</f>
        <v>Aircraft modernisation</v>
      </c>
      <c r="I754" s="6" t="str">
        <f>VLOOKUP($G754,'Item Classification'!B:D,3,0)</f>
        <v>Aircraft</v>
      </c>
      <c r="J754" s="23">
        <f>VLOOKUP($G754,'Item Classification'!B:E,4,0)</f>
        <v>11</v>
      </c>
      <c r="K754" s="195" t="s">
        <v>130</v>
      </c>
      <c r="L754" s="195" t="s">
        <v>237</v>
      </c>
      <c r="M754" s="116" t="str">
        <f>VLOOKUP(L754,'NATO Classifications'!$D$6:$E$647,2,0)</f>
        <v>Aircraft, Fixed Wing</v>
      </c>
      <c r="N754" s="25">
        <v>16</v>
      </c>
      <c r="O754" s="81">
        <f t="shared" si="187"/>
        <v>6418750</v>
      </c>
      <c r="P754" s="81">
        <f t="shared" si="188"/>
        <v>6418750</v>
      </c>
      <c r="Q754" s="25">
        <v>2025</v>
      </c>
      <c r="R754" s="25">
        <v>2033</v>
      </c>
      <c r="S754" s="103">
        <v>102700000</v>
      </c>
      <c r="T754" s="91" t="s">
        <v>132</v>
      </c>
      <c r="U754" s="104">
        <f>_xlfn.IFNA(S754/INDEX('Exchange Rates'!$C$7:$F$14,MATCH('MAIN DATA, Orders'!F754,'Exchange Rates'!$B$7:$B$14,0),MATCH('MAIN DATA, Orders'!T754,'Exchange Rates'!$C$6:$F$6,0)), "-")</f>
        <v>102700000</v>
      </c>
      <c r="V754" s="6" t="s">
        <v>127</v>
      </c>
      <c r="W754" s="6" t="s">
        <v>127</v>
      </c>
      <c r="X754" s="6" t="s">
        <v>3272</v>
      </c>
      <c r="Y754" s="24">
        <f t="shared" si="183"/>
        <v>202412</v>
      </c>
      <c r="Z754" s="24">
        <v>0</v>
      </c>
      <c r="AA754" s="24">
        <v>0</v>
      </c>
      <c r="AB754" s="24">
        <v>0</v>
      </c>
      <c r="AC754" s="24">
        <v>1</v>
      </c>
      <c r="AD754" s="24">
        <v>1</v>
      </c>
      <c r="AE754" s="24">
        <v>0</v>
      </c>
      <c r="AF754" s="24">
        <v>1</v>
      </c>
      <c r="AG754" s="10" t="s">
        <v>3775</v>
      </c>
      <c r="AH754" s="10" t="s">
        <v>3272</v>
      </c>
      <c r="AI754" s="6" t="s">
        <v>3272</v>
      </c>
      <c r="AJ754" s="6" t="s">
        <v>160</v>
      </c>
      <c r="AK754" s="6" t="s">
        <v>127</v>
      </c>
      <c r="AL754" s="6" t="s">
        <v>127</v>
      </c>
      <c r="AM754" s="6" t="s">
        <v>127</v>
      </c>
      <c r="AN754" s="6" t="s">
        <v>151</v>
      </c>
      <c r="AO754" s="6" t="s">
        <v>128</v>
      </c>
      <c r="AP754" s="6" t="s">
        <v>162</v>
      </c>
      <c r="AQ754" s="6" t="s">
        <v>127</v>
      </c>
      <c r="AR754" s="6" t="s">
        <v>127</v>
      </c>
      <c r="AS754" s="6" t="s">
        <v>127</v>
      </c>
      <c r="AT754" s="6" t="s">
        <v>127</v>
      </c>
      <c r="AU754" s="6" t="s">
        <v>127</v>
      </c>
      <c r="AV754" s="6" t="s">
        <v>127</v>
      </c>
      <c r="AW754" s="6" t="s">
        <v>162</v>
      </c>
      <c r="AX754" s="6" t="s">
        <v>127</v>
      </c>
      <c r="AY754" s="99" t="s">
        <v>3776</v>
      </c>
      <c r="AZ754" s="6" t="s">
        <v>127</v>
      </c>
      <c r="BA754" s="6" t="s">
        <v>127</v>
      </c>
      <c r="BB754" s="6" t="s">
        <v>3777</v>
      </c>
      <c r="BC754" s="6" t="s">
        <v>3778</v>
      </c>
      <c r="BD754" s="6" t="s">
        <v>3779</v>
      </c>
      <c r="BE754" s="6" t="s">
        <v>127</v>
      </c>
    </row>
    <row r="755" spans="1:58" ht="16" x14ac:dyDescent="0.4">
      <c r="A755" s="92" t="s">
        <v>3780</v>
      </c>
      <c r="B755" s="92" t="s">
        <v>3780</v>
      </c>
      <c r="C755" s="6" t="s">
        <v>127</v>
      </c>
      <c r="D755" s="6" t="s">
        <v>3272</v>
      </c>
      <c r="E755" s="192">
        <v>45643</v>
      </c>
      <c r="F755" s="6">
        <f t="shared" si="180"/>
        <v>2024</v>
      </c>
      <c r="G755" s="33" t="s">
        <v>3781</v>
      </c>
      <c r="H755" s="22" t="str">
        <f>VLOOKUP($G755,'Item Classification'!B:C,2,0)</f>
        <v>Armoured personnel carrier (APC)</v>
      </c>
      <c r="I755" s="6" t="str">
        <f>VLOOKUP($G755,'Item Classification'!B:D,3,0)</f>
        <v>Armoured vehicle</v>
      </c>
      <c r="J755" s="23">
        <f>VLOOKUP($G755,'Item Classification'!B:E,4,0)</f>
        <v>2</v>
      </c>
      <c r="K755" s="195" t="s">
        <v>274</v>
      </c>
      <c r="L755" s="195" t="s">
        <v>493</v>
      </c>
      <c r="M755" s="116" t="str">
        <f>VLOOKUP(L755,'NATO Classifications'!$D$6:$E$647,2,0)</f>
        <v>Combat, Assault, and Tactical Vehicles, Wheeled</v>
      </c>
      <c r="N755" s="25">
        <v>80</v>
      </c>
      <c r="O755" s="81">
        <f t="shared" si="187"/>
        <v>53750000</v>
      </c>
      <c r="P755" s="81">
        <f t="shared" si="188"/>
        <v>12483162.246272471</v>
      </c>
      <c r="Q755" s="25">
        <v>2027</v>
      </c>
      <c r="R755" s="25">
        <v>2028</v>
      </c>
      <c r="S755" s="103">
        <v>4300000000</v>
      </c>
      <c r="T755" s="91" t="s">
        <v>3274</v>
      </c>
      <c r="U755" s="104">
        <f>_xlfn.IFNA(S755/INDEX('Exchange Rates'!$C$7:$F$14,MATCH('MAIN DATA, Orders'!F755,'Exchange Rates'!$B$7:$B$14,0),MATCH('MAIN DATA, Orders'!T755,'Exchange Rates'!$C$6:$F$6,0)), "-")</f>
        <v>998652979.7017976</v>
      </c>
      <c r="V755" s="6" t="s">
        <v>127</v>
      </c>
      <c r="W755" s="6" t="s">
        <v>127</v>
      </c>
      <c r="X755" s="6" t="s">
        <v>3272</v>
      </c>
      <c r="Y755" s="24">
        <f t="shared" si="183"/>
        <v>202412</v>
      </c>
      <c r="Z755" s="24">
        <v>1</v>
      </c>
      <c r="AA755" s="24">
        <v>0</v>
      </c>
      <c r="AB755" s="24">
        <v>0</v>
      </c>
      <c r="AC755" s="24">
        <v>1</v>
      </c>
      <c r="AD755" s="24">
        <v>0</v>
      </c>
      <c r="AE755" s="24">
        <v>0</v>
      </c>
      <c r="AF755" s="24">
        <v>0</v>
      </c>
      <c r="AG755" s="10" t="s">
        <v>3377</v>
      </c>
      <c r="AH755" s="10" t="s">
        <v>3272</v>
      </c>
      <c r="AI755" s="6" t="s">
        <v>3272</v>
      </c>
      <c r="AJ755" s="6" t="s">
        <v>3401</v>
      </c>
      <c r="AK755" s="6" t="s">
        <v>3649</v>
      </c>
      <c r="AL755" s="6" t="s">
        <v>127</v>
      </c>
      <c r="AM755" s="6" t="s">
        <v>127</v>
      </c>
      <c r="AN755" s="6" t="s">
        <v>127</v>
      </c>
      <c r="AO755" s="6" t="s">
        <v>127</v>
      </c>
      <c r="AP755" s="6" t="s">
        <v>127</v>
      </c>
      <c r="AQ755" s="6" t="s">
        <v>127</v>
      </c>
      <c r="AR755" s="6" t="s">
        <v>127</v>
      </c>
      <c r="AS755" s="6" t="s">
        <v>127</v>
      </c>
      <c r="AT755" s="6" t="s">
        <v>127</v>
      </c>
      <c r="AU755" s="6" t="s">
        <v>127</v>
      </c>
      <c r="AV755" s="6" t="s">
        <v>127</v>
      </c>
      <c r="AW755" s="6" t="s">
        <v>127</v>
      </c>
      <c r="AX755" s="6" t="s">
        <v>127</v>
      </c>
      <c r="AY755" s="99" t="s">
        <v>3782</v>
      </c>
      <c r="AZ755" s="96" t="s">
        <v>3783</v>
      </c>
      <c r="BA755" s="6" t="s">
        <v>127</v>
      </c>
      <c r="BB755" s="6" t="s">
        <v>3784</v>
      </c>
      <c r="BC755" s="6" t="s">
        <v>3785</v>
      </c>
      <c r="BD755" s="6" t="s">
        <v>3786</v>
      </c>
      <c r="BE755" s="6" t="s">
        <v>127</v>
      </c>
      <c r="BF755" s="6" t="s">
        <v>127</v>
      </c>
    </row>
    <row r="756" spans="1:58" ht="16" x14ac:dyDescent="0.4">
      <c r="A756" s="92" t="s">
        <v>3787</v>
      </c>
      <c r="B756" s="92" t="s">
        <v>3787</v>
      </c>
      <c r="C756" s="6" t="s">
        <v>127</v>
      </c>
      <c r="D756" s="6" t="s">
        <v>3272</v>
      </c>
      <c r="E756" s="192">
        <v>45645</v>
      </c>
      <c r="F756" s="6">
        <f t="shared" si="180"/>
        <v>2024</v>
      </c>
      <c r="G756" s="6" t="s">
        <v>127</v>
      </c>
      <c r="H756" s="22" t="s">
        <v>3366</v>
      </c>
      <c r="I756" s="6" t="s">
        <v>1311</v>
      </c>
      <c r="J756" s="23">
        <v>8</v>
      </c>
      <c r="K756" s="195" t="s">
        <v>763</v>
      </c>
      <c r="L756" s="195" t="s">
        <v>764</v>
      </c>
      <c r="M756" s="116" t="str">
        <f>VLOOKUP(L756,'NATO Classifications'!$D$6:$E$647,2,0)</f>
        <v>Guns below 75mm</v>
      </c>
      <c r="N756" s="25"/>
      <c r="O756" s="81"/>
      <c r="P756" s="25"/>
      <c r="Q756" s="25"/>
      <c r="R756" s="25"/>
      <c r="S756" s="103">
        <v>1000000000</v>
      </c>
      <c r="T756" s="91" t="s">
        <v>3274</v>
      </c>
      <c r="U756" s="104">
        <f>_xlfn.IFNA(S756/INDEX('Exchange Rates'!$C$7:$F$14,MATCH('MAIN DATA, Orders'!F756,'Exchange Rates'!$B$7:$B$14,0),MATCH('MAIN DATA, Orders'!T756,'Exchange Rates'!$C$6:$F$6,0)), "-")</f>
        <v>232244879.00041807</v>
      </c>
      <c r="V756" s="6" t="s">
        <v>127</v>
      </c>
      <c r="W756" s="6" t="s">
        <v>127</v>
      </c>
      <c r="X756" s="6" t="s">
        <v>3272</v>
      </c>
      <c r="Y756" s="24">
        <f t="shared" si="183"/>
        <v>202412</v>
      </c>
      <c r="Z756" s="24">
        <v>1</v>
      </c>
      <c r="AA756" s="24">
        <v>0</v>
      </c>
      <c r="AB756" s="24">
        <v>0</v>
      </c>
      <c r="AC756" s="24">
        <v>1</v>
      </c>
      <c r="AD756" s="24">
        <v>0</v>
      </c>
      <c r="AE756" s="24">
        <v>0</v>
      </c>
      <c r="AF756" s="24">
        <v>0</v>
      </c>
      <c r="AG756" s="10" t="s">
        <v>3788</v>
      </c>
      <c r="AH756" s="10" t="s">
        <v>3272</v>
      </c>
      <c r="AI756" s="6" t="s">
        <v>3272</v>
      </c>
      <c r="AJ756" s="6" t="s">
        <v>127</v>
      </c>
      <c r="AK756" s="6" t="s">
        <v>127</v>
      </c>
      <c r="AL756" s="6" t="s">
        <v>127</v>
      </c>
      <c r="AM756" s="6" t="s">
        <v>127</v>
      </c>
      <c r="AN756" s="6" t="s">
        <v>127</v>
      </c>
      <c r="AO756" s="6" t="s">
        <v>127</v>
      </c>
      <c r="AP756" s="6" t="s">
        <v>127</v>
      </c>
      <c r="AQ756" s="6" t="s">
        <v>127</v>
      </c>
      <c r="AR756" s="6" t="s">
        <v>127</v>
      </c>
      <c r="AS756" s="6" t="s">
        <v>127</v>
      </c>
      <c r="AT756" s="6" t="s">
        <v>127</v>
      </c>
      <c r="AU756" s="6" t="s">
        <v>127</v>
      </c>
      <c r="AV756" s="6" t="s">
        <v>127</v>
      </c>
      <c r="AW756" s="6" t="s">
        <v>127</v>
      </c>
      <c r="AX756" s="6" t="s">
        <v>127</v>
      </c>
      <c r="AY756" s="99" t="s">
        <v>3789</v>
      </c>
      <c r="AZ756" s="6" t="s">
        <v>127</v>
      </c>
      <c r="BA756" s="6" t="s">
        <v>127</v>
      </c>
      <c r="BB756" s="6" t="s">
        <v>3790</v>
      </c>
      <c r="BC756" s="6" t="s">
        <v>127</v>
      </c>
      <c r="BD756" s="6" t="s">
        <v>127</v>
      </c>
      <c r="BE756" s="6" t="s">
        <v>127</v>
      </c>
    </row>
    <row r="757" spans="1:58" ht="16" x14ac:dyDescent="0.4">
      <c r="A757" s="92" t="s">
        <v>3787</v>
      </c>
      <c r="B757" s="92" t="s">
        <v>3791</v>
      </c>
      <c r="C757" s="6" t="s">
        <v>127</v>
      </c>
      <c r="D757" s="6" t="s">
        <v>3272</v>
      </c>
      <c r="E757" s="192">
        <v>45645</v>
      </c>
      <c r="F757" s="6">
        <f t="shared" si="180"/>
        <v>2024</v>
      </c>
      <c r="G757" s="6" t="s">
        <v>3371</v>
      </c>
      <c r="H757" s="22" t="str">
        <f>VLOOKUP($G757,'Item Classification'!B:C,2,0)</f>
        <v>Small Arms and Light Weapons (SALW)</v>
      </c>
      <c r="I757" s="6" t="str">
        <f>VLOOKUP($G757,'Item Classification'!B:D,3,0)</f>
        <v>Infantry</v>
      </c>
      <c r="J757" s="23">
        <f>VLOOKUP($G757,'Item Classification'!B:E,4,0)</f>
        <v>8</v>
      </c>
      <c r="K757" s="195" t="s">
        <v>763</v>
      </c>
      <c r="L757" s="195" t="s">
        <v>764</v>
      </c>
      <c r="M757" s="116" t="str">
        <f>VLOOKUP(L757,'NATO Classifications'!$D$6:$E$647,2,0)</f>
        <v>Guns below 75mm</v>
      </c>
      <c r="N757" s="25">
        <v>45000</v>
      </c>
      <c r="O757" s="81"/>
      <c r="P757" s="25"/>
      <c r="Q757" s="25"/>
      <c r="R757" s="25"/>
      <c r="S757" s="103"/>
      <c r="T757" s="91" t="s">
        <v>3274</v>
      </c>
      <c r="U757" s="104">
        <f>_xlfn.IFNA(S757/INDEX('Exchange Rates'!$C$7:$F$14,MATCH('MAIN DATA, Orders'!F757,'Exchange Rates'!$B$7:$B$14,0),MATCH('MAIN DATA, Orders'!T757,'Exchange Rates'!$C$6:$F$6,0)), "-")</f>
        <v>0</v>
      </c>
      <c r="V757" s="6" t="s">
        <v>127</v>
      </c>
      <c r="W757" s="6" t="s">
        <v>127</v>
      </c>
      <c r="X757" s="6" t="s">
        <v>3272</v>
      </c>
      <c r="Y757" s="24">
        <f t="shared" si="183"/>
        <v>202412</v>
      </c>
      <c r="Z757" s="24">
        <v>1</v>
      </c>
      <c r="AA757" s="24">
        <v>0</v>
      </c>
      <c r="AB757" s="24">
        <v>0</v>
      </c>
      <c r="AC757" s="24">
        <v>1</v>
      </c>
      <c r="AD757" s="24">
        <v>0</v>
      </c>
      <c r="AE757" s="24">
        <v>0</v>
      </c>
      <c r="AF757" s="24">
        <v>0</v>
      </c>
      <c r="AG757" s="10" t="s">
        <v>3788</v>
      </c>
      <c r="AH757" s="10" t="s">
        <v>3272</v>
      </c>
      <c r="AI757" s="6" t="s">
        <v>3272</v>
      </c>
      <c r="AJ757" s="6" t="s">
        <v>127</v>
      </c>
      <c r="AK757" s="6" t="s">
        <v>127</v>
      </c>
      <c r="AL757" s="6" t="s">
        <v>127</v>
      </c>
      <c r="AM757" s="6" t="s">
        <v>127</v>
      </c>
      <c r="AN757" s="6" t="s">
        <v>127</v>
      </c>
      <c r="AO757" s="6" t="s">
        <v>127</v>
      </c>
      <c r="AP757" s="6" t="s">
        <v>127</v>
      </c>
      <c r="AQ757" s="6" t="s">
        <v>127</v>
      </c>
      <c r="AR757" s="6" t="s">
        <v>127</v>
      </c>
      <c r="AS757" s="6" t="s">
        <v>127</v>
      </c>
      <c r="AT757" s="6" t="s">
        <v>127</v>
      </c>
      <c r="AU757" s="6" t="s">
        <v>127</v>
      </c>
      <c r="AV757" s="6" t="s">
        <v>127</v>
      </c>
      <c r="AW757" s="6" t="s">
        <v>127</v>
      </c>
      <c r="AX757" s="6" t="s">
        <v>127</v>
      </c>
      <c r="AY757" s="99" t="s">
        <v>3789</v>
      </c>
      <c r="AZ757" s="6" t="s">
        <v>127</v>
      </c>
      <c r="BA757" s="6" t="s">
        <v>127</v>
      </c>
      <c r="BB757" s="6" t="s">
        <v>3790</v>
      </c>
      <c r="BC757" s="6" t="s">
        <v>127</v>
      </c>
      <c r="BD757" s="6" t="s">
        <v>127</v>
      </c>
      <c r="BE757" s="6" t="s">
        <v>127</v>
      </c>
    </row>
    <row r="758" spans="1:58" ht="16" x14ac:dyDescent="0.4">
      <c r="A758" s="92" t="s">
        <v>3787</v>
      </c>
      <c r="B758" s="92" t="s">
        <v>3792</v>
      </c>
      <c r="C758" s="6" t="s">
        <v>127</v>
      </c>
      <c r="D758" s="6" t="s">
        <v>3272</v>
      </c>
      <c r="E758" s="192">
        <v>45645</v>
      </c>
      <c r="F758" s="6">
        <f t="shared" si="180"/>
        <v>2024</v>
      </c>
      <c r="G758" s="4" t="s">
        <v>3373</v>
      </c>
      <c r="H758" s="22" t="str">
        <f>VLOOKUP($G758,'Item Classification'!B:C,2,0)</f>
        <v>Small Arms and Light Weapons (SALW)</v>
      </c>
      <c r="I758" s="6" t="str">
        <f>VLOOKUP($G758,'Item Classification'!B:D,3,0)</f>
        <v>Infantry</v>
      </c>
      <c r="J758" s="23">
        <f>VLOOKUP($G758,'Item Classification'!B:E,4,0)</f>
        <v>8</v>
      </c>
      <c r="K758" s="195" t="s">
        <v>763</v>
      </c>
      <c r="L758" s="195" t="s">
        <v>764</v>
      </c>
      <c r="M758" s="116" t="str">
        <f>VLOOKUP(L758,'NATO Classifications'!$D$6:$E$647,2,0)</f>
        <v>Guns below 75mm</v>
      </c>
      <c r="N758" s="25">
        <v>13000</v>
      </c>
      <c r="O758" s="81"/>
      <c r="P758" s="25"/>
      <c r="Q758" s="25"/>
      <c r="R758" s="25"/>
      <c r="S758" s="103"/>
      <c r="T758" s="91" t="s">
        <v>3274</v>
      </c>
      <c r="U758" s="104">
        <f>_xlfn.IFNA(S758/INDEX('Exchange Rates'!$C$7:$F$14,MATCH('MAIN DATA, Orders'!F758,'Exchange Rates'!$B$7:$B$14,0),MATCH('MAIN DATA, Orders'!T758,'Exchange Rates'!$C$6:$F$6,0)), "-")</f>
        <v>0</v>
      </c>
      <c r="V758" s="6" t="s">
        <v>127</v>
      </c>
      <c r="W758" s="6" t="s">
        <v>127</v>
      </c>
      <c r="X758" s="6" t="s">
        <v>3272</v>
      </c>
      <c r="Y758" s="24">
        <f t="shared" si="183"/>
        <v>202412</v>
      </c>
      <c r="Z758" s="24">
        <v>1</v>
      </c>
      <c r="AA758" s="24">
        <v>0</v>
      </c>
      <c r="AB758" s="24">
        <v>0</v>
      </c>
      <c r="AC758" s="24">
        <v>1</v>
      </c>
      <c r="AD758" s="24">
        <v>0</v>
      </c>
      <c r="AE758" s="24">
        <v>0</v>
      </c>
      <c r="AF758" s="24">
        <v>0</v>
      </c>
      <c r="AG758" s="10" t="s">
        <v>3788</v>
      </c>
      <c r="AH758" s="10" t="s">
        <v>3272</v>
      </c>
      <c r="AI758" s="6" t="s">
        <v>3272</v>
      </c>
      <c r="AJ758" s="6" t="s">
        <v>127</v>
      </c>
      <c r="AK758" s="6" t="s">
        <v>127</v>
      </c>
      <c r="AL758" s="6" t="s">
        <v>127</v>
      </c>
      <c r="AM758" s="6" t="s">
        <v>127</v>
      </c>
      <c r="AN758" s="6" t="s">
        <v>127</v>
      </c>
      <c r="AO758" s="6" t="s">
        <v>127</v>
      </c>
      <c r="AP758" s="6" t="s">
        <v>127</v>
      </c>
      <c r="AQ758" s="6" t="s">
        <v>127</v>
      </c>
      <c r="AR758" s="6" t="s">
        <v>127</v>
      </c>
      <c r="AS758" s="6" t="s">
        <v>127</v>
      </c>
      <c r="AT758" s="6" t="s">
        <v>127</v>
      </c>
      <c r="AU758" s="6" t="s">
        <v>127</v>
      </c>
      <c r="AV758" s="6" t="s">
        <v>127</v>
      </c>
      <c r="AW758" s="6" t="s">
        <v>127</v>
      </c>
      <c r="AX758" s="6" t="s">
        <v>127</v>
      </c>
      <c r="AY758" s="99" t="s">
        <v>3789</v>
      </c>
      <c r="AZ758" s="6" t="s">
        <v>127</v>
      </c>
      <c r="BA758" s="6" t="s">
        <v>127</v>
      </c>
      <c r="BB758" s="6" t="s">
        <v>3790</v>
      </c>
      <c r="BC758" s="6" t="s">
        <v>127</v>
      </c>
      <c r="BD758" s="6" t="s">
        <v>127</v>
      </c>
      <c r="BE758" s="6" t="s">
        <v>127</v>
      </c>
    </row>
    <row r="759" spans="1:58" ht="16" x14ac:dyDescent="0.4">
      <c r="A759" s="92" t="s">
        <v>3787</v>
      </c>
      <c r="B759" s="92" t="s">
        <v>3793</v>
      </c>
      <c r="C759" s="6" t="s">
        <v>127</v>
      </c>
      <c r="D759" s="6" t="s">
        <v>3272</v>
      </c>
      <c r="E759" s="192">
        <v>45645</v>
      </c>
      <c r="F759" s="6">
        <f t="shared" si="180"/>
        <v>2024</v>
      </c>
      <c r="G759" s="6" t="s">
        <v>3794</v>
      </c>
      <c r="H759" s="22" t="str">
        <f>VLOOKUP($G759,'Item Classification'!B:C,2,0)</f>
        <v>Small Arms and Light Weapons (SALW)</v>
      </c>
      <c r="I759" s="6" t="str">
        <f>VLOOKUP($G759,'Item Classification'!B:D,3,0)</f>
        <v>Infantry</v>
      </c>
      <c r="J759" s="23">
        <f>VLOOKUP($G759,'Item Classification'!B:E,4,0)</f>
        <v>8</v>
      </c>
      <c r="K759" s="195" t="s">
        <v>763</v>
      </c>
      <c r="L759" s="195" t="s">
        <v>764</v>
      </c>
      <c r="M759" s="116" t="str">
        <f>VLOOKUP(L759,'NATO Classifications'!$D$6:$E$647,2,0)</f>
        <v>Guns below 75mm</v>
      </c>
      <c r="N759" s="25">
        <v>1300</v>
      </c>
      <c r="O759" s="81"/>
      <c r="P759" s="25"/>
      <c r="Q759" s="25"/>
      <c r="R759" s="25"/>
      <c r="S759" s="103"/>
      <c r="T759" s="91" t="s">
        <v>3274</v>
      </c>
      <c r="U759" s="104">
        <f>_xlfn.IFNA(S759/INDEX('Exchange Rates'!$C$7:$F$14,MATCH('MAIN DATA, Orders'!F759,'Exchange Rates'!$B$7:$B$14,0),MATCH('MAIN DATA, Orders'!T759,'Exchange Rates'!$C$6:$F$6,0)), "-")</f>
        <v>0</v>
      </c>
      <c r="V759" s="6" t="s">
        <v>127</v>
      </c>
      <c r="W759" s="6" t="s">
        <v>127</v>
      </c>
      <c r="X759" s="6" t="s">
        <v>3272</v>
      </c>
      <c r="Y759" s="24">
        <f t="shared" si="183"/>
        <v>202412</v>
      </c>
      <c r="Z759" s="24">
        <v>1</v>
      </c>
      <c r="AA759" s="24">
        <v>0</v>
      </c>
      <c r="AB759" s="24">
        <v>0</v>
      </c>
      <c r="AC759" s="24">
        <v>1</v>
      </c>
      <c r="AD759" s="24">
        <v>0</v>
      </c>
      <c r="AE759" s="24">
        <v>0</v>
      </c>
      <c r="AF759" s="24">
        <v>0</v>
      </c>
      <c r="AG759" s="10" t="s">
        <v>3788</v>
      </c>
      <c r="AH759" s="10" t="s">
        <v>3272</v>
      </c>
      <c r="AI759" s="6" t="s">
        <v>3272</v>
      </c>
      <c r="AJ759" s="6" t="s">
        <v>127</v>
      </c>
      <c r="AK759" s="6" t="s">
        <v>127</v>
      </c>
      <c r="AL759" s="6" t="s">
        <v>127</v>
      </c>
      <c r="AM759" s="6" t="s">
        <v>127</v>
      </c>
      <c r="AN759" s="6" t="s">
        <v>127</v>
      </c>
      <c r="AO759" s="6" t="s">
        <v>127</v>
      </c>
      <c r="AP759" s="6" t="s">
        <v>127</v>
      </c>
      <c r="AQ759" s="6" t="s">
        <v>127</v>
      </c>
      <c r="AR759" s="6" t="s">
        <v>127</v>
      </c>
      <c r="AS759" s="6" t="s">
        <v>127</v>
      </c>
      <c r="AT759" s="6" t="s">
        <v>127</v>
      </c>
      <c r="AU759" s="6" t="s">
        <v>127</v>
      </c>
      <c r="AV759" s="6" t="s">
        <v>127</v>
      </c>
      <c r="AW759" s="6" t="s">
        <v>127</v>
      </c>
      <c r="AX759" s="6" t="s">
        <v>127</v>
      </c>
      <c r="AY759" s="99" t="s">
        <v>3789</v>
      </c>
      <c r="AZ759" s="6" t="s">
        <v>127</v>
      </c>
      <c r="BA759" s="6" t="s">
        <v>127</v>
      </c>
      <c r="BB759" s="6" t="s">
        <v>3790</v>
      </c>
      <c r="BC759" s="6" t="s">
        <v>127</v>
      </c>
      <c r="BD759" s="6" t="s">
        <v>127</v>
      </c>
      <c r="BE759" s="6" t="s">
        <v>127</v>
      </c>
    </row>
    <row r="760" spans="1:58" ht="16" x14ac:dyDescent="0.4">
      <c r="A760" s="92" t="s">
        <v>3795</v>
      </c>
      <c r="B760" s="92" t="s">
        <v>3795</v>
      </c>
      <c r="C760" s="6" t="s">
        <v>3796</v>
      </c>
      <c r="D760" s="6" t="s">
        <v>3272</v>
      </c>
      <c r="E760" s="192">
        <v>45646</v>
      </c>
      <c r="F760" s="6">
        <f t="shared" si="180"/>
        <v>2024</v>
      </c>
      <c r="G760" s="6" t="s">
        <v>3570</v>
      </c>
      <c r="H760" s="22" t="str">
        <f>VLOOKUP($G760,'Item Classification'!B:C,2,0)</f>
        <v>ISR Satellite</v>
      </c>
      <c r="I760" s="6" t="str">
        <f>VLOOKUP($G760,'Item Classification'!B:D,3,0)</f>
        <v>Modernisation</v>
      </c>
      <c r="J760" s="23">
        <f>VLOOKUP($G760,'Item Classification'!B:E,4,0)</f>
        <v>13</v>
      </c>
      <c r="K760" s="195" t="s">
        <v>2028</v>
      </c>
      <c r="L760" s="195" t="s">
        <v>2028</v>
      </c>
      <c r="M760" s="116" t="str">
        <f>VLOOKUP(L760,'NATO Classifications'!$D$6:$E$647,2,0)</f>
        <v>Space Vehicles</v>
      </c>
      <c r="N760" s="25">
        <v>4</v>
      </c>
      <c r="O760" s="81">
        <f>S760/N760</f>
        <v>137500000</v>
      </c>
      <c r="P760" s="81">
        <f>U760/N760</f>
        <v>31933670.862557482</v>
      </c>
      <c r="Q760" s="25">
        <v>2026</v>
      </c>
      <c r="R760" s="25">
        <v>2027</v>
      </c>
      <c r="S760" s="103">
        <v>550000000</v>
      </c>
      <c r="T760" s="91" t="s">
        <v>3274</v>
      </c>
      <c r="U760" s="104">
        <f>_xlfn.IFNA(S760/INDEX('Exchange Rates'!$C$7:$F$14,MATCH('MAIN DATA, Orders'!F760,'Exchange Rates'!$B$7:$B$14,0),MATCH('MAIN DATA, Orders'!T760,'Exchange Rates'!$C$6:$F$6,0)), "-")</f>
        <v>127734683.45022993</v>
      </c>
      <c r="V760" s="6" t="s">
        <v>127</v>
      </c>
      <c r="W760" s="6" t="s">
        <v>127</v>
      </c>
      <c r="X760" s="6" t="s">
        <v>3272</v>
      </c>
      <c r="Y760" s="24">
        <f t="shared" si="183"/>
        <v>202412</v>
      </c>
      <c r="Z760" s="24">
        <v>0</v>
      </c>
      <c r="AA760" s="24">
        <v>0</v>
      </c>
      <c r="AB760" s="24">
        <v>0</v>
      </c>
      <c r="AC760" s="24">
        <v>1</v>
      </c>
      <c r="AD760" s="24">
        <v>0</v>
      </c>
      <c r="AE760" s="24">
        <v>0</v>
      </c>
      <c r="AF760" s="24">
        <v>0</v>
      </c>
      <c r="AG760" s="10" t="s">
        <v>3797</v>
      </c>
      <c r="AH760" s="10" t="s">
        <v>3272</v>
      </c>
      <c r="AI760" s="6" t="s">
        <v>3272</v>
      </c>
      <c r="AJ760" s="6" t="s">
        <v>127</v>
      </c>
      <c r="AK760" s="6" t="s">
        <v>127</v>
      </c>
      <c r="AL760" s="6" t="s">
        <v>127</v>
      </c>
      <c r="AM760" s="6" t="s">
        <v>127</v>
      </c>
      <c r="AN760" s="6" t="s">
        <v>127</v>
      </c>
      <c r="AO760" s="6" t="s">
        <v>127</v>
      </c>
      <c r="AP760" s="6" t="s">
        <v>127</v>
      </c>
      <c r="AQ760" s="6" t="s">
        <v>127</v>
      </c>
      <c r="AR760" s="6" t="s">
        <v>127</v>
      </c>
      <c r="AS760" s="6" t="s">
        <v>127</v>
      </c>
      <c r="AT760" s="6" t="s">
        <v>127</v>
      </c>
      <c r="AU760" s="6" t="s">
        <v>127</v>
      </c>
      <c r="AV760" s="6" t="s">
        <v>127</v>
      </c>
      <c r="AW760" s="6" t="s">
        <v>127</v>
      </c>
      <c r="AX760" s="6" t="s">
        <v>127</v>
      </c>
      <c r="AY760" s="99" t="s">
        <v>3798</v>
      </c>
      <c r="AZ760" s="6" t="s">
        <v>127</v>
      </c>
      <c r="BA760" s="6" t="s">
        <v>127</v>
      </c>
      <c r="BB760" s="6" t="s">
        <v>3799</v>
      </c>
      <c r="BC760" s="6" t="s">
        <v>3800</v>
      </c>
      <c r="BD760" s="6" t="s">
        <v>3801</v>
      </c>
      <c r="BE760" s="6" t="s">
        <v>127</v>
      </c>
    </row>
    <row r="761" spans="1:58" ht="16" x14ac:dyDescent="0.4">
      <c r="A761" s="92" t="s">
        <v>3802</v>
      </c>
      <c r="B761" s="92" t="s">
        <v>3802</v>
      </c>
      <c r="C761" s="6" t="s">
        <v>127</v>
      </c>
      <c r="D761" s="6" t="s">
        <v>3272</v>
      </c>
      <c r="E761" s="192">
        <v>45649</v>
      </c>
      <c r="F761" s="6">
        <f t="shared" si="180"/>
        <v>2024</v>
      </c>
      <c r="G761" s="6" t="s">
        <v>127</v>
      </c>
      <c r="H761" s="22" t="s">
        <v>3803</v>
      </c>
      <c r="I761" s="4" t="s">
        <v>3376</v>
      </c>
      <c r="J761" s="23">
        <v>3</v>
      </c>
      <c r="K761" s="195" t="s">
        <v>763</v>
      </c>
      <c r="L761" s="195" t="s">
        <v>3515</v>
      </c>
      <c r="M761" s="116" t="str">
        <f>VLOOKUP(L761,'NATO Classifications'!$D$6:$E$647,2,0)</f>
        <v>Guns over 75mm</v>
      </c>
      <c r="N761" s="25"/>
      <c r="O761" s="81"/>
      <c r="P761" s="25"/>
      <c r="Q761" s="25"/>
      <c r="R761" s="25"/>
      <c r="S761" s="103">
        <v>17000000000</v>
      </c>
      <c r="T761" s="91" t="s">
        <v>3274</v>
      </c>
      <c r="U761" s="104">
        <f>_xlfn.IFNA(S761/INDEX('Exchange Rates'!$C$7:$F$14,MATCH('MAIN DATA, Orders'!F761,'Exchange Rates'!$B$7:$B$14,0),MATCH('MAIN DATA, Orders'!T761,'Exchange Rates'!$C$6:$F$6,0)), "-")</f>
        <v>3948162943.0071073</v>
      </c>
      <c r="V761" s="6" t="s">
        <v>127</v>
      </c>
      <c r="W761" s="6" t="s">
        <v>127</v>
      </c>
      <c r="X761" s="6" t="s">
        <v>3272</v>
      </c>
      <c r="Y761" s="24">
        <f t="shared" si="183"/>
        <v>202412</v>
      </c>
      <c r="Z761" s="24">
        <v>1</v>
      </c>
      <c r="AA761" s="24">
        <v>0</v>
      </c>
      <c r="AB761" s="24">
        <v>0</v>
      </c>
      <c r="AC761" s="24">
        <v>1</v>
      </c>
      <c r="AD761" s="24">
        <v>0</v>
      </c>
      <c r="AE761" s="24">
        <v>0</v>
      </c>
      <c r="AF761" s="24">
        <v>0</v>
      </c>
      <c r="AG761" s="10" t="s">
        <v>3377</v>
      </c>
      <c r="AH761" s="10" t="s">
        <v>3272</v>
      </c>
      <c r="AI761" s="6" t="s">
        <v>3272</v>
      </c>
      <c r="AJ761" s="6" t="s">
        <v>127</v>
      </c>
      <c r="AK761" s="6" t="s">
        <v>127</v>
      </c>
      <c r="AL761" s="6" t="s">
        <v>127</v>
      </c>
      <c r="AM761" s="6" t="s">
        <v>127</v>
      </c>
      <c r="AN761" s="6" t="s">
        <v>127</v>
      </c>
      <c r="AO761" s="6" t="s">
        <v>127</v>
      </c>
      <c r="AP761" s="6" t="s">
        <v>127</v>
      </c>
      <c r="AQ761" s="6" t="s">
        <v>127</v>
      </c>
      <c r="AR761" s="6" t="s">
        <v>127</v>
      </c>
      <c r="AS761" s="6" t="s">
        <v>127</v>
      </c>
      <c r="AT761" s="6" t="s">
        <v>127</v>
      </c>
      <c r="AU761" s="6" t="s">
        <v>127</v>
      </c>
      <c r="AV761" s="6" t="s">
        <v>127</v>
      </c>
      <c r="AW761" s="6" t="s">
        <v>127</v>
      </c>
      <c r="AX761" s="6" t="s">
        <v>127</v>
      </c>
      <c r="AY761" s="99" t="s">
        <v>3804</v>
      </c>
      <c r="AZ761" s="6" t="s">
        <v>127</v>
      </c>
      <c r="BA761" s="6" t="s">
        <v>127</v>
      </c>
      <c r="BB761" s="6" t="s">
        <v>3805</v>
      </c>
      <c r="BC761" s="6" t="s">
        <v>3806</v>
      </c>
      <c r="BD761" s="6" t="s">
        <v>127</v>
      </c>
      <c r="BE761" s="6" t="s">
        <v>127</v>
      </c>
    </row>
    <row r="762" spans="1:58" ht="16" x14ac:dyDescent="0.4">
      <c r="A762" s="92" t="s">
        <v>3802</v>
      </c>
      <c r="B762" s="92" t="s">
        <v>3807</v>
      </c>
      <c r="C762" s="6" t="s">
        <v>127</v>
      </c>
      <c r="D762" s="6" t="s">
        <v>3272</v>
      </c>
      <c r="E762" s="192">
        <v>45649</v>
      </c>
      <c r="F762" s="6">
        <f t="shared" si="180"/>
        <v>2024</v>
      </c>
      <c r="G762" s="4" t="s">
        <v>3808</v>
      </c>
      <c r="H762" s="22" t="str">
        <f>VLOOKUP($G762,'Item Classification'!B:C,2,0)</f>
        <v>Accompanying vehicle self-propelled howitzer</v>
      </c>
      <c r="I762" s="6" t="str">
        <f>VLOOKUP($G762,'Item Classification'!B:D,3,0)</f>
        <v>Artillery</v>
      </c>
      <c r="J762" s="23">
        <f>VLOOKUP($G762,'Item Classification'!B:E,4,0)</f>
        <v>3</v>
      </c>
      <c r="K762" s="195" t="s">
        <v>274</v>
      </c>
      <c r="L762" s="195" t="s">
        <v>329</v>
      </c>
      <c r="M762" s="116" t="str">
        <f>VLOOKUP(L762,'NATO Classifications'!$D$6:$E$647,2,0)</f>
        <v>Combat, Assault, and Tactical Vehicles, Tracked</v>
      </c>
      <c r="N762" s="25">
        <v>250</v>
      </c>
      <c r="O762" s="81"/>
      <c r="P762" s="25"/>
      <c r="Q762" s="25"/>
      <c r="R762" s="25"/>
      <c r="S762" s="103"/>
      <c r="T762" s="91" t="s">
        <v>3274</v>
      </c>
      <c r="U762" s="104">
        <f>_xlfn.IFNA(S762/INDEX('Exchange Rates'!$C$7:$F$14,MATCH('MAIN DATA, Orders'!F762,'Exchange Rates'!$B$7:$B$14,0),MATCH('MAIN DATA, Orders'!T762,'Exchange Rates'!$C$6:$F$6,0)), "-")</f>
        <v>0</v>
      </c>
      <c r="V762" s="6" t="s">
        <v>127</v>
      </c>
      <c r="W762" s="6" t="s">
        <v>127</v>
      </c>
      <c r="X762" s="6" t="s">
        <v>3272</v>
      </c>
      <c r="Y762" s="24">
        <f t="shared" si="183"/>
        <v>202412</v>
      </c>
      <c r="Z762" s="24">
        <v>1</v>
      </c>
      <c r="AA762" s="24">
        <v>0</v>
      </c>
      <c r="AB762" s="24">
        <v>0</v>
      </c>
      <c r="AC762" s="24">
        <v>1</v>
      </c>
      <c r="AD762" s="24">
        <v>0</v>
      </c>
      <c r="AE762" s="24">
        <v>0</v>
      </c>
      <c r="AF762" s="24">
        <v>0</v>
      </c>
      <c r="AG762" s="10" t="s">
        <v>3377</v>
      </c>
      <c r="AH762" s="10" t="s">
        <v>3272</v>
      </c>
      <c r="AI762" s="6" t="s">
        <v>3272</v>
      </c>
      <c r="AJ762" s="6" t="s">
        <v>127</v>
      </c>
      <c r="AK762" s="6" t="s">
        <v>127</v>
      </c>
      <c r="AL762" s="6" t="s">
        <v>127</v>
      </c>
      <c r="AM762" s="6" t="s">
        <v>127</v>
      </c>
      <c r="AN762" s="6" t="s">
        <v>127</v>
      </c>
      <c r="AO762" s="6" t="s">
        <v>127</v>
      </c>
      <c r="AP762" s="6" t="s">
        <v>127</v>
      </c>
      <c r="AQ762" s="6" t="s">
        <v>127</v>
      </c>
      <c r="AR762" s="6" t="s">
        <v>127</v>
      </c>
      <c r="AS762" s="6" t="s">
        <v>127</v>
      </c>
      <c r="AT762" s="6" t="s">
        <v>127</v>
      </c>
      <c r="AU762" s="6" t="s">
        <v>127</v>
      </c>
      <c r="AV762" s="6" t="s">
        <v>127</v>
      </c>
      <c r="AW762" s="6" t="s">
        <v>127</v>
      </c>
      <c r="AX762" s="6" t="s">
        <v>127</v>
      </c>
      <c r="AY762" s="99" t="s">
        <v>3804</v>
      </c>
      <c r="AZ762" s="6" t="s">
        <v>127</v>
      </c>
      <c r="BA762" s="6" t="s">
        <v>127</v>
      </c>
      <c r="BB762" s="6" t="s">
        <v>3805</v>
      </c>
      <c r="BC762" s="6" t="s">
        <v>3806</v>
      </c>
      <c r="BD762" s="6" t="s">
        <v>127</v>
      </c>
      <c r="BE762" s="6" t="s">
        <v>127</v>
      </c>
    </row>
    <row r="763" spans="1:58" ht="16" x14ac:dyDescent="0.4">
      <c r="A763" s="92" t="s">
        <v>3802</v>
      </c>
      <c r="B763" s="92" t="s">
        <v>3809</v>
      </c>
      <c r="C763" s="6" t="s">
        <v>127</v>
      </c>
      <c r="D763" s="6" t="s">
        <v>3272</v>
      </c>
      <c r="E763" s="192">
        <v>45649</v>
      </c>
      <c r="F763" s="6">
        <f t="shared" si="180"/>
        <v>2024</v>
      </c>
      <c r="G763" s="6" t="s">
        <v>3523</v>
      </c>
      <c r="H763" s="22" t="str">
        <f>VLOOKUP($G763,'Item Classification'!B:C,2,0)</f>
        <v>155mm howitzer</v>
      </c>
      <c r="I763" s="6" t="str">
        <f>VLOOKUP($G763,'Item Classification'!B:D,3,0)</f>
        <v>Artillery</v>
      </c>
      <c r="J763" s="23">
        <f>VLOOKUP($G763,'Item Classification'!B:E,4,0)</f>
        <v>3</v>
      </c>
      <c r="K763" s="195" t="s">
        <v>763</v>
      </c>
      <c r="L763" s="195" t="s">
        <v>3515</v>
      </c>
      <c r="M763" s="116" t="str">
        <f>VLOOKUP(L763,'NATO Classifications'!$D$6:$E$647,2,0)</f>
        <v>Guns over 75mm</v>
      </c>
      <c r="N763" s="25">
        <v>96</v>
      </c>
      <c r="O763" s="81"/>
      <c r="P763" s="25"/>
      <c r="Q763" s="25"/>
      <c r="R763" s="25"/>
      <c r="S763" s="103"/>
      <c r="T763" s="91" t="s">
        <v>3274</v>
      </c>
      <c r="U763" s="104">
        <f>_xlfn.IFNA(S763/INDEX('Exchange Rates'!$C$7:$F$14,MATCH('MAIN DATA, Orders'!F763,'Exchange Rates'!$B$7:$B$14,0),MATCH('MAIN DATA, Orders'!T763,'Exchange Rates'!$C$6:$F$6,0)), "-")</f>
        <v>0</v>
      </c>
      <c r="V763" s="6" t="s">
        <v>127</v>
      </c>
      <c r="W763" s="6" t="s">
        <v>127</v>
      </c>
      <c r="X763" s="6" t="s">
        <v>3272</v>
      </c>
      <c r="Y763" s="24">
        <f t="shared" si="183"/>
        <v>202412</v>
      </c>
      <c r="Z763" s="24">
        <v>1</v>
      </c>
      <c r="AA763" s="24">
        <v>0</v>
      </c>
      <c r="AB763" s="24">
        <v>0</v>
      </c>
      <c r="AC763" s="24">
        <v>1</v>
      </c>
      <c r="AD763" s="24">
        <v>0</v>
      </c>
      <c r="AE763" s="24">
        <v>0</v>
      </c>
      <c r="AF763" s="24">
        <v>0</v>
      </c>
      <c r="AG763" s="10" t="s">
        <v>3377</v>
      </c>
      <c r="AH763" s="10" t="s">
        <v>3272</v>
      </c>
      <c r="AI763" s="6" t="s">
        <v>3272</v>
      </c>
      <c r="AJ763" s="6" t="s">
        <v>127</v>
      </c>
      <c r="AK763" s="6" t="s">
        <v>127</v>
      </c>
      <c r="AL763" s="6" t="s">
        <v>127</v>
      </c>
      <c r="AM763" s="6" t="s">
        <v>127</v>
      </c>
      <c r="AN763" s="6" t="s">
        <v>127</v>
      </c>
      <c r="AO763" s="6" t="s">
        <v>127</v>
      </c>
      <c r="AP763" s="6" t="s">
        <v>127</v>
      </c>
      <c r="AQ763" s="6" t="s">
        <v>127</v>
      </c>
      <c r="AR763" s="6" t="s">
        <v>127</v>
      </c>
      <c r="AS763" s="6" t="s">
        <v>127</v>
      </c>
      <c r="AT763" s="6" t="s">
        <v>127</v>
      </c>
      <c r="AU763" s="6" t="s">
        <v>127</v>
      </c>
      <c r="AV763" s="6" t="s">
        <v>127</v>
      </c>
      <c r="AW763" s="6" t="s">
        <v>127</v>
      </c>
      <c r="AX763" s="6" t="s">
        <v>127</v>
      </c>
      <c r="AY763" s="99" t="s">
        <v>3804</v>
      </c>
      <c r="AZ763" s="6" t="s">
        <v>127</v>
      </c>
      <c r="BA763" s="6" t="s">
        <v>127</v>
      </c>
      <c r="BB763" s="6" t="s">
        <v>3805</v>
      </c>
      <c r="BC763" s="6" t="s">
        <v>3806</v>
      </c>
      <c r="BD763" s="6" t="s">
        <v>127</v>
      </c>
      <c r="BE763" s="6" t="s">
        <v>127</v>
      </c>
    </row>
    <row r="764" spans="1:58" ht="16" x14ac:dyDescent="0.4">
      <c r="A764" s="92" t="s">
        <v>3810</v>
      </c>
      <c r="B764" s="92" t="s">
        <v>3810</v>
      </c>
      <c r="C764" s="6" t="s">
        <v>127</v>
      </c>
      <c r="D764" s="6" t="s">
        <v>3272</v>
      </c>
      <c r="E764" s="192">
        <v>45650</v>
      </c>
      <c r="F764" s="6">
        <f t="shared" si="180"/>
        <v>2024</v>
      </c>
      <c r="G764" s="6" t="s">
        <v>3811</v>
      </c>
      <c r="H764" s="22" t="str">
        <f>VLOOKUP($G764,'Item Classification'!B:C,2,0)</f>
        <v>Unmanned aerial system</v>
      </c>
      <c r="I764" s="6" t="str">
        <f>VLOOKUP($G764,'Item Classification'!B:D,3,0)</f>
        <v>Drone</v>
      </c>
      <c r="J764" s="23">
        <f>VLOOKUP($G764,'Item Classification'!B:E,4,0)</f>
        <v>7</v>
      </c>
      <c r="K764" s="195" t="s">
        <v>130</v>
      </c>
      <c r="L764" s="195" t="s">
        <v>131</v>
      </c>
      <c r="M764" s="116" t="str">
        <f>VLOOKUP(L764,'NATO Classifications'!$D$6:$E$647,2,0)</f>
        <v>Unmanned Aircraft</v>
      </c>
      <c r="N764" s="25">
        <v>12</v>
      </c>
      <c r="O764" s="81">
        <f>S764/N764</f>
        <v>41583333.333333336</v>
      </c>
      <c r="P764" s="81">
        <f>U764/N764</f>
        <v>9657516.2184340507</v>
      </c>
      <c r="Q764" s="25">
        <v>2025</v>
      </c>
      <c r="R764" s="25">
        <v>2028</v>
      </c>
      <c r="S764" s="103">
        <v>499000000</v>
      </c>
      <c r="T764" s="91" t="s">
        <v>3274</v>
      </c>
      <c r="U764" s="104">
        <f>_xlfn.IFNA(S764/INDEX('Exchange Rates'!$C$7:$F$14,MATCH('MAIN DATA, Orders'!F764,'Exchange Rates'!$B$7:$B$14,0),MATCH('MAIN DATA, Orders'!T764,'Exchange Rates'!$C$6:$F$6,0)), "-")</f>
        <v>115890194.62120861</v>
      </c>
      <c r="V764" s="6" t="s">
        <v>127</v>
      </c>
      <c r="W764" s="6" t="s">
        <v>127</v>
      </c>
      <c r="X764" s="6" t="s">
        <v>3272</v>
      </c>
      <c r="Y764" s="24">
        <f t="shared" si="183"/>
        <v>202412</v>
      </c>
      <c r="Z764" s="24">
        <v>0</v>
      </c>
      <c r="AA764" s="24">
        <v>0</v>
      </c>
      <c r="AB764" s="24">
        <v>0</v>
      </c>
      <c r="AC764" s="24">
        <v>1</v>
      </c>
      <c r="AD764" s="24">
        <v>0</v>
      </c>
      <c r="AE764" s="24">
        <v>0</v>
      </c>
      <c r="AF764" s="24">
        <v>0</v>
      </c>
      <c r="AG764" s="10" t="s">
        <v>3649</v>
      </c>
      <c r="AH764" s="10" t="s">
        <v>3272</v>
      </c>
      <c r="AI764" s="6" t="s">
        <v>3272</v>
      </c>
      <c r="AJ764" s="6" t="s">
        <v>127</v>
      </c>
      <c r="AK764" s="6" t="s">
        <v>127</v>
      </c>
      <c r="AL764" s="6" t="s">
        <v>127</v>
      </c>
      <c r="AM764" s="6" t="s">
        <v>127</v>
      </c>
      <c r="AN764" s="6" t="s">
        <v>127</v>
      </c>
      <c r="AO764" s="6" t="s">
        <v>127</v>
      </c>
      <c r="AP764" s="6" t="s">
        <v>127</v>
      </c>
      <c r="AQ764" s="6" t="s">
        <v>127</v>
      </c>
      <c r="AR764" s="6" t="s">
        <v>127</v>
      </c>
      <c r="AS764" s="6" t="s">
        <v>127</v>
      </c>
      <c r="AT764" s="6" t="s">
        <v>127</v>
      </c>
      <c r="AU764" s="6" t="s">
        <v>127</v>
      </c>
      <c r="AV764" s="6" t="s">
        <v>127</v>
      </c>
      <c r="AW764" s="6" t="s">
        <v>127</v>
      </c>
      <c r="AX764" s="6" t="s">
        <v>127</v>
      </c>
      <c r="AY764" s="99" t="s">
        <v>3812</v>
      </c>
      <c r="AZ764" s="6" t="s">
        <v>127</v>
      </c>
      <c r="BA764" s="6" t="s">
        <v>127</v>
      </c>
      <c r="BB764" s="6" t="s">
        <v>3813</v>
      </c>
      <c r="BC764" s="6" t="s">
        <v>3814</v>
      </c>
      <c r="BD764" s="6" t="s">
        <v>127</v>
      </c>
      <c r="BE764" s="6" t="s">
        <v>3815</v>
      </c>
      <c r="BF764" s="6" t="s">
        <v>127</v>
      </c>
    </row>
    <row r="765" spans="1:58" ht="16" x14ac:dyDescent="0.4">
      <c r="A765" s="92" t="s">
        <v>3816</v>
      </c>
      <c r="B765" s="92" t="s">
        <v>3816</v>
      </c>
      <c r="C765" s="6" t="s">
        <v>3817</v>
      </c>
      <c r="D765" s="6" t="s">
        <v>3272</v>
      </c>
      <c r="E765" s="192">
        <v>45653</v>
      </c>
      <c r="F765" s="6">
        <f t="shared" si="180"/>
        <v>2024</v>
      </c>
      <c r="G765" s="6" t="s">
        <v>3818</v>
      </c>
      <c r="H765" s="22" t="str">
        <f>VLOOKUP($G765,'Item Classification'!B:C,2,0)</f>
        <v>Rescue ship</v>
      </c>
      <c r="I765" s="6" t="str">
        <f>VLOOKUP($G765,'Item Classification'!B:D,3,0)</f>
        <v>Naval</v>
      </c>
      <c r="J765" s="23">
        <f>VLOOKUP($G765,'Item Classification'!B:E,4,0)</f>
        <v>12</v>
      </c>
      <c r="K765" s="195" t="s">
        <v>143</v>
      </c>
      <c r="L765" s="195" t="s">
        <v>452</v>
      </c>
      <c r="M765" s="116" t="str">
        <f>VLOOKUP(L765,'NATO Classifications'!$D$6:$E$647,2,0)</f>
        <v>Special Service Vessels</v>
      </c>
      <c r="N765" s="25">
        <v>1</v>
      </c>
      <c r="O765" s="81"/>
      <c r="P765" s="25"/>
      <c r="Q765" s="25">
        <v>2027</v>
      </c>
      <c r="R765" s="25">
        <v>2027</v>
      </c>
      <c r="S765" s="103"/>
      <c r="T765" s="91" t="s">
        <v>3274</v>
      </c>
      <c r="U765" s="104">
        <f>_xlfn.IFNA(S765/INDEX('Exchange Rates'!$C$7:$F$14,MATCH('MAIN DATA, Orders'!F765,'Exchange Rates'!$B$7:$B$14,0),MATCH('MAIN DATA, Orders'!T765,'Exchange Rates'!$C$6:$F$6,0)), "-")</f>
        <v>0</v>
      </c>
      <c r="V765" s="6" t="s">
        <v>127</v>
      </c>
      <c r="W765" s="6" t="s">
        <v>127</v>
      </c>
      <c r="X765" s="6" t="s">
        <v>3272</v>
      </c>
      <c r="Y765" s="24">
        <f t="shared" si="183"/>
        <v>202412</v>
      </c>
      <c r="Z765" s="24">
        <v>0</v>
      </c>
      <c r="AA765" s="24">
        <v>0</v>
      </c>
      <c r="AB765" s="24">
        <v>0</v>
      </c>
      <c r="AC765" s="24">
        <v>1</v>
      </c>
      <c r="AD765" s="24">
        <v>0</v>
      </c>
      <c r="AE765" s="24">
        <v>0</v>
      </c>
      <c r="AF765" s="24">
        <v>0</v>
      </c>
      <c r="AG765" s="10" t="s">
        <v>127</v>
      </c>
      <c r="AH765" s="10" t="s">
        <v>3272</v>
      </c>
      <c r="AI765" s="6" t="s">
        <v>3272</v>
      </c>
      <c r="AJ765" s="6" t="s">
        <v>127</v>
      </c>
      <c r="AK765" s="6" t="s">
        <v>127</v>
      </c>
      <c r="AL765" s="6" t="s">
        <v>127</v>
      </c>
      <c r="AM765" s="6" t="s">
        <v>127</v>
      </c>
      <c r="AN765" s="6" t="s">
        <v>127</v>
      </c>
      <c r="AO765" s="6" t="s">
        <v>127</v>
      </c>
      <c r="AP765" s="6" t="s">
        <v>127</v>
      </c>
      <c r="AQ765" s="6" t="s">
        <v>127</v>
      </c>
      <c r="AR765" s="6" t="s">
        <v>127</v>
      </c>
      <c r="AS765" s="6" t="s">
        <v>127</v>
      </c>
      <c r="AT765" s="6" t="s">
        <v>127</v>
      </c>
      <c r="AU765" s="6" t="s">
        <v>127</v>
      </c>
      <c r="AV765" s="6" t="s">
        <v>127</v>
      </c>
      <c r="AW765" s="6" t="s">
        <v>127</v>
      </c>
      <c r="AX765" s="6" t="s">
        <v>127</v>
      </c>
      <c r="AY765" s="99" t="s">
        <v>3819</v>
      </c>
      <c r="AZ765" s="6" t="s">
        <v>127</v>
      </c>
      <c r="BA765" s="6" t="s">
        <v>127</v>
      </c>
      <c r="BB765" s="6" t="s">
        <v>3820</v>
      </c>
      <c r="BC765" s="6" t="s">
        <v>127</v>
      </c>
      <c r="BD765" s="6" t="s">
        <v>127</v>
      </c>
      <c r="BE765" s="6" t="s">
        <v>127</v>
      </c>
    </row>
    <row r="766" spans="1:58" ht="16" x14ac:dyDescent="0.4">
      <c r="A766" s="92" t="s">
        <v>3821</v>
      </c>
      <c r="B766" s="92" t="s">
        <v>3821</v>
      </c>
      <c r="C766" s="6" t="s">
        <v>127</v>
      </c>
      <c r="D766" s="6" t="s">
        <v>3272</v>
      </c>
      <c r="E766" s="192">
        <v>45685</v>
      </c>
      <c r="F766" s="6">
        <f t="shared" si="180"/>
        <v>2025</v>
      </c>
      <c r="G766" s="6" t="s">
        <v>3822</v>
      </c>
      <c r="H766" s="22" t="str">
        <f>VLOOKUP($G766,'Item Classification'!B:C,2,0)</f>
        <v>Anti-Radiation Guided Missiles (ARM)</v>
      </c>
      <c r="I766" s="6" t="str">
        <f>VLOOKUP($G766,'Item Classification'!B:D,3,0)</f>
        <v>Missile (Land)</v>
      </c>
      <c r="J766" s="23">
        <f>VLOOKUP($G766,'Item Classification'!B:E,4,0)</f>
        <v>6</v>
      </c>
      <c r="K766" s="195" t="s">
        <v>211</v>
      </c>
      <c r="L766" s="195" t="s">
        <v>211</v>
      </c>
      <c r="M766" s="116" t="str">
        <f>VLOOKUP(L766,'NATO Classifications'!$D$6:$E$647,2,0)</f>
        <v>Guided Missiles</v>
      </c>
      <c r="N766" s="25">
        <v>200</v>
      </c>
      <c r="O766" s="81">
        <f>S766/N766</f>
        <v>3725000</v>
      </c>
      <c r="P766" s="81">
        <f>U766/N766</f>
        <v>3296460.1769911512</v>
      </c>
      <c r="Q766" s="25">
        <v>2029</v>
      </c>
      <c r="R766" s="25">
        <v>2035</v>
      </c>
      <c r="S766" s="103">
        <v>745000000</v>
      </c>
      <c r="T766" s="115" t="s">
        <v>3284</v>
      </c>
      <c r="U766" s="104">
        <f>_xlfn.IFNA(S766/INDEX('Exchange Rates'!$C$7:$F$14,MATCH('MAIN DATA, Orders'!F766,'Exchange Rates'!$B$7:$B$14,0),MATCH('MAIN DATA, Orders'!T766,'Exchange Rates'!$C$6:$F$6,0)), "-")</f>
        <v>659292035.3982302</v>
      </c>
      <c r="V766" s="6" t="s">
        <v>127</v>
      </c>
      <c r="W766" s="6" t="s">
        <v>127</v>
      </c>
      <c r="X766" s="6" t="s">
        <v>3272</v>
      </c>
      <c r="Y766" s="24">
        <f t="shared" si="183"/>
        <v>202501</v>
      </c>
      <c r="Z766" s="24">
        <v>0</v>
      </c>
      <c r="AA766" s="24">
        <v>0</v>
      </c>
      <c r="AB766" s="24">
        <v>0</v>
      </c>
      <c r="AC766" s="24">
        <v>0</v>
      </c>
      <c r="AD766" s="24">
        <v>0</v>
      </c>
      <c r="AE766" s="24">
        <v>0</v>
      </c>
      <c r="AF766" s="24">
        <v>1</v>
      </c>
      <c r="AG766" s="10" t="s">
        <v>718</v>
      </c>
      <c r="AH766" s="10" t="s">
        <v>196</v>
      </c>
      <c r="AI766" s="6" t="s">
        <v>196</v>
      </c>
      <c r="AJ766" s="6" t="s">
        <v>127</v>
      </c>
      <c r="AK766" s="6" t="s">
        <v>127</v>
      </c>
      <c r="AL766" s="6" t="s">
        <v>127</v>
      </c>
      <c r="AM766" s="6" t="s">
        <v>127</v>
      </c>
      <c r="AN766" s="6" t="s">
        <v>127</v>
      </c>
      <c r="AO766" s="6" t="s">
        <v>127</v>
      </c>
      <c r="AP766" s="6" t="s">
        <v>127</v>
      </c>
      <c r="AQ766" s="6" t="s">
        <v>127</v>
      </c>
      <c r="AR766" s="6" t="s">
        <v>127</v>
      </c>
      <c r="AS766" s="6" t="s">
        <v>127</v>
      </c>
      <c r="AT766" s="6" t="s">
        <v>127</v>
      </c>
      <c r="AU766" s="6" t="s">
        <v>127</v>
      </c>
      <c r="AV766" s="6" t="s">
        <v>127</v>
      </c>
      <c r="AW766" s="6" t="s">
        <v>127</v>
      </c>
      <c r="AX766" s="6" t="s">
        <v>127</v>
      </c>
      <c r="AY766" s="99" t="s">
        <v>3823</v>
      </c>
      <c r="AZ766" s="6" t="s">
        <v>127</v>
      </c>
      <c r="BA766" s="6" t="s">
        <v>127</v>
      </c>
      <c r="BB766" s="6" t="s">
        <v>3824</v>
      </c>
      <c r="BC766" s="6" t="s">
        <v>127</v>
      </c>
      <c r="BD766" s="6" t="s">
        <v>127</v>
      </c>
      <c r="BE766" s="6" t="s">
        <v>127</v>
      </c>
    </row>
    <row r="767" spans="1:58" ht="16" x14ac:dyDescent="0.4">
      <c r="A767" s="92" t="s">
        <v>3825</v>
      </c>
      <c r="B767" s="92" t="s">
        <v>3825</v>
      </c>
      <c r="C767" s="6" t="s">
        <v>127</v>
      </c>
      <c r="D767" s="6" t="s">
        <v>3272</v>
      </c>
      <c r="E767" s="192">
        <v>45715</v>
      </c>
      <c r="F767" s="6">
        <f t="shared" si="180"/>
        <v>2025</v>
      </c>
      <c r="G767" s="6" t="s">
        <v>3826</v>
      </c>
      <c r="H767" s="22" t="str">
        <f>VLOOKUP($G767,'Item Classification'!B:C,2,0)</f>
        <v>Attack helicopter training support</v>
      </c>
      <c r="I767" s="6" t="str">
        <f>VLOOKUP($G767,'Item Classification'!B:D,3,0)</f>
        <v>Helicopter</v>
      </c>
      <c r="J767" s="23">
        <f>VLOOKUP($G767,'Item Classification'!B:E,4,0)</f>
        <v>10</v>
      </c>
      <c r="K767" s="195" t="s">
        <v>130</v>
      </c>
      <c r="L767" s="195" t="s">
        <v>266</v>
      </c>
      <c r="M767" s="116" t="str">
        <f>VLOOKUP(L767,'NATO Classifications'!$D$6:$E$647,2,0)</f>
        <v>Aircraft, Rotary Wing</v>
      </c>
      <c r="N767" s="25">
        <v>8</v>
      </c>
      <c r="O767" s="81">
        <f>S767/N767</f>
        <v>37500000</v>
      </c>
      <c r="P767" s="81">
        <f>U767/N767</f>
        <v>33185840.707964607</v>
      </c>
      <c r="Q767" s="25"/>
      <c r="R767" s="25"/>
      <c r="S767" s="103">
        <v>300000000</v>
      </c>
      <c r="T767" s="115" t="s">
        <v>3284</v>
      </c>
      <c r="U767" s="104">
        <f>_xlfn.IFNA(S767/INDEX('Exchange Rates'!$C$7:$F$14,MATCH('MAIN DATA, Orders'!F767,'Exchange Rates'!$B$7:$B$14,0),MATCH('MAIN DATA, Orders'!T767,'Exchange Rates'!$C$6:$F$6,0)), "-")</f>
        <v>265486725.66371685</v>
      </c>
      <c r="V767" s="6" t="s">
        <v>127</v>
      </c>
      <c r="W767" s="6" t="s">
        <v>127</v>
      </c>
      <c r="X767" s="6" t="s">
        <v>3272</v>
      </c>
      <c r="Y767" s="24">
        <f t="shared" si="183"/>
        <v>202502</v>
      </c>
      <c r="Z767" s="24">
        <v>0</v>
      </c>
      <c r="AA767" s="24">
        <v>0</v>
      </c>
      <c r="AB767" s="24">
        <v>0</v>
      </c>
      <c r="AC767" s="24">
        <v>0</v>
      </c>
      <c r="AD767" s="24">
        <v>0</v>
      </c>
      <c r="AE767" s="24">
        <v>0</v>
      </c>
      <c r="AF767" s="24">
        <v>1</v>
      </c>
      <c r="AG767" s="10" t="s">
        <v>192</v>
      </c>
      <c r="AH767" s="10" t="s">
        <v>196</v>
      </c>
      <c r="AI767" s="6" t="s">
        <v>127</v>
      </c>
      <c r="AJ767" s="6" t="s">
        <v>127</v>
      </c>
      <c r="AK767" s="6" t="s">
        <v>127</v>
      </c>
      <c r="AL767" s="6" t="s">
        <v>127</v>
      </c>
      <c r="AM767" s="6" t="s">
        <v>127</v>
      </c>
      <c r="AN767" s="6" t="s">
        <v>127</v>
      </c>
      <c r="AO767" s="6" t="s">
        <v>127</v>
      </c>
      <c r="AP767" s="6" t="s">
        <v>127</v>
      </c>
      <c r="AQ767" s="6" t="s">
        <v>127</v>
      </c>
      <c r="AR767" s="6" t="s">
        <v>127</v>
      </c>
      <c r="AS767" s="6" t="s">
        <v>127</v>
      </c>
      <c r="AT767" s="6" t="s">
        <v>127</v>
      </c>
      <c r="AU767" s="6" t="s">
        <v>127</v>
      </c>
      <c r="AV767" s="6" t="s">
        <v>127</v>
      </c>
      <c r="AW767" s="6" t="s">
        <v>127</v>
      </c>
      <c r="AX767" s="6" t="s">
        <v>127</v>
      </c>
      <c r="AY767" s="99" t="s">
        <v>3827</v>
      </c>
      <c r="AZ767" s="6" t="s">
        <v>127</v>
      </c>
      <c r="BA767" s="6" t="s">
        <v>127</v>
      </c>
      <c r="BB767" s="6" t="s">
        <v>3828</v>
      </c>
      <c r="BC767" s="6" t="s">
        <v>3829</v>
      </c>
      <c r="BD767" s="6" t="s">
        <v>3830</v>
      </c>
      <c r="BE767" s="6" t="s">
        <v>127</v>
      </c>
    </row>
    <row r="768" spans="1:58" ht="16" x14ac:dyDescent="0.4">
      <c r="A768" s="92" t="s">
        <v>3831</v>
      </c>
      <c r="B768" s="92" t="s">
        <v>3831</v>
      </c>
      <c r="C768" s="6" t="s">
        <v>127</v>
      </c>
      <c r="D768" s="6" t="s">
        <v>3272</v>
      </c>
      <c r="E768" s="192">
        <v>45723</v>
      </c>
      <c r="F768" s="6">
        <f t="shared" si="180"/>
        <v>2025</v>
      </c>
      <c r="G768" s="6" t="s">
        <v>3832</v>
      </c>
      <c r="H768" s="22" t="str">
        <f>VLOOKUP($G768,'Item Classification'!B:C,2,0)</f>
        <v>Reconnaissance mobile unmanned vehicle</v>
      </c>
      <c r="I768" s="6" t="str">
        <f>VLOOKUP($G768,'Item Classification'!B:D,3,0)</f>
        <v>Drone</v>
      </c>
      <c r="J768" s="23">
        <f>VLOOKUP($G768,'Item Classification'!B:E,4,0)</f>
        <v>7</v>
      </c>
      <c r="K768" s="195" t="s">
        <v>130</v>
      </c>
      <c r="L768" s="195" t="s">
        <v>131</v>
      </c>
      <c r="M768" s="116" t="str">
        <f>VLOOKUP(L768,'NATO Classifications'!$D$6:$E$647,2,0)</f>
        <v>Unmanned Aircraft</v>
      </c>
      <c r="N768" s="25">
        <v>96</v>
      </c>
      <c r="O768" s="81">
        <f>S768/N768</f>
        <v>520833.33333333331</v>
      </c>
      <c r="P768" s="81">
        <f>U768/N768</f>
        <v>122846.74230094896</v>
      </c>
      <c r="Q768" s="25">
        <v>2026</v>
      </c>
      <c r="R768" s="25">
        <v>2027</v>
      </c>
      <c r="S768" s="103">
        <v>50000000</v>
      </c>
      <c r="T768" s="91" t="s">
        <v>3274</v>
      </c>
      <c r="U768" s="104">
        <f>_xlfn.IFNA(S768/INDEX('Exchange Rates'!$C$7:$F$14,MATCH('MAIN DATA, Orders'!F768,'Exchange Rates'!$B$7:$B$14,0),MATCH('MAIN DATA, Orders'!T768,'Exchange Rates'!$C$6:$F$6,0)), "-")</f>
        <v>11793287.2608911</v>
      </c>
      <c r="V768" s="6" t="s">
        <v>127</v>
      </c>
      <c r="W768" s="6" t="s">
        <v>127</v>
      </c>
      <c r="X768" s="6" t="s">
        <v>3272</v>
      </c>
      <c r="Y768" s="24">
        <f t="shared" si="183"/>
        <v>202503</v>
      </c>
      <c r="Z768" s="24">
        <v>1</v>
      </c>
      <c r="AA768" s="24">
        <v>0</v>
      </c>
      <c r="AB768" s="24">
        <v>0</v>
      </c>
      <c r="AC768" s="24">
        <v>1</v>
      </c>
      <c r="AD768" s="24">
        <v>0</v>
      </c>
      <c r="AE768" s="24">
        <v>0</v>
      </c>
      <c r="AF768" s="24">
        <v>0</v>
      </c>
      <c r="AG768" s="10" t="s">
        <v>3833</v>
      </c>
      <c r="AH768" s="10" t="s">
        <v>3272</v>
      </c>
      <c r="AI768" s="6" t="s">
        <v>3272</v>
      </c>
      <c r="AJ768" s="6" t="s">
        <v>127</v>
      </c>
      <c r="AK768" s="6" t="s">
        <v>127</v>
      </c>
      <c r="AL768" s="6" t="s">
        <v>127</v>
      </c>
      <c r="AM768" s="6" t="s">
        <v>127</v>
      </c>
      <c r="AN768" s="6" t="s">
        <v>127</v>
      </c>
      <c r="AO768" s="6" t="s">
        <v>127</v>
      </c>
      <c r="AP768" s="6" t="s">
        <v>127</v>
      </c>
      <c r="AQ768" s="6" t="s">
        <v>127</v>
      </c>
      <c r="AR768" s="6" t="s">
        <v>127</v>
      </c>
      <c r="AS768" s="6" t="s">
        <v>127</v>
      </c>
      <c r="AT768" s="6" t="s">
        <v>127</v>
      </c>
      <c r="AU768" s="6" t="s">
        <v>127</v>
      </c>
      <c r="AV768" s="6" t="s">
        <v>127</v>
      </c>
      <c r="AW768" s="6" t="s">
        <v>127</v>
      </c>
      <c r="AX768" s="6" t="s">
        <v>127</v>
      </c>
      <c r="AY768" s="99" t="s">
        <v>3834</v>
      </c>
      <c r="AZ768" s="6" t="s">
        <v>127</v>
      </c>
      <c r="BA768" s="6" t="s">
        <v>127</v>
      </c>
      <c r="BB768" s="6" t="s">
        <v>3835</v>
      </c>
      <c r="BC768" s="6" t="s">
        <v>3836</v>
      </c>
      <c r="BD768" s="6" t="s">
        <v>127</v>
      </c>
      <c r="BE768" s="6" t="s">
        <v>127</v>
      </c>
    </row>
    <row r="769" spans="1:57" ht="16" x14ac:dyDescent="0.4">
      <c r="A769" s="92" t="s">
        <v>3837</v>
      </c>
      <c r="B769" s="92" t="s">
        <v>3837</v>
      </c>
      <c r="C769" s="6" t="s">
        <v>127</v>
      </c>
      <c r="D769" s="6" t="s">
        <v>3272</v>
      </c>
      <c r="E769" s="192">
        <v>45726</v>
      </c>
      <c r="F769" s="6">
        <f t="shared" si="180"/>
        <v>2025</v>
      </c>
      <c r="G769" s="6" t="s">
        <v>3838</v>
      </c>
      <c r="H769" s="22" t="str">
        <f>VLOOKUP($G769,'Item Classification'!B:C,2,0)</f>
        <v>Construction system</v>
      </c>
      <c r="I769" s="6" t="str">
        <f>VLOOKUP($G769,'Item Classification'!B:D,3,0)</f>
        <v>Other</v>
      </c>
      <c r="J769" s="23">
        <f>VLOOKUP($G769,'Item Classification'!B:E,4,0)</f>
        <v>16</v>
      </c>
      <c r="K769" s="195" t="s">
        <v>1549</v>
      </c>
      <c r="L769" s="195" t="s">
        <v>2203</v>
      </c>
      <c r="M769" s="116" t="str">
        <f>VLOOKUP(L769,'NATO Classifications'!$D$6:$E$647,2,0)</f>
        <v>Miscellaneous Construction Equipment</v>
      </c>
      <c r="N769" s="25">
        <v>1</v>
      </c>
      <c r="O769" s="81"/>
      <c r="P769" s="25"/>
      <c r="Q769" s="25"/>
      <c r="R769" s="25"/>
      <c r="S769" s="103"/>
      <c r="T769" s="91" t="s">
        <v>3274</v>
      </c>
      <c r="U769" s="104">
        <f>_xlfn.IFNA(S769/INDEX('Exchange Rates'!$C$7:$F$14,MATCH('MAIN DATA, Orders'!F769,'Exchange Rates'!$B$7:$B$14,0),MATCH('MAIN DATA, Orders'!T769,'Exchange Rates'!$C$6:$F$6,0)), "-")</f>
        <v>0</v>
      </c>
      <c r="V769" s="6" t="s">
        <v>127</v>
      </c>
      <c r="W769" s="6" t="s">
        <v>127</v>
      </c>
      <c r="X769" s="6" t="s">
        <v>3272</v>
      </c>
      <c r="Y769" s="24">
        <f t="shared" si="183"/>
        <v>202503</v>
      </c>
      <c r="Z769" s="24">
        <v>0</v>
      </c>
      <c r="AA769" s="24">
        <v>0</v>
      </c>
      <c r="AB769" s="24">
        <v>0</v>
      </c>
      <c r="AC769" s="24">
        <v>0</v>
      </c>
      <c r="AD769" s="24">
        <v>0</v>
      </c>
      <c r="AE769" s="24">
        <v>0</v>
      </c>
      <c r="AF769" s="24">
        <v>1</v>
      </c>
      <c r="AG769" s="10" t="s">
        <v>3839</v>
      </c>
      <c r="AH769" s="10" t="s">
        <v>196</v>
      </c>
      <c r="AI769" s="6" t="s">
        <v>196</v>
      </c>
      <c r="AJ769" s="6" t="s">
        <v>127</v>
      </c>
      <c r="AK769" s="6" t="s">
        <v>127</v>
      </c>
      <c r="AL769" s="6" t="s">
        <v>127</v>
      </c>
      <c r="AM769" s="6" t="s">
        <v>127</v>
      </c>
      <c r="AN769" s="6" t="s">
        <v>127</v>
      </c>
      <c r="AO769" s="6" t="s">
        <v>127</v>
      </c>
      <c r="AP769" s="6" t="s">
        <v>127</v>
      </c>
      <c r="AQ769" s="6" t="s">
        <v>127</v>
      </c>
      <c r="AR769" s="6" t="s">
        <v>127</v>
      </c>
      <c r="AS769" s="6" t="s">
        <v>127</v>
      </c>
      <c r="AT769" s="6" t="s">
        <v>127</v>
      </c>
      <c r="AU769" s="6" t="s">
        <v>127</v>
      </c>
      <c r="AV769" s="6" t="s">
        <v>127</v>
      </c>
      <c r="AW769" s="6" t="s">
        <v>127</v>
      </c>
      <c r="AX769" s="6" t="s">
        <v>127</v>
      </c>
      <c r="AY769" s="99" t="s">
        <v>3840</v>
      </c>
      <c r="AZ769" s="6" t="s">
        <v>127</v>
      </c>
      <c r="BA769" s="6" t="s">
        <v>127</v>
      </c>
      <c r="BB769" s="6" t="s">
        <v>3841</v>
      </c>
      <c r="BC769" s="6" t="s">
        <v>3842</v>
      </c>
      <c r="BD769" s="6" t="s">
        <v>127</v>
      </c>
      <c r="BE769" s="6" t="s">
        <v>127</v>
      </c>
    </row>
    <row r="770" spans="1:57" ht="16" x14ac:dyDescent="0.4">
      <c r="A770" s="92" t="s">
        <v>3843</v>
      </c>
      <c r="B770" s="92" t="s">
        <v>3843</v>
      </c>
      <c r="C770" s="6" t="s">
        <v>127</v>
      </c>
      <c r="D770" s="6" t="s">
        <v>3272</v>
      </c>
      <c r="E770" s="192">
        <v>45743</v>
      </c>
      <c r="F770" s="6">
        <f t="shared" si="180"/>
        <v>2025</v>
      </c>
      <c r="G770" s="6" t="s">
        <v>3844</v>
      </c>
      <c r="H770" s="22" t="str">
        <f>VLOOKUP($G770,'Item Classification'!B:C,2,0)</f>
        <v>Infantry Fighting Vehicle (IFV)</v>
      </c>
      <c r="I770" s="6" t="str">
        <f>VLOOKUP($G770,'Item Classification'!B:D,3,0)</f>
        <v>Armoured vehicle</v>
      </c>
      <c r="J770" s="23">
        <f>VLOOKUP($G770,'Item Classification'!B:E,4,0)</f>
        <v>2</v>
      </c>
      <c r="K770" s="195" t="s">
        <v>274</v>
      </c>
      <c r="L770" s="195" t="s">
        <v>329</v>
      </c>
      <c r="M770" s="116" t="str">
        <f>VLOOKUP(L770,'NATO Classifications'!$D$6:$E$647,2,0)</f>
        <v>Combat, Assault, and Tactical Vehicles, Tracked</v>
      </c>
      <c r="N770" s="25">
        <v>111</v>
      </c>
      <c r="O770" s="81">
        <f>S770/N770</f>
        <v>59189189.189189188</v>
      </c>
      <c r="P770" s="81">
        <f>U770/N770</f>
        <v>13960702.216946762</v>
      </c>
      <c r="Q770" s="25">
        <v>2025</v>
      </c>
      <c r="R770" s="25">
        <v>2029</v>
      </c>
      <c r="S770" s="103">
        <v>6570000000</v>
      </c>
      <c r="T770" s="91" t="s">
        <v>3274</v>
      </c>
      <c r="U770" s="104">
        <f>_xlfn.IFNA(S770/INDEX('Exchange Rates'!$C$7:$F$14,MATCH('MAIN DATA, Orders'!F770,'Exchange Rates'!$B$7:$B$14,0),MATCH('MAIN DATA, Orders'!T770,'Exchange Rates'!$C$6:$F$6,0)), "-")</f>
        <v>1549637946.0810907</v>
      </c>
      <c r="V770" s="6" t="s">
        <v>127</v>
      </c>
      <c r="W770" s="6" t="s">
        <v>127</v>
      </c>
      <c r="X770" s="6" t="s">
        <v>3272</v>
      </c>
      <c r="Y770" s="24">
        <f t="shared" si="183"/>
        <v>202503</v>
      </c>
      <c r="Z770" s="24">
        <v>1</v>
      </c>
      <c r="AA770" s="24">
        <v>0</v>
      </c>
      <c r="AB770" s="24">
        <v>0</v>
      </c>
      <c r="AC770" s="24">
        <v>1</v>
      </c>
      <c r="AD770" s="24">
        <v>0</v>
      </c>
      <c r="AE770" s="24">
        <v>0</v>
      </c>
      <c r="AF770" s="24">
        <v>0</v>
      </c>
      <c r="AG770" s="10" t="s">
        <v>3597</v>
      </c>
      <c r="AH770" s="10" t="s">
        <v>3272</v>
      </c>
      <c r="AI770" s="6" t="s">
        <v>3272</v>
      </c>
      <c r="AJ770" s="6" t="s">
        <v>3377</v>
      </c>
      <c r="AK770" s="6" t="s">
        <v>127</v>
      </c>
      <c r="AL770" s="6" t="s">
        <v>127</v>
      </c>
      <c r="AM770" s="6" t="s">
        <v>127</v>
      </c>
      <c r="AN770" s="6" t="s">
        <v>127</v>
      </c>
      <c r="AO770" s="6" t="s">
        <v>127</v>
      </c>
      <c r="AP770" s="6" t="s">
        <v>127</v>
      </c>
      <c r="AQ770" s="6" t="s">
        <v>127</v>
      </c>
      <c r="AR770" s="6" t="s">
        <v>127</v>
      </c>
      <c r="AS770" s="6" t="s">
        <v>127</v>
      </c>
      <c r="AT770" s="6" t="s">
        <v>127</v>
      </c>
      <c r="AU770" s="6" t="s">
        <v>127</v>
      </c>
      <c r="AV770" s="6" t="s">
        <v>127</v>
      </c>
      <c r="AW770" s="6" t="s">
        <v>127</v>
      </c>
      <c r="AX770" s="6" t="s">
        <v>127</v>
      </c>
      <c r="AY770" s="99" t="s">
        <v>3845</v>
      </c>
      <c r="AZ770" s="6" t="s">
        <v>127</v>
      </c>
      <c r="BA770" s="6" t="s">
        <v>127</v>
      </c>
      <c r="BB770" s="6" t="s">
        <v>3846</v>
      </c>
      <c r="BC770" s="6" t="s">
        <v>3847</v>
      </c>
      <c r="BD770" s="6" t="s">
        <v>127</v>
      </c>
      <c r="BE770" s="6" t="s">
        <v>127</v>
      </c>
    </row>
    <row r="771" spans="1:57" ht="16" x14ac:dyDescent="0.4">
      <c r="A771" s="92" t="s">
        <v>3848</v>
      </c>
      <c r="B771" s="92" t="s">
        <v>3848</v>
      </c>
      <c r="C771" s="6" t="s">
        <v>3849</v>
      </c>
      <c r="D771" s="6" t="s">
        <v>3272</v>
      </c>
      <c r="E771" s="192">
        <v>45747</v>
      </c>
      <c r="F771" s="6">
        <f t="shared" si="180"/>
        <v>2025</v>
      </c>
      <c r="G771" s="6" t="s">
        <v>3850</v>
      </c>
      <c r="H771" s="22" t="str">
        <f>VLOOKUP($G771,'Item Classification'!B:C,2,0)</f>
        <v>Anti-aircraft surface-to-air missile (SAM) system (long-range)</v>
      </c>
      <c r="I771" s="6" t="str">
        <f>VLOOKUP($G771,'Item Classification'!B:D,3,0)</f>
        <v>Air defence system</v>
      </c>
      <c r="J771" s="23">
        <f>VLOOKUP($G771,'Item Classification'!B:E,4,0)</f>
        <v>5</v>
      </c>
      <c r="K771" s="195" t="s">
        <v>211</v>
      </c>
      <c r="L771" s="195" t="s">
        <v>326</v>
      </c>
      <c r="M771" s="116" t="str">
        <f>VLOOKUP(L771,'NATO Classifications'!$D$6:$E$647,2,0)</f>
        <v>Guided Missile Systems, Complete</v>
      </c>
      <c r="N771" s="25"/>
      <c r="O771" s="81"/>
      <c r="P771" s="25"/>
      <c r="Q771" s="25"/>
      <c r="R771" s="25"/>
      <c r="S771" s="103">
        <v>2000000000</v>
      </c>
      <c r="T771" s="115" t="s">
        <v>3284</v>
      </c>
      <c r="U771" s="104">
        <f>_xlfn.IFNA(S771/INDEX('Exchange Rates'!$C$7:$F$14,MATCH('MAIN DATA, Orders'!F771,'Exchange Rates'!$B$7:$B$14,0),MATCH('MAIN DATA, Orders'!T771,'Exchange Rates'!$C$6:$F$6,0)), "-")</f>
        <v>1769911504.4247789</v>
      </c>
      <c r="V771" s="6" t="s">
        <v>127</v>
      </c>
      <c r="W771" s="6" t="s">
        <v>127</v>
      </c>
      <c r="X771" s="6" t="s">
        <v>3272</v>
      </c>
      <c r="Y771" s="24">
        <f t="shared" si="183"/>
        <v>202503</v>
      </c>
      <c r="Z771" s="24">
        <v>0</v>
      </c>
      <c r="AA771" s="24">
        <v>0</v>
      </c>
      <c r="AB771" s="24">
        <v>0</v>
      </c>
      <c r="AC771" s="24">
        <v>0</v>
      </c>
      <c r="AD771" s="24">
        <v>0</v>
      </c>
      <c r="AE771" s="24">
        <v>0</v>
      </c>
      <c r="AF771" s="24">
        <v>1</v>
      </c>
      <c r="AG771" s="10" t="s">
        <v>718</v>
      </c>
      <c r="AH771" s="10" t="s">
        <v>196</v>
      </c>
      <c r="AI771" s="6" t="s">
        <v>196</v>
      </c>
      <c r="AJ771" s="6" t="s">
        <v>127</v>
      </c>
      <c r="AK771" s="6" t="s">
        <v>127</v>
      </c>
      <c r="AL771" s="6" t="s">
        <v>127</v>
      </c>
      <c r="AM771" s="6" t="s">
        <v>127</v>
      </c>
      <c r="AN771" s="6" t="s">
        <v>127</v>
      </c>
      <c r="AO771" s="6" t="s">
        <v>127</v>
      </c>
      <c r="AP771" s="6" t="s">
        <v>127</v>
      </c>
      <c r="AQ771" s="6" t="s">
        <v>127</v>
      </c>
      <c r="AR771" s="6" t="s">
        <v>127</v>
      </c>
      <c r="AS771" s="6" t="s">
        <v>127</v>
      </c>
      <c r="AT771" s="6" t="s">
        <v>127</v>
      </c>
      <c r="AU771" s="6" t="s">
        <v>127</v>
      </c>
      <c r="AV771" s="6" t="s">
        <v>127</v>
      </c>
      <c r="AW771" s="6" t="s">
        <v>127</v>
      </c>
      <c r="AX771" s="6" t="s">
        <v>127</v>
      </c>
      <c r="AY771" s="99" t="s">
        <v>3851</v>
      </c>
      <c r="AZ771" s="6" t="s">
        <v>127</v>
      </c>
      <c r="BA771" s="6" t="s">
        <v>127</v>
      </c>
      <c r="BB771" s="6" t="s">
        <v>3852</v>
      </c>
      <c r="BC771" s="6" t="s">
        <v>3853</v>
      </c>
      <c r="BD771" s="6" t="s">
        <v>127</v>
      </c>
      <c r="BE771" s="6" t="s">
        <v>127</v>
      </c>
    </row>
    <row r="772" spans="1:57" ht="16" x14ac:dyDescent="0.4">
      <c r="A772" s="92" t="s">
        <v>3854</v>
      </c>
      <c r="B772" s="92" t="s">
        <v>3854</v>
      </c>
      <c r="C772" s="6" t="s">
        <v>3855</v>
      </c>
      <c r="D772" s="6" t="s">
        <v>3272</v>
      </c>
      <c r="E772" s="192">
        <v>45791</v>
      </c>
      <c r="F772" s="6">
        <f t="shared" si="180"/>
        <v>2025</v>
      </c>
      <c r="G772" s="6" t="s">
        <v>3856</v>
      </c>
      <c r="H772" s="22" t="str">
        <f>VLOOKUP($G772,'Item Classification'!B:C,2,0)</f>
        <v>Communication and digitalisation</v>
      </c>
      <c r="I772" s="6" t="str">
        <f>VLOOKUP($G772,'Item Classification'!B:D,3,0)</f>
        <v>Modernisation</v>
      </c>
      <c r="J772" s="23">
        <f>VLOOKUP($G772,'Item Classification'!B:E,4,0)</f>
        <v>13</v>
      </c>
      <c r="K772" s="195" t="s">
        <v>2028</v>
      </c>
      <c r="L772" s="195" t="s">
        <v>2028</v>
      </c>
      <c r="M772" s="116" t="str">
        <f>VLOOKUP(L772,'NATO Classifications'!$D$6:$E$647,2,0)</f>
        <v>Space Vehicles</v>
      </c>
      <c r="N772" s="25">
        <v>1</v>
      </c>
      <c r="O772" s="81">
        <f>S772/N772</f>
        <v>860000000</v>
      </c>
      <c r="P772" s="81">
        <f>U772/N772</f>
        <v>202844540.88732693</v>
      </c>
      <c r="Q772" s="25">
        <v>2025</v>
      </c>
      <c r="R772" s="25">
        <v>2025</v>
      </c>
      <c r="S772" s="103">
        <v>860000000</v>
      </c>
      <c r="T772" s="91" t="s">
        <v>3274</v>
      </c>
      <c r="U772" s="104">
        <f>_xlfn.IFNA(S772/INDEX('Exchange Rates'!$C$7:$F$14,MATCH('MAIN DATA, Orders'!F772,'Exchange Rates'!$B$7:$B$14,0),MATCH('MAIN DATA, Orders'!T772,'Exchange Rates'!$C$6:$F$6,0)), "-")</f>
        <v>202844540.88732693</v>
      </c>
      <c r="V772" s="6" t="s">
        <v>127</v>
      </c>
      <c r="W772" s="6" t="s">
        <v>127</v>
      </c>
      <c r="X772" s="6" t="s">
        <v>3272</v>
      </c>
      <c r="Y772" s="24">
        <f t="shared" si="183"/>
        <v>202505</v>
      </c>
      <c r="Z772" s="24">
        <v>0</v>
      </c>
      <c r="AA772" s="24">
        <v>0</v>
      </c>
      <c r="AB772" s="24">
        <v>0</v>
      </c>
      <c r="AC772" s="24">
        <v>1</v>
      </c>
      <c r="AD772" s="24">
        <v>1</v>
      </c>
      <c r="AE772" s="24">
        <v>0</v>
      </c>
      <c r="AF772" s="24">
        <v>1</v>
      </c>
      <c r="AG772" s="10" t="s">
        <v>3857</v>
      </c>
      <c r="AH772" s="10" t="s">
        <v>3272</v>
      </c>
      <c r="AI772" s="6" t="s">
        <v>3272</v>
      </c>
      <c r="AJ772" s="6" t="s">
        <v>3858</v>
      </c>
      <c r="AK772" s="6" t="s">
        <v>127</v>
      </c>
      <c r="AL772" s="6" t="s">
        <v>127</v>
      </c>
      <c r="AM772" s="6" t="s">
        <v>127</v>
      </c>
      <c r="AN772" s="6" t="s">
        <v>684</v>
      </c>
      <c r="AO772" s="6" t="s">
        <v>127</v>
      </c>
      <c r="AP772" s="6" t="s">
        <v>127</v>
      </c>
      <c r="AQ772" s="6" t="s">
        <v>127</v>
      </c>
      <c r="AR772" s="6" t="s">
        <v>127</v>
      </c>
      <c r="AS772" s="6" t="s">
        <v>127</v>
      </c>
      <c r="AT772" s="6" t="s">
        <v>127</v>
      </c>
      <c r="AU772" s="6" t="s">
        <v>127</v>
      </c>
      <c r="AV772" s="6" t="s">
        <v>127</v>
      </c>
      <c r="AW772" s="6" t="s">
        <v>127</v>
      </c>
      <c r="AX772" s="6" t="s">
        <v>127</v>
      </c>
      <c r="AY772" s="99" t="s">
        <v>3859</v>
      </c>
      <c r="AZ772" s="6" t="s">
        <v>127</v>
      </c>
      <c r="BA772" s="6" t="s">
        <v>127</v>
      </c>
      <c r="BB772" s="6" t="s">
        <v>3860</v>
      </c>
      <c r="BC772" s="6" t="s">
        <v>3861</v>
      </c>
      <c r="BD772" s="6" t="s">
        <v>3862</v>
      </c>
      <c r="BE772" s="6" t="s">
        <v>127</v>
      </c>
    </row>
    <row r="773" spans="1:57" ht="16" x14ac:dyDescent="0.4">
      <c r="A773" s="92" t="s">
        <v>3863</v>
      </c>
      <c r="B773" s="92" t="s">
        <v>3863</v>
      </c>
      <c r="C773" s="6" t="s">
        <v>127</v>
      </c>
      <c r="D773" s="6" t="s">
        <v>3272</v>
      </c>
      <c r="E773" s="192">
        <v>45792</v>
      </c>
      <c r="F773" s="6">
        <v>2025</v>
      </c>
      <c r="G773" s="6" t="s">
        <v>3864</v>
      </c>
      <c r="H773" s="22" t="str">
        <f>VLOOKUP($G773,'Item Classification'!B:C,2,0)</f>
        <v>Loitering munitions drone</v>
      </c>
      <c r="I773" s="6" t="str">
        <f>VLOOKUP($G773,'Item Classification'!B:D,3,0)</f>
        <v>Drone</v>
      </c>
      <c r="J773" s="23">
        <f>VLOOKUP($G773,'Item Classification'!B:E,4,0)</f>
        <v>7</v>
      </c>
      <c r="K773" s="195" t="s">
        <v>130</v>
      </c>
      <c r="L773" s="195" t="s">
        <v>131</v>
      </c>
      <c r="M773" s="116" t="str">
        <f>VLOOKUP(L773,'NATO Classifications'!$D$6:$E$647,2,0)</f>
        <v>Unmanned Aircraft</v>
      </c>
      <c r="N773" s="173">
        <v>10000</v>
      </c>
      <c r="O773" s="25"/>
      <c r="P773" s="103"/>
      <c r="Q773" s="91"/>
      <c r="R773" s="174">
        <v>2035</v>
      </c>
      <c r="S773" s="103"/>
      <c r="T773" s="91" t="s">
        <v>3274</v>
      </c>
      <c r="U773" s="104">
        <f>_xlfn.IFNA(S773/INDEX('Exchange Rates'!$C$7:$F$14,MATCH('MAIN DATA, Orders'!F773,'Exchange Rates'!$B$7:$B$14,0),MATCH('MAIN DATA, Orders'!T773,'Exchange Rates'!$C$6:$F$6,0)), "-")</f>
        <v>0</v>
      </c>
      <c r="V773" s="6" t="s">
        <v>127</v>
      </c>
      <c r="W773" s="6" t="s">
        <v>127</v>
      </c>
      <c r="X773" s="6" t="s">
        <v>3272</v>
      </c>
      <c r="Y773" s="24">
        <f t="shared" si="183"/>
        <v>202505</v>
      </c>
      <c r="Z773" s="24">
        <v>1</v>
      </c>
      <c r="AA773" s="24">
        <v>0</v>
      </c>
      <c r="AB773" s="24">
        <v>0</v>
      </c>
      <c r="AC773" s="24">
        <v>1</v>
      </c>
      <c r="AD773" s="24">
        <v>0</v>
      </c>
      <c r="AE773" s="24">
        <v>0</v>
      </c>
      <c r="AF773" s="24">
        <v>0</v>
      </c>
      <c r="AG773" s="6" t="s">
        <v>3649</v>
      </c>
      <c r="AH773" s="6" t="s">
        <v>3272</v>
      </c>
      <c r="AI773" s="6" t="s">
        <v>3272</v>
      </c>
      <c r="AJ773" s="6" t="s">
        <v>127</v>
      </c>
      <c r="AK773" s="6" t="s">
        <v>127</v>
      </c>
      <c r="AL773" s="6" t="s">
        <v>127</v>
      </c>
      <c r="AM773" s="6" t="s">
        <v>127</v>
      </c>
      <c r="AN773" s="6" t="s">
        <v>127</v>
      </c>
      <c r="AO773" s="6" t="s">
        <v>127</v>
      </c>
      <c r="AP773" s="6" t="s">
        <v>127</v>
      </c>
      <c r="AQ773" s="6" t="s">
        <v>127</v>
      </c>
      <c r="AR773" s="6" t="s">
        <v>127</v>
      </c>
      <c r="AS773" s="6" t="s">
        <v>127</v>
      </c>
      <c r="AT773" s="6" t="s">
        <v>127</v>
      </c>
      <c r="AU773" s="6" t="s">
        <v>127</v>
      </c>
      <c r="AV773" s="6" t="s">
        <v>127</v>
      </c>
      <c r="AW773" s="6" t="s">
        <v>127</v>
      </c>
      <c r="AX773" s="6" t="s">
        <v>127</v>
      </c>
      <c r="AY773" s="99" t="s">
        <v>3865</v>
      </c>
      <c r="AZ773" s="6" t="s">
        <v>127</v>
      </c>
      <c r="BA773" s="6" t="s">
        <v>127</v>
      </c>
      <c r="BB773" s="6" t="s">
        <v>3866</v>
      </c>
      <c r="BC773" s="6" t="s">
        <v>127</v>
      </c>
    </row>
    <row r="774" spans="1:57" ht="16" x14ac:dyDescent="0.4">
      <c r="A774" s="92" t="s">
        <v>3867</v>
      </c>
      <c r="B774" s="92" t="s">
        <v>3867</v>
      </c>
      <c r="C774" s="6" t="s">
        <v>127</v>
      </c>
      <c r="D774" s="6" t="s">
        <v>3272</v>
      </c>
      <c r="E774" s="192">
        <v>45838</v>
      </c>
      <c r="F774" s="6">
        <v>2025</v>
      </c>
      <c r="G774" s="6" t="s">
        <v>3781</v>
      </c>
      <c r="H774" s="22" t="str">
        <f>VLOOKUP($G774,'Item Classification'!B:C,2,0)</f>
        <v>Armoured personnel carrier (APC)</v>
      </c>
      <c r="I774" s="6" t="str">
        <f>VLOOKUP($G774,'Item Classification'!B:D,3,0)</f>
        <v>Armoured vehicle</v>
      </c>
      <c r="J774" s="23">
        <f>VLOOKUP($G774,'Item Classification'!B:E,4,0)</f>
        <v>2</v>
      </c>
      <c r="K774" s="195" t="s">
        <v>274</v>
      </c>
      <c r="L774" s="195" t="s">
        <v>493</v>
      </c>
      <c r="M774" s="116" t="str">
        <f>VLOOKUP(L774,'NATO Classifications'!$D$6:$E$647,2,0)</f>
        <v>Combat, Assault, and Tactical Vehicles, Wheeled</v>
      </c>
      <c r="N774" s="25">
        <v>12</v>
      </c>
      <c r="O774" s="81">
        <f>S774/N774</f>
        <v>20833333.333333332</v>
      </c>
      <c r="P774" s="81">
        <f>U774/N774</f>
        <v>4913869.6920379587</v>
      </c>
      <c r="Q774" s="91"/>
      <c r="R774" s="104"/>
      <c r="S774" s="103">
        <v>250000000</v>
      </c>
      <c r="T774" s="91" t="s">
        <v>3274</v>
      </c>
      <c r="U774" s="104">
        <f>_xlfn.IFNA(S774/INDEX('Exchange Rates'!$C$7:$F$14,MATCH('MAIN DATA, Orders'!F774,'Exchange Rates'!$B$7:$B$14,0),MATCH('MAIN DATA, Orders'!T774,'Exchange Rates'!$C$6:$F$6,0)), "-")</f>
        <v>58966436.304455504</v>
      </c>
      <c r="V774" s="6" t="s">
        <v>127</v>
      </c>
      <c r="W774" s="6" t="s">
        <v>127</v>
      </c>
      <c r="X774" s="6" t="s">
        <v>3272</v>
      </c>
      <c r="Y774" s="24">
        <f t="shared" si="183"/>
        <v>202506</v>
      </c>
      <c r="Z774" s="24">
        <v>1</v>
      </c>
      <c r="AA774" s="24">
        <v>0</v>
      </c>
      <c r="AB774" s="24">
        <v>0</v>
      </c>
      <c r="AC774" s="24">
        <v>1</v>
      </c>
      <c r="AD774" s="24">
        <v>0</v>
      </c>
      <c r="AE774" s="24">
        <v>0</v>
      </c>
      <c r="AF774" s="24">
        <v>0</v>
      </c>
      <c r="AG774" s="10" t="s">
        <v>3377</v>
      </c>
      <c r="AH774" s="10" t="s">
        <v>3272</v>
      </c>
      <c r="AI774" s="6" t="s">
        <v>3272</v>
      </c>
      <c r="AJ774" s="6" t="s">
        <v>3401</v>
      </c>
      <c r="AK774" s="6" t="s">
        <v>3649</v>
      </c>
      <c r="AL774" s="6" t="s">
        <v>127</v>
      </c>
      <c r="AM774" s="6" t="s">
        <v>127</v>
      </c>
      <c r="AN774" s="6" t="s">
        <v>127</v>
      </c>
      <c r="AO774" s="6" t="s">
        <v>127</v>
      </c>
      <c r="AP774" s="6" t="s">
        <v>127</v>
      </c>
      <c r="AQ774" s="6" t="s">
        <v>127</v>
      </c>
      <c r="AR774" s="6" t="s">
        <v>127</v>
      </c>
      <c r="AS774" s="6" t="s">
        <v>127</v>
      </c>
      <c r="AT774" s="6" t="s">
        <v>127</v>
      </c>
      <c r="AU774" s="6" t="s">
        <v>127</v>
      </c>
      <c r="AV774" s="6" t="s">
        <v>127</v>
      </c>
      <c r="AW774" s="6" t="s">
        <v>127</v>
      </c>
      <c r="AX774" s="6" t="s">
        <v>127</v>
      </c>
      <c r="AY774" s="99" t="s">
        <v>3868</v>
      </c>
      <c r="AZ774" s="6" t="s">
        <v>127</v>
      </c>
      <c r="BA774" s="6" t="s">
        <v>127</v>
      </c>
      <c r="BB774" s="6" t="s">
        <v>3869</v>
      </c>
      <c r="BC774" s="6" t="s">
        <v>127</v>
      </c>
    </row>
    <row r="775" spans="1:57" ht="16" x14ac:dyDescent="0.4">
      <c r="A775" s="92" t="s">
        <v>3870</v>
      </c>
      <c r="B775" s="92" t="s">
        <v>3870</v>
      </c>
      <c r="C775" s="6" t="s">
        <v>127</v>
      </c>
      <c r="D775" s="6" t="s">
        <v>3272</v>
      </c>
      <c r="E775" s="192">
        <v>45838</v>
      </c>
      <c r="F775" s="6">
        <v>2025</v>
      </c>
      <c r="G775" s="6" t="s">
        <v>3871</v>
      </c>
      <c r="H775" s="22" t="str">
        <f>VLOOKUP($G775,'Item Classification'!B:C,2,0)</f>
        <v>Air-to-air missile (AAM) (short-range)</v>
      </c>
      <c r="I775" s="6" t="str">
        <f>VLOOKUP($G775,'Item Classification'!B:D,3,0)</f>
        <v>Missile (Air)</v>
      </c>
      <c r="J775" s="23">
        <f>VLOOKUP($G775,'Item Classification'!B:E,4,0)</f>
        <v>6</v>
      </c>
      <c r="K775" s="195" t="s">
        <v>211</v>
      </c>
      <c r="L775" s="195" t="s">
        <v>211</v>
      </c>
      <c r="M775" s="116" t="str">
        <f>VLOOKUP(L775,'NATO Classifications'!$D$6:$E$647,2,0)</f>
        <v>Guided Missiles</v>
      </c>
      <c r="N775" s="25">
        <v>24</v>
      </c>
      <c r="O775" s="25"/>
      <c r="P775" s="103"/>
      <c r="Q775" s="91"/>
      <c r="R775" s="104"/>
      <c r="S775" s="103"/>
      <c r="T775" s="91" t="s">
        <v>3274</v>
      </c>
      <c r="U775" s="104">
        <f>_xlfn.IFNA(S775/INDEX('Exchange Rates'!$C$7:$F$14,MATCH('MAIN DATA, Orders'!F775,'Exchange Rates'!$B$7:$B$14,0),MATCH('MAIN DATA, Orders'!T775,'Exchange Rates'!$C$6:$F$6,0)), "-")</f>
        <v>0</v>
      </c>
      <c r="V775" s="6" t="s">
        <v>127</v>
      </c>
      <c r="W775" s="6" t="s">
        <v>127</v>
      </c>
      <c r="X775" s="6" t="s">
        <v>3272</v>
      </c>
      <c r="Y775" s="24">
        <f t="shared" si="183"/>
        <v>202506</v>
      </c>
      <c r="Z775" s="24">
        <v>0</v>
      </c>
      <c r="AA775" s="24">
        <v>0</v>
      </c>
      <c r="AB775" s="24">
        <v>0</v>
      </c>
      <c r="AC775" s="24">
        <v>0</v>
      </c>
      <c r="AD775" s="24">
        <v>0</v>
      </c>
      <c r="AE775" s="24">
        <v>0</v>
      </c>
      <c r="AF775" s="24">
        <v>0</v>
      </c>
      <c r="AG775" s="10" t="s">
        <v>718</v>
      </c>
      <c r="AH775" s="10" t="s">
        <v>196</v>
      </c>
      <c r="AI775" s="6" t="s">
        <v>196</v>
      </c>
      <c r="AJ775" s="6" t="s">
        <v>127</v>
      </c>
      <c r="AK775" s="6" t="s">
        <v>127</v>
      </c>
      <c r="AL775" s="6" t="s">
        <v>127</v>
      </c>
      <c r="AM775" s="6" t="s">
        <v>127</v>
      </c>
      <c r="AN775" s="6" t="s">
        <v>127</v>
      </c>
      <c r="AO775" s="6" t="s">
        <v>127</v>
      </c>
      <c r="AP775" s="6" t="s">
        <v>127</v>
      </c>
      <c r="AQ775" s="6" t="s">
        <v>127</v>
      </c>
      <c r="AR775" s="6" t="s">
        <v>127</v>
      </c>
      <c r="AS775" s="6" t="s">
        <v>127</v>
      </c>
      <c r="AT775" s="6" t="s">
        <v>127</v>
      </c>
      <c r="AU775" s="6" t="s">
        <v>127</v>
      </c>
      <c r="AV775" s="6" t="s">
        <v>127</v>
      </c>
      <c r="AW775" s="6" t="s">
        <v>127</v>
      </c>
      <c r="AX775" s="6" t="s">
        <v>127</v>
      </c>
      <c r="AY775" s="99" t="s">
        <v>3868</v>
      </c>
      <c r="AZ775" s="6" t="s">
        <v>127</v>
      </c>
      <c r="BA775" s="6" t="s">
        <v>127</v>
      </c>
      <c r="BB775" s="6" t="s">
        <v>3869</v>
      </c>
      <c r="BC775" s="6" t="s">
        <v>127</v>
      </c>
    </row>
    <row r="776" spans="1:57" ht="16" x14ac:dyDescent="0.4">
      <c r="A776" s="92" t="s">
        <v>3872</v>
      </c>
      <c r="B776" s="92" t="s">
        <v>3872</v>
      </c>
      <c r="C776" s="6" t="s">
        <v>127</v>
      </c>
      <c r="D776" s="6" t="s">
        <v>3272</v>
      </c>
      <c r="E776" s="192">
        <v>45841</v>
      </c>
      <c r="F776" s="6">
        <v>2025</v>
      </c>
      <c r="G776" s="6" t="s">
        <v>3873</v>
      </c>
      <c r="H776" s="22" t="str">
        <f>VLOOKUP($G776,'Item Classification'!B:C,2,0)</f>
        <v>Military equipment</v>
      </c>
      <c r="I776" s="6" t="str">
        <f>VLOOKUP($G776,'Item Classification'!B:D,3,0)</f>
        <v>Other</v>
      </c>
      <c r="J776" s="23">
        <f>VLOOKUP($G776,'Item Classification'!B:E,4,0)</f>
        <v>16</v>
      </c>
      <c r="K776" s="196" t="s">
        <v>158</v>
      </c>
      <c r="L776" s="10" t="s">
        <v>379</v>
      </c>
      <c r="M776" s="116" t="str">
        <f>VLOOKUP(L776,'NATO Classifications'!$D$6:$E$647,2,0)</f>
        <v>Communication, Detection, and Coherent Radiation Equipment (other)</v>
      </c>
      <c r="N776" s="25"/>
      <c r="P776" s="103"/>
      <c r="Q776" s="25">
        <v>2026</v>
      </c>
      <c r="R776" s="25">
        <v>2027</v>
      </c>
      <c r="S776" s="103">
        <v>20000000</v>
      </c>
      <c r="T776" s="91" t="s">
        <v>3274</v>
      </c>
      <c r="U776" s="104">
        <f>_xlfn.IFNA(S776/INDEX('Exchange Rates'!$C$7:$F$14,MATCH('MAIN DATA, Orders'!F776,'Exchange Rates'!$B$7:$B$14,0),MATCH('MAIN DATA, Orders'!T776,'Exchange Rates'!$C$6:$F$6,0)), "-")</f>
        <v>4717314.9043564405</v>
      </c>
      <c r="V776" s="6" t="s">
        <v>127</v>
      </c>
      <c r="W776" s="6" t="s">
        <v>127</v>
      </c>
      <c r="X776" s="6" t="s">
        <v>3272</v>
      </c>
      <c r="Y776" s="24">
        <f t="shared" si="183"/>
        <v>202507</v>
      </c>
      <c r="Z776" s="24">
        <v>1</v>
      </c>
      <c r="AA776" s="24">
        <v>0</v>
      </c>
      <c r="AB776" s="24">
        <v>0</v>
      </c>
      <c r="AC776" s="24">
        <v>1</v>
      </c>
      <c r="AD776" s="180">
        <v>0</v>
      </c>
      <c r="AE776" s="180">
        <v>0</v>
      </c>
      <c r="AF776" s="180">
        <v>1</v>
      </c>
      <c r="AG776" s="6" t="s">
        <v>3874</v>
      </c>
      <c r="AH776" s="6" t="s">
        <v>1847</v>
      </c>
      <c r="AI776" s="6" t="s">
        <v>1847</v>
      </c>
      <c r="AJ776" s="6" t="s">
        <v>127</v>
      </c>
      <c r="AK776" s="6" t="s">
        <v>127</v>
      </c>
      <c r="AL776" s="6" t="s">
        <v>127</v>
      </c>
      <c r="AM776" s="6" t="s">
        <v>127</v>
      </c>
      <c r="AN776" s="6" t="s">
        <v>127</v>
      </c>
      <c r="AO776" s="6" t="s">
        <v>127</v>
      </c>
      <c r="AP776" s="6" t="s">
        <v>127</v>
      </c>
      <c r="AQ776" s="6" t="s">
        <v>127</v>
      </c>
      <c r="AR776" s="6" t="s">
        <v>127</v>
      </c>
      <c r="AS776" s="6" t="s">
        <v>127</v>
      </c>
      <c r="AT776" s="6" t="s">
        <v>127</v>
      </c>
      <c r="AU776" s="6" t="s">
        <v>127</v>
      </c>
      <c r="AV776" s="6" t="s">
        <v>127</v>
      </c>
      <c r="AW776" s="6" t="s">
        <v>127</v>
      </c>
      <c r="AX776" s="6" t="s">
        <v>127</v>
      </c>
      <c r="AY776" s="96" t="s">
        <v>3875</v>
      </c>
      <c r="AZ776" s="6" t="s">
        <v>127</v>
      </c>
      <c r="BA776" s="6" t="s">
        <v>127</v>
      </c>
      <c r="BB776" s="6" t="s">
        <v>3876</v>
      </c>
      <c r="BC776" s="6" t="s">
        <v>127</v>
      </c>
    </row>
    <row r="777" spans="1:57" ht="16" x14ac:dyDescent="0.4">
      <c r="A777" s="92" t="s">
        <v>3877</v>
      </c>
      <c r="B777" s="92" t="s">
        <v>3877</v>
      </c>
      <c r="C777" s="6" t="s">
        <v>127</v>
      </c>
      <c r="D777" s="6" t="s">
        <v>3272</v>
      </c>
      <c r="E777" s="192">
        <v>45869</v>
      </c>
      <c r="F777" s="6">
        <v>2025</v>
      </c>
      <c r="G777" s="6" t="s">
        <v>3878</v>
      </c>
      <c r="H777" s="22" t="str">
        <f>VLOOKUP($G777,'Item Classification'!B:C,2,0)</f>
        <v>Anti-mine armoured vehicle</v>
      </c>
      <c r="I777" s="6" t="str">
        <f>VLOOKUP($G777,'Item Classification'!B:D,3,0)</f>
        <v>Armoured vehicle</v>
      </c>
      <c r="J777" s="23">
        <f>VLOOKUP($G777,'Item Classification'!B:E,4,0)</f>
        <v>2</v>
      </c>
      <c r="K777" s="196" t="s">
        <v>274</v>
      </c>
      <c r="L777" s="10" t="s">
        <v>329</v>
      </c>
      <c r="M777" s="116" t="str">
        <f>VLOOKUP(L777,'NATO Classifications'!$D$6:$E$647,2,0)</f>
        <v>Combat, Assault, and Tactical Vehicles, Tracked</v>
      </c>
      <c r="N777" s="25">
        <v>25</v>
      </c>
      <c r="O777" s="81">
        <f>S777/N777</f>
        <v>4600000</v>
      </c>
      <c r="P777" s="81">
        <f>U777/N777</f>
        <v>4070796.4601769918</v>
      </c>
      <c r="Q777" s="25"/>
      <c r="R777" s="25">
        <v>2029</v>
      </c>
      <c r="S777" s="103">
        <v>115000000</v>
      </c>
      <c r="T777" s="115" t="s">
        <v>3284</v>
      </c>
      <c r="U777" s="104">
        <f>_xlfn.IFNA(S777/INDEX('Exchange Rates'!$C$7:$F$14,MATCH('MAIN DATA, Orders'!F777,'Exchange Rates'!$B$7:$B$14,0),MATCH('MAIN DATA, Orders'!T777,'Exchange Rates'!$C$6:$F$6,0)), "-")</f>
        <v>101769911.5044248</v>
      </c>
      <c r="V777" s="6" t="s">
        <v>127</v>
      </c>
      <c r="W777" s="6" t="s">
        <v>127</v>
      </c>
      <c r="X777" s="6" t="s">
        <v>3272</v>
      </c>
      <c r="Y777" s="24">
        <f t="shared" si="183"/>
        <v>202507</v>
      </c>
      <c r="Z777" s="24">
        <v>0</v>
      </c>
      <c r="AA777" s="24">
        <v>0</v>
      </c>
      <c r="AB777" s="24">
        <v>0</v>
      </c>
      <c r="AC777" s="24">
        <v>0</v>
      </c>
      <c r="AD777" s="180">
        <v>0</v>
      </c>
      <c r="AE777" s="180">
        <v>0</v>
      </c>
      <c r="AF777" s="180">
        <v>1</v>
      </c>
      <c r="AG777" s="6" t="s">
        <v>127</v>
      </c>
      <c r="AH777" s="6" t="s">
        <v>196</v>
      </c>
      <c r="AI777" s="6" t="s">
        <v>196</v>
      </c>
      <c r="AJ777" s="6" t="s">
        <v>127</v>
      </c>
      <c r="AK777" s="6" t="s">
        <v>127</v>
      </c>
      <c r="AL777" s="6" t="s">
        <v>127</v>
      </c>
      <c r="AM777" s="6" t="s">
        <v>127</v>
      </c>
      <c r="AN777" s="6" t="s">
        <v>127</v>
      </c>
      <c r="AO777" s="6" t="s">
        <v>127</v>
      </c>
      <c r="AP777" s="6" t="s">
        <v>127</v>
      </c>
      <c r="AQ777" s="6" t="s">
        <v>127</v>
      </c>
      <c r="AR777" s="6" t="s">
        <v>127</v>
      </c>
      <c r="AS777" s="6" t="s">
        <v>127</v>
      </c>
      <c r="AT777" s="6" t="s">
        <v>127</v>
      </c>
      <c r="AU777" s="6" t="s">
        <v>127</v>
      </c>
      <c r="AV777" s="6" t="s">
        <v>127</v>
      </c>
      <c r="AW777" s="6" t="s">
        <v>127</v>
      </c>
      <c r="AX777" s="6" t="s">
        <v>127</v>
      </c>
      <c r="AY777" s="99" t="s">
        <v>3879</v>
      </c>
      <c r="AZ777" s="6" t="s">
        <v>127</v>
      </c>
      <c r="BA777" s="6" t="s">
        <v>127</v>
      </c>
      <c r="BB777" s="6" t="s">
        <v>3880</v>
      </c>
      <c r="BC777" s="6" t="s">
        <v>127</v>
      </c>
    </row>
    <row r="778" spans="1:57" ht="16" x14ac:dyDescent="0.4">
      <c r="A778" s="92" t="s">
        <v>3881</v>
      </c>
      <c r="B778" s="92" t="s">
        <v>3881</v>
      </c>
      <c r="C778" s="6" t="s">
        <v>127</v>
      </c>
      <c r="D778" s="6" t="s">
        <v>3272</v>
      </c>
      <c r="E778" s="192">
        <v>45870</v>
      </c>
      <c r="F778" s="6">
        <v>2025</v>
      </c>
      <c r="G778" s="6" t="s">
        <v>127</v>
      </c>
      <c r="H778" s="22" t="s">
        <v>3882</v>
      </c>
      <c r="I778" s="6" t="s">
        <v>1105</v>
      </c>
      <c r="J778" s="24">
        <v>1</v>
      </c>
      <c r="K778" s="196" t="s">
        <v>229</v>
      </c>
      <c r="L778" s="10" t="s">
        <v>230</v>
      </c>
      <c r="M778" s="116" t="str">
        <f>VLOOKUP(L778,'NATO Classifications'!$D$6:$E$647,2,0)</f>
        <v>Miscellaneous Items</v>
      </c>
      <c r="N778" s="25"/>
      <c r="O778" s="81"/>
      <c r="P778" s="81"/>
      <c r="Q778" s="25">
        <v>2026</v>
      </c>
      <c r="R778" s="25">
        <v>2031</v>
      </c>
      <c r="S778" s="103">
        <v>6500000000</v>
      </c>
      <c r="T778" s="24" t="s">
        <v>3284</v>
      </c>
      <c r="U778" s="104">
        <f>_xlfn.IFNA(S778/INDEX('Exchange Rates'!$C$7:$F$14,MATCH('MAIN DATA, Orders'!F778,'Exchange Rates'!$B$7:$B$14,0),MATCH('MAIN DATA, Orders'!T778,'Exchange Rates'!$C$6:$F$6,0)), "-")</f>
        <v>5752212389.3805313</v>
      </c>
      <c r="V778" s="6" t="s">
        <v>127</v>
      </c>
      <c r="W778" s="6" t="s">
        <v>127</v>
      </c>
      <c r="X778" s="6" t="s">
        <v>3272</v>
      </c>
      <c r="Y778" s="24">
        <f t="shared" si="183"/>
        <v>202508</v>
      </c>
      <c r="Z778" s="24">
        <v>0</v>
      </c>
      <c r="AA778" s="24">
        <v>0</v>
      </c>
      <c r="AB778" s="24">
        <v>0</v>
      </c>
      <c r="AC778" s="24">
        <v>1</v>
      </c>
      <c r="AD778" s="24">
        <v>0</v>
      </c>
      <c r="AE778" s="24">
        <v>1</v>
      </c>
      <c r="AF778" s="24">
        <v>1</v>
      </c>
      <c r="AG778" s="102" t="s">
        <v>3556</v>
      </c>
      <c r="AH778" s="102" t="s">
        <v>3517</v>
      </c>
      <c r="AI778" s="92" t="s">
        <v>3517</v>
      </c>
      <c r="AJ778" s="6" t="s">
        <v>3883</v>
      </c>
      <c r="AK778" s="6" t="s">
        <v>127</v>
      </c>
      <c r="AL778" s="6" t="s">
        <v>127</v>
      </c>
      <c r="AM778" s="6" t="s">
        <v>127</v>
      </c>
      <c r="AN778" s="6" t="s">
        <v>127</v>
      </c>
      <c r="AO778" s="6" t="s">
        <v>127</v>
      </c>
      <c r="AP778" s="6" t="s">
        <v>127</v>
      </c>
      <c r="AQ778" s="6" t="s">
        <v>127</v>
      </c>
      <c r="AR778" s="6" t="s">
        <v>127</v>
      </c>
      <c r="AS778" s="6" t="s">
        <v>127</v>
      </c>
      <c r="AT778" s="6" t="s">
        <v>127</v>
      </c>
      <c r="AU778" s="6" t="s">
        <v>127</v>
      </c>
      <c r="AV778" s="6" t="s">
        <v>127</v>
      </c>
      <c r="AW778" s="6" t="s">
        <v>3272</v>
      </c>
      <c r="AX778" s="6" t="s">
        <v>127</v>
      </c>
      <c r="AY778" s="99" t="s">
        <v>3884</v>
      </c>
      <c r="AZ778" s="96" t="s">
        <v>3885</v>
      </c>
      <c r="BA778" s="6" t="s">
        <v>127</v>
      </c>
      <c r="BB778" s="6" t="s">
        <v>3886</v>
      </c>
      <c r="BC778" s="6" t="s">
        <v>3887</v>
      </c>
      <c r="BD778" s="6" t="s">
        <v>127</v>
      </c>
    </row>
    <row r="779" spans="1:57" ht="16" x14ac:dyDescent="0.4">
      <c r="A779" s="92" t="s">
        <v>3881</v>
      </c>
      <c r="B779" s="92" t="s">
        <v>3888</v>
      </c>
      <c r="C779" s="6" t="s">
        <v>127</v>
      </c>
      <c r="D779" s="6" t="s">
        <v>3272</v>
      </c>
      <c r="E779" s="192">
        <v>45870</v>
      </c>
      <c r="F779" s="6">
        <v>2025</v>
      </c>
      <c r="G779" s="6" t="s">
        <v>3889</v>
      </c>
      <c r="H779" s="22" t="str">
        <f>VLOOKUP($G779,'Item Classification'!B:C,2,0)</f>
        <v>Main Battle Tank (MBT)</v>
      </c>
      <c r="I779" s="6" t="str">
        <f>VLOOKUP($G779,'Item Classification'!B:D,3,0)</f>
        <v>Tank</v>
      </c>
      <c r="J779" s="23">
        <f>VLOOKUP($G779,'Item Classification'!B:E,4,0)</f>
        <v>1</v>
      </c>
      <c r="K779" s="196" t="s">
        <v>274</v>
      </c>
      <c r="L779" s="10" t="s">
        <v>329</v>
      </c>
      <c r="M779" s="116" t="str">
        <f>VLOOKUP(L779,'NATO Classifications'!$D$6:$E$647,2,0)</f>
        <v>Combat, Assault, and Tactical Vehicles, Tracked</v>
      </c>
      <c r="N779" s="25">
        <v>116</v>
      </c>
      <c r="O779" s="81"/>
      <c r="P779" s="81"/>
      <c r="Q779" s="25">
        <v>2026</v>
      </c>
      <c r="R779" s="174">
        <v>2027</v>
      </c>
      <c r="S779" s="103"/>
      <c r="T779" s="91" t="s">
        <v>3274</v>
      </c>
      <c r="U779" s="104">
        <f>_xlfn.IFNA(S779/INDEX('Exchange Rates'!$C$7:$F$14,MATCH('MAIN DATA, Orders'!F779,'Exchange Rates'!$B$7:$B$14,0),MATCH('MAIN DATA, Orders'!T779,'Exchange Rates'!$C$6:$F$6,0)), "-")</f>
        <v>0</v>
      </c>
      <c r="V779" s="6" t="s">
        <v>127</v>
      </c>
      <c r="W779" s="6" t="s">
        <v>127</v>
      </c>
      <c r="X779" s="6" t="s">
        <v>3272</v>
      </c>
      <c r="Y779" s="24">
        <f t="shared" si="183"/>
        <v>202508</v>
      </c>
      <c r="Z779" s="24">
        <v>0</v>
      </c>
      <c r="AA779" s="24">
        <v>0</v>
      </c>
      <c r="AB779" s="24">
        <v>0</v>
      </c>
      <c r="AC779" s="24">
        <v>0</v>
      </c>
      <c r="AD779" s="24">
        <v>0</v>
      </c>
      <c r="AE779" s="24">
        <v>1</v>
      </c>
      <c r="AF779" s="24">
        <v>1</v>
      </c>
      <c r="AG779" s="102" t="s">
        <v>3556</v>
      </c>
      <c r="AH779" s="102" t="s">
        <v>3517</v>
      </c>
      <c r="AI779" s="92" t="s">
        <v>3517</v>
      </c>
      <c r="AJ779" s="6" t="s">
        <v>127</v>
      </c>
      <c r="AK779" s="6" t="s">
        <v>127</v>
      </c>
      <c r="AL779" s="6" t="s">
        <v>127</v>
      </c>
      <c r="AM779" s="6" t="s">
        <v>127</v>
      </c>
      <c r="AN779" s="6" t="s">
        <v>127</v>
      </c>
      <c r="AO779" s="6" t="s">
        <v>127</v>
      </c>
      <c r="AP779" s="6" t="s">
        <v>127</v>
      </c>
      <c r="AQ779" s="6" t="s">
        <v>127</v>
      </c>
      <c r="AR779" s="6" t="s">
        <v>127</v>
      </c>
      <c r="AS779" s="6" t="s">
        <v>127</v>
      </c>
      <c r="AT779" s="6" t="s">
        <v>127</v>
      </c>
      <c r="AU779" s="6" t="s">
        <v>127</v>
      </c>
      <c r="AV779" s="6" t="s">
        <v>127</v>
      </c>
      <c r="AW779" s="6" t="s">
        <v>127</v>
      </c>
      <c r="AX779" s="6" t="s">
        <v>127</v>
      </c>
      <c r="AY779" s="99" t="s">
        <v>3884</v>
      </c>
      <c r="AZ779" s="96" t="s">
        <v>3885</v>
      </c>
      <c r="BA779" s="6" t="s">
        <v>127</v>
      </c>
      <c r="BB779" s="6" t="s">
        <v>3886</v>
      </c>
      <c r="BC779" s="6" t="s">
        <v>3887</v>
      </c>
      <c r="BD779" s="6" t="s">
        <v>127</v>
      </c>
    </row>
    <row r="780" spans="1:57" ht="16" x14ac:dyDescent="0.4">
      <c r="A780" s="92" t="s">
        <v>3881</v>
      </c>
      <c r="B780" s="92" t="s">
        <v>3890</v>
      </c>
      <c r="C780" s="6" t="s">
        <v>127</v>
      </c>
      <c r="D780" s="6" t="s">
        <v>3272</v>
      </c>
      <c r="E780" s="192">
        <v>45870</v>
      </c>
      <c r="F780" s="6">
        <v>2025</v>
      </c>
      <c r="G780" s="6" t="s">
        <v>3891</v>
      </c>
      <c r="H780" s="22" t="str">
        <f>VLOOKUP($G780,'Item Classification'!B:C,2,0)</f>
        <v>Main Battle Tank (MBT)</v>
      </c>
      <c r="I780" s="6" t="str">
        <f>VLOOKUP($G780,'Item Classification'!B:D,3,0)</f>
        <v>Tank</v>
      </c>
      <c r="J780" s="23">
        <f>VLOOKUP($G780,'Item Classification'!B:E,4,0)</f>
        <v>1</v>
      </c>
      <c r="K780" s="196" t="s">
        <v>274</v>
      </c>
      <c r="L780" s="10" t="s">
        <v>329</v>
      </c>
      <c r="M780" s="116" t="str">
        <f>VLOOKUP(L780,'NATO Classifications'!$D$6:$E$647,2,0)</f>
        <v>Combat, Assault, and Tactical Vehicles, Tracked</v>
      </c>
      <c r="N780" s="25">
        <v>64</v>
      </c>
      <c r="O780" s="81"/>
      <c r="P780" s="81"/>
      <c r="Q780" s="25">
        <v>2028</v>
      </c>
      <c r="R780" s="174">
        <v>2030</v>
      </c>
      <c r="S780" s="103"/>
      <c r="T780" s="91" t="s">
        <v>3274</v>
      </c>
      <c r="U780" s="104">
        <f>_xlfn.IFNA(S780/INDEX('Exchange Rates'!$C$7:$F$14,MATCH('MAIN DATA, Orders'!F780,'Exchange Rates'!$B$7:$B$14,0),MATCH('MAIN DATA, Orders'!T780,'Exchange Rates'!$C$6:$F$6,0)), "-")</f>
        <v>0</v>
      </c>
      <c r="V780" s="6" t="s">
        <v>127</v>
      </c>
      <c r="W780" s="6" t="s">
        <v>127</v>
      </c>
      <c r="X780" s="6" t="s">
        <v>3272</v>
      </c>
      <c r="Y780" s="24">
        <f t="shared" si="183"/>
        <v>202508</v>
      </c>
      <c r="Z780" s="24">
        <v>0</v>
      </c>
      <c r="AA780" s="24">
        <v>0</v>
      </c>
      <c r="AB780" s="24">
        <v>0</v>
      </c>
      <c r="AC780" s="24">
        <v>1</v>
      </c>
      <c r="AD780" s="24">
        <v>0</v>
      </c>
      <c r="AE780" s="24">
        <v>1</v>
      </c>
      <c r="AF780" s="24">
        <v>1</v>
      </c>
      <c r="AG780" s="102" t="s">
        <v>3556</v>
      </c>
      <c r="AH780" s="102" t="s">
        <v>3517</v>
      </c>
      <c r="AI780" s="92" t="s">
        <v>3272</v>
      </c>
      <c r="AJ780" s="6" t="s">
        <v>3883</v>
      </c>
      <c r="AK780" s="6" t="s">
        <v>127</v>
      </c>
      <c r="AL780" s="6" t="s">
        <v>127</v>
      </c>
      <c r="AM780" s="6" t="s">
        <v>127</v>
      </c>
      <c r="AN780" s="6" t="s">
        <v>127</v>
      </c>
      <c r="AO780" s="6" t="s">
        <v>127</v>
      </c>
      <c r="AP780" s="6" t="s">
        <v>127</v>
      </c>
      <c r="AQ780" s="6" t="s">
        <v>127</v>
      </c>
      <c r="AR780" s="6" t="s">
        <v>127</v>
      </c>
      <c r="AS780" s="6" t="s">
        <v>127</v>
      </c>
      <c r="AT780" s="6" t="s">
        <v>127</v>
      </c>
      <c r="AU780" s="6" t="s">
        <v>127</v>
      </c>
      <c r="AV780" s="6" t="s">
        <v>127</v>
      </c>
      <c r="AW780" s="6" t="s">
        <v>127</v>
      </c>
      <c r="AX780" s="6" t="s">
        <v>127</v>
      </c>
      <c r="AY780" s="99" t="s">
        <v>3884</v>
      </c>
      <c r="AZ780" s="96" t="s">
        <v>3885</v>
      </c>
      <c r="BA780" s="6" t="s">
        <v>127</v>
      </c>
      <c r="BB780" s="6" t="s">
        <v>3886</v>
      </c>
      <c r="BC780" s="6" t="s">
        <v>3887</v>
      </c>
      <c r="BD780" s="6" t="s">
        <v>127</v>
      </c>
    </row>
    <row r="781" spans="1:57" ht="16" x14ac:dyDescent="0.4">
      <c r="A781" s="92" t="s">
        <v>3881</v>
      </c>
      <c r="B781" s="92" t="s">
        <v>3892</v>
      </c>
      <c r="C781" s="6" t="s">
        <v>127</v>
      </c>
      <c r="D781" s="6" t="s">
        <v>3272</v>
      </c>
      <c r="E781" s="192">
        <v>45870</v>
      </c>
      <c r="F781" s="6">
        <v>2025</v>
      </c>
      <c r="G781" s="6" t="s">
        <v>3893</v>
      </c>
      <c r="H781" s="22" t="str">
        <f>VLOOKUP($G781,'Item Classification'!B:C,2,0)</f>
        <v>Non-combat military vehicle</v>
      </c>
      <c r="I781" s="6" t="str">
        <f>VLOOKUP($G781,'Item Classification'!B:D,3,0)</f>
        <v>Other</v>
      </c>
      <c r="J781" s="23">
        <f>VLOOKUP($G781,'Item Classification'!B:E,4,0)</f>
        <v>16</v>
      </c>
      <c r="K781" s="196" t="s">
        <v>274</v>
      </c>
      <c r="L781" s="10" t="s">
        <v>329</v>
      </c>
      <c r="M781" s="116" t="str">
        <f>VLOOKUP(L781,'NATO Classifications'!$D$6:$E$647,2,0)</f>
        <v>Combat, Assault, and Tactical Vehicles, Tracked</v>
      </c>
      <c r="N781" s="25">
        <v>31</v>
      </c>
      <c r="O781" s="81"/>
      <c r="P781" s="81"/>
      <c r="Q781" s="25">
        <v>2029</v>
      </c>
      <c r="R781" s="174">
        <v>2031</v>
      </c>
      <c r="S781" s="103"/>
      <c r="T781" s="91" t="s">
        <v>3274</v>
      </c>
      <c r="U781" s="104">
        <f>_xlfn.IFNA(S781/INDEX('Exchange Rates'!$C$7:$F$14,MATCH('MAIN DATA, Orders'!F781,'Exchange Rates'!$B$7:$B$14,0),MATCH('MAIN DATA, Orders'!T781,'Exchange Rates'!$C$6:$F$6,0)), "-")</f>
        <v>0</v>
      </c>
      <c r="V781" s="6" t="s">
        <v>127</v>
      </c>
      <c r="W781" s="6" t="s">
        <v>127</v>
      </c>
      <c r="X781" s="6" t="s">
        <v>3272</v>
      </c>
      <c r="Y781" s="24">
        <f t="shared" si="183"/>
        <v>202508</v>
      </c>
      <c r="Z781" s="24">
        <v>0</v>
      </c>
      <c r="AA781" s="24">
        <v>0</v>
      </c>
      <c r="AB781" s="24">
        <v>0</v>
      </c>
      <c r="AC781" s="24">
        <v>1</v>
      </c>
      <c r="AD781" s="24">
        <v>0</v>
      </c>
      <c r="AE781" s="24">
        <v>1</v>
      </c>
      <c r="AF781" s="24">
        <v>1</v>
      </c>
      <c r="AG781" s="102" t="s">
        <v>3556</v>
      </c>
      <c r="AH781" s="102" t="s">
        <v>3517</v>
      </c>
      <c r="AI781" s="92" t="s">
        <v>3272</v>
      </c>
      <c r="AJ781" s="6" t="s">
        <v>3883</v>
      </c>
      <c r="AK781" s="6" t="s">
        <v>3894</v>
      </c>
      <c r="AL781" s="6" t="s">
        <v>127</v>
      </c>
      <c r="AM781" s="6" t="s">
        <v>127</v>
      </c>
      <c r="AN781" s="6" t="s">
        <v>127</v>
      </c>
      <c r="AO781" s="6" t="s">
        <v>127</v>
      </c>
      <c r="AP781" s="6" t="s">
        <v>127</v>
      </c>
      <c r="AQ781" s="6" t="s">
        <v>127</v>
      </c>
      <c r="AR781" s="6" t="s">
        <v>127</v>
      </c>
      <c r="AS781" s="6" t="s">
        <v>127</v>
      </c>
      <c r="AT781" s="6" t="s">
        <v>127</v>
      </c>
      <c r="AU781" s="6" t="s">
        <v>127</v>
      </c>
      <c r="AV781" s="6" t="s">
        <v>127</v>
      </c>
      <c r="AW781" s="6" t="s">
        <v>127</v>
      </c>
      <c r="AX781" s="6" t="s">
        <v>127</v>
      </c>
      <c r="AY781" s="99" t="s">
        <v>3884</v>
      </c>
      <c r="AZ781" s="96" t="s">
        <v>3885</v>
      </c>
      <c r="BA781" s="6" t="s">
        <v>127</v>
      </c>
      <c r="BB781" s="6" t="s">
        <v>3886</v>
      </c>
      <c r="BC781" s="6" t="s">
        <v>3887</v>
      </c>
      <c r="BD781" s="6" t="s">
        <v>127</v>
      </c>
    </row>
    <row r="782" spans="1:57" ht="16" x14ac:dyDescent="0.4">
      <c r="A782" s="92" t="s">
        <v>3881</v>
      </c>
      <c r="B782" s="92" t="s">
        <v>3895</v>
      </c>
      <c r="C782" s="6" t="s">
        <v>127</v>
      </c>
      <c r="D782" s="6" t="s">
        <v>3272</v>
      </c>
      <c r="E782" s="192">
        <v>45870</v>
      </c>
      <c r="F782" s="6">
        <v>2025</v>
      </c>
      <c r="G782" s="6" t="s">
        <v>3896</v>
      </c>
      <c r="H782" s="22" t="str">
        <f>VLOOKUP($G782,'Item Classification'!B:C,2,0)</f>
        <v>Non-combat military vehicle</v>
      </c>
      <c r="I782" s="6" t="str">
        <f>VLOOKUP($G782,'Item Classification'!B:D,3,0)</f>
        <v>Other</v>
      </c>
      <c r="J782" s="23">
        <f>VLOOKUP($G782,'Item Classification'!B:E,4,0)</f>
        <v>16</v>
      </c>
      <c r="K782" s="196" t="s">
        <v>1549</v>
      </c>
      <c r="L782" s="10" t="s">
        <v>3897</v>
      </c>
      <c r="M782" s="116" t="str">
        <f>VLOOKUP(L782,'NATO Classifications'!$D$6:$E$647,2,0)</f>
        <v>Earth Moving and Excavating Equipment</v>
      </c>
      <c r="N782" s="25">
        <v>25</v>
      </c>
      <c r="O782" s="81"/>
      <c r="P782" s="81"/>
      <c r="Q782" s="25">
        <v>2029</v>
      </c>
      <c r="R782" s="174">
        <v>2031</v>
      </c>
      <c r="S782" s="103"/>
      <c r="T782" s="91" t="s">
        <v>3274</v>
      </c>
      <c r="U782" s="104">
        <f>_xlfn.IFNA(S782/INDEX('Exchange Rates'!$C$7:$F$14,MATCH('MAIN DATA, Orders'!F782,'Exchange Rates'!$B$7:$B$14,0),MATCH('MAIN DATA, Orders'!T782,'Exchange Rates'!$C$6:$F$6,0)), "-")</f>
        <v>0</v>
      </c>
      <c r="V782" s="6" t="s">
        <v>127</v>
      </c>
      <c r="W782" s="6" t="s">
        <v>127</v>
      </c>
      <c r="X782" s="6" t="s">
        <v>3272</v>
      </c>
      <c r="Y782" s="24">
        <f t="shared" si="183"/>
        <v>202508</v>
      </c>
      <c r="Z782" s="24">
        <v>0</v>
      </c>
      <c r="AA782" s="24">
        <v>0</v>
      </c>
      <c r="AB782" s="24">
        <v>0</v>
      </c>
      <c r="AC782" s="24">
        <v>1</v>
      </c>
      <c r="AD782" s="24">
        <v>0</v>
      </c>
      <c r="AE782" s="24">
        <v>1</v>
      </c>
      <c r="AF782" s="24">
        <v>1</v>
      </c>
      <c r="AG782" s="102" t="s">
        <v>3556</v>
      </c>
      <c r="AH782" s="102" t="s">
        <v>3517</v>
      </c>
      <c r="AI782" s="92" t="s">
        <v>3272</v>
      </c>
      <c r="AJ782" s="6" t="s">
        <v>3883</v>
      </c>
      <c r="AK782" s="6" t="s">
        <v>3894</v>
      </c>
      <c r="AL782" s="6" t="s">
        <v>127</v>
      </c>
      <c r="AM782" s="6" t="s">
        <v>127</v>
      </c>
      <c r="AN782" s="6" t="s">
        <v>127</v>
      </c>
      <c r="AO782" s="6" t="s">
        <v>127</v>
      </c>
      <c r="AP782" s="6" t="s">
        <v>127</v>
      </c>
      <c r="AQ782" s="6" t="s">
        <v>127</v>
      </c>
      <c r="AR782" s="6" t="s">
        <v>127</v>
      </c>
      <c r="AS782" s="6" t="s">
        <v>127</v>
      </c>
      <c r="AT782" s="6" t="s">
        <v>127</v>
      </c>
      <c r="AU782" s="6" t="s">
        <v>127</v>
      </c>
      <c r="AV782" s="6" t="s">
        <v>127</v>
      </c>
      <c r="AW782" s="6" t="s">
        <v>127</v>
      </c>
      <c r="AX782" s="6" t="s">
        <v>127</v>
      </c>
      <c r="AY782" s="99" t="s">
        <v>3884</v>
      </c>
      <c r="AZ782" s="96" t="s">
        <v>3885</v>
      </c>
      <c r="BA782" s="6" t="s">
        <v>127</v>
      </c>
      <c r="BB782" s="6" t="s">
        <v>3886</v>
      </c>
      <c r="BC782" s="6" t="s">
        <v>3887</v>
      </c>
      <c r="BD782" s="6" t="s">
        <v>127</v>
      </c>
    </row>
    <row r="783" spans="1:57" ht="16" x14ac:dyDescent="0.4">
      <c r="A783" s="92" t="s">
        <v>3881</v>
      </c>
      <c r="B783" s="92" t="s">
        <v>3898</v>
      </c>
      <c r="C783" s="6" t="s">
        <v>127</v>
      </c>
      <c r="D783" s="6" t="s">
        <v>3272</v>
      </c>
      <c r="E783" s="192">
        <v>45870</v>
      </c>
      <c r="F783" s="6">
        <v>2025</v>
      </c>
      <c r="G783" s="6" t="s">
        <v>3899</v>
      </c>
      <c r="H783" s="22" t="str">
        <f>VLOOKUP($G783,'Item Classification'!B:C,2,0)</f>
        <v>Mobile bridge system</v>
      </c>
      <c r="I783" s="6" t="str">
        <f>VLOOKUP($G783,'Item Classification'!B:D,3,0)</f>
        <v>Other</v>
      </c>
      <c r="J783" s="23">
        <f>VLOOKUP($G783,'Item Classification'!B:E,4,0)</f>
        <v>16</v>
      </c>
      <c r="K783" s="196" t="s">
        <v>386</v>
      </c>
      <c r="L783" s="10" t="s">
        <v>1790</v>
      </c>
      <c r="M783" s="116" t="str">
        <f>VLOOKUP(L783,'NATO Classifications'!$D$6:$E$647,2,0)</f>
        <v>Bridges, Fixed and Floating</v>
      </c>
      <c r="N783" s="25">
        <v>25</v>
      </c>
      <c r="O783" s="81"/>
      <c r="P783" s="81"/>
      <c r="Q783" s="25">
        <v>2029</v>
      </c>
      <c r="R783" s="174">
        <v>2031</v>
      </c>
      <c r="S783" s="103"/>
      <c r="T783" s="91" t="s">
        <v>3274</v>
      </c>
      <c r="U783" s="104">
        <f>_xlfn.IFNA(S783/INDEX('Exchange Rates'!$C$7:$F$14,MATCH('MAIN DATA, Orders'!F783,'Exchange Rates'!$B$7:$B$14,0),MATCH('MAIN DATA, Orders'!T783,'Exchange Rates'!$C$6:$F$6,0)), "-")</f>
        <v>0</v>
      </c>
      <c r="V783" s="6" t="s">
        <v>127</v>
      </c>
      <c r="W783" s="6" t="s">
        <v>127</v>
      </c>
      <c r="X783" s="6" t="s">
        <v>3272</v>
      </c>
      <c r="Y783" s="24">
        <f t="shared" si="183"/>
        <v>202508</v>
      </c>
      <c r="Z783" s="24">
        <v>0</v>
      </c>
      <c r="AA783" s="24">
        <v>0</v>
      </c>
      <c r="AB783" s="24">
        <v>0</v>
      </c>
      <c r="AC783" s="24">
        <v>1</v>
      </c>
      <c r="AD783" s="24">
        <v>0</v>
      </c>
      <c r="AE783" s="24">
        <v>1</v>
      </c>
      <c r="AF783" s="24">
        <v>1</v>
      </c>
      <c r="AG783" s="102" t="s">
        <v>3556</v>
      </c>
      <c r="AH783" s="102" t="s">
        <v>3517</v>
      </c>
      <c r="AI783" s="92" t="s">
        <v>3272</v>
      </c>
      <c r="AJ783" s="6" t="s">
        <v>3883</v>
      </c>
      <c r="AK783" s="6" t="s">
        <v>3894</v>
      </c>
      <c r="AL783" s="6" t="s">
        <v>127</v>
      </c>
      <c r="AM783" s="6" t="s">
        <v>127</v>
      </c>
      <c r="AN783" s="6" t="s">
        <v>127</v>
      </c>
      <c r="AO783" s="6" t="s">
        <v>127</v>
      </c>
      <c r="AP783" s="6" t="s">
        <v>127</v>
      </c>
      <c r="AQ783" s="6" t="s">
        <v>127</v>
      </c>
      <c r="AR783" s="6" t="s">
        <v>127</v>
      </c>
      <c r="AS783" s="6" t="s">
        <v>127</v>
      </c>
      <c r="AT783" s="6" t="s">
        <v>127</v>
      </c>
      <c r="AU783" s="6" t="s">
        <v>127</v>
      </c>
      <c r="AV783" s="6" t="s">
        <v>127</v>
      </c>
      <c r="AW783" s="6" t="s">
        <v>127</v>
      </c>
      <c r="AX783" s="6" t="s">
        <v>127</v>
      </c>
      <c r="AY783" s="99" t="s">
        <v>3884</v>
      </c>
      <c r="AZ783" s="96" t="s">
        <v>3885</v>
      </c>
      <c r="BA783" s="6" t="s">
        <v>127</v>
      </c>
      <c r="BB783" s="6" t="s">
        <v>3886</v>
      </c>
      <c r="BC783" s="6" t="s">
        <v>3887</v>
      </c>
      <c r="BD783" s="6" t="s">
        <v>127</v>
      </c>
    </row>
    <row r="784" spans="1:57" ht="16" x14ac:dyDescent="0.4">
      <c r="A784" s="92" t="s">
        <v>3881</v>
      </c>
      <c r="B784" s="92" t="s">
        <v>3900</v>
      </c>
      <c r="C784" s="6" t="s">
        <v>127</v>
      </c>
      <c r="D784" s="6" t="s">
        <v>3272</v>
      </c>
      <c r="E784" s="192">
        <v>45870</v>
      </c>
      <c r="F784" s="6">
        <v>2025</v>
      </c>
      <c r="G784" s="6" t="s">
        <v>3901</v>
      </c>
      <c r="H784" s="22" t="str">
        <f>VLOOKUP($G784,'Item Classification'!B:C,2,0)</f>
        <v>Spare parts logistics</v>
      </c>
      <c r="I784" s="6" t="str">
        <f>VLOOKUP($G784,'Item Classification'!B:D,3,0)</f>
        <v>Maintenance</v>
      </c>
      <c r="J784" s="23">
        <f>VLOOKUP($G784,'Item Classification'!B:E,4,0)</f>
        <v>14</v>
      </c>
      <c r="K784" s="196" t="s">
        <v>539</v>
      </c>
      <c r="L784" s="10" t="s">
        <v>2633</v>
      </c>
      <c r="M784" s="116" t="str">
        <f>VLOOKUP(L784,'NATO Classifications'!$D$6:$E$647,2,0)</f>
        <v>Miscellaneous Maintenance and Repair Shop Specialized Equipment</v>
      </c>
      <c r="N784" s="25"/>
      <c r="O784" s="81"/>
      <c r="P784" s="81"/>
      <c r="Q784" s="25"/>
      <c r="R784" s="174"/>
      <c r="S784" s="103"/>
      <c r="T784" s="91" t="s">
        <v>3274</v>
      </c>
      <c r="U784" s="104">
        <f>_xlfn.IFNA(S784/INDEX('Exchange Rates'!$C$7:$F$14,MATCH('MAIN DATA, Orders'!F784,'Exchange Rates'!$B$7:$B$14,0),MATCH('MAIN DATA, Orders'!T784,'Exchange Rates'!$C$6:$F$6,0)), "-")</f>
        <v>0</v>
      </c>
      <c r="V784" s="6" t="s">
        <v>127</v>
      </c>
      <c r="W784" s="6" t="s">
        <v>127</v>
      </c>
      <c r="X784" s="6" t="s">
        <v>3272</v>
      </c>
      <c r="Y784" s="24">
        <f t="shared" si="183"/>
        <v>202508</v>
      </c>
      <c r="Z784" s="24">
        <v>0</v>
      </c>
      <c r="AA784" s="24">
        <v>0</v>
      </c>
      <c r="AB784" s="24">
        <v>0</v>
      </c>
      <c r="AC784" s="24">
        <v>1</v>
      </c>
      <c r="AD784" s="24">
        <v>0</v>
      </c>
      <c r="AE784" s="24">
        <v>1</v>
      </c>
      <c r="AF784" s="24">
        <v>1</v>
      </c>
      <c r="AG784" s="102" t="s">
        <v>3556</v>
      </c>
      <c r="AH784" s="102" t="s">
        <v>3517</v>
      </c>
      <c r="AI784" s="92" t="s">
        <v>3272</v>
      </c>
      <c r="AJ784" s="6" t="s">
        <v>3883</v>
      </c>
      <c r="AK784" s="6" t="s">
        <v>3894</v>
      </c>
      <c r="AL784" s="6" t="s">
        <v>127</v>
      </c>
      <c r="AM784" s="6" t="s">
        <v>127</v>
      </c>
      <c r="AN784" s="6" t="s">
        <v>127</v>
      </c>
      <c r="AO784" s="6" t="s">
        <v>127</v>
      </c>
      <c r="AP784" s="6" t="s">
        <v>127</v>
      </c>
      <c r="AQ784" s="6" t="s">
        <v>127</v>
      </c>
      <c r="AR784" s="6" t="s">
        <v>127</v>
      </c>
      <c r="AS784" s="6" t="s">
        <v>127</v>
      </c>
      <c r="AT784" s="6" t="s">
        <v>127</v>
      </c>
      <c r="AU784" s="6" t="s">
        <v>127</v>
      </c>
      <c r="AV784" s="6" t="s">
        <v>127</v>
      </c>
      <c r="AW784" s="6" t="s">
        <v>127</v>
      </c>
      <c r="AX784" s="6" t="s">
        <v>127</v>
      </c>
      <c r="AY784" s="99" t="s">
        <v>3884</v>
      </c>
      <c r="AZ784" s="96" t="s">
        <v>3885</v>
      </c>
      <c r="BA784" s="6" t="s">
        <v>127</v>
      </c>
      <c r="BB784" s="6" t="s">
        <v>3886</v>
      </c>
      <c r="BC784" s="6" t="s">
        <v>3887</v>
      </c>
      <c r="BD784" s="6" t="s">
        <v>127</v>
      </c>
    </row>
    <row r="785" spans="1:57" ht="16" x14ac:dyDescent="0.4">
      <c r="A785" s="92" t="s">
        <v>3902</v>
      </c>
      <c r="B785" s="92" t="s">
        <v>3902</v>
      </c>
      <c r="C785" s="6" t="s">
        <v>127</v>
      </c>
      <c r="D785" s="6" t="s">
        <v>3272</v>
      </c>
      <c r="E785" s="192">
        <v>45882</v>
      </c>
      <c r="F785" s="6">
        <v>2025</v>
      </c>
      <c r="G785" s="6" t="s">
        <v>3903</v>
      </c>
      <c r="H785" s="22" t="str">
        <f>VLOOKUP($G785,'Item Classification'!B:C,2,0)</f>
        <v>Aircraft modernisation</v>
      </c>
      <c r="I785" s="6" t="str">
        <f>VLOOKUP($G785,'Item Classification'!B:D,3,0)</f>
        <v>Aircraft</v>
      </c>
      <c r="J785" s="23">
        <f>VLOOKUP($G785,'Item Classification'!B:E,4,0)</f>
        <v>11</v>
      </c>
      <c r="K785" s="196" t="s">
        <v>130</v>
      </c>
      <c r="L785" s="10" t="s">
        <v>237</v>
      </c>
      <c r="M785" s="116" t="str">
        <f>VLOOKUP(L785,'NATO Classifications'!$D$6:$E$647,2,0)</f>
        <v>Aircraft, Fixed Wing</v>
      </c>
      <c r="N785" s="25">
        <v>48</v>
      </c>
      <c r="O785" s="81">
        <f>S785/N785</f>
        <v>79166666.666666672</v>
      </c>
      <c r="P785" s="81">
        <f>U785/N785</f>
        <v>70058997.050147504</v>
      </c>
      <c r="Q785" s="25">
        <v>2028</v>
      </c>
      <c r="R785" s="174">
        <v>2038</v>
      </c>
      <c r="S785" s="103">
        <v>3800000000</v>
      </c>
      <c r="T785" s="115" t="s">
        <v>3284</v>
      </c>
      <c r="U785" s="104">
        <f>_xlfn.IFNA(S785/INDEX('Exchange Rates'!$C$7:$F$14,MATCH('MAIN DATA, Orders'!F785,'Exchange Rates'!$B$7:$B$14,0),MATCH('MAIN DATA, Orders'!T785,'Exchange Rates'!$C$6:$F$6,0)), "-")</f>
        <v>3362831858.4070802</v>
      </c>
      <c r="V785" s="6" t="s">
        <v>127</v>
      </c>
      <c r="W785" s="6" t="s">
        <v>127</v>
      </c>
      <c r="X785" s="6" t="s">
        <v>3272</v>
      </c>
      <c r="Y785" s="24">
        <f t="shared" ref="Y785:Y804" si="189">_xlfn.NUMBERVALUE(_xlfn.CONCAT(YEAR(E785),TEXT(E785, "mm")))</f>
        <v>202508</v>
      </c>
      <c r="Z785" s="24">
        <v>0</v>
      </c>
      <c r="AA785" s="24">
        <v>1</v>
      </c>
      <c r="AB785" s="24">
        <v>0</v>
      </c>
      <c r="AC785" s="24" t="s">
        <v>127</v>
      </c>
      <c r="AD785" s="180" t="s">
        <v>127</v>
      </c>
      <c r="AE785" s="180" t="s">
        <v>127</v>
      </c>
      <c r="AF785" s="180" t="s">
        <v>127</v>
      </c>
      <c r="AG785" s="6" t="s">
        <v>127</v>
      </c>
      <c r="AH785" s="6" t="s">
        <v>196</v>
      </c>
      <c r="AI785" s="6" t="s">
        <v>3904</v>
      </c>
      <c r="AJ785" s="6" t="s">
        <v>127</v>
      </c>
      <c r="AK785" s="6" t="s">
        <v>127</v>
      </c>
      <c r="AL785" s="6" t="s">
        <v>127</v>
      </c>
      <c r="AM785" s="6" t="s">
        <v>127</v>
      </c>
      <c r="AN785" s="6" t="s">
        <v>127</v>
      </c>
      <c r="AO785" s="6" t="s">
        <v>127</v>
      </c>
      <c r="AP785" s="6" t="s">
        <v>127</v>
      </c>
      <c r="AQ785" s="6" t="s">
        <v>127</v>
      </c>
      <c r="AR785" s="6" t="s">
        <v>127</v>
      </c>
      <c r="AS785" s="6" t="s">
        <v>127</v>
      </c>
      <c r="AT785" s="6" t="s">
        <v>127</v>
      </c>
      <c r="AU785" s="6" t="s">
        <v>127</v>
      </c>
      <c r="AV785" s="6" t="s">
        <v>127</v>
      </c>
      <c r="AW785" s="6" t="s">
        <v>127</v>
      </c>
      <c r="AX785" s="6" t="s">
        <v>127</v>
      </c>
      <c r="AY785" s="99" t="s">
        <v>3905</v>
      </c>
      <c r="AZ785" s="6" t="s">
        <v>127</v>
      </c>
      <c r="BA785" s="6" t="s">
        <v>127</v>
      </c>
      <c r="BB785" s="6" t="s">
        <v>3906</v>
      </c>
      <c r="BC785" s="6" t="s">
        <v>127</v>
      </c>
    </row>
    <row r="786" spans="1:57" ht="16" x14ac:dyDescent="0.4">
      <c r="A786" s="92" t="s">
        <v>3907</v>
      </c>
      <c r="B786" s="92" t="s">
        <v>3907</v>
      </c>
      <c r="C786" s="6" t="s">
        <v>3464</v>
      </c>
      <c r="D786" s="6" t="s">
        <v>3272</v>
      </c>
      <c r="E786" s="192">
        <v>45902</v>
      </c>
      <c r="F786" s="6">
        <v>2025</v>
      </c>
      <c r="G786" s="6" t="s">
        <v>3908</v>
      </c>
      <c r="H786" s="22" t="str">
        <f>VLOOKUP($G786,'Item Classification'!B:C,2,0)</f>
        <v>Communication and digitalisation</v>
      </c>
      <c r="I786" s="6" t="str">
        <f>VLOOKUP($G786,'Item Classification'!B:D,3,0)</f>
        <v>Modernisation</v>
      </c>
      <c r="J786" s="23">
        <f>VLOOKUP($G786,'Item Classification'!B:E,4,0)</f>
        <v>13</v>
      </c>
      <c r="K786" s="196" t="s">
        <v>158</v>
      </c>
      <c r="L786" s="10" t="s">
        <v>399</v>
      </c>
      <c r="M786" s="116" t="str">
        <f>VLOOKUP(L786,'NATO Classifications'!$D$6:$E$647,2,0)</f>
        <v>Radar and Sensor</v>
      </c>
      <c r="N786" s="25">
        <v>28</v>
      </c>
      <c r="O786" s="81">
        <f>S786/N786</f>
        <v>139285714.2857143</v>
      </c>
      <c r="P786" s="81">
        <f>U786/N786</f>
        <v>32852728.79819664</v>
      </c>
      <c r="Q786" s="25">
        <v>2030</v>
      </c>
      <c r="R786" s="174">
        <v>2038</v>
      </c>
      <c r="S786" s="103">
        <v>3900000000</v>
      </c>
      <c r="T786" s="91" t="s">
        <v>3274</v>
      </c>
      <c r="U786" s="104">
        <f>_xlfn.IFNA(S786/INDEX('Exchange Rates'!$C$7:$F$14,MATCH('MAIN DATA, Orders'!F786,'Exchange Rates'!$B$7:$B$14,0),MATCH('MAIN DATA, Orders'!T786,'Exchange Rates'!$C$6:$F$6,0)), "-")</f>
        <v>919876406.3495059</v>
      </c>
      <c r="V786" s="6" t="s">
        <v>127</v>
      </c>
      <c r="W786" s="6" t="s">
        <v>127</v>
      </c>
      <c r="X786" s="6" t="s">
        <v>3272</v>
      </c>
      <c r="Y786" s="24">
        <f t="shared" si="189"/>
        <v>202509</v>
      </c>
      <c r="Z786" s="24">
        <v>1</v>
      </c>
      <c r="AA786" s="24">
        <v>1</v>
      </c>
      <c r="AB786" s="24">
        <v>0</v>
      </c>
      <c r="AC786" s="24">
        <v>1</v>
      </c>
      <c r="AD786" s="180">
        <v>0</v>
      </c>
      <c r="AE786" s="180">
        <v>0</v>
      </c>
      <c r="AF786" s="180">
        <v>0</v>
      </c>
      <c r="AG786" s="102" t="s">
        <v>3909</v>
      </c>
      <c r="AH786" s="6" t="s">
        <v>3272</v>
      </c>
      <c r="AI786" s="6" t="s">
        <v>3272</v>
      </c>
      <c r="AJ786" s="6" t="s">
        <v>127</v>
      </c>
      <c r="AK786" s="6" t="s">
        <v>127</v>
      </c>
      <c r="AL786" s="6" t="s">
        <v>127</v>
      </c>
      <c r="AM786" s="6" t="s">
        <v>127</v>
      </c>
      <c r="AN786" s="6" t="s">
        <v>127</v>
      </c>
      <c r="AO786" s="6" t="s">
        <v>127</v>
      </c>
      <c r="AP786" s="6" t="s">
        <v>127</v>
      </c>
      <c r="AQ786" s="6" t="s">
        <v>127</v>
      </c>
      <c r="AR786" s="6" t="s">
        <v>127</v>
      </c>
      <c r="AS786" s="6" t="s">
        <v>127</v>
      </c>
      <c r="AT786" s="6" t="s">
        <v>127</v>
      </c>
      <c r="AU786" s="6" t="s">
        <v>127</v>
      </c>
      <c r="AV786" s="6" t="s">
        <v>127</v>
      </c>
      <c r="AW786" s="6" t="s">
        <v>127</v>
      </c>
      <c r="AX786" s="6" t="s">
        <v>127</v>
      </c>
      <c r="AY786" s="153" t="s">
        <v>3910</v>
      </c>
      <c r="AZ786" s="153" t="s">
        <v>3911</v>
      </c>
      <c r="BA786" s="172" t="s">
        <v>127</v>
      </c>
      <c r="BB786" s="6" t="s">
        <v>3912</v>
      </c>
      <c r="BC786" s="6" t="s">
        <v>3913</v>
      </c>
      <c r="BD786" s="6" t="s">
        <v>127</v>
      </c>
    </row>
    <row r="787" spans="1:57" ht="16" x14ac:dyDescent="0.4">
      <c r="A787" s="92" t="s">
        <v>3914</v>
      </c>
      <c r="B787" s="92" t="s">
        <v>3914</v>
      </c>
      <c r="C787" s="6" t="s">
        <v>127</v>
      </c>
      <c r="D787" s="6" t="s">
        <v>3272</v>
      </c>
      <c r="E787" s="192">
        <v>45902</v>
      </c>
      <c r="F787" s="6">
        <v>2025</v>
      </c>
      <c r="G787" s="6" t="s">
        <v>3915</v>
      </c>
      <c r="H787" s="22" t="str">
        <f>VLOOKUP($G787,'Item Classification'!B:C,2,0)</f>
        <v>Small Arms and Light Weapons (SALW)</v>
      </c>
      <c r="I787" s="6" t="str">
        <f>VLOOKUP($G787,'Item Classification'!B:D,3,0)</f>
        <v>Infantry</v>
      </c>
      <c r="J787" s="23">
        <f>VLOOKUP($G787,'Item Classification'!B:E,4,0)</f>
        <v>8</v>
      </c>
      <c r="K787" s="196" t="s">
        <v>763</v>
      </c>
      <c r="L787" s="10" t="s">
        <v>764</v>
      </c>
      <c r="M787" s="116" t="str">
        <f>VLOOKUP(L787,'NATO Classifications'!$D$6:$E$647,2,0)</f>
        <v>Guns below 75mm</v>
      </c>
      <c r="N787" s="25">
        <v>23000</v>
      </c>
      <c r="O787" s="81"/>
      <c r="P787" s="81"/>
      <c r="Q787" s="91"/>
      <c r="R787" s="104"/>
      <c r="S787" s="103"/>
      <c r="T787" s="91" t="s">
        <v>3274</v>
      </c>
      <c r="U787" s="104">
        <f>_xlfn.IFNA(S787/INDEX('Exchange Rates'!$C$7:$F$14,MATCH('MAIN DATA, Orders'!F787,'Exchange Rates'!$B$7:$B$14,0),MATCH('MAIN DATA, Orders'!T787,'Exchange Rates'!$C$6:$F$6,0)), "-")</f>
        <v>0</v>
      </c>
      <c r="V787" s="6" t="s">
        <v>127</v>
      </c>
      <c r="W787" s="6" t="s">
        <v>127</v>
      </c>
      <c r="X787" s="6" t="s">
        <v>3272</v>
      </c>
      <c r="Y787" s="24">
        <f t="shared" si="189"/>
        <v>202509</v>
      </c>
      <c r="Z787" s="24">
        <v>0</v>
      </c>
      <c r="AA787" s="24">
        <v>0</v>
      </c>
      <c r="AB787" s="24">
        <v>0</v>
      </c>
      <c r="AC787" s="24">
        <v>1</v>
      </c>
      <c r="AD787" s="180">
        <v>0</v>
      </c>
      <c r="AE787" s="180">
        <v>0</v>
      </c>
      <c r="AF787" s="180">
        <v>0</v>
      </c>
      <c r="AG787" s="102" t="s">
        <v>3575</v>
      </c>
      <c r="AH787" s="6" t="s">
        <v>3272</v>
      </c>
      <c r="AI787" s="6" t="s">
        <v>3272</v>
      </c>
      <c r="AJ787" s="6" t="s">
        <v>127</v>
      </c>
      <c r="AK787" s="6" t="s">
        <v>127</v>
      </c>
      <c r="AL787" s="6" t="s">
        <v>127</v>
      </c>
      <c r="AM787" s="6" t="s">
        <v>127</v>
      </c>
      <c r="AN787" s="6" t="s">
        <v>127</v>
      </c>
      <c r="AO787" s="6" t="s">
        <v>127</v>
      </c>
      <c r="AP787" s="6" t="s">
        <v>127</v>
      </c>
      <c r="AQ787" s="6" t="s">
        <v>127</v>
      </c>
      <c r="AR787" s="6" t="s">
        <v>127</v>
      </c>
      <c r="AS787" s="6" t="s">
        <v>127</v>
      </c>
      <c r="AT787" s="6" t="s">
        <v>127</v>
      </c>
      <c r="AU787" s="6" t="s">
        <v>127</v>
      </c>
      <c r="AV787" s="6" t="s">
        <v>127</v>
      </c>
      <c r="AW787" s="6" t="s">
        <v>127</v>
      </c>
      <c r="AX787" s="6" t="s">
        <v>127</v>
      </c>
      <c r="AY787" s="99" t="s">
        <v>3910</v>
      </c>
      <c r="AZ787" s="153" t="s">
        <v>3911</v>
      </c>
      <c r="BA787" s="6" t="s">
        <v>127</v>
      </c>
      <c r="BB787" s="6" t="s">
        <v>3916</v>
      </c>
      <c r="BC787" s="6" t="s">
        <v>127</v>
      </c>
    </row>
    <row r="788" spans="1:57" ht="16" x14ac:dyDescent="0.4">
      <c r="A788" s="92" t="s">
        <v>3917</v>
      </c>
      <c r="B788" s="92" t="s">
        <v>3917</v>
      </c>
      <c r="D788" s="6" t="s">
        <v>3272</v>
      </c>
      <c r="E788" s="192">
        <v>45902</v>
      </c>
      <c r="F788" s="6">
        <v>2025</v>
      </c>
      <c r="G788" s="6" t="s">
        <v>3918</v>
      </c>
      <c r="H788" s="22" t="str">
        <f>VLOOKUP($G788,'Item Classification'!B:C,2,0)</f>
        <v>Industrial company investment</v>
      </c>
      <c r="I788" s="6" t="str">
        <f>VLOOKUP($G788,'Item Classification'!B:D,3,0)</f>
        <v>Other</v>
      </c>
      <c r="J788" s="23">
        <f>VLOOKUP($G788,'Item Classification'!B:E,4,0)</f>
        <v>16</v>
      </c>
      <c r="K788" s="196" t="s">
        <v>3919</v>
      </c>
      <c r="L788" s="10" t="s">
        <v>3920</v>
      </c>
      <c r="M788" s="116" t="str">
        <f>VLOOKUP(L788,'NATO Classifications'!$D$6:$E$647,2,0)</f>
        <v>Specialized Ammunition and Ordnance Machinery and Related Equipment</v>
      </c>
      <c r="N788" s="25"/>
      <c r="O788" s="81"/>
      <c r="P788" s="81"/>
      <c r="Q788" s="91"/>
      <c r="R788" s="104"/>
      <c r="S788" s="103"/>
      <c r="T788" s="91" t="s">
        <v>3274</v>
      </c>
      <c r="U788" s="104">
        <f>_xlfn.IFNA(S788/INDEX('Exchange Rates'!$C$7:$F$14,MATCH('MAIN DATA, Orders'!F788,'Exchange Rates'!$B$7:$B$14,0),MATCH('MAIN DATA, Orders'!T788,'Exchange Rates'!$C$6:$F$6,0)), "-")</f>
        <v>0</v>
      </c>
      <c r="V788" s="6" t="s">
        <v>127</v>
      </c>
      <c r="W788" s="6" t="s">
        <v>127</v>
      </c>
      <c r="X788" s="6" t="s">
        <v>3272</v>
      </c>
      <c r="Y788" s="24">
        <f t="shared" si="189"/>
        <v>202509</v>
      </c>
      <c r="Z788" s="24">
        <v>1</v>
      </c>
      <c r="AA788" s="24">
        <v>0</v>
      </c>
      <c r="AB788" s="24">
        <v>0</v>
      </c>
      <c r="AC788" s="24">
        <v>1</v>
      </c>
      <c r="AD788" s="180">
        <v>0</v>
      </c>
      <c r="AE788" s="180">
        <v>1</v>
      </c>
      <c r="AF788" s="180">
        <v>1</v>
      </c>
      <c r="AG788" s="102" t="s">
        <v>3649</v>
      </c>
      <c r="AH788" s="6" t="s">
        <v>3272</v>
      </c>
      <c r="AI788" s="6" t="s">
        <v>3272</v>
      </c>
      <c r="AJ788" s="6" t="s">
        <v>3921</v>
      </c>
      <c r="AK788" s="6" t="s">
        <v>127</v>
      </c>
      <c r="AL788" s="6" t="s">
        <v>127</v>
      </c>
      <c r="AM788" s="6" t="s">
        <v>127</v>
      </c>
      <c r="AN788" s="6" t="s">
        <v>3517</v>
      </c>
      <c r="AO788" s="6" t="s">
        <v>127</v>
      </c>
      <c r="AP788" s="6" t="s">
        <v>127</v>
      </c>
      <c r="AQ788" s="6" t="s">
        <v>127</v>
      </c>
      <c r="AR788" s="6" t="s">
        <v>127</v>
      </c>
      <c r="AS788" s="6" t="s">
        <v>127</v>
      </c>
      <c r="AT788" s="6" t="s">
        <v>127</v>
      </c>
      <c r="AU788" s="6" t="s">
        <v>127</v>
      </c>
      <c r="AV788" s="6" t="s">
        <v>127</v>
      </c>
      <c r="AW788" s="6" t="s">
        <v>127</v>
      </c>
      <c r="AX788" s="6" t="s">
        <v>127</v>
      </c>
      <c r="AY788" s="99" t="s">
        <v>3910</v>
      </c>
      <c r="AZ788" s="6" t="s">
        <v>127</v>
      </c>
      <c r="BA788" s="6" t="s">
        <v>127</v>
      </c>
      <c r="BB788" s="6" t="s">
        <v>3922</v>
      </c>
      <c r="BC788" s="6" t="s">
        <v>127</v>
      </c>
    </row>
    <row r="789" spans="1:57" ht="16" x14ac:dyDescent="0.4">
      <c r="A789" s="92" t="s">
        <v>3923</v>
      </c>
      <c r="B789" s="92" t="s">
        <v>3923</v>
      </c>
      <c r="C789" s="6" t="s">
        <v>3849</v>
      </c>
      <c r="D789" s="6" t="s">
        <v>3272</v>
      </c>
      <c r="E789" s="192">
        <v>45924</v>
      </c>
      <c r="F789" s="6">
        <v>2025</v>
      </c>
      <c r="G789" s="6" t="s">
        <v>3924</v>
      </c>
      <c r="H789" s="22" t="str">
        <f>VLOOKUP($G789,'Item Classification'!B:C,2,0)</f>
        <v>Communication and digitalisation</v>
      </c>
      <c r="I789" s="6" t="str">
        <f>VLOOKUP($G789,'Item Classification'!B:D,3,0)</f>
        <v>Modernisation</v>
      </c>
      <c r="J789" s="23">
        <f>VLOOKUP($G789,'Item Classification'!B:E,4,0)</f>
        <v>13</v>
      </c>
      <c r="K789" s="196" t="s">
        <v>158</v>
      </c>
      <c r="L789" s="10" t="s">
        <v>567</v>
      </c>
      <c r="M789" s="116" t="str">
        <f>VLOOKUP(L789,'NATO Classifications'!$D$6:$E$647,2,0)</f>
        <v>Communication, Detection, and Coherent Radiation Equipment (other)</v>
      </c>
      <c r="N789" s="25">
        <v>56</v>
      </c>
      <c r="O789" s="81">
        <f>S789/N789</f>
        <v>37321428.571428575</v>
      </c>
      <c r="P789" s="81">
        <f>U789/N789</f>
        <v>8802846.5625937153</v>
      </c>
      <c r="Q789" s="25">
        <v>2027</v>
      </c>
      <c r="R789" s="174">
        <v>2030</v>
      </c>
      <c r="S789" s="103">
        <v>2090000000</v>
      </c>
      <c r="T789" s="91" t="s">
        <v>3274</v>
      </c>
      <c r="U789" s="104">
        <f>_xlfn.IFNA(S789/INDEX('Exchange Rates'!$C$7:$F$14,MATCH('MAIN DATA, Orders'!F789,'Exchange Rates'!$B$7:$B$14,0),MATCH('MAIN DATA, Orders'!T789,'Exchange Rates'!$C$6:$F$6,0)), "-")</f>
        <v>492959407.50524801</v>
      </c>
      <c r="V789" s="6" t="s">
        <v>127</v>
      </c>
      <c r="W789" s="6" t="s">
        <v>127</v>
      </c>
      <c r="X789" s="6" t="s">
        <v>3272</v>
      </c>
      <c r="Y789" s="24">
        <f t="shared" si="189"/>
        <v>202509</v>
      </c>
      <c r="Z789" s="24">
        <v>0</v>
      </c>
      <c r="AA789" s="24">
        <v>0</v>
      </c>
      <c r="AB789" s="24">
        <v>0</v>
      </c>
      <c r="AC789" s="24">
        <v>1</v>
      </c>
      <c r="AD789" s="180">
        <v>0</v>
      </c>
      <c r="AE789" s="180">
        <v>0</v>
      </c>
      <c r="AF789" s="180">
        <v>0</v>
      </c>
      <c r="AG789" s="102" t="s">
        <v>3925</v>
      </c>
      <c r="AH789" s="6" t="s">
        <v>3272</v>
      </c>
      <c r="AI789" s="6" t="s">
        <v>3272</v>
      </c>
      <c r="AJ789" s="6" t="s">
        <v>127</v>
      </c>
      <c r="AK789" s="6" t="s">
        <v>127</v>
      </c>
      <c r="AL789" s="6" t="s">
        <v>127</v>
      </c>
      <c r="AM789" s="6" t="s">
        <v>127</v>
      </c>
      <c r="AN789" s="6" t="s">
        <v>127</v>
      </c>
      <c r="AO789" s="6" t="s">
        <v>127</v>
      </c>
      <c r="AP789" s="6" t="s">
        <v>127</v>
      </c>
      <c r="AQ789" s="6" t="s">
        <v>127</v>
      </c>
      <c r="AR789" s="6" t="s">
        <v>127</v>
      </c>
      <c r="AS789" s="6" t="s">
        <v>127</v>
      </c>
      <c r="AT789" s="6" t="s">
        <v>127</v>
      </c>
      <c r="AU789" s="6" t="s">
        <v>127</v>
      </c>
      <c r="AV789" s="6" t="s">
        <v>127</v>
      </c>
      <c r="AW789" s="6" t="s">
        <v>127</v>
      </c>
      <c r="AX789" s="6" t="s">
        <v>127</v>
      </c>
      <c r="AY789" s="99" t="s">
        <v>3926</v>
      </c>
      <c r="AZ789" s="6" t="s">
        <v>127</v>
      </c>
      <c r="BA789" s="6" t="s">
        <v>127</v>
      </c>
      <c r="BB789" s="6" t="s">
        <v>3927</v>
      </c>
      <c r="BC789" s="6" t="s">
        <v>127</v>
      </c>
    </row>
    <row r="790" spans="1:57" ht="16" x14ac:dyDescent="0.4">
      <c r="A790" s="92" t="s">
        <v>3928</v>
      </c>
      <c r="B790" s="92" t="s">
        <v>3928</v>
      </c>
      <c r="C790" s="6" t="s">
        <v>127</v>
      </c>
      <c r="D790" s="6" t="s">
        <v>3272</v>
      </c>
      <c r="E790" s="192">
        <v>45925</v>
      </c>
      <c r="F790" s="6">
        <v>2025</v>
      </c>
      <c r="G790" s="6" t="s">
        <v>3929</v>
      </c>
      <c r="H790" s="22" t="str">
        <f>VLOOKUP($G790,'Item Classification'!B:C,2,0)</f>
        <v>Armoured Utility Vehicle (AUV)</v>
      </c>
      <c r="I790" s="6" t="str">
        <f>VLOOKUP($G790,'Item Classification'!B:D,3,0)</f>
        <v>Armoured vehicle</v>
      </c>
      <c r="J790" s="23">
        <f>VLOOKUP($G790,'Item Classification'!B:E,4,0)</f>
        <v>2</v>
      </c>
      <c r="K790" s="196" t="s">
        <v>274</v>
      </c>
      <c r="L790" s="10" t="s">
        <v>493</v>
      </c>
      <c r="M790" s="116" t="str">
        <f>VLOOKUP(L790,'NATO Classifications'!$D$6:$E$647,2,0)</f>
        <v>Combat, Assault, and Tactical Vehicles, Wheeled</v>
      </c>
      <c r="N790" s="25">
        <v>1266</v>
      </c>
      <c r="O790" s="81"/>
      <c r="P790" s="81"/>
      <c r="Q790" s="91"/>
      <c r="R790" s="174">
        <v>2035</v>
      </c>
      <c r="S790" s="103"/>
      <c r="T790" s="91" t="s">
        <v>3274</v>
      </c>
      <c r="U790" s="104">
        <f>_xlfn.IFNA(S790/INDEX('Exchange Rates'!$C$7:$F$14,MATCH('MAIN DATA, Orders'!F790,'Exchange Rates'!$B$7:$B$14,0),MATCH('MAIN DATA, Orders'!T790,'Exchange Rates'!$C$6:$F$6,0)), "-")</f>
        <v>0</v>
      </c>
      <c r="V790" s="6" t="s">
        <v>127</v>
      </c>
      <c r="W790" s="6" t="s">
        <v>127</v>
      </c>
      <c r="X790" s="6" t="s">
        <v>3272</v>
      </c>
      <c r="Y790" s="24">
        <f t="shared" si="189"/>
        <v>202509</v>
      </c>
      <c r="Z790" s="24">
        <v>1</v>
      </c>
      <c r="AA790" s="24">
        <v>0</v>
      </c>
      <c r="AB790" s="24">
        <v>0</v>
      </c>
      <c r="AC790" s="24">
        <v>1</v>
      </c>
      <c r="AD790" s="180">
        <v>0</v>
      </c>
      <c r="AE790" s="180">
        <v>0</v>
      </c>
      <c r="AF790" s="180">
        <v>0</v>
      </c>
      <c r="AG790" s="102" t="s">
        <v>3509</v>
      </c>
      <c r="AH790" s="6" t="s">
        <v>3272</v>
      </c>
      <c r="AI790" s="6" t="s">
        <v>3272</v>
      </c>
      <c r="AJ790" s="6" t="s">
        <v>3930</v>
      </c>
      <c r="AK790" s="6" t="s">
        <v>127</v>
      </c>
      <c r="AL790" s="6" t="s">
        <v>127</v>
      </c>
      <c r="AM790" s="6" t="s">
        <v>127</v>
      </c>
      <c r="AN790" s="6" t="s">
        <v>127</v>
      </c>
      <c r="AO790" s="6" t="s">
        <v>127</v>
      </c>
      <c r="AP790" s="6" t="s">
        <v>127</v>
      </c>
      <c r="AQ790" s="6" t="s">
        <v>127</v>
      </c>
      <c r="AR790" s="6" t="s">
        <v>127</v>
      </c>
      <c r="AS790" s="6" t="s">
        <v>127</v>
      </c>
      <c r="AT790" s="6" t="s">
        <v>127</v>
      </c>
      <c r="AU790" s="6" t="s">
        <v>127</v>
      </c>
      <c r="AV790" s="6" t="s">
        <v>127</v>
      </c>
      <c r="AW790" s="6" t="s">
        <v>127</v>
      </c>
      <c r="AX790" s="6" t="s">
        <v>127</v>
      </c>
      <c r="AY790" s="99" t="s">
        <v>3931</v>
      </c>
      <c r="AZ790" s="6" t="s">
        <v>127</v>
      </c>
      <c r="BA790" s="6" t="s">
        <v>127</v>
      </c>
      <c r="BB790" s="6" t="s">
        <v>3932</v>
      </c>
      <c r="BC790" s="6" t="s">
        <v>127</v>
      </c>
    </row>
    <row r="791" spans="1:57" ht="16" x14ac:dyDescent="0.4">
      <c r="A791" s="92" t="s">
        <v>3933</v>
      </c>
      <c r="B791" s="92" t="s">
        <v>3933</v>
      </c>
      <c r="C791" s="6" t="s">
        <v>127</v>
      </c>
      <c r="D791" s="6" t="s">
        <v>3272</v>
      </c>
      <c r="E791" s="192">
        <v>45933</v>
      </c>
      <c r="F791" s="6">
        <v>2025</v>
      </c>
      <c r="G791" s="6" t="s">
        <v>3934</v>
      </c>
      <c r="H791" s="22" t="str">
        <f>VLOOKUP($G791,'Item Classification'!B:C,2,0)</f>
        <v>Fuel logistics</v>
      </c>
      <c r="I791" s="6" t="str">
        <f>VLOOKUP($G791,'Item Classification'!B:D,3,0)</f>
        <v>Other</v>
      </c>
      <c r="J791" s="23">
        <f>VLOOKUP($G791,'Item Classification'!B:E,4,0)</f>
        <v>16</v>
      </c>
      <c r="K791" s="196" t="s">
        <v>229</v>
      </c>
      <c r="L791" s="10" t="s">
        <v>230</v>
      </c>
      <c r="M791" s="116" t="str">
        <f>VLOOKUP(L791,'NATO Classifications'!$D$6:$E$647,2,0)</f>
        <v>Miscellaneous Items</v>
      </c>
      <c r="N791" s="25"/>
      <c r="O791" s="81"/>
      <c r="P791" s="81"/>
      <c r="Q791" s="91"/>
      <c r="R791" s="104"/>
      <c r="S791" s="103">
        <v>20000000000</v>
      </c>
      <c r="T791" s="91" t="s">
        <v>3274</v>
      </c>
      <c r="U791" s="104">
        <f>_xlfn.IFNA(S791/INDEX('Exchange Rates'!$C$7:$F$14,MATCH('MAIN DATA, Orders'!F791,'Exchange Rates'!$B$7:$B$14,0),MATCH('MAIN DATA, Orders'!T791,'Exchange Rates'!$C$6:$F$6,0)), "-")</f>
        <v>4717314904.3564405</v>
      </c>
      <c r="V791" s="6" t="s">
        <v>127</v>
      </c>
      <c r="W791" s="6" t="s">
        <v>127</v>
      </c>
      <c r="X791" s="6" t="s">
        <v>3272</v>
      </c>
      <c r="Y791" s="24">
        <f t="shared" si="189"/>
        <v>202510</v>
      </c>
      <c r="Z791" s="24">
        <v>0</v>
      </c>
      <c r="AA791" s="24">
        <v>0</v>
      </c>
      <c r="AB791" s="24">
        <v>0</v>
      </c>
      <c r="AC791" s="24">
        <v>0</v>
      </c>
      <c r="AD791" s="180">
        <v>0</v>
      </c>
      <c r="AE791" s="180">
        <v>0</v>
      </c>
      <c r="AF791" s="180">
        <v>0</v>
      </c>
      <c r="AG791" s="102" t="s">
        <v>3935</v>
      </c>
      <c r="AH791" s="6" t="s">
        <v>3272</v>
      </c>
      <c r="AI791" s="6" t="s">
        <v>3272</v>
      </c>
      <c r="AJ791" s="6" t="s">
        <v>127</v>
      </c>
      <c r="AK791" s="6" t="s">
        <v>127</v>
      </c>
      <c r="AL791" s="6" t="s">
        <v>127</v>
      </c>
      <c r="AM791" s="6" t="s">
        <v>127</v>
      </c>
      <c r="AN791" s="6" t="s">
        <v>127</v>
      </c>
      <c r="AO791" s="6" t="s">
        <v>127</v>
      </c>
      <c r="AP791" s="6" t="s">
        <v>127</v>
      </c>
      <c r="AQ791" s="6" t="s">
        <v>127</v>
      </c>
      <c r="AR791" s="6" t="s">
        <v>127</v>
      </c>
      <c r="AS791" s="6" t="s">
        <v>127</v>
      </c>
      <c r="AT791" s="6" t="s">
        <v>127</v>
      </c>
      <c r="AU791" s="6" t="s">
        <v>127</v>
      </c>
      <c r="AV791" s="6" t="s">
        <v>127</v>
      </c>
      <c r="AW791" s="6" t="s">
        <v>127</v>
      </c>
      <c r="AX791" s="6" t="s">
        <v>127</v>
      </c>
      <c r="AY791" s="99" t="s">
        <v>3936</v>
      </c>
      <c r="AZ791" s="96" t="s">
        <v>3937</v>
      </c>
      <c r="BA791" s="6" t="s">
        <v>127</v>
      </c>
      <c r="BB791" s="6" t="s">
        <v>3938</v>
      </c>
      <c r="BC791" s="6" t="s">
        <v>3939</v>
      </c>
      <c r="BD791" s="6" t="s">
        <v>127</v>
      </c>
    </row>
    <row r="792" spans="1:57" ht="16" x14ac:dyDescent="0.4">
      <c r="A792" s="92" t="s">
        <v>3940</v>
      </c>
      <c r="B792" s="92" t="s">
        <v>3940</v>
      </c>
      <c r="C792" s="6" t="s">
        <v>127</v>
      </c>
      <c r="D792" s="6" t="s">
        <v>3272</v>
      </c>
      <c r="E792" s="192">
        <v>45987</v>
      </c>
      <c r="F792" s="6">
        <v>2025</v>
      </c>
      <c r="G792" s="6" t="s">
        <v>3941</v>
      </c>
      <c r="H792" s="22" t="str">
        <f>VLOOKUP($G792,'Item Classification'!B:C,2,0)</f>
        <v>Submarine</v>
      </c>
      <c r="I792" s="6" t="str">
        <f>VLOOKUP($G792,'Item Classification'!B:D,3,0)</f>
        <v>Naval</v>
      </c>
      <c r="J792" s="23">
        <f>VLOOKUP($G792,'Item Classification'!B:E,4,0)</f>
        <v>12</v>
      </c>
      <c r="K792" s="196" t="s">
        <v>143</v>
      </c>
      <c r="L792" s="10" t="s">
        <v>144</v>
      </c>
      <c r="M792" s="116" t="str">
        <f>VLOOKUP(L792,'NATO Classifications'!$D$6:$E$647,2,0)</f>
        <v>Combat Ships and Landing Vessels</v>
      </c>
      <c r="N792" s="25">
        <v>3</v>
      </c>
      <c r="O792" s="81">
        <f>S792/N792</f>
        <v>3333333333.3333335</v>
      </c>
      <c r="P792" s="81">
        <f>U792/N792</f>
        <v>786219150.72607338</v>
      </c>
      <c r="Q792" s="91"/>
      <c r="R792" s="104"/>
      <c r="S792" s="103">
        <v>10000000000</v>
      </c>
      <c r="T792" s="91" t="s">
        <v>3274</v>
      </c>
      <c r="U792" s="104">
        <f>_xlfn.IFNA(S792/INDEX('Exchange Rates'!$C$7:$F$14,MATCH('MAIN DATA, Orders'!F792,'Exchange Rates'!$B$7:$B$14,0),MATCH('MAIN DATA, Orders'!T792,'Exchange Rates'!$C$6:$F$6,0)), "-")</f>
        <v>2358657452.1782203</v>
      </c>
      <c r="V792" s="6" t="s">
        <v>127</v>
      </c>
      <c r="W792" s="6" t="s">
        <v>127</v>
      </c>
      <c r="X792" s="6" t="s">
        <v>3272</v>
      </c>
      <c r="Y792" s="24">
        <f t="shared" si="189"/>
        <v>202511</v>
      </c>
      <c r="Z792" s="24">
        <v>0</v>
      </c>
      <c r="AA792" s="24">
        <v>0</v>
      </c>
      <c r="AB792" s="24">
        <v>0</v>
      </c>
      <c r="AC792" s="24">
        <v>1</v>
      </c>
      <c r="AD792" s="180">
        <v>0</v>
      </c>
      <c r="AE792" s="180">
        <v>0</v>
      </c>
      <c r="AF792" s="180">
        <v>1</v>
      </c>
      <c r="AG792" s="102" t="s">
        <v>212</v>
      </c>
      <c r="AH792" s="6" t="s">
        <v>213</v>
      </c>
      <c r="AI792" s="6" t="s">
        <v>213</v>
      </c>
      <c r="AJ792" s="6" t="s">
        <v>127</v>
      </c>
      <c r="AK792" s="6" t="s">
        <v>127</v>
      </c>
      <c r="AL792" s="6" t="s">
        <v>127</v>
      </c>
      <c r="AM792" s="6" t="s">
        <v>127</v>
      </c>
      <c r="AN792" s="6" t="s">
        <v>127</v>
      </c>
      <c r="AO792" s="6" t="s">
        <v>127</v>
      </c>
      <c r="AP792" s="6" t="s">
        <v>127</v>
      </c>
      <c r="AQ792" s="6" t="s">
        <v>127</v>
      </c>
      <c r="AR792" s="6" t="s">
        <v>127</v>
      </c>
      <c r="AS792" s="6" t="s">
        <v>127</v>
      </c>
      <c r="AT792" s="6" t="s">
        <v>127</v>
      </c>
      <c r="AU792" s="6" t="s">
        <v>127</v>
      </c>
      <c r="AV792" s="6" t="s">
        <v>127</v>
      </c>
      <c r="AW792" s="6" t="s">
        <v>127</v>
      </c>
      <c r="AX792" s="6" t="s">
        <v>127</v>
      </c>
      <c r="AY792" s="96" t="s">
        <v>3942</v>
      </c>
      <c r="AZ792" s="96" t="s">
        <v>3943</v>
      </c>
      <c r="BA792" s="6" t="s">
        <v>127</v>
      </c>
      <c r="BB792" s="6" t="s">
        <v>3944</v>
      </c>
      <c r="BC792" s="6" t="s">
        <v>3945</v>
      </c>
      <c r="BD792" s="6" t="s">
        <v>127</v>
      </c>
    </row>
    <row r="793" spans="1:57" ht="16" x14ac:dyDescent="0.4">
      <c r="A793" s="92" t="s">
        <v>3946</v>
      </c>
      <c r="B793" s="92" t="s">
        <v>3946</v>
      </c>
      <c r="C793" s="6" t="s">
        <v>127</v>
      </c>
      <c r="D793" s="6" t="s">
        <v>3272</v>
      </c>
      <c r="E793" s="192">
        <v>45988</v>
      </c>
      <c r="F793" s="6">
        <v>2025</v>
      </c>
      <c r="G793" s="6" t="s">
        <v>1254</v>
      </c>
      <c r="H793" s="22" t="str">
        <f>VLOOKUP($G793,'Item Classification'!B:C,2,0)</f>
        <v>Air-to-air missile (AAM)</v>
      </c>
      <c r="I793" s="6" t="str">
        <f>VLOOKUP($G793,'Item Classification'!B:D,3,0)</f>
        <v>Missile (Air)</v>
      </c>
      <c r="J793" s="23">
        <f>VLOOKUP($G793,'Item Classification'!B:E,4,0)</f>
        <v>6</v>
      </c>
      <c r="K793" s="196" t="s">
        <v>211</v>
      </c>
      <c r="L793" s="10" t="s">
        <v>211</v>
      </c>
      <c r="M793" s="116" t="str">
        <f>VLOOKUP(L793,'NATO Classifications'!$D$6:$E$647,2,0)</f>
        <v>Guided Missiles</v>
      </c>
      <c r="N793" s="25"/>
      <c r="O793" s="25"/>
      <c r="P793" s="103"/>
      <c r="Q793" s="25">
        <v>2030</v>
      </c>
      <c r="R793" s="174">
        <v>2031</v>
      </c>
      <c r="S793" s="103">
        <v>500000000</v>
      </c>
      <c r="T793" s="115" t="s">
        <v>3284</v>
      </c>
      <c r="U793" s="104">
        <f>_xlfn.IFNA(S793/INDEX('Exchange Rates'!$C$7:$F$14,MATCH('MAIN DATA, Orders'!F793,'Exchange Rates'!$B$7:$B$14,0),MATCH('MAIN DATA, Orders'!T793,'Exchange Rates'!$C$6:$F$6,0)), "-")</f>
        <v>442477876.10619473</v>
      </c>
      <c r="V793" s="6" t="s">
        <v>127</v>
      </c>
      <c r="W793" s="6" t="s">
        <v>127</v>
      </c>
      <c r="X793" s="6" t="s">
        <v>3272</v>
      </c>
      <c r="Y793" s="24">
        <f t="shared" si="189"/>
        <v>202511</v>
      </c>
      <c r="Z793" s="24">
        <v>1</v>
      </c>
      <c r="AA793" s="24">
        <v>0</v>
      </c>
      <c r="AB793" s="24">
        <v>0</v>
      </c>
      <c r="AC793" s="24">
        <v>0</v>
      </c>
      <c r="AD793" s="180">
        <v>0</v>
      </c>
      <c r="AE793" s="180">
        <v>0</v>
      </c>
      <c r="AF793" s="180">
        <v>1</v>
      </c>
      <c r="AG793" s="102" t="s">
        <v>718</v>
      </c>
      <c r="AH793" s="6" t="s">
        <v>196</v>
      </c>
      <c r="AI793" s="6" t="s">
        <v>196</v>
      </c>
      <c r="AJ793" s="6" t="s">
        <v>127</v>
      </c>
      <c r="AK793" s="6" t="s">
        <v>127</v>
      </c>
      <c r="AL793" s="6" t="s">
        <v>127</v>
      </c>
      <c r="AM793" s="6" t="s">
        <v>127</v>
      </c>
      <c r="AN793" s="6" t="s">
        <v>127</v>
      </c>
      <c r="AO793" s="6" t="s">
        <v>127</v>
      </c>
      <c r="AP793" s="6" t="s">
        <v>127</v>
      </c>
      <c r="AQ793" s="6" t="s">
        <v>127</v>
      </c>
      <c r="AR793" s="6" t="s">
        <v>127</v>
      </c>
      <c r="AS793" s="6" t="s">
        <v>127</v>
      </c>
      <c r="AT793" s="6" t="s">
        <v>127</v>
      </c>
      <c r="AU793" s="6" t="s">
        <v>127</v>
      </c>
      <c r="AV793" s="6" t="s">
        <v>127</v>
      </c>
      <c r="AW793" s="6" t="s">
        <v>127</v>
      </c>
      <c r="AX793" s="6" t="s">
        <v>127</v>
      </c>
      <c r="AY793" s="99" t="s">
        <v>3942</v>
      </c>
      <c r="AZ793" s="6" t="s">
        <v>127</v>
      </c>
      <c r="BA793" s="6" t="s">
        <v>127</v>
      </c>
      <c r="BB793" s="6" t="s">
        <v>3947</v>
      </c>
      <c r="BC793" s="6" t="s">
        <v>127</v>
      </c>
    </row>
    <row r="794" spans="1:57" ht="16" x14ac:dyDescent="0.4">
      <c r="A794" s="92" t="s">
        <v>3948</v>
      </c>
      <c r="B794" s="92" t="s">
        <v>3948</v>
      </c>
      <c r="C794" s="6" t="s">
        <v>127</v>
      </c>
      <c r="D794" s="6" t="s">
        <v>3272</v>
      </c>
      <c r="E794" s="192">
        <v>46010</v>
      </c>
      <c r="F794" s="6">
        <v>2025</v>
      </c>
      <c r="G794" s="6" t="s">
        <v>3949</v>
      </c>
      <c r="H794" s="22" t="str">
        <f>VLOOKUP($G794,'Item Classification'!B:C,2,0)</f>
        <v>Communication and digitalisation</v>
      </c>
      <c r="I794" s="6" t="str">
        <f>VLOOKUP($G794,'Item Classification'!B:D,3,0)</f>
        <v>Modernisation</v>
      </c>
      <c r="J794" s="23">
        <f>VLOOKUP($G794,'Item Classification'!B:E,4,0)</f>
        <v>13</v>
      </c>
      <c r="K794" s="196" t="s">
        <v>158</v>
      </c>
      <c r="L794" s="10" t="s">
        <v>379</v>
      </c>
      <c r="M794" s="116" t="str">
        <f>VLOOKUP(L794,'NATO Classifications'!$D$6:$E$647,2,0)</f>
        <v>Communication, Detection, and Coherent Radiation Equipment (other)</v>
      </c>
      <c r="N794" s="25"/>
      <c r="O794" s="25"/>
      <c r="P794" s="103"/>
      <c r="Q794" s="91"/>
      <c r="R794" s="104"/>
      <c r="S794" s="103"/>
      <c r="T794" s="91" t="s">
        <v>3274</v>
      </c>
      <c r="U794" s="104">
        <f>_xlfn.IFNA(S794/INDEX('Exchange Rates'!$C$7:$F$14,MATCH('MAIN DATA, Orders'!F794,'Exchange Rates'!$B$7:$B$14,0),MATCH('MAIN DATA, Orders'!T794,'Exchange Rates'!$C$6:$F$6,0)), "-")</f>
        <v>0</v>
      </c>
      <c r="V794" s="6" t="s">
        <v>127</v>
      </c>
      <c r="W794" s="6" t="s">
        <v>127</v>
      </c>
      <c r="X794" s="6" t="s">
        <v>3272</v>
      </c>
      <c r="Y794" s="24">
        <f t="shared" si="189"/>
        <v>202512</v>
      </c>
      <c r="Z794" s="24">
        <v>0</v>
      </c>
      <c r="AA794" s="24">
        <v>0</v>
      </c>
      <c r="AB794" s="24">
        <v>0</v>
      </c>
      <c r="AC794" s="24">
        <v>1</v>
      </c>
      <c r="AD794" s="180">
        <v>0</v>
      </c>
      <c r="AE794" s="180">
        <v>0</v>
      </c>
      <c r="AF794" s="180">
        <v>1</v>
      </c>
      <c r="AG794" s="102" t="s">
        <v>212</v>
      </c>
      <c r="AH794" s="6" t="s">
        <v>213</v>
      </c>
      <c r="AI794" s="6" t="s">
        <v>213</v>
      </c>
      <c r="AJ794" s="6" t="s">
        <v>127</v>
      </c>
      <c r="AK794" s="6" t="s">
        <v>127</v>
      </c>
      <c r="AL794" s="6" t="s">
        <v>127</v>
      </c>
      <c r="AM794" s="6" t="s">
        <v>127</v>
      </c>
      <c r="AN794" s="6" t="s">
        <v>127</v>
      </c>
      <c r="AO794" s="6" t="s">
        <v>127</v>
      </c>
      <c r="AP794" s="6" t="s">
        <v>127</v>
      </c>
      <c r="AQ794" s="6" t="s">
        <v>127</v>
      </c>
      <c r="AR794" s="6" t="s">
        <v>127</v>
      </c>
      <c r="AS794" s="6" t="s">
        <v>127</v>
      </c>
      <c r="AT794" s="6" t="s">
        <v>127</v>
      </c>
      <c r="AU794" s="6" t="s">
        <v>127</v>
      </c>
      <c r="AV794" s="6" t="s">
        <v>127</v>
      </c>
      <c r="AW794" s="6" t="s">
        <v>127</v>
      </c>
      <c r="AX794" s="6" t="s">
        <v>127</v>
      </c>
      <c r="AY794" s="99" t="s">
        <v>3950</v>
      </c>
      <c r="AZ794" s="6" t="s">
        <v>127</v>
      </c>
      <c r="BA794" s="6" t="s">
        <v>127</v>
      </c>
      <c r="BB794" s="6" t="s">
        <v>3951</v>
      </c>
      <c r="BC794" s="6" t="s">
        <v>127</v>
      </c>
    </row>
    <row r="795" spans="1:57" ht="16" x14ac:dyDescent="0.4">
      <c r="A795" s="92" t="s">
        <v>3952</v>
      </c>
      <c r="B795" s="92" t="s">
        <v>3952</v>
      </c>
      <c r="C795" s="6" t="s">
        <v>127</v>
      </c>
      <c r="D795" s="6" t="s">
        <v>3272</v>
      </c>
      <c r="E795" s="192">
        <v>46010</v>
      </c>
      <c r="F795" s="6">
        <v>2025</v>
      </c>
      <c r="G795" s="6" t="s">
        <v>3953</v>
      </c>
      <c r="H795" s="22" t="str">
        <f>VLOOKUP($G795,'Item Classification'!B:C,2,0)</f>
        <v>Military equipment</v>
      </c>
      <c r="I795" s="6" t="str">
        <f>VLOOKUP($G795,'Item Classification'!B:D,3,0)</f>
        <v>Other</v>
      </c>
      <c r="J795" s="23">
        <f>VLOOKUP($G795,'Item Classification'!B:E,4,0)</f>
        <v>16</v>
      </c>
      <c r="K795" s="196" t="s">
        <v>158</v>
      </c>
      <c r="L795" s="10" t="s">
        <v>379</v>
      </c>
      <c r="M795" s="116" t="str">
        <f>VLOOKUP(L795,'NATO Classifications'!$D$6:$E$647,2,0)</f>
        <v>Communication, Detection, and Coherent Radiation Equipment (other)</v>
      </c>
      <c r="N795" s="25"/>
      <c r="O795" s="25"/>
      <c r="P795" s="103"/>
      <c r="Q795" s="91"/>
      <c r="R795" s="104"/>
      <c r="S795" s="103"/>
      <c r="T795" s="91" t="s">
        <v>3274</v>
      </c>
      <c r="U795" s="104">
        <f>_xlfn.IFNA(S795/INDEX('Exchange Rates'!$C$7:$F$14,MATCH('MAIN DATA, Orders'!F795,'Exchange Rates'!$B$7:$B$14,0),MATCH('MAIN DATA, Orders'!T795,'Exchange Rates'!$C$6:$F$6,0)), "-")</f>
        <v>0</v>
      </c>
      <c r="V795" s="6" t="s">
        <v>127</v>
      </c>
      <c r="W795" s="6" t="s">
        <v>127</v>
      </c>
      <c r="X795" s="6" t="s">
        <v>3272</v>
      </c>
      <c r="Y795" s="24">
        <f t="shared" si="189"/>
        <v>202512</v>
      </c>
      <c r="Z795" s="24">
        <v>1</v>
      </c>
      <c r="AA795" s="24">
        <v>0</v>
      </c>
      <c r="AB795" s="24">
        <v>0</v>
      </c>
      <c r="AC795" s="24">
        <v>0</v>
      </c>
      <c r="AD795" s="180">
        <v>0</v>
      </c>
      <c r="AE795" s="180">
        <v>0</v>
      </c>
      <c r="AF795" s="180">
        <v>1</v>
      </c>
      <c r="AG795" s="102" t="s">
        <v>3954</v>
      </c>
      <c r="AH795" s="6" t="s">
        <v>855</v>
      </c>
      <c r="AI795" s="6" t="s">
        <v>855</v>
      </c>
      <c r="AJ795" s="6" t="s">
        <v>127</v>
      </c>
      <c r="AK795" s="6" t="s">
        <v>127</v>
      </c>
      <c r="AL795" s="6" t="s">
        <v>127</v>
      </c>
      <c r="AM795" s="6" t="s">
        <v>127</v>
      </c>
      <c r="AN795" s="6" t="s">
        <v>127</v>
      </c>
      <c r="AO795" s="6" t="s">
        <v>127</v>
      </c>
      <c r="AP795" s="6" t="s">
        <v>127</v>
      </c>
      <c r="AQ795" s="6" t="s">
        <v>127</v>
      </c>
      <c r="AR795" s="6" t="s">
        <v>127</v>
      </c>
      <c r="AS795" s="6" t="s">
        <v>127</v>
      </c>
      <c r="AT795" s="6" t="s">
        <v>127</v>
      </c>
      <c r="AU795" s="6" t="s">
        <v>127</v>
      </c>
      <c r="AV795" s="6" t="s">
        <v>127</v>
      </c>
      <c r="AW795" s="6" t="s">
        <v>127</v>
      </c>
      <c r="AX795" s="6" t="s">
        <v>127</v>
      </c>
      <c r="AY795" s="99" t="s">
        <v>3950</v>
      </c>
      <c r="AZ795" s="6" t="s">
        <v>127</v>
      </c>
      <c r="BA795" s="6" t="s">
        <v>127</v>
      </c>
      <c r="BB795" s="6" t="s">
        <v>3955</v>
      </c>
      <c r="BC795" s="6" t="s">
        <v>127</v>
      </c>
    </row>
    <row r="796" spans="1:57" ht="16" x14ac:dyDescent="0.4">
      <c r="A796" s="92" t="s">
        <v>3956</v>
      </c>
      <c r="B796" s="92" t="s">
        <v>3956</v>
      </c>
      <c r="C796" s="6" t="s">
        <v>127</v>
      </c>
      <c r="D796" s="6" t="s">
        <v>3272</v>
      </c>
      <c r="E796" s="192">
        <v>46010</v>
      </c>
      <c r="F796" s="6">
        <v>2025</v>
      </c>
      <c r="G796" s="6" t="s">
        <v>3957</v>
      </c>
      <c r="H796" s="22" t="str">
        <f>VLOOKUP($G796,'Item Classification'!B:C,2,0)</f>
        <v>Tank training simulator</v>
      </c>
      <c r="I796" s="6" t="str">
        <f>VLOOKUP($G796,'Item Classification'!B:D,3,0)</f>
        <v>Other</v>
      </c>
      <c r="J796" s="23">
        <f>VLOOKUP($G796,'Item Classification'!B:E,4,0)</f>
        <v>16</v>
      </c>
      <c r="K796" s="196" t="s">
        <v>941</v>
      </c>
      <c r="L796" s="10" t="s">
        <v>2112</v>
      </c>
      <c r="M796" s="116" t="str">
        <f>VLOOKUP(L796,'NATO Classifications'!$D$6:$E$647,2,0)</f>
        <v>Armament Training Devices</v>
      </c>
      <c r="N796" s="25">
        <v>6</v>
      </c>
      <c r="O796" s="81">
        <f>S796/N796</f>
        <v>16666666.666666666</v>
      </c>
      <c r="P796" s="81">
        <f>U796/N796</f>
        <v>3931095.7536303666</v>
      </c>
      <c r="Q796" s="91"/>
      <c r="R796" s="104"/>
      <c r="S796" s="103">
        <v>100000000</v>
      </c>
      <c r="T796" s="91" t="s">
        <v>3274</v>
      </c>
      <c r="U796" s="104">
        <f>_xlfn.IFNA(S796/INDEX('Exchange Rates'!$C$7:$F$14,MATCH('MAIN DATA, Orders'!F796,'Exchange Rates'!$B$7:$B$14,0),MATCH('MAIN DATA, Orders'!T796,'Exchange Rates'!$C$6:$F$6,0)), "-")</f>
        <v>23586574.521782201</v>
      </c>
      <c r="V796" s="6" t="s">
        <v>127</v>
      </c>
      <c r="W796" s="6" t="s">
        <v>127</v>
      </c>
      <c r="X796" s="6" t="s">
        <v>3272</v>
      </c>
      <c r="Y796" s="24">
        <f t="shared" si="189"/>
        <v>202512</v>
      </c>
      <c r="Z796" s="24">
        <v>0</v>
      </c>
      <c r="AA796" s="24">
        <v>0</v>
      </c>
      <c r="AB796" s="24">
        <v>0</v>
      </c>
      <c r="AC796" s="24">
        <v>1</v>
      </c>
      <c r="AD796" s="180">
        <v>0</v>
      </c>
      <c r="AE796" s="180">
        <v>0</v>
      </c>
      <c r="AF796" s="180">
        <v>0</v>
      </c>
      <c r="AG796" s="6" t="s">
        <v>3958</v>
      </c>
      <c r="AH796" s="6" t="s">
        <v>3272</v>
      </c>
      <c r="AI796" s="6" t="s">
        <v>3272</v>
      </c>
      <c r="AJ796" s="6" t="s">
        <v>127</v>
      </c>
      <c r="AK796" s="6" t="s">
        <v>127</v>
      </c>
      <c r="AL796" s="6" t="s">
        <v>127</v>
      </c>
      <c r="AM796" s="6" t="s">
        <v>127</v>
      </c>
      <c r="AN796" s="6" t="s">
        <v>127</v>
      </c>
      <c r="AO796" s="6" t="s">
        <v>127</v>
      </c>
      <c r="AP796" s="6" t="s">
        <v>127</v>
      </c>
      <c r="AQ796" s="6" t="s">
        <v>127</v>
      </c>
      <c r="AR796" s="6" t="s">
        <v>127</v>
      </c>
      <c r="AS796" s="6" t="s">
        <v>127</v>
      </c>
      <c r="AT796" s="6" t="s">
        <v>127</v>
      </c>
      <c r="AU796" s="6" t="s">
        <v>127</v>
      </c>
      <c r="AV796" s="6" t="s">
        <v>127</v>
      </c>
      <c r="AW796" s="6" t="s">
        <v>127</v>
      </c>
      <c r="AX796" s="6" t="s">
        <v>127</v>
      </c>
      <c r="AY796" s="99" t="s">
        <v>3950</v>
      </c>
      <c r="AZ796" s="6" t="s">
        <v>127</v>
      </c>
      <c r="BA796" s="6" t="s">
        <v>127</v>
      </c>
      <c r="BB796" s="6" t="s">
        <v>3959</v>
      </c>
      <c r="BC796" s="6" t="s">
        <v>127</v>
      </c>
    </row>
    <row r="797" spans="1:57" ht="16" x14ac:dyDescent="0.4">
      <c r="A797" s="92" t="s">
        <v>3960</v>
      </c>
      <c r="B797" s="92" t="s">
        <v>3960</v>
      </c>
      <c r="C797" s="6" t="s">
        <v>127</v>
      </c>
      <c r="D797" s="6" t="s">
        <v>3272</v>
      </c>
      <c r="E797" s="192">
        <v>46020</v>
      </c>
      <c r="F797" s="6">
        <v>2025</v>
      </c>
      <c r="G797" s="6" t="s">
        <v>3961</v>
      </c>
      <c r="H797" s="22" t="str">
        <f>VLOOKUP($G797,'Item Classification'!B:C,2,0)</f>
        <v>Surface-to-surface (SSM) missile</v>
      </c>
      <c r="I797" s="6" t="str">
        <f>VLOOKUP($G797,'Item Classification'!B:D,3,0)</f>
        <v>Missile (Land)</v>
      </c>
      <c r="J797" s="23">
        <f>VLOOKUP($G797,'Item Classification'!B:E,4,0)</f>
        <v>6</v>
      </c>
      <c r="K797" s="196" t="s">
        <v>211</v>
      </c>
      <c r="L797" s="10" t="s">
        <v>211</v>
      </c>
      <c r="M797" s="116" t="str">
        <f>VLOOKUP(L797,'NATO Classifications'!$D$6:$E$647,2,0)</f>
        <v>Guided Missiles</v>
      </c>
      <c r="N797" s="25"/>
      <c r="O797" s="25"/>
      <c r="P797" s="103"/>
      <c r="Q797" s="174">
        <v>2030</v>
      </c>
      <c r="S797" s="103">
        <v>14000000000</v>
      </c>
      <c r="T797" s="91" t="s">
        <v>3274</v>
      </c>
      <c r="U797" s="104">
        <f>_xlfn.IFNA(S797/INDEX('Exchange Rates'!$C$7:$F$14,MATCH('MAIN DATA, Orders'!F797,'Exchange Rates'!$B$7:$B$14,0),MATCH('MAIN DATA, Orders'!T797,'Exchange Rates'!$C$6:$F$6,0)), "-")</f>
        <v>3302120433.0495081</v>
      </c>
      <c r="V797" s="6" t="s">
        <v>127</v>
      </c>
      <c r="W797" s="6" t="s">
        <v>127</v>
      </c>
      <c r="X797" s="6" t="s">
        <v>3272</v>
      </c>
      <c r="Y797" s="24">
        <f t="shared" si="189"/>
        <v>202512</v>
      </c>
      <c r="Z797" s="24">
        <v>1</v>
      </c>
      <c r="AA797" s="24">
        <v>0</v>
      </c>
      <c r="AB797" s="24">
        <v>0</v>
      </c>
      <c r="AC797" s="24">
        <v>1</v>
      </c>
      <c r="AD797" s="180">
        <v>0</v>
      </c>
      <c r="AE797" s="180">
        <v>1</v>
      </c>
      <c r="AF797" s="180">
        <v>1</v>
      </c>
      <c r="AG797" s="6" t="s">
        <v>3962</v>
      </c>
      <c r="AH797" s="6" t="s">
        <v>3272</v>
      </c>
      <c r="AI797" s="6" t="s">
        <v>3272</v>
      </c>
      <c r="AJ797" s="6" t="s">
        <v>3921</v>
      </c>
      <c r="AK797" s="6" t="s">
        <v>127</v>
      </c>
      <c r="AL797" s="6" t="s">
        <v>127</v>
      </c>
      <c r="AM797" s="6" t="s">
        <v>127</v>
      </c>
      <c r="AN797" s="6" t="s">
        <v>3517</v>
      </c>
      <c r="AO797" s="6" t="s">
        <v>127</v>
      </c>
      <c r="AP797" s="6" t="s">
        <v>127</v>
      </c>
      <c r="AQ797" s="6" t="s">
        <v>127</v>
      </c>
      <c r="AR797" s="6" t="s">
        <v>127</v>
      </c>
      <c r="AS797" s="6" t="s">
        <v>127</v>
      </c>
      <c r="AT797" s="6" t="s">
        <v>127</v>
      </c>
      <c r="AU797" s="6" t="s">
        <v>127</v>
      </c>
      <c r="AV797" s="6" t="s">
        <v>127</v>
      </c>
      <c r="AW797" s="6" t="s">
        <v>127</v>
      </c>
      <c r="AX797" s="6" t="s">
        <v>127</v>
      </c>
      <c r="AY797" s="99" t="s">
        <v>3963</v>
      </c>
      <c r="AZ797" s="96" t="s">
        <v>3964</v>
      </c>
      <c r="BA797" s="6" t="s">
        <v>127</v>
      </c>
      <c r="BB797" s="6" t="s">
        <v>3965</v>
      </c>
      <c r="BC797" s="6" t="s">
        <v>3966</v>
      </c>
    </row>
    <row r="798" spans="1:57" ht="16" x14ac:dyDescent="0.4">
      <c r="A798" s="92" t="s">
        <v>3967</v>
      </c>
      <c r="B798" s="92" t="s">
        <v>3967</v>
      </c>
      <c r="C798" s="6" t="s">
        <v>127</v>
      </c>
      <c r="D798" s="6" t="s">
        <v>3272</v>
      </c>
      <c r="E798" s="192">
        <v>46052</v>
      </c>
      <c r="F798" s="6">
        <v>2026</v>
      </c>
      <c r="G798" s="6" t="s">
        <v>3968</v>
      </c>
      <c r="H798" s="22" t="str">
        <f>VLOOKUP($G798,'Item Classification'!B:C,2,0)</f>
        <v>Anti-drone battery system</v>
      </c>
      <c r="I798" s="6" t="str">
        <f>VLOOKUP($G798,'Item Classification'!B:D,3,0)</f>
        <v>Air defence system</v>
      </c>
      <c r="J798" s="23">
        <f>VLOOKUP($G798,'Item Classification'!B:E,4,0)</f>
        <v>5</v>
      </c>
      <c r="K798" s="196" t="s">
        <v>211</v>
      </c>
      <c r="L798" s="10" t="s">
        <v>326</v>
      </c>
      <c r="M798" s="116" t="str">
        <f>VLOOKUP(L798,'NATO Classifications'!$D$6:$E$647,2,0)</f>
        <v>Guided Missile Systems, Complete</v>
      </c>
      <c r="N798" s="25">
        <v>18</v>
      </c>
      <c r="O798" s="81">
        <f>S798/N798</f>
        <v>833333333.33333337</v>
      </c>
      <c r="P798" s="81">
        <f>U798/N798</f>
        <v>197814544.90785801</v>
      </c>
      <c r="Q798" s="91"/>
      <c r="R798" s="104"/>
      <c r="S798" s="103">
        <v>15000000000</v>
      </c>
      <c r="T798" s="91" t="s">
        <v>3274</v>
      </c>
      <c r="U798" s="104">
        <f>_xlfn.IFNA(S798/INDEX('Exchange Rates'!$C$7:$F$14,MATCH('MAIN DATA, Orders'!F798,'Exchange Rates'!$B$7:$B$14,0),MATCH('MAIN DATA, Orders'!T798,'Exchange Rates'!$C$6:$F$6,0)), "-")</f>
        <v>3560661808.341444</v>
      </c>
      <c r="V798" s="6" t="s">
        <v>127</v>
      </c>
      <c r="W798" s="6" t="s">
        <v>127</v>
      </c>
      <c r="X798" s="6" t="s">
        <v>3272</v>
      </c>
      <c r="Y798" s="24">
        <f t="shared" si="189"/>
        <v>202601</v>
      </c>
      <c r="Z798" s="24">
        <v>1</v>
      </c>
      <c r="AA798" s="24">
        <v>0</v>
      </c>
      <c r="AB798" s="24">
        <v>0</v>
      </c>
      <c r="AC798" s="24">
        <v>1</v>
      </c>
      <c r="AD798" s="180">
        <v>1</v>
      </c>
      <c r="AE798" s="180">
        <v>0</v>
      </c>
      <c r="AF798" s="180">
        <v>1</v>
      </c>
      <c r="AG798" s="6" t="s">
        <v>3969</v>
      </c>
      <c r="AH798" s="6" t="s">
        <v>3272</v>
      </c>
      <c r="AI798" s="6" t="s">
        <v>127</v>
      </c>
      <c r="AJ798" s="6" t="s">
        <v>1632</v>
      </c>
      <c r="AK798" s="6" t="s">
        <v>3970</v>
      </c>
      <c r="AL798" s="6" t="s">
        <v>127</v>
      </c>
      <c r="AM798" s="6" t="s">
        <v>127</v>
      </c>
      <c r="AN798" s="6" t="s">
        <v>468</v>
      </c>
      <c r="AO798" s="6" t="s">
        <v>127</v>
      </c>
      <c r="AP798" s="6" t="s">
        <v>127</v>
      </c>
      <c r="AQ798" s="6" t="s">
        <v>127</v>
      </c>
      <c r="AR798" s="6" t="s">
        <v>127</v>
      </c>
      <c r="AS798" s="6" t="s">
        <v>127</v>
      </c>
      <c r="AT798" s="6" t="s">
        <v>127</v>
      </c>
      <c r="AU798" s="6" t="s">
        <v>127</v>
      </c>
      <c r="AV798" s="6" t="s">
        <v>127</v>
      </c>
      <c r="AW798" s="6" t="s">
        <v>127</v>
      </c>
      <c r="AX798" s="6" t="s">
        <v>127</v>
      </c>
      <c r="AY798" s="99" t="s">
        <v>3971</v>
      </c>
      <c r="AZ798" s="96" t="s">
        <v>3972</v>
      </c>
      <c r="BA798" s="6" t="s">
        <v>127</v>
      </c>
      <c r="BB798" s="6" t="s">
        <v>3973</v>
      </c>
      <c r="BC798" s="4" t="s">
        <v>3974</v>
      </c>
      <c r="BD798" s="6" t="s">
        <v>127</v>
      </c>
    </row>
    <row r="799" spans="1:57" ht="16" x14ac:dyDescent="0.4">
      <c r="A799" s="4" t="s">
        <v>3975</v>
      </c>
      <c r="B799" s="4" t="s">
        <v>3975</v>
      </c>
      <c r="C799" s="4" t="s">
        <v>3976</v>
      </c>
      <c r="D799" s="4" t="s">
        <v>151</v>
      </c>
      <c r="E799" s="189">
        <v>44089</v>
      </c>
      <c r="F799" s="4">
        <v>2020</v>
      </c>
      <c r="G799" s="4" t="s">
        <v>3977</v>
      </c>
      <c r="H799" s="22" t="str">
        <f>VLOOKUP($G799,'Item Classification'!B:C,2,0)</f>
        <v>Armoured personnel carrier (APC)</v>
      </c>
      <c r="I799" s="6" t="str">
        <f>VLOOKUP($G799,'Item Classification'!B:D,3,0)</f>
        <v>Armoured vehicle</v>
      </c>
      <c r="J799" s="23">
        <f>VLOOKUP($G799,'Item Classification'!B:E,4,0)</f>
        <v>2</v>
      </c>
      <c r="K799" s="195" t="s">
        <v>274</v>
      </c>
      <c r="L799" s="195" t="s">
        <v>493</v>
      </c>
      <c r="M799" s="116" t="str">
        <f>VLOOKUP(L799,'NATO Classifications'!$D$6:$E$647,2,0)</f>
        <v>Combat, Assault, and Tactical Vehicles, Wheeled</v>
      </c>
      <c r="N799" s="4">
        <v>271</v>
      </c>
      <c r="O799" s="81"/>
      <c r="P799" s="81"/>
      <c r="Q799" s="4">
        <v>2022</v>
      </c>
      <c r="R799" s="4">
        <v>2023</v>
      </c>
      <c r="S799" s="103"/>
      <c r="T799" s="115" t="s">
        <v>132</v>
      </c>
      <c r="U799" s="104">
        <f>_xlfn.IFNA(S799/INDEX('Exchange Rates'!$C$7:$F$14,MATCH('MAIN DATA, Orders'!F799,'Exchange Rates'!$B$7:$B$14,0),MATCH('MAIN DATA, Orders'!T799,'Exchange Rates'!$C$6:$F$6,0)), "-")</f>
        <v>0</v>
      </c>
      <c r="V799" s="4" t="s">
        <v>3978</v>
      </c>
      <c r="W799" s="4" t="s">
        <v>127</v>
      </c>
      <c r="X799" s="4" t="s">
        <v>151</v>
      </c>
      <c r="Y799" s="24">
        <f t="shared" si="189"/>
        <v>202009</v>
      </c>
      <c r="Z799" s="115">
        <v>1</v>
      </c>
      <c r="AA799" s="115">
        <v>0</v>
      </c>
      <c r="AB799" s="115">
        <v>0</v>
      </c>
      <c r="AC799" s="115">
        <v>1</v>
      </c>
      <c r="AD799" s="115">
        <v>0</v>
      </c>
      <c r="AE799" s="115">
        <v>0</v>
      </c>
      <c r="AF799" s="115">
        <v>1</v>
      </c>
      <c r="AG799" s="4" t="s">
        <v>1115</v>
      </c>
      <c r="AH799" s="4" t="s">
        <v>151</v>
      </c>
      <c r="AI799" s="4" t="s">
        <v>151</v>
      </c>
      <c r="AJ799" s="4" t="s">
        <v>3979</v>
      </c>
      <c r="AK799" s="4" t="s">
        <v>148</v>
      </c>
      <c r="AL799" s="4" t="s">
        <v>127</v>
      </c>
      <c r="AM799" s="4" t="s">
        <v>127</v>
      </c>
      <c r="AN799" s="4" t="s">
        <v>127</v>
      </c>
      <c r="AO799" s="6" t="s">
        <v>127</v>
      </c>
      <c r="AP799" s="6" t="s">
        <v>127</v>
      </c>
      <c r="AQ799" s="6" t="s">
        <v>127</v>
      </c>
      <c r="AR799" s="6" t="s">
        <v>127</v>
      </c>
      <c r="AS799" s="6" t="s">
        <v>127</v>
      </c>
      <c r="AT799" s="6" t="s">
        <v>127</v>
      </c>
      <c r="AU799" s="6" t="s">
        <v>127</v>
      </c>
      <c r="AV799" s="6" t="s">
        <v>127</v>
      </c>
      <c r="AW799" s="6" t="s">
        <v>127</v>
      </c>
      <c r="AX799" s="6" t="s">
        <v>127</v>
      </c>
      <c r="AY799" s="111" t="s">
        <v>3980</v>
      </c>
      <c r="AZ799" s="111" t="s">
        <v>3981</v>
      </c>
      <c r="BA799" s="4" t="s">
        <v>127</v>
      </c>
      <c r="BB799" s="4" t="s">
        <v>3982</v>
      </c>
      <c r="BC799" s="4" t="s">
        <v>127</v>
      </c>
      <c r="BD799" s="4" t="s">
        <v>127</v>
      </c>
      <c r="BE799" s="4" t="s">
        <v>127</v>
      </c>
    </row>
    <row r="800" spans="1:57" ht="16" x14ac:dyDescent="0.4">
      <c r="A800" s="4" t="s">
        <v>3983</v>
      </c>
      <c r="B800" s="4" t="s">
        <v>3983</v>
      </c>
      <c r="C800" s="4" t="s">
        <v>3976</v>
      </c>
      <c r="D800" s="4" t="s">
        <v>151</v>
      </c>
      <c r="E800" s="189">
        <v>44188</v>
      </c>
      <c r="F800" s="4">
        <v>2020</v>
      </c>
      <c r="G800" s="4" t="s">
        <v>3984</v>
      </c>
      <c r="H800" s="22" t="str">
        <f>VLOOKUP($G800,'Item Classification'!B:C,2,0)</f>
        <v>Infantry mobility vehicle</v>
      </c>
      <c r="I800" s="6" t="str">
        <f>VLOOKUP($G800,'Item Classification'!B:D,3,0)</f>
        <v>Armoured vehicle</v>
      </c>
      <c r="J800" s="23">
        <f>VLOOKUP($G800,'Item Classification'!B:E,4,0)</f>
        <v>2</v>
      </c>
      <c r="K800" s="195" t="s">
        <v>274</v>
      </c>
      <c r="L800" s="195" t="s">
        <v>493</v>
      </c>
      <c r="M800" s="116" t="str">
        <f>VLOOKUP(L800,'NATO Classifications'!$D$6:$E$647,2,0)</f>
        <v>Combat, Assault, and Tactical Vehicles, Wheeled</v>
      </c>
      <c r="N800" s="4">
        <v>364</v>
      </c>
      <c r="O800" s="81"/>
      <c r="P800" s="81"/>
      <c r="Q800" s="4">
        <v>2022</v>
      </c>
      <c r="R800" s="4"/>
      <c r="S800" s="103"/>
      <c r="T800" s="115" t="s">
        <v>132</v>
      </c>
      <c r="U800" s="104">
        <f>_xlfn.IFNA(S800/INDEX('Exchange Rates'!$C$7:$F$14,MATCH('MAIN DATA, Orders'!F800,'Exchange Rates'!$B$7:$B$14,0),MATCH('MAIN DATA, Orders'!T800,'Exchange Rates'!$C$6:$F$6,0)), "-")</f>
        <v>0</v>
      </c>
      <c r="V800" s="4" t="s">
        <v>3978</v>
      </c>
      <c r="W800" s="4" t="s">
        <v>127</v>
      </c>
      <c r="X800" s="4" t="s">
        <v>151</v>
      </c>
      <c r="Y800" s="24">
        <f t="shared" si="189"/>
        <v>202012</v>
      </c>
      <c r="Z800" s="115">
        <v>1</v>
      </c>
      <c r="AA800" s="115">
        <v>0</v>
      </c>
      <c r="AB800" s="115">
        <v>0</v>
      </c>
      <c r="AC800" s="115">
        <v>1</v>
      </c>
      <c r="AD800" s="115">
        <v>0</v>
      </c>
      <c r="AE800" s="115">
        <v>0</v>
      </c>
      <c r="AF800" s="115">
        <v>1</v>
      </c>
      <c r="AG800" s="4" t="s">
        <v>1115</v>
      </c>
      <c r="AH800" s="4" t="s">
        <v>151</v>
      </c>
      <c r="AI800" s="4" t="s">
        <v>151</v>
      </c>
      <c r="AJ800" s="4" t="s">
        <v>3985</v>
      </c>
      <c r="AK800" s="4" t="s">
        <v>127</v>
      </c>
      <c r="AL800" s="4" t="s">
        <v>127</v>
      </c>
      <c r="AM800" s="4" t="s">
        <v>127</v>
      </c>
      <c r="AN800" s="4" t="s">
        <v>127</v>
      </c>
      <c r="AO800" s="4" t="s">
        <v>127</v>
      </c>
      <c r="AP800" s="4" t="s">
        <v>127</v>
      </c>
      <c r="AQ800" s="4" t="s">
        <v>127</v>
      </c>
      <c r="AR800" s="4" t="s">
        <v>127</v>
      </c>
      <c r="AS800" s="4" t="s">
        <v>127</v>
      </c>
      <c r="AT800" s="4" t="s">
        <v>127</v>
      </c>
      <c r="AU800" s="4" t="s">
        <v>127</v>
      </c>
      <c r="AV800" s="4" t="s">
        <v>127</v>
      </c>
      <c r="AW800" s="4" t="s">
        <v>127</v>
      </c>
      <c r="AX800" s="4" t="s">
        <v>127</v>
      </c>
      <c r="AY800" s="111" t="s">
        <v>3980</v>
      </c>
      <c r="AZ800" s="111" t="s">
        <v>3986</v>
      </c>
      <c r="BA800" s="4" t="s">
        <v>127</v>
      </c>
      <c r="BB800" s="4" t="s">
        <v>3987</v>
      </c>
      <c r="BC800" s="4" t="s">
        <v>127</v>
      </c>
      <c r="BD800" s="4" t="s">
        <v>127</v>
      </c>
      <c r="BE800" s="4" t="s">
        <v>127</v>
      </c>
    </row>
    <row r="801" spans="1:58" ht="16" x14ac:dyDescent="0.4">
      <c r="A801" s="4" t="s">
        <v>3988</v>
      </c>
      <c r="B801" s="4" t="s">
        <v>3988</v>
      </c>
      <c r="C801" s="4" t="s">
        <v>3976</v>
      </c>
      <c r="D801" s="4" t="s">
        <v>151</v>
      </c>
      <c r="E801" s="189">
        <v>44089</v>
      </c>
      <c r="F801" s="4">
        <v>2020</v>
      </c>
      <c r="G801" s="4" t="s">
        <v>3989</v>
      </c>
      <c r="H801" s="22" t="str">
        <f>VLOOKUP($G801,'Item Classification'!B:C,2,0)</f>
        <v>Armoured personnel carrier (APC)</v>
      </c>
      <c r="I801" s="6" t="str">
        <f>VLOOKUP($G801,'Item Classification'!B:D,3,0)</f>
        <v>Armoured vehicle</v>
      </c>
      <c r="J801" s="23">
        <f>VLOOKUP($G801,'Item Classification'!B:E,4,0)</f>
        <v>2</v>
      </c>
      <c r="K801" s="195" t="s">
        <v>274</v>
      </c>
      <c r="L801" s="195" t="s">
        <v>493</v>
      </c>
      <c r="M801" s="116" t="str">
        <f>VLOOKUP(L801,'NATO Classifications'!$D$6:$E$647,2,0)</f>
        <v>Combat, Assault, and Tactical Vehicles, Wheeled</v>
      </c>
      <c r="N801" s="4">
        <v>42</v>
      </c>
      <c r="O801" s="81"/>
      <c r="P801" s="81"/>
      <c r="Q801" s="4">
        <v>2022</v>
      </c>
      <c r="R801" s="4">
        <v>2023</v>
      </c>
      <c r="S801" s="103"/>
      <c r="T801" s="115" t="s">
        <v>132</v>
      </c>
      <c r="U801" s="104">
        <f>_xlfn.IFNA(S801/INDEX('Exchange Rates'!$C$7:$F$14,MATCH('MAIN DATA, Orders'!F801,'Exchange Rates'!$B$7:$B$14,0),MATCH('MAIN DATA, Orders'!T801,'Exchange Rates'!$C$6:$F$6,0)), "-")</f>
        <v>0</v>
      </c>
      <c r="V801" s="4" t="s">
        <v>3978</v>
      </c>
      <c r="W801" s="4" t="s">
        <v>127</v>
      </c>
      <c r="X801" s="4" t="s">
        <v>151</v>
      </c>
      <c r="Y801" s="24">
        <f t="shared" si="189"/>
        <v>202009</v>
      </c>
      <c r="Z801" s="115">
        <v>1</v>
      </c>
      <c r="AA801" s="115">
        <v>0</v>
      </c>
      <c r="AB801" s="115">
        <v>0</v>
      </c>
      <c r="AC801" s="115">
        <v>1</v>
      </c>
      <c r="AD801" s="115">
        <v>0</v>
      </c>
      <c r="AE801" s="115">
        <v>0</v>
      </c>
      <c r="AF801" s="115">
        <v>1</v>
      </c>
      <c r="AG801" s="4" t="s">
        <v>1115</v>
      </c>
      <c r="AH801" s="4" t="s">
        <v>151</v>
      </c>
      <c r="AI801" s="4" t="s">
        <v>151</v>
      </c>
      <c r="AJ801" s="4" t="s">
        <v>3979</v>
      </c>
      <c r="AK801" s="4" t="s">
        <v>148</v>
      </c>
      <c r="AL801" s="4" t="s">
        <v>127</v>
      </c>
      <c r="AM801" s="4" t="s">
        <v>127</v>
      </c>
      <c r="AN801" s="4" t="s">
        <v>127</v>
      </c>
      <c r="AO801" s="4" t="s">
        <v>127</v>
      </c>
      <c r="AP801" s="4" t="s">
        <v>127</v>
      </c>
      <c r="AQ801" s="4" t="s">
        <v>127</v>
      </c>
      <c r="AR801" s="4" t="s">
        <v>127</v>
      </c>
      <c r="AS801" s="4" t="s">
        <v>127</v>
      </c>
      <c r="AT801" s="4" t="s">
        <v>127</v>
      </c>
      <c r="AU801" s="4" t="s">
        <v>127</v>
      </c>
      <c r="AV801" s="4" t="s">
        <v>127</v>
      </c>
      <c r="AW801" s="4" t="s">
        <v>127</v>
      </c>
      <c r="AX801" s="4" t="s">
        <v>127</v>
      </c>
      <c r="AY801" s="111" t="s">
        <v>3980</v>
      </c>
      <c r="AZ801" s="111" t="s">
        <v>3981</v>
      </c>
      <c r="BA801" s="4" t="s">
        <v>127</v>
      </c>
      <c r="BB801" s="4" t="s">
        <v>3982</v>
      </c>
      <c r="BC801" s="4" t="s">
        <v>127</v>
      </c>
      <c r="BD801" s="4" t="s">
        <v>127</v>
      </c>
      <c r="BE801" s="4" t="s">
        <v>127</v>
      </c>
    </row>
    <row r="802" spans="1:58" ht="16" x14ac:dyDescent="0.4">
      <c r="A802" s="4" t="s">
        <v>3990</v>
      </c>
      <c r="B802" s="4" t="s">
        <v>3990</v>
      </c>
      <c r="C802" s="4" t="s">
        <v>127</v>
      </c>
      <c r="D802" s="4" t="s">
        <v>151</v>
      </c>
      <c r="E802" s="189">
        <v>44165</v>
      </c>
      <c r="F802" s="4">
        <v>2020</v>
      </c>
      <c r="G802" s="4" t="s">
        <v>3991</v>
      </c>
      <c r="H802" s="22" t="str">
        <f>VLOOKUP($G802,'Item Classification'!B:C,2,0)</f>
        <v>Small Arms and Light Weapons (SALW)</v>
      </c>
      <c r="I802" s="6" t="str">
        <f>VLOOKUP($G802,'Item Classification'!B:D,3,0)</f>
        <v>Infantry</v>
      </c>
      <c r="J802" s="23">
        <f>VLOOKUP($G802,'Item Classification'!B:E,4,0)</f>
        <v>8</v>
      </c>
      <c r="K802" s="195" t="s">
        <v>763</v>
      </c>
      <c r="L802" s="195" t="s">
        <v>764</v>
      </c>
      <c r="M802" s="116" t="str">
        <f>VLOOKUP(L802,'NATO Classifications'!$D$6:$E$647,2,0)</f>
        <v>Guns below 75mm</v>
      </c>
      <c r="N802" s="4">
        <v>12000</v>
      </c>
      <c r="O802" s="81"/>
      <c r="P802" s="81"/>
      <c r="Q802" s="4">
        <v>2021</v>
      </c>
      <c r="R802" s="4">
        <v>2021</v>
      </c>
      <c r="S802" s="103"/>
      <c r="T802" s="115" t="s">
        <v>132</v>
      </c>
      <c r="U802" s="104">
        <f>_xlfn.IFNA(S802/INDEX('Exchange Rates'!$C$7:$F$14,MATCH('MAIN DATA, Orders'!F802,'Exchange Rates'!$B$7:$B$14,0),MATCH('MAIN DATA, Orders'!T802,'Exchange Rates'!$C$6:$F$6,0)), "-")</f>
        <v>0</v>
      </c>
      <c r="V802" s="4" t="s">
        <v>3978</v>
      </c>
      <c r="W802" s="4" t="s">
        <v>127</v>
      </c>
      <c r="X802" s="4" t="s">
        <v>151</v>
      </c>
      <c r="Y802" s="24">
        <f t="shared" si="189"/>
        <v>202011</v>
      </c>
      <c r="Z802" s="115">
        <v>1</v>
      </c>
      <c r="AA802" s="115">
        <v>0</v>
      </c>
      <c r="AB802" s="115">
        <v>0</v>
      </c>
      <c r="AC802" s="115">
        <v>1</v>
      </c>
      <c r="AD802" s="115">
        <v>1</v>
      </c>
      <c r="AE802" s="115">
        <v>0</v>
      </c>
      <c r="AF802" s="115">
        <v>1</v>
      </c>
      <c r="AG802" s="4" t="s">
        <v>3992</v>
      </c>
      <c r="AH802" s="4" t="s">
        <v>128</v>
      </c>
      <c r="AI802" s="4" t="s">
        <v>127</v>
      </c>
      <c r="AJ802" s="4" t="s">
        <v>3993</v>
      </c>
      <c r="AK802" s="4" t="s">
        <v>127</v>
      </c>
      <c r="AL802" s="4" t="s">
        <v>127</v>
      </c>
      <c r="AM802" s="4" t="s">
        <v>127</v>
      </c>
      <c r="AN802" s="4" t="s">
        <v>151</v>
      </c>
      <c r="AO802" s="4" t="s">
        <v>127</v>
      </c>
      <c r="AP802" s="4" t="s">
        <v>127</v>
      </c>
      <c r="AQ802" s="4" t="s">
        <v>127</v>
      </c>
      <c r="AR802" s="4" t="s">
        <v>127</v>
      </c>
      <c r="AS802" s="4" t="s">
        <v>127</v>
      </c>
      <c r="AT802" s="4" t="s">
        <v>127</v>
      </c>
      <c r="AU802" s="4" t="s">
        <v>127</v>
      </c>
      <c r="AV802" s="4" t="s">
        <v>127</v>
      </c>
      <c r="AW802" s="4" t="s">
        <v>127</v>
      </c>
      <c r="AX802" s="4" t="s">
        <v>127</v>
      </c>
      <c r="AY802" s="111" t="s">
        <v>3980</v>
      </c>
      <c r="AZ802" s="111" t="s">
        <v>3994</v>
      </c>
      <c r="BA802" s="4" t="s">
        <v>127</v>
      </c>
      <c r="BB802" s="4" t="s">
        <v>3995</v>
      </c>
      <c r="BC802" s="4" t="s">
        <v>127</v>
      </c>
      <c r="BD802" s="4" t="s">
        <v>127</v>
      </c>
      <c r="BE802" s="4" t="s">
        <v>127</v>
      </c>
    </row>
    <row r="803" spans="1:58" ht="16" x14ac:dyDescent="0.4">
      <c r="A803" s="4" t="s">
        <v>3996</v>
      </c>
      <c r="B803" s="4" t="s">
        <v>3996</v>
      </c>
      <c r="C803" s="4" t="s">
        <v>127</v>
      </c>
      <c r="D803" s="4" t="s">
        <v>151</v>
      </c>
      <c r="E803" s="189">
        <v>44139</v>
      </c>
      <c r="F803" s="4">
        <v>2020</v>
      </c>
      <c r="G803" s="4" t="s">
        <v>3997</v>
      </c>
      <c r="H803" s="22" t="str">
        <f>VLOOKUP($G803,'Item Classification'!B:C,2,0)</f>
        <v>Surveillance aircraft</v>
      </c>
      <c r="I803" s="6" t="str">
        <f>VLOOKUP($G803,'Item Classification'!B:D,3,0)</f>
        <v>Aircraft</v>
      </c>
      <c r="J803" s="23">
        <f>VLOOKUP($G803,'Item Classification'!B:E,4,0)</f>
        <v>11</v>
      </c>
      <c r="K803" s="195" t="s">
        <v>130</v>
      </c>
      <c r="L803" s="195" t="s">
        <v>237</v>
      </c>
      <c r="M803" s="116" t="str">
        <f>VLOOKUP(L803,'NATO Classifications'!$D$6:$E$647,2,0)</f>
        <v>Aircraft, Fixed Wing</v>
      </c>
      <c r="N803" s="4">
        <v>3</v>
      </c>
      <c r="O803" s="81">
        <f>S803/N803</f>
        <v>666666666.66666663</v>
      </c>
      <c r="P803" s="81">
        <f>U803/N803</f>
        <v>583668942.97554421</v>
      </c>
      <c r="Q803" s="4"/>
      <c r="R803" s="4">
        <v>2028</v>
      </c>
      <c r="S803" s="103">
        <v>2000000000</v>
      </c>
      <c r="T803" s="115" t="s">
        <v>3284</v>
      </c>
      <c r="U803" s="104">
        <f>_xlfn.IFNA(S803/INDEX('Exchange Rates'!$C$7:$F$14,MATCH('MAIN DATA, Orders'!F803,'Exchange Rates'!$B$7:$B$14,0),MATCH('MAIN DATA, Orders'!T803,'Exchange Rates'!$C$6:$F$6,0)), "-")</f>
        <v>1751006828.9266326</v>
      </c>
      <c r="V803" s="4" t="s">
        <v>3978</v>
      </c>
      <c r="W803" s="4" t="s">
        <v>127</v>
      </c>
      <c r="X803" s="4" t="s">
        <v>151</v>
      </c>
      <c r="Y803" s="24">
        <f t="shared" si="189"/>
        <v>202011</v>
      </c>
      <c r="Z803" s="115">
        <v>0</v>
      </c>
      <c r="AA803" s="115">
        <v>0</v>
      </c>
      <c r="AB803" s="115">
        <v>0</v>
      </c>
      <c r="AC803" s="115">
        <v>0</v>
      </c>
      <c r="AD803" s="115">
        <v>0</v>
      </c>
      <c r="AE803" s="115">
        <v>0</v>
      </c>
      <c r="AF803" s="115">
        <v>1</v>
      </c>
      <c r="AG803" s="4" t="s">
        <v>195</v>
      </c>
      <c r="AH803" s="4" t="s">
        <v>196</v>
      </c>
      <c r="AI803" s="4" t="s">
        <v>127</v>
      </c>
      <c r="AJ803" s="4" t="s">
        <v>127</v>
      </c>
      <c r="AK803" s="4" t="s">
        <v>127</v>
      </c>
      <c r="AL803" s="4" t="s">
        <v>127</v>
      </c>
      <c r="AM803" s="4" t="s">
        <v>127</v>
      </c>
      <c r="AN803" s="4" t="s">
        <v>127</v>
      </c>
      <c r="AO803" s="4" t="s">
        <v>127</v>
      </c>
      <c r="AP803" s="4" t="s">
        <v>127</v>
      </c>
      <c r="AQ803" s="4" t="s">
        <v>127</v>
      </c>
      <c r="AR803" s="4" t="s">
        <v>127</v>
      </c>
      <c r="AS803" s="4" t="s">
        <v>127</v>
      </c>
      <c r="AT803" s="4" t="s">
        <v>127</v>
      </c>
      <c r="AU803" s="4" t="s">
        <v>127</v>
      </c>
      <c r="AV803" s="4" t="s">
        <v>127</v>
      </c>
      <c r="AW803" s="4" t="s">
        <v>127</v>
      </c>
      <c r="AX803" s="4" t="s">
        <v>127</v>
      </c>
      <c r="AY803" s="111" t="s">
        <v>3980</v>
      </c>
      <c r="AZ803" s="111" t="s">
        <v>3998</v>
      </c>
      <c r="BA803" s="4" t="s">
        <v>127</v>
      </c>
      <c r="BB803" s="4" t="s">
        <v>3999</v>
      </c>
      <c r="BC803" s="4" t="s">
        <v>4000</v>
      </c>
      <c r="BD803" s="4" t="s">
        <v>4001</v>
      </c>
      <c r="BE803" s="4" t="s">
        <v>127</v>
      </c>
    </row>
    <row r="804" spans="1:58" ht="16" x14ac:dyDescent="0.4">
      <c r="A804" s="4" t="s">
        <v>4002</v>
      </c>
      <c r="B804" s="4" t="s">
        <v>4002</v>
      </c>
      <c r="C804" s="4" t="s">
        <v>4003</v>
      </c>
      <c r="D804" s="4" t="s">
        <v>151</v>
      </c>
      <c r="E804" s="189">
        <v>44154</v>
      </c>
      <c r="F804" s="4">
        <v>2020</v>
      </c>
      <c r="G804" s="4" t="s">
        <v>4004</v>
      </c>
      <c r="H804" s="22" t="str">
        <f>VLOOKUP($G804,'Item Classification'!B:C,2,0)</f>
        <v>Naval surveillance aircraft</v>
      </c>
      <c r="I804" s="6" t="str">
        <f>VLOOKUP($G804,'Item Classification'!B:D,3,0)</f>
        <v>Naval</v>
      </c>
      <c r="J804" s="23">
        <f>VLOOKUP($G804,'Item Classification'!B:E,4,0)</f>
        <v>12</v>
      </c>
      <c r="K804" s="195" t="s">
        <v>130</v>
      </c>
      <c r="L804" s="195" t="s">
        <v>237</v>
      </c>
      <c r="M804" s="116" t="str">
        <f>VLOOKUP(L804,'NATO Classifications'!$D$6:$E$647,2,0)</f>
        <v>Aircraft, Fixed Wing</v>
      </c>
      <c r="N804" s="4">
        <v>7</v>
      </c>
      <c r="O804" s="81">
        <f>S804/N804</f>
        <v>108333333.28571428</v>
      </c>
      <c r="P804" s="81">
        <f>U804/N804</f>
        <v>108333333.28571428</v>
      </c>
      <c r="Q804" s="4">
        <v>2025</v>
      </c>
      <c r="R804" s="4"/>
      <c r="S804" s="103">
        <v>758333333</v>
      </c>
      <c r="T804" s="115" t="s">
        <v>132</v>
      </c>
      <c r="U804" s="104">
        <f>_xlfn.IFNA(S804/INDEX('Exchange Rates'!$C$7:$F$14,MATCH('MAIN DATA, Orders'!F804,'Exchange Rates'!$B$7:$B$14,0),MATCH('MAIN DATA, Orders'!T804,'Exchange Rates'!$C$6:$F$6,0)), "-")</f>
        <v>758333333</v>
      </c>
      <c r="V804" s="4" t="s">
        <v>3978</v>
      </c>
      <c r="W804" s="4" t="s">
        <v>127</v>
      </c>
      <c r="X804" s="4" t="s">
        <v>151</v>
      </c>
      <c r="Y804" s="24">
        <f t="shared" si="189"/>
        <v>202011</v>
      </c>
      <c r="Z804" s="115">
        <v>1</v>
      </c>
      <c r="AA804" s="115">
        <v>0</v>
      </c>
      <c r="AB804" s="115">
        <v>0</v>
      </c>
      <c r="AC804" s="115">
        <v>1</v>
      </c>
      <c r="AD804" s="115">
        <v>0</v>
      </c>
      <c r="AE804" s="115">
        <v>1</v>
      </c>
      <c r="AF804" s="115">
        <v>1</v>
      </c>
      <c r="AG804" s="4" t="s">
        <v>359</v>
      </c>
      <c r="AH804" s="4" t="s">
        <v>151</v>
      </c>
      <c r="AI804" s="4" t="s">
        <v>151</v>
      </c>
      <c r="AJ804" s="4" t="s">
        <v>148</v>
      </c>
      <c r="AK804" s="4" t="s">
        <v>2350</v>
      </c>
      <c r="AL804" s="4" t="s">
        <v>127</v>
      </c>
      <c r="AM804" s="4" t="s">
        <v>127</v>
      </c>
      <c r="AN804" s="4" t="s">
        <v>127</v>
      </c>
      <c r="AO804" s="4" t="s">
        <v>127</v>
      </c>
      <c r="AP804" s="4" t="s">
        <v>127</v>
      </c>
      <c r="AQ804" s="4" t="s">
        <v>127</v>
      </c>
      <c r="AR804" s="4" t="s">
        <v>127</v>
      </c>
      <c r="AS804" s="4" t="s">
        <v>127</v>
      </c>
      <c r="AT804" s="4" t="s">
        <v>127</v>
      </c>
      <c r="AU804" s="4" t="s">
        <v>127</v>
      </c>
      <c r="AV804" s="4" t="s">
        <v>127</v>
      </c>
      <c r="AW804" s="4" t="s">
        <v>4005</v>
      </c>
      <c r="AX804" s="4" t="s">
        <v>127</v>
      </c>
      <c r="AY804" s="111" t="s">
        <v>3980</v>
      </c>
      <c r="AZ804" s="111" t="s">
        <v>4006</v>
      </c>
      <c r="BA804" s="4" t="s">
        <v>127</v>
      </c>
      <c r="BB804" s="4" t="s">
        <v>4007</v>
      </c>
      <c r="BC804" s="4" t="s">
        <v>4008</v>
      </c>
      <c r="BD804" s="4" t="s">
        <v>4009</v>
      </c>
      <c r="BE804" s="4" t="s">
        <v>4010</v>
      </c>
      <c r="BF804" s="6" t="s">
        <v>127</v>
      </c>
    </row>
    <row r="805" spans="1:58" ht="16" x14ac:dyDescent="0.4">
      <c r="A805" s="4" t="s">
        <v>4011</v>
      </c>
      <c r="B805" s="4" t="s">
        <v>4011</v>
      </c>
      <c r="C805" s="4" t="s">
        <v>127</v>
      </c>
      <c r="D805" s="4" t="s">
        <v>151</v>
      </c>
      <c r="E805" s="193"/>
      <c r="F805" s="4">
        <v>2020</v>
      </c>
      <c r="G805" s="4" t="s">
        <v>4012</v>
      </c>
      <c r="H805" s="22" t="str">
        <f>VLOOKUP($G805,'Item Classification'!B:C,2,0)</f>
        <v>Anti-mine module</v>
      </c>
      <c r="I805" s="6" t="str">
        <f>VLOOKUP($G805,'Item Classification'!B:D,3,0)</f>
        <v>Mine</v>
      </c>
      <c r="J805" s="23">
        <f>VLOOKUP($G805,'Item Classification'!B:E,4,0)</f>
        <v>9</v>
      </c>
      <c r="K805" s="195" t="s">
        <v>189</v>
      </c>
      <c r="L805" s="195" t="s">
        <v>1056</v>
      </c>
      <c r="M805" s="116" t="str">
        <f>VLOOKUP(L805,'NATO Classifications'!$D$6:$E$647,2,0)</f>
        <v>Explosives, Surface Use and Mines (all types)</v>
      </c>
      <c r="N805" s="4">
        <v>2</v>
      </c>
      <c r="O805" s="81"/>
      <c r="P805" s="81"/>
      <c r="Q805" s="4"/>
      <c r="R805" s="4"/>
      <c r="S805" s="103"/>
      <c r="T805" s="115" t="s">
        <v>132</v>
      </c>
      <c r="U805" s="104">
        <f>_xlfn.IFNA(S805/INDEX('Exchange Rates'!$C$7:$F$14,MATCH('MAIN DATA, Orders'!F805,'Exchange Rates'!$B$7:$B$14,0),MATCH('MAIN DATA, Orders'!T805,'Exchange Rates'!$C$6:$F$6,0)), "-")</f>
        <v>0</v>
      </c>
      <c r="V805" s="4" t="s">
        <v>127</v>
      </c>
      <c r="W805" s="4" t="s">
        <v>127</v>
      </c>
      <c r="X805" s="4" t="s">
        <v>151</v>
      </c>
      <c r="Y805" s="115" t="s">
        <v>127</v>
      </c>
      <c r="Z805" s="115" t="s">
        <v>127</v>
      </c>
      <c r="AA805" s="115" t="s">
        <v>127</v>
      </c>
      <c r="AB805" s="115" t="s">
        <v>127</v>
      </c>
      <c r="AC805" s="115" t="s">
        <v>127</v>
      </c>
      <c r="AD805" s="115" t="s">
        <v>127</v>
      </c>
      <c r="AE805" s="115" t="s">
        <v>127</v>
      </c>
      <c r="AF805" s="115" t="s">
        <v>127</v>
      </c>
      <c r="AG805" s="4" t="s">
        <v>127</v>
      </c>
      <c r="AH805" s="4" t="s">
        <v>127</v>
      </c>
      <c r="AI805" s="4" t="s">
        <v>127</v>
      </c>
      <c r="AJ805" s="4" t="s">
        <v>127</v>
      </c>
      <c r="AK805" s="4" t="s">
        <v>127</v>
      </c>
      <c r="AL805" s="4" t="s">
        <v>127</v>
      </c>
      <c r="AM805" s="4" t="s">
        <v>127</v>
      </c>
      <c r="AN805" s="4" t="s">
        <v>127</v>
      </c>
      <c r="AO805" s="4" t="s">
        <v>127</v>
      </c>
      <c r="AP805" s="4" t="s">
        <v>127</v>
      </c>
      <c r="AQ805" s="4" t="s">
        <v>127</v>
      </c>
      <c r="AR805" s="4" t="s">
        <v>127</v>
      </c>
      <c r="AS805" s="4" t="s">
        <v>127</v>
      </c>
      <c r="AT805" s="4" t="s">
        <v>127</v>
      </c>
      <c r="AU805" s="4" t="s">
        <v>127</v>
      </c>
      <c r="AV805" s="4" t="s">
        <v>127</v>
      </c>
      <c r="AW805" s="4" t="s">
        <v>127</v>
      </c>
      <c r="AX805" s="4" t="s">
        <v>127</v>
      </c>
      <c r="AY805" s="111" t="s">
        <v>3980</v>
      </c>
      <c r="AZ805" s="4" t="s">
        <v>127</v>
      </c>
      <c r="BA805" s="4" t="s">
        <v>127</v>
      </c>
      <c r="BB805" s="4" t="s">
        <v>127</v>
      </c>
      <c r="BC805" s="4" t="s">
        <v>127</v>
      </c>
      <c r="BD805" s="4" t="s">
        <v>127</v>
      </c>
      <c r="BE805" s="4" t="s">
        <v>127</v>
      </c>
    </row>
    <row r="806" spans="1:58" ht="15.75" customHeight="1" x14ac:dyDescent="0.4">
      <c r="A806" s="4" t="s">
        <v>4013</v>
      </c>
      <c r="B806" s="4" t="s">
        <v>4013</v>
      </c>
      <c r="C806" s="4" t="s">
        <v>127</v>
      </c>
      <c r="D806" s="4" t="s">
        <v>151</v>
      </c>
      <c r="E806" s="193"/>
      <c r="F806" s="4">
        <v>2020</v>
      </c>
      <c r="G806" s="4" t="s">
        <v>4014</v>
      </c>
      <c r="H806" s="22" t="str">
        <f>VLOOKUP($G806,'Item Classification'!B:C,2,0)</f>
        <v>Communication and digitalisation</v>
      </c>
      <c r="I806" s="6" t="str">
        <f>VLOOKUP($G806,'Item Classification'!B:D,3,0)</f>
        <v>Modernisation</v>
      </c>
      <c r="J806" s="23">
        <f>VLOOKUP($G806,'Item Classification'!B:E,4,0)</f>
        <v>13</v>
      </c>
      <c r="K806" s="195" t="s">
        <v>2028</v>
      </c>
      <c r="L806" s="195" t="s">
        <v>2028</v>
      </c>
      <c r="M806" s="116" t="str">
        <f>VLOOKUP(L806,'NATO Classifications'!$D$6:$E$647,2,0)</f>
        <v>Space Vehicles</v>
      </c>
      <c r="N806" s="4">
        <v>12</v>
      </c>
      <c r="O806" s="81"/>
      <c r="P806" s="81"/>
      <c r="Q806" s="4"/>
      <c r="R806" s="4"/>
      <c r="S806" s="103"/>
      <c r="T806" s="115" t="s">
        <v>132</v>
      </c>
      <c r="U806" s="104">
        <f>_xlfn.IFNA(S806/INDEX('Exchange Rates'!$C$7:$F$14,MATCH('MAIN DATA, Orders'!F806,'Exchange Rates'!$B$7:$B$14,0),MATCH('MAIN DATA, Orders'!T806,'Exchange Rates'!$C$6:$F$6,0)), "-")</f>
        <v>0</v>
      </c>
      <c r="V806" s="4" t="s">
        <v>127</v>
      </c>
      <c r="W806" s="4" t="s">
        <v>127</v>
      </c>
      <c r="X806" s="4" t="s">
        <v>151</v>
      </c>
      <c r="Y806" s="115" t="s">
        <v>127</v>
      </c>
      <c r="Z806" s="115" t="s">
        <v>127</v>
      </c>
      <c r="AA806" s="115" t="s">
        <v>127</v>
      </c>
      <c r="AB806" s="115" t="s">
        <v>127</v>
      </c>
      <c r="AC806" s="115" t="s">
        <v>127</v>
      </c>
      <c r="AD806" s="115" t="s">
        <v>127</v>
      </c>
      <c r="AE806" s="115" t="s">
        <v>127</v>
      </c>
      <c r="AF806" s="115" t="s">
        <v>127</v>
      </c>
      <c r="AG806" s="4" t="s">
        <v>127</v>
      </c>
      <c r="AH806" s="4" t="s">
        <v>127</v>
      </c>
      <c r="AI806" s="4" t="s">
        <v>127</v>
      </c>
      <c r="AJ806" s="4" t="s">
        <v>127</v>
      </c>
      <c r="AK806" s="4" t="s">
        <v>127</v>
      </c>
      <c r="AL806" s="4" t="s">
        <v>127</v>
      </c>
      <c r="AM806" s="4" t="s">
        <v>127</v>
      </c>
      <c r="AN806" s="4" t="s">
        <v>127</v>
      </c>
      <c r="AO806" s="4" t="s">
        <v>127</v>
      </c>
      <c r="AP806" s="4" t="s">
        <v>127</v>
      </c>
      <c r="AQ806" s="4" t="s">
        <v>127</v>
      </c>
      <c r="AR806" s="4" t="s">
        <v>127</v>
      </c>
      <c r="AS806" s="4" t="s">
        <v>127</v>
      </c>
      <c r="AT806" s="4" t="s">
        <v>127</v>
      </c>
      <c r="AU806" s="4" t="s">
        <v>127</v>
      </c>
      <c r="AV806" s="4" t="s">
        <v>127</v>
      </c>
      <c r="AW806" s="4" t="s">
        <v>127</v>
      </c>
      <c r="AX806" s="4" t="s">
        <v>127</v>
      </c>
      <c r="AY806" s="111" t="s">
        <v>3980</v>
      </c>
      <c r="AZ806" s="4" t="s">
        <v>127</v>
      </c>
      <c r="BA806" s="4" t="s">
        <v>127</v>
      </c>
      <c r="BB806" s="4" t="s">
        <v>127</v>
      </c>
      <c r="BC806" s="4" t="s">
        <v>127</v>
      </c>
      <c r="BD806" s="4" t="s">
        <v>127</v>
      </c>
      <c r="BE806" s="4" t="s">
        <v>127</v>
      </c>
    </row>
    <row r="807" spans="1:58" ht="16" x14ac:dyDescent="0.4">
      <c r="A807" s="4" t="s">
        <v>4015</v>
      </c>
      <c r="B807" s="4" t="s">
        <v>4015</v>
      </c>
      <c r="C807" s="4" t="s">
        <v>4016</v>
      </c>
      <c r="D807" s="4" t="s">
        <v>151</v>
      </c>
      <c r="E807" s="193">
        <v>44120</v>
      </c>
      <c r="F807" s="4">
        <v>2020</v>
      </c>
      <c r="G807" s="4" t="s">
        <v>4017</v>
      </c>
      <c r="H807" s="22" t="str">
        <f>VLOOKUP($G807,'Item Classification'!B:C,2,0)</f>
        <v>Communication and digitalisation</v>
      </c>
      <c r="I807" s="6" t="str">
        <f>VLOOKUP($G807,'Item Classification'!B:D,3,0)</f>
        <v>Modernisation</v>
      </c>
      <c r="J807" s="23">
        <f>VLOOKUP($G807,'Item Classification'!B:E,4,0)</f>
        <v>13</v>
      </c>
      <c r="K807" s="195" t="s">
        <v>158</v>
      </c>
      <c r="L807" s="195" t="s">
        <v>399</v>
      </c>
      <c r="M807" s="116" t="str">
        <f>VLOOKUP(L807,'NATO Classifications'!$D$6:$E$647,2,0)</f>
        <v>Radar and Sensor</v>
      </c>
      <c r="N807" s="4">
        <v>3</v>
      </c>
      <c r="O807" s="81"/>
      <c r="P807" s="81"/>
      <c r="Q807" s="4"/>
      <c r="R807" s="4"/>
      <c r="S807" s="103"/>
      <c r="T807" s="115" t="s">
        <v>132</v>
      </c>
      <c r="U807" s="104">
        <f>_xlfn.IFNA(S807/INDEX('Exchange Rates'!$C$7:$F$14,MATCH('MAIN DATA, Orders'!F807,'Exchange Rates'!$B$7:$B$14,0),MATCH('MAIN DATA, Orders'!T807,'Exchange Rates'!$C$6:$F$6,0)), "-")</f>
        <v>0</v>
      </c>
      <c r="V807" s="4" t="s">
        <v>3978</v>
      </c>
      <c r="W807" s="4" t="s">
        <v>127</v>
      </c>
      <c r="X807" s="4" t="s">
        <v>151</v>
      </c>
      <c r="Y807" s="24">
        <f t="shared" ref="Y807:Y808" si="190">_xlfn.NUMBERVALUE(_xlfn.CONCAT(YEAR(E807),TEXT(E807, "mm")))</f>
        <v>202010</v>
      </c>
      <c r="Z807" s="115">
        <v>0</v>
      </c>
      <c r="AA807" s="115">
        <v>0</v>
      </c>
      <c r="AB807" s="115">
        <v>0</v>
      </c>
      <c r="AC807" s="115">
        <v>1</v>
      </c>
      <c r="AD807" s="115">
        <v>0</v>
      </c>
      <c r="AE807" s="115">
        <v>0</v>
      </c>
      <c r="AF807" s="115">
        <v>0</v>
      </c>
      <c r="AG807" s="4" t="s">
        <v>1480</v>
      </c>
      <c r="AH807" s="4" t="s">
        <v>238</v>
      </c>
      <c r="AI807" s="4" t="s">
        <v>127</v>
      </c>
      <c r="AJ807" s="4" t="s">
        <v>127</v>
      </c>
      <c r="AK807" s="4" t="s">
        <v>127</v>
      </c>
      <c r="AL807" s="4" t="s">
        <v>127</v>
      </c>
      <c r="AM807" s="4" t="s">
        <v>127</v>
      </c>
      <c r="AN807" s="4" t="s">
        <v>127</v>
      </c>
      <c r="AO807" s="4" t="s">
        <v>127</v>
      </c>
      <c r="AP807" s="4" t="s">
        <v>127</v>
      </c>
      <c r="AQ807" s="4" t="s">
        <v>127</v>
      </c>
      <c r="AR807" s="4" t="s">
        <v>127</v>
      </c>
      <c r="AS807" s="4" t="s">
        <v>127</v>
      </c>
      <c r="AT807" s="4" t="s">
        <v>127</v>
      </c>
      <c r="AU807" s="4" t="s">
        <v>127</v>
      </c>
      <c r="AV807" s="4" t="s">
        <v>127</v>
      </c>
      <c r="AW807" s="4" t="s">
        <v>127</v>
      </c>
      <c r="AX807" s="4" t="s">
        <v>127</v>
      </c>
      <c r="AY807" s="111" t="s">
        <v>3980</v>
      </c>
      <c r="AZ807" s="111" t="s">
        <v>4018</v>
      </c>
      <c r="BA807" s="111" t="s">
        <v>4019</v>
      </c>
      <c r="BB807" s="4" t="s">
        <v>4020</v>
      </c>
      <c r="BC807" s="4" t="s">
        <v>127</v>
      </c>
      <c r="BD807" s="4" t="s">
        <v>127</v>
      </c>
      <c r="BE807" s="4" t="s">
        <v>127</v>
      </c>
    </row>
    <row r="808" spans="1:58" ht="16" x14ac:dyDescent="0.4">
      <c r="A808" s="4" t="s">
        <v>4021</v>
      </c>
      <c r="B808" s="4" t="s">
        <v>4021</v>
      </c>
      <c r="C808" s="4" t="s">
        <v>127</v>
      </c>
      <c r="D808" s="4" t="s">
        <v>151</v>
      </c>
      <c r="E808" s="189">
        <v>44068</v>
      </c>
      <c r="F808" s="4">
        <v>2020</v>
      </c>
      <c r="G808" s="4" t="s">
        <v>4022</v>
      </c>
      <c r="H808" s="22" t="str">
        <f>VLOOKUP($G808,'Item Classification'!B:C,2,0)</f>
        <v>Transport aircraft</v>
      </c>
      <c r="I808" s="6" t="str">
        <f>VLOOKUP($G808,'Item Classification'!B:D,3,0)</f>
        <v>Aircraft</v>
      </c>
      <c r="J808" s="23">
        <f>VLOOKUP($G808,'Item Classification'!B:E,4,0)</f>
        <v>11</v>
      </c>
      <c r="K808" s="195" t="s">
        <v>130</v>
      </c>
      <c r="L808" s="195" t="s">
        <v>237</v>
      </c>
      <c r="M808" s="116" t="str">
        <f>VLOOKUP(L808,'NATO Classifications'!$D$6:$E$647,2,0)</f>
        <v>Aircraft, Fixed Wing</v>
      </c>
      <c r="N808" s="4">
        <v>3</v>
      </c>
      <c r="O808" s="81">
        <f>S808/N808</f>
        <v>66666666.666666664</v>
      </c>
      <c r="P808" s="81">
        <f>U808/N808</f>
        <v>66666666.666666664</v>
      </c>
      <c r="Q808" s="4"/>
      <c r="R808" s="4">
        <v>2023</v>
      </c>
      <c r="S808" s="103">
        <v>200000000</v>
      </c>
      <c r="T808" s="115" t="s">
        <v>132</v>
      </c>
      <c r="U808" s="104">
        <f>_xlfn.IFNA(S808/INDEX('Exchange Rates'!$C$7:$F$14,MATCH('MAIN DATA, Orders'!F808,'Exchange Rates'!$B$7:$B$14,0),MATCH('MAIN DATA, Orders'!T808,'Exchange Rates'!$C$6:$F$6,0)), "-")</f>
        <v>200000000</v>
      </c>
      <c r="V808" s="4" t="s">
        <v>127</v>
      </c>
      <c r="W808" s="4" t="s">
        <v>127</v>
      </c>
      <c r="X808" s="4" t="s">
        <v>151</v>
      </c>
      <c r="Y808" s="24">
        <f t="shared" si="190"/>
        <v>202008</v>
      </c>
      <c r="Z808" s="115">
        <v>1</v>
      </c>
      <c r="AA808" s="115">
        <v>0</v>
      </c>
      <c r="AB808" s="115">
        <v>0</v>
      </c>
      <c r="AC808" s="115">
        <v>1</v>
      </c>
      <c r="AD808" s="115">
        <v>1</v>
      </c>
      <c r="AE808" s="115">
        <v>0</v>
      </c>
      <c r="AF808" s="115">
        <v>1</v>
      </c>
      <c r="AG808" s="4" t="s">
        <v>160</v>
      </c>
      <c r="AH808" s="4" t="s">
        <v>151</v>
      </c>
      <c r="AI808" s="4" t="s">
        <v>127</v>
      </c>
      <c r="AJ808" s="4" t="s">
        <v>127</v>
      </c>
      <c r="AK808" s="4" t="s">
        <v>127</v>
      </c>
      <c r="AL808" s="4" t="s">
        <v>127</v>
      </c>
      <c r="AM808" s="4" t="s">
        <v>127</v>
      </c>
      <c r="AN808" s="4" t="s">
        <v>128</v>
      </c>
      <c r="AO808" s="4" t="s">
        <v>162</v>
      </c>
      <c r="AP808" s="4" t="s">
        <v>127</v>
      </c>
      <c r="AQ808" s="4" t="s">
        <v>127</v>
      </c>
      <c r="AR808" s="4" t="s">
        <v>127</v>
      </c>
      <c r="AS808" s="4" t="s">
        <v>127</v>
      </c>
      <c r="AT808" s="4" t="s">
        <v>127</v>
      </c>
      <c r="AU808" s="4" t="s">
        <v>127</v>
      </c>
      <c r="AV808" s="4" t="s">
        <v>127</v>
      </c>
      <c r="AW808" s="4" t="s">
        <v>127</v>
      </c>
      <c r="AX808" s="4" t="s">
        <v>127</v>
      </c>
      <c r="AY808" s="111" t="s">
        <v>3980</v>
      </c>
      <c r="AZ808" s="111" t="s">
        <v>4023</v>
      </c>
      <c r="BA808" s="6" t="s">
        <v>127</v>
      </c>
      <c r="BB808" s="4" t="s">
        <v>4024</v>
      </c>
      <c r="BC808" s="4" t="s">
        <v>4025</v>
      </c>
      <c r="BD808" s="4" t="s">
        <v>127</v>
      </c>
      <c r="BE808" s="4" t="s">
        <v>127</v>
      </c>
    </row>
    <row r="809" spans="1:58" ht="16" x14ac:dyDescent="0.4">
      <c r="A809" s="4" t="s">
        <v>4026</v>
      </c>
      <c r="B809" s="4" t="s">
        <v>4026</v>
      </c>
      <c r="C809" s="4" t="s">
        <v>127</v>
      </c>
      <c r="D809" s="4" t="s">
        <v>151</v>
      </c>
      <c r="E809" s="189"/>
      <c r="F809" s="4">
        <v>2020</v>
      </c>
      <c r="G809" s="4" t="s">
        <v>4027</v>
      </c>
      <c r="H809" s="22" t="str">
        <f>VLOOKUP($G809,'Item Classification'!B:C,2,0)</f>
        <v>Naval reconnaissance drone</v>
      </c>
      <c r="I809" s="6" t="str">
        <f>VLOOKUP($G809,'Item Classification'!B:D,3,0)</f>
        <v>Drone</v>
      </c>
      <c r="J809" s="23">
        <f>VLOOKUP($G809,'Item Classification'!B:E,4,0)</f>
        <v>7</v>
      </c>
      <c r="K809" s="195" t="s">
        <v>130</v>
      </c>
      <c r="L809" s="195" t="s">
        <v>131</v>
      </c>
      <c r="M809" s="116" t="str">
        <f>VLOOKUP(L809,'NATO Classifications'!$D$6:$E$647,2,0)</f>
        <v>Unmanned Aircraft</v>
      </c>
      <c r="N809" s="4">
        <v>10</v>
      </c>
      <c r="O809" s="81"/>
      <c r="P809" s="81"/>
      <c r="Q809" s="4"/>
      <c r="R809" s="4"/>
      <c r="S809" s="103"/>
      <c r="T809" s="115" t="s">
        <v>132</v>
      </c>
      <c r="U809" s="104">
        <f>_xlfn.IFNA(S809/INDEX('Exchange Rates'!$C$7:$F$14,MATCH('MAIN DATA, Orders'!F809,'Exchange Rates'!$B$7:$B$14,0),MATCH('MAIN DATA, Orders'!T809,'Exchange Rates'!$C$6:$F$6,0)), "-")</f>
        <v>0</v>
      </c>
      <c r="V809" s="4" t="s">
        <v>127</v>
      </c>
      <c r="W809" s="4" t="s">
        <v>127</v>
      </c>
      <c r="X809" s="4" t="s">
        <v>151</v>
      </c>
      <c r="Y809" s="115" t="s">
        <v>127</v>
      </c>
      <c r="Z809" s="115" t="s">
        <v>127</v>
      </c>
      <c r="AA809" s="115" t="s">
        <v>127</v>
      </c>
      <c r="AB809" s="115" t="s">
        <v>127</v>
      </c>
      <c r="AC809" s="115" t="s">
        <v>127</v>
      </c>
      <c r="AD809" s="115" t="s">
        <v>127</v>
      </c>
      <c r="AE809" s="115" t="s">
        <v>127</v>
      </c>
      <c r="AF809" s="115" t="s">
        <v>127</v>
      </c>
      <c r="AG809" s="4" t="s">
        <v>127</v>
      </c>
      <c r="AH809" s="4" t="s">
        <v>127</v>
      </c>
      <c r="AI809" s="4" t="s">
        <v>127</v>
      </c>
      <c r="AJ809" s="4" t="s">
        <v>127</v>
      </c>
      <c r="AK809" s="4" t="s">
        <v>127</v>
      </c>
      <c r="AL809" s="4" t="s">
        <v>127</v>
      </c>
      <c r="AM809" s="4" t="s">
        <v>127</v>
      </c>
      <c r="AN809" s="4" t="s">
        <v>127</v>
      </c>
      <c r="AO809" s="4" t="s">
        <v>127</v>
      </c>
      <c r="AP809" s="4" t="s">
        <v>127</v>
      </c>
      <c r="AQ809" s="4" t="s">
        <v>127</v>
      </c>
      <c r="AR809" s="4" t="s">
        <v>127</v>
      </c>
      <c r="AS809" s="4" t="s">
        <v>127</v>
      </c>
      <c r="AT809" s="4" t="s">
        <v>127</v>
      </c>
      <c r="AU809" s="4" t="s">
        <v>127</v>
      </c>
      <c r="AV809" s="4" t="s">
        <v>127</v>
      </c>
      <c r="AW809" s="4" t="s">
        <v>127</v>
      </c>
      <c r="AX809" s="4" t="s">
        <v>127</v>
      </c>
      <c r="AY809" s="111" t="s">
        <v>3980</v>
      </c>
      <c r="AZ809" s="4" t="s">
        <v>127</v>
      </c>
      <c r="BA809" s="4" t="s">
        <v>127</v>
      </c>
      <c r="BB809" s="4" t="s">
        <v>127</v>
      </c>
      <c r="BC809" s="4" t="s">
        <v>127</v>
      </c>
      <c r="BD809" s="4" t="s">
        <v>127</v>
      </c>
      <c r="BE809" s="4" t="s">
        <v>127</v>
      </c>
    </row>
    <row r="810" spans="1:58" ht="16" x14ac:dyDescent="0.4">
      <c r="A810" s="4" t="s">
        <v>4028</v>
      </c>
      <c r="B810" s="4" t="s">
        <v>4028</v>
      </c>
      <c r="C810" s="4" t="s">
        <v>127</v>
      </c>
      <c r="D810" s="4" t="s">
        <v>151</v>
      </c>
      <c r="E810" s="189">
        <v>44285</v>
      </c>
      <c r="F810" s="4">
        <v>2021</v>
      </c>
      <c r="G810" s="4" t="s">
        <v>4029</v>
      </c>
      <c r="H810" s="22" t="str">
        <f>VLOOKUP($G810,'Item Classification'!B:C,2,0)</f>
        <v>Frigate</v>
      </c>
      <c r="I810" s="6" t="str">
        <f>VLOOKUP($G810,'Item Classification'!B:D,3,0)</f>
        <v>Naval</v>
      </c>
      <c r="J810" s="23">
        <f>VLOOKUP($G810,'Item Classification'!B:E,4,0)</f>
        <v>12</v>
      </c>
      <c r="K810" s="195" t="s">
        <v>143</v>
      </c>
      <c r="L810" s="195" t="s">
        <v>144</v>
      </c>
      <c r="M810" s="116" t="str">
        <f>VLOOKUP(L810,'NATO Classifications'!$D$6:$E$647,2,0)</f>
        <v>Combat Ships and Landing Vessels</v>
      </c>
      <c r="N810" s="4">
        <v>2</v>
      </c>
      <c r="O810" s="81"/>
      <c r="P810" s="81"/>
      <c r="Q810" s="4">
        <v>2025</v>
      </c>
      <c r="R810" s="4">
        <v>2025</v>
      </c>
      <c r="S810" s="103"/>
      <c r="T810" s="115" t="s">
        <v>132</v>
      </c>
      <c r="U810" s="104">
        <f>_xlfn.IFNA(S810/INDEX('Exchange Rates'!$C$7:$F$14,MATCH('MAIN DATA, Orders'!F810,'Exchange Rates'!$B$7:$B$14,0),MATCH('MAIN DATA, Orders'!T810,'Exchange Rates'!$C$6:$F$6,0)), "-")</f>
        <v>0</v>
      </c>
      <c r="V810" s="4" t="s">
        <v>3978</v>
      </c>
      <c r="W810" s="4" t="s">
        <v>127</v>
      </c>
      <c r="X810" s="4" t="s">
        <v>151</v>
      </c>
      <c r="Y810" s="24">
        <f t="shared" ref="Y810:Y811" si="191">_xlfn.NUMBERVALUE(_xlfn.CONCAT(YEAR(E810),TEXT(E810, "mm")))</f>
        <v>202103</v>
      </c>
      <c r="Z810" s="115">
        <v>1</v>
      </c>
      <c r="AA810" s="115">
        <v>0</v>
      </c>
      <c r="AB810" s="115">
        <v>0</v>
      </c>
      <c r="AC810" s="115">
        <v>1</v>
      </c>
      <c r="AD810" s="115">
        <v>1</v>
      </c>
      <c r="AE810" s="115">
        <v>0</v>
      </c>
      <c r="AF810" s="115">
        <v>1</v>
      </c>
      <c r="AG810" s="4" t="s">
        <v>4030</v>
      </c>
      <c r="AH810" s="4" t="s">
        <v>151</v>
      </c>
      <c r="AI810" s="4" t="s">
        <v>127</v>
      </c>
      <c r="AJ810" s="4" t="s">
        <v>148</v>
      </c>
      <c r="AK810" s="4" t="s">
        <v>475</v>
      </c>
      <c r="AL810" s="4" t="s">
        <v>127</v>
      </c>
      <c r="AM810" s="4" t="s">
        <v>127</v>
      </c>
      <c r="AN810" s="4" t="s">
        <v>238</v>
      </c>
      <c r="AO810" s="4" t="s">
        <v>197</v>
      </c>
      <c r="AP810" s="4" t="s">
        <v>128</v>
      </c>
      <c r="AQ810" s="4" t="s">
        <v>162</v>
      </c>
      <c r="AR810" s="4" t="s">
        <v>127</v>
      </c>
      <c r="AS810" s="4" t="s">
        <v>127</v>
      </c>
      <c r="AT810" s="4" t="s">
        <v>127</v>
      </c>
      <c r="AU810" s="4" t="s">
        <v>127</v>
      </c>
      <c r="AV810" s="4" t="s">
        <v>127</v>
      </c>
      <c r="AW810" s="4" t="s">
        <v>127</v>
      </c>
      <c r="AX810" s="4" t="s">
        <v>127</v>
      </c>
      <c r="AY810" s="111" t="s">
        <v>4031</v>
      </c>
      <c r="AZ810" s="111" t="s">
        <v>4032</v>
      </c>
      <c r="BA810" s="111" t="s">
        <v>4033</v>
      </c>
      <c r="BB810" s="4" t="s">
        <v>4034</v>
      </c>
      <c r="BC810" s="4" t="s">
        <v>4035</v>
      </c>
      <c r="BD810" s="4" t="s">
        <v>127</v>
      </c>
      <c r="BE810" s="4" t="s">
        <v>127</v>
      </c>
    </row>
    <row r="811" spans="1:58" ht="16" x14ac:dyDescent="0.4">
      <c r="A811" s="4" t="s">
        <v>4036</v>
      </c>
      <c r="B811" s="4" t="s">
        <v>4036</v>
      </c>
      <c r="C811" s="4" t="s">
        <v>127</v>
      </c>
      <c r="D811" s="4" t="s">
        <v>151</v>
      </c>
      <c r="E811" s="189">
        <v>44553</v>
      </c>
      <c r="F811" s="4">
        <v>2021</v>
      </c>
      <c r="G811" s="4" t="s">
        <v>4037</v>
      </c>
      <c r="H811" s="22" t="str">
        <f>VLOOKUP($G811,'Item Classification'!B:C,2,0)</f>
        <v>Attack helicopter</v>
      </c>
      <c r="I811" s="6" t="str">
        <f>VLOOKUP($G811,'Item Classification'!B:D,3,0)</f>
        <v>Helicopter</v>
      </c>
      <c r="J811" s="23">
        <f>VLOOKUP($G811,'Item Classification'!B:E,4,0)</f>
        <v>10</v>
      </c>
      <c r="K811" s="195" t="s">
        <v>130</v>
      </c>
      <c r="L811" s="195" t="s">
        <v>266</v>
      </c>
      <c r="M811" s="116" t="str">
        <f>VLOOKUP(L811,'NATO Classifications'!$D$6:$E$647,2,0)</f>
        <v>Aircraft, Rotary Wing</v>
      </c>
      <c r="N811" s="4">
        <v>30</v>
      </c>
      <c r="O811" s="81"/>
      <c r="P811" s="81"/>
      <c r="Q811" s="4">
        <v>2027</v>
      </c>
      <c r="R811" s="4"/>
      <c r="S811" s="103"/>
      <c r="T811" s="115" t="s">
        <v>132</v>
      </c>
      <c r="U811" s="104">
        <f>_xlfn.IFNA(S811/INDEX('Exchange Rates'!$C$7:$F$14,MATCH('MAIN DATA, Orders'!F811,'Exchange Rates'!$B$7:$B$14,0),MATCH('MAIN DATA, Orders'!T811,'Exchange Rates'!$C$6:$F$6,0)), "-")</f>
        <v>0</v>
      </c>
      <c r="V811" s="4" t="s">
        <v>3978</v>
      </c>
      <c r="W811" s="4" t="s">
        <v>127</v>
      </c>
      <c r="X811" s="4" t="s">
        <v>151</v>
      </c>
      <c r="Y811" s="24">
        <f t="shared" si="191"/>
        <v>202112</v>
      </c>
      <c r="Z811" s="115">
        <v>1</v>
      </c>
      <c r="AA811" s="115">
        <v>0</v>
      </c>
      <c r="AB811" s="115">
        <v>0</v>
      </c>
      <c r="AC811" s="115">
        <v>1</v>
      </c>
      <c r="AD811" s="115">
        <v>1</v>
      </c>
      <c r="AE811" s="115">
        <v>0</v>
      </c>
      <c r="AF811" s="115">
        <v>1</v>
      </c>
      <c r="AG811" s="4" t="s">
        <v>267</v>
      </c>
      <c r="AH811" s="4" t="s">
        <v>128</v>
      </c>
      <c r="AI811" s="4" t="s">
        <v>127</v>
      </c>
      <c r="AJ811" s="4" t="s">
        <v>127</v>
      </c>
      <c r="AK811" s="4" t="s">
        <v>127</v>
      </c>
      <c r="AL811" s="4" t="s">
        <v>127</v>
      </c>
      <c r="AM811" s="4" t="s">
        <v>127</v>
      </c>
      <c r="AN811" s="4" t="s">
        <v>151</v>
      </c>
      <c r="AO811" s="4" t="s">
        <v>197</v>
      </c>
      <c r="AP811" s="4" t="s">
        <v>146</v>
      </c>
      <c r="AQ811" s="4" t="s">
        <v>127</v>
      </c>
      <c r="AR811" s="4" t="s">
        <v>127</v>
      </c>
      <c r="AS811" s="4" t="s">
        <v>127</v>
      </c>
      <c r="AT811" s="4" t="s">
        <v>127</v>
      </c>
      <c r="AU811" s="4" t="s">
        <v>127</v>
      </c>
      <c r="AV811" s="4" t="s">
        <v>127</v>
      </c>
      <c r="AW811" s="4" t="s">
        <v>127</v>
      </c>
      <c r="AX811" s="4" t="s">
        <v>127</v>
      </c>
      <c r="AY811" s="111" t="s">
        <v>4031</v>
      </c>
      <c r="AZ811" s="111" t="s">
        <v>4038</v>
      </c>
      <c r="BA811" s="111" t="s">
        <v>4039</v>
      </c>
      <c r="BB811" s="4" t="s">
        <v>4040</v>
      </c>
      <c r="BC811" s="4" t="s">
        <v>4041</v>
      </c>
      <c r="BD811" s="4" t="s">
        <v>127</v>
      </c>
      <c r="BE811" s="4"/>
    </row>
    <row r="812" spans="1:58" ht="16" x14ac:dyDescent="0.4">
      <c r="A812" s="4" t="s">
        <v>4042</v>
      </c>
      <c r="B812" s="4" t="s">
        <v>4042</v>
      </c>
      <c r="C812" s="4" t="s">
        <v>357</v>
      </c>
      <c r="D812" s="4" t="s">
        <v>151</v>
      </c>
      <c r="E812" s="189"/>
      <c r="F812" s="4">
        <v>2021</v>
      </c>
      <c r="G812" s="4" t="s">
        <v>4043</v>
      </c>
      <c r="H812" s="22" t="str">
        <f>VLOOKUP($G812,'Item Classification'!B:C,2,0)</f>
        <v>Reconnaisance drone</v>
      </c>
      <c r="I812" s="6" t="str">
        <f>VLOOKUP($G812,'Item Classification'!B:D,3,0)</f>
        <v>Drone</v>
      </c>
      <c r="J812" s="23">
        <f>VLOOKUP($G812,'Item Classification'!B:E,4,0)</f>
        <v>7</v>
      </c>
      <c r="K812" s="195" t="s">
        <v>130</v>
      </c>
      <c r="L812" s="195" t="s">
        <v>131</v>
      </c>
      <c r="M812" s="116" t="str">
        <f>VLOOKUP(L812,'NATO Classifications'!$D$6:$E$647,2,0)</f>
        <v>Unmanned Aircraft</v>
      </c>
      <c r="N812" s="4">
        <v>4</v>
      </c>
      <c r="O812" s="81">
        <f t="shared" ref="O812:O854" si="192">S812/N812</f>
        <v>355000000</v>
      </c>
      <c r="P812" s="81">
        <f t="shared" ref="P812:P854" si="193">U812/N812</f>
        <v>355000000</v>
      </c>
      <c r="Q812" s="4">
        <v>2024</v>
      </c>
      <c r="R812" s="4"/>
      <c r="S812" s="103">
        <v>1420000000</v>
      </c>
      <c r="T812" s="115" t="s">
        <v>132</v>
      </c>
      <c r="U812" s="104">
        <f>_xlfn.IFNA(S812/INDEX('Exchange Rates'!$C$7:$F$14,MATCH('MAIN DATA, Orders'!F812,'Exchange Rates'!$B$7:$B$14,0),MATCH('MAIN DATA, Orders'!T812,'Exchange Rates'!$C$6:$F$6,0)), "-")</f>
        <v>1420000000</v>
      </c>
      <c r="V812" s="4" t="s">
        <v>3978</v>
      </c>
      <c r="W812" s="4" t="s">
        <v>127</v>
      </c>
      <c r="X812" s="4" t="s">
        <v>151</v>
      </c>
      <c r="Y812" s="115" t="s">
        <v>127</v>
      </c>
      <c r="Z812" s="115">
        <v>1</v>
      </c>
      <c r="AA812" s="115">
        <v>0</v>
      </c>
      <c r="AB812" s="115">
        <v>0</v>
      </c>
      <c r="AC812" s="115">
        <v>1</v>
      </c>
      <c r="AD812" s="115">
        <v>1</v>
      </c>
      <c r="AE812" s="115">
        <v>0</v>
      </c>
      <c r="AF812" s="115">
        <v>1</v>
      </c>
      <c r="AG812" s="4" t="s">
        <v>136</v>
      </c>
      <c r="AH812" s="4" t="s">
        <v>128</v>
      </c>
      <c r="AI812" s="4" t="s">
        <v>127</v>
      </c>
      <c r="AJ812" s="4" t="s">
        <v>359</v>
      </c>
      <c r="AK812" s="4" t="s">
        <v>360</v>
      </c>
      <c r="AL812" s="4" t="s">
        <v>4044</v>
      </c>
      <c r="AM812" s="4" t="s">
        <v>127</v>
      </c>
      <c r="AN812" s="4" t="s">
        <v>151</v>
      </c>
      <c r="AO812" s="4" t="s">
        <v>197</v>
      </c>
      <c r="AP812" s="4" t="s">
        <v>162</v>
      </c>
      <c r="AQ812" s="4" t="s">
        <v>127</v>
      </c>
      <c r="AR812" s="4" t="s">
        <v>127</v>
      </c>
      <c r="AS812" s="4" t="s">
        <v>127</v>
      </c>
      <c r="AT812" s="4" t="s">
        <v>127</v>
      </c>
      <c r="AU812" s="4" t="s">
        <v>127</v>
      </c>
      <c r="AV812" s="4" t="s">
        <v>127</v>
      </c>
      <c r="AW812" s="4" t="s">
        <v>127</v>
      </c>
      <c r="AX812" s="4" t="s">
        <v>127</v>
      </c>
      <c r="AY812" s="111" t="s">
        <v>4031</v>
      </c>
      <c r="AZ812" s="111" t="s">
        <v>4045</v>
      </c>
      <c r="BA812" s="113" t="s">
        <v>4046</v>
      </c>
      <c r="BB812" s="4" t="s">
        <v>4047</v>
      </c>
      <c r="BC812" s="4" t="s">
        <v>4048</v>
      </c>
      <c r="BD812" s="4" t="s">
        <v>4049</v>
      </c>
      <c r="BE812" s="4" t="s">
        <v>4050</v>
      </c>
      <c r="BF812" s="6" t="s">
        <v>127</v>
      </c>
    </row>
    <row r="813" spans="1:58" ht="16" x14ac:dyDescent="0.4">
      <c r="A813" s="4" t="s">
        <v>4051</v>
      </c>
      <c r="B813" s="4" t="s">
        <v>4051</v>
      </c>
      <c r="C813" s="4" t="s">
        <v>127</v>
      </c>
      <c r="D813" s="4" t="s">
        <v>151</v>
      </c>
      <c r="E813" s="189"/>
      <c r="F813" s="4">
        <v>2021</v>
      </c>
      <c r="G813" s="4" t="s">
        <v>4052</v>
      </c>
      <c r="H813" s="22" t="str">
        <f>VLOOKUP($G813,'Item Classification'!B:C,2,0)</f>
        <v>Anti-ship missile</v>
      </c>
      <c r="I813" s="6" t="str">
        <f>VLOOKUP($G813,'Item Classification'!B:D,3,0)</f>
        <v>Missile (Naval)</v>
      </c>
      <c r="J813" s="23">
        <f>VLOOKUP($G813,'Item Classification'!B:E,4,0)</f>
        <v>6</v>
      </c>
      <c r="K813" s="195" t="s">
        <v>211</v>
      </c>
      <c r="L813" s="195" t="s">
        <v>211</v>
      </c>
      <c r="M813" s="116" t="str">
        <f>VLOOKUP(L813,'NATO Classifications'!$D$6:$E$647,2,0)</f>
        <v>Guided Missiles</v>
      </c>
      <c r="N813" s="4">
        <v>45</v>
      </c>
      <c r="O813" s="81"/>
      <c r="P813" s="81"/>
      <c r="Q813" s="4"/>
      <c r="R813" s="4"/>
      <c r="S813" s="103"/>
      <c r="T813" s="115" t="s">
        <v>132</v>
      </c>
      <c r="U813" s="104">
        <f>_xlfn.IFNA(S813/INDEX('Exchange Rates'!$C$7:$F$14,MATCH('MAIN DATA, Orders'!F813,'Exchange Rates'!$B$7:$B$14,0),MATCH('MAIN DATA, Orders'!T813,'Exchange Rates'!$C$6:$F$6,0)), "-")</f>
        <v>0</v>
      </c>
      <c r="V813" s="4" t="s">
        <v>127</v>
      </c>
      <c r="W813" s="4" t="s">
        <v>127</v>
      </c>
      <c r="X813" s="4" t="s">
        <v>151</v>
      </c>
      <c r="Y813" s="115" t="s">
        <v>127</v>
      </c>
      <c r="Z813" s="115" t="s">
        <v>127</v>
      </c>
      <c r="AA813" s="115" t="s">
        <v>127</v>
      </c>
      <c r="AB813" s="115" t="s">
        <v>127</v>
      </c>
      <c r="AC813" s="115" t="s">
        <v>127</v>
      </c>
      <c r="AD813" s="115" t="s">
        <v>127</v>
      </c>
      <c r="AE813" s="115" t="s">
        <v>127</v>
      </c>
      <c r="AF813" s="115" t="s">
        <v>127</v>
      </c>
      <c r="AG813" s="4" t="s">
        <v>127</v>
      </c>
      <c r="AH813" s="4" t="s">
        <v>127</v>
      </c>
      <c r="AI813" s="4" t="s">
        <v>127</v>
      </c>
      <c r="AJ813" s="4" t="s">
        <v>127</v>
      </c>
      <c r="AK813" s="4" t="s">
        <v>127</v>
      </c>
      <c r="AL813" s="4" t="s">
        <v>127</v>
      </c>
      <c r="AM813" s="4" t="s">
        <v>127</v>
      </c>
      <c r="AN813" s="4" t="s">
        <v>127</v>
      </c>
      <c r="AO813" s="4" t="s">
        <v>127</v>
      </c>
      <c r="AP813" s="4" t="s">
        <v>127</v>
      </c>
      <c r="AQ813" s="4" t="s">
        <v>127</v>
      </c>
      <c r="AR813" s="4" t="s">
        <v>127</v>
      </c>
      <c r="AS813" s="4" t="s">
        <v>127</v>
      </c>
      <c r="AT813" s="4" t="s">
        <v>127</v>
      </c>
      <c r="AU813" s="4" t="s">
        <v>127</v>
      </c>
      <c r="AV813" s="4" t="s">
        <v>127</v>
      </c>
      <c r="AW813" s="4" t="s">
        <v>127</v>
      </c>
      <c r="AX813" s="4" t="s">
        <v>127</v>
      </c>
      <c r="AY813" s="111" t="s">
        <v>4031</v>
      </c>
      <c r="AZ813" s="4" t="s">
        <v>127</v>
      </c>
      <c r="BA813" s="4" t="s">
        <v>127</v>
      </c>
      <c r="BB813" s="4" t="s">
        <v>127</v>
      </c>
      <c r="BC813" s="4" t="s">
        <v>127</v>
      </c>
      <c r="BD813" s="4" t="s">
        <v>127</v>
      </c>
      <c r="BE813" s="4" t="s">
        <v>127</v>
      </c>
    </row>
    <row r="814" spans="1:58" ht="15.75" customHeight="1" x14ac:dyDescent="0.4">
      <c r="A814" s="4" t="s">
        <v>4053</v>
      </c>
      <c r="B814" s="4" t="s">
        <v>4053</v>
      </c>
      <c r="C814" s="4" t="s">
        <v>127</v>
      </c>
      <c r="D814" s="4" t="s">
        <v>151</v>
      </c>
      <c r="E814" s="189"/>
      <c r="F814" s="4">
        <v>2021</v>
      </c>
      <c r="G814" s="4" t="s">
        <v>4054</v>
      </c>
      <c r="H814" s="22" t="str">
        <f>VLOOKUP($G814,'Item Classification'!B:C,2,0)</f>
        <v>Armoured personnel carrier (APC)</v>
      </c>
      <c r="I814" s="6" t="str">
        <f>VLOOKUP($G814,'Item Classification'!B:D,3,0)</f>
        <v>Armoured vehicle</v>
      </c>
      <c r="J814" s="23">
        <f>VLOOKUP($G814,'Item Classification'!B:E,4,0)</f>
        <v>2</v>
      </c>
      <c r="K814" s="195" t="s">
        <v>274</v>
      </c>
      <c r="L814" s="195" t="s">
        <v>493</v>
      </c>
      <c r="M814" s="116" t="str">
        <f>VLOOKUP(L814,'NATO Classifications'!$D$6:$E$647,2,0)</f>
        <v>Combat, Assault, and Tactical Vehicles, Wheeled</v>
      </c>
      <c r="N814" s="4">
        <v>120</v>
      </c>
      <c r="O814" s="81"/>
      <c r="P814" s="81"/>
      <c r="Q814" s="4"/>
      <c r="R814" s="4"/>
      <c r="S814" s="103"/>
      <c r="T814" s="115" t="s">
        <v>132</v>
      </c>
      <c r="U814" s="104">
        <f>_xlfn.IFNA(S814/INDEX('Exchange Rates'!$C$7:$F$14,MATCH('MAIN DATA, Orders'!F814,'Exchange Rates'!$B$7:$B$14,0),MATCH('MAIN DATA, Orders'!T814,'Exchange Rates'!$C$6:$F$6,0)), "-")</f>
        <v>0</v>
      </c>
      <c r="V814" s="4" t="s">
        <v>127</v>
      </c>
      <c r="W814" s="4" t="s">
        <v>127</v>
      </c>
      <c r="X814" s="4" t="s">
        <v>151</v>
      </c>
      <c r="Y814" s="115" t="s">
        <v>127</v>
      </c>
      <c r="Z814" s="115" t="s">
        <v>127</v>
      </c>
      <c r="AA814" s="115" t="s">
        <v>127</v>
      </c>
      <c r="AB814" s="115" t="s">
        <v>127</v>
      </c>
      <c r="AC814" s="115" t="s">
        <v>127</v>
      </c>
      <c r="AD814" s="115" t="s">
        <v>127</v>
      </c>
      <c r="AE814" s="115" t="s">
        <v>127</v>
      </c>
      <c r="AF814" s="115" t="s">
        <v>127</v>
      </c>
      <c r="AG814" s="4" t="s">
        <v>127</v>
      </c>
      <c r="AH814" s="4" t="s">
        <v>127</v>
      </c>
      <c r="AI814" s="4" t="s">
        <v>127</v>
      </c>
      <c r="AJ814" s="4" t="s">
        <v>127</v>
      </c>
      <c r="AK814" s="4" t="s">
        <v>127</v>
      </c>
      <c r="AL814" s="4" t="s">
        <v>127</v>
      </c>
      <c r="AM814" s="4" t="s">
        <v>127</v>
      </c>
      <c r="AN814" s="4" t="s">
        <v>127</v>
      </c>
      <c r="AO814" s="4" t="s">
        <v>127</v>
      </c>
      <c r="AP814" s="4" t="s">
        <v>127</v>
      </c>
      <c r="AQ814" s="4" t="s">
        <v>127</v>
      </c>
      <c r="AR814" s="4" t="s">
        <v>127</v>
      </c>
      <c r="AS814" s="4" t="s">
        <v>127</v>
      </c>
      <c r="AT814" s="4" t="s">
        <v>127</v>
      </c>
      <c r="AU814" s="4" t="s">
        <v>127</v>
      </c>
      <c r="AV814" s="4" t="s">
        <v>127</v>
      </c>
      <c r="AW814" s="4" t="s">
        <v>127</v>
      </c>
      <c r="AX814" s="4" t="s">
        <v>127</v>
      </c>
      <c r="AY814" s="111" t="s">
        <v>4031</v>
      </c>
      <c r="AZ814" s="4" t="s">
        <v>127</v>
      </c>
      <c r="BA814" s="4" t="s">
        <v>127</v>
      </c>
      <c r="BB814" s="4" t="s">
        <v>127</v>
      </c>
      <c r="BC814" s="4" t="s">
        <v>127</v>
      </c>
      <c r="BD814" s="4" t="s">
        <v>127</v>
      </c>
      <c r="BE814" s="4" t="s">
        <v>127</v>
      </c>
    </row>
    <row r="815" spans="1:58" ht="16" x14ac:dyDescent="0.4">
      <c r="A815" s="4" t="s">
        <v>4055</v>
      </c>
      <c r="B815" s="4" t="s">
        <v>4055</v>
      </c>
      <c r="C815" s="4" t="s">
        <v>3976</v>
      </c>
      <c r="D815" s="4" t="s">
        <v>151</v>
      </c>
      <c r="E815" s="189">
        <v>44348</v>
      </c>
      <c r="F815" s="4">
        <v>2021</v>
      </c>
      <c r="G815" s="108" t="s">
        <v>4056</v>
      </c>
      <c r="H815" s="22" t="str">
        <f>VLOOKUP($G815,'Item Classification'!B:C,2,0)</f>
        <v>Main Battle Tank (MBT)</v>
      </c>
      <c r="I815" s="6" t="str">
        <f>VLOOKUP($G815,'Item Classification'!B:D,3,0)</f>
        <v>Tank</v>
      </c>
      <c r="J815" s="23">
        <f>VLOOKUP($G815,'Item Classification'!B:E,4,0)</f>
        <v>1</v>
      </c>
      <c r="K815" s="195" t="s">
        <v>274</v>
      </c>
      <c r="L815" s="195" t="s">
        <v>329</v>
      </c>
      <c r="M815" s="116" t="str">
        <f>VLOOKUP(L815,'NATO Classifications'!$D$6:$E$647,2,0)</f>
        <v>Combat, Assault, and Tactical Vehicles, Tracked</v>
      </c>
      <c r="N815" s="4">
        <v>50</v>
      </c>
      <c r="O815" s="81"/>
      <c r="P815" s="81"/>
      <c r="Q815" s="4">
        <v>2022</v>
      </c>
      <c r="R815" s="4">
        <v>2024</v>
      </c>
      <c r="S815" s="103"/>
      <c r="T815" s="115" t="s">
        <v>132</v>
      </c>
      <c r="U815" s="104">
        <f>_xlfn.IFNA(S815/INDEX('Exchange Rates'!$C$7:$F$14,MATCH('MAIN DATA, Orders'!F815,'Exchange Rates'!$B$7:$B$14,0),MATCH('MAIN DATA, Orders'!T815,'Exchange Rates'!$C$6:$F$6,0)), "-")</f>
        <v>0</v>
      </c>
      <c r="V815" s="4" t="s">
        <v>127</v>
      </c>
      <c r="W815" s="4" t="s">
        <v>127</v>
      </c>
      <c r="X815" s="4" t="s">
        <v>151</v>
      </c>
      <c r="Y815" s="24">
        <f t="shared" ref="Y815" si="194">_xlfn.NUMBERVALUE(_xlfn.CONCAT(YEAR(E815),TEXT(E815, "mm")))</f>
        <v>202106</v>
      </c>
      <c r="Z815" s="115">
        <v>1</v>
      </c>
      <c r="AA815" s="115">
        <v>0</v>
      </c>
      <c r="AB815" s="115">
        <v>0</v>
      </c>
      <c r="AC815" s="115">
        <v>1</v>
      </c>
      <c r="AD815" s="115">
        <v>0</v>
      </c>
      <c r="AE815" s="115">
        <v>0</v>
      </c>
      <c r="AF815" s="115">
        <v>0</v>
      </c>
      <c r="AG815" s="4" t="s">
        <v>4057</v>
      </c>
      <c r="AH815" s="4" t="s">
        <v>151</v>
      </c>
      <c r="AI815" s="4" t="s">
        <v>127</v>
      </c>
      <c r="AJ815" s="4" t="s">
        <v>127</v>
      </c>
      <c r="AK815" s="4" t="s">
        <v>127</v>
      </c>
      <c r="AL815" s="4" t="s">
        <v>127</v>
      </c>
      <c r="AM815" s="4" t="s">
        <v>127</v>
      </c>
      <c r="AN815" s="4" t="s">
        <v>127</v>
      </c>
      <c r="AO815" s="4" t="s">
        <v>127</v>
      </c>
      <c r="AP815" s="4" t="s">
        <v>127</v>
      </c>
      <c r="AQ815" s="4" t="s">
        <v>127</v>
      </c>
      <c r="AR815" s="4" t="s">
        <v>127</v>
      </c>
      <c r="AS815" s="4" t="s">
        <v>127</v>
      </c>
      <c r="AT815" s="4" t="s">
        <v>127</v>
      </c>
      <c r="AU815" s="4" t="s">
        <v>127</v>
      </c>
      <c r="AV815" s="4" t="s">
        <v>127</v>
      </c>
      <c r="AW815" s="4" t="s">
        <v>127</v>
      </c>
      <c r="AX815" s="4" t="s">
        <v>127</v>
      </c>
      <c r="AY815" s="111" t="s">
        <v>4031</v>
      </c>
      <c r="AZ815" s="111" t="s">
        <v>4058</v>
      </c>
      <c r="BA815" s="4" t="s">
        <v>127</v>
      </c>
      <c r="BB815" s="4" t="s">
        <v>4059</v>
      </c>
      <c r="BC815" s="4" t="s">
        <v>127</v>
      </c>
      <c r="BD815" s="4" t="s">
        <v>127</v>
      </c>
      <c r="BE815" s="4" t="s">
        <v>127</v>
      </c>
    </row>
    <row r="816" spans="1:58" ht="16" x14ac:dyDescent="0.4">
      <c r="A816" s="4" t="s">
        <v>4060</v>
      </c>
      <c r="B816" s="4" t="s">
        <v>4060</v>
      </c>
      <c r="C816" s="4" t="s">
        <v>127</v>
      </c>
      <c r="D816" s="4" t="s">
        <v>151</v>
      </c>
      <c r="E816" s="189"/>
      <c r="F816" s="4">
        <v>2021</v>
      </c>
      <c r="G816" s="4" t="s">
        <v>4061</v>
      </c>
      <c r="H816" s="22" t="str">
        <f>VLOOKUP($G816,'Item Classification'!B:C,2,0)</f>
        <v>Anti-tank missile</v>
      </c>
      <c r="I816" s="6" t="str">
        <f>VLOOKUP($G816,'Item Classification'!B:D,3,0)</f>
        <v>Missile (Land)</v>
      </c>
      <c r="J816" s="23">
        <f>VLOOKUP($G816,'Item Classification'!B:E,4,0)</f>
        <v>6</v>
      </c>
      <c r="K816" s="195" t="s">
        <v>211</v>
      </c>
      <c r="L816" s="195" t="s">
        <v>1576</v>
      </c>
      <c r="M816" s="116" t="str">
        <f>VLOOKUP(L816,'NATO Classifications'!$D$6:$E$647,2,0)</f>
        <v>Launchers, Guided Missile</v>
      </c>
      <c r="N816" s="4">
        <v>14</v>
      </c>
      <c r="O816" s="81"/>
      <c r="P816" s="81"/>
      <c r="Q816" s="4"/>
      <c r="R816" s="4"/>
      <c r="S816" s="103"/>
      <c r="T816" s="115" t="s">
        <v>132</v>
      </c>
      <c r="U816" s="104">
        <f>_xlfn.IFNA(S816/INDEX('Exchange Rates'!$C$7:$F$14,MATCH('MAIN DATA, Orders'!F816,'Exchange Rates'!$B$7:$B$14,0),MATCH('MAIN DATA, Orders'!T816,'Exchange Rates'!$C$6:$F$6,0)), "-")</f>
        <v>0</v>
      </c>
      <c r="V816" s="4" t="s">
        <v>127</v>
      </c>
      <c r="W816" s="4" t="s">
        <v>127</v>
      </c>
      <c r="X816" s="4" t="s">
        <v>151</v>
      </c>
      <c r="Y816" s="115" t="s">
        <v>127</v>
      </c>
      <c r="Z816" s="115" t="s">
        <v>127</v>
      </c>
      <c r="AA816" s="115" t="s">
        <v>127</v>
      </c>
      <c r="AB816" s="115" t="s">
        <v>127</v>
      </c>
      <c r="AC816" s="115" t="s">
        <v>127</v>
      </c>
      <c r="AD816" s="115" t="s">
        <v>127</v>
      </c>
      <c r="AE816" s="115" t="s">
        <v>127</v>
      </c>
      <c r="AF816" s="115" t="s">
        <v>127</v>
      </c>
      <c r="AG816" s="4" t="s">
        <v>127</v>
      </c>
      <c r="AH816" s="4" t="s">
        <v>127</v>
      </c>
      <c r="AI816" s="4" t="s">
        <v>127</v>
      </c>
      <c r="AJ816" s="4" t="s">
        <v>127</v>
      </c>
      <c r="AK816" s="4" t="s">
        <v>127</v>
      </c>
      <c r="AL816" s="4" t="s">
        <v>127</v>
      </c>
      <c r="AM816" s="4" t="s">
        <v>127</v>
      </c>
      <c r="AN816" s="4" t="s">
        <v>127</v>
      </c>
      <c r="AO816" s="4" t="s">
        <v>127</v>
      </c>
      <c r="AP816" s="4" t="s">
        <v>127</v>
      </c>
      <c r="AQ816" s="4" t="s">
        <v>127</v>
      </c>
      <c r="AR816" s="4" t="s">
        <v>127</v>
      </c>
      <c r="AS816" s="4" t="s">
        <v>127</v>
      </c>
      <c r="AT816" s="4" t="s">
        <v>127</v>
      </c>
      <c r="AU816" s="4" t="s">
        <v>127</v>
      </c>
      <c r="AV816" s="4" t="s">
        <v>127</v>
      </c>
      <c r="AW816" s="4" t="s">
        <v>127</v>
      </c>
      <c r="AX816" s="4" t="s">
        <v>127</v>
      </c>
      <c r="AY816" s="111" t="s">
        <v>4031</v>
      </c>
      <c r="AZ816" s="4" t="s">
        <v>127</v>
      </c>
      <c r="BA816" s="4" t="s">
        <v>127</v>
      </c>
      <c r="BB816" s="4" t="s">
        <v>127</v>
      </c>
      <c r="BC816" s="4" t="s">
        <v>127</v>
      </c>
      <c r="BD816" s="4" t="s">
        <v>127</v>
      </c>
      <c r="BE816" s="4" t="s">
        <v>127</v>
      </c>
    </row>
    <row r="817" spans="1:57" ht="16" x14ac:dyDescent="0.4">
      <c r="A817" s="4" t="s">
        <v>4062</v>
      </c>
      <c r="B817" s="4" t="s">
        <v>4062</v>
      </c>
      <c r="C817" s="4" t="s">
        <v>127</v>
      </c>
      <c r="D817" s="4" t="s">
        <v>151</v>
      </c>
      <c r="E817" s="189"/>
      <c r="F817" s="4">
        <v>2021</v>
      </c>
      <c r="G817" s="4" t="s">
        <v>4063</v>
      </c>
      <c r="H817" s="22" t="str">
        <f>VLOOKUP($G817,'Item Classification'!B:C,2,0)</f>
        <v>Light ISR aircraft</v>
      </c>
      <c r="I817" s="6" t="str">
        <f>VLOOKUP($G817,'Item Classification'!B:D,3,0)</f>
        <v>Aircraft</v>
      </c>
      <c r="J817" s="23">
        <f>VLOOKUP($G817,'Item Classification'!B:E,4,0)</f>
        <v>11</v>
      </c>
      <c r="K817" s="195" t="s">
        <v>130</v>
      </c>
      <c r="L817" s="195" t="s">
        <v>237</v>
      </c>
      <c r="M817" s="116" t="str">
        <f>VLOOKUP(L817,'NATO Classifications'!$D$6:$E$647,2,0)</f>
        <v>Aircraft, Fixed Wing</v>
      </c>
      <c r="N817" s="4">
        <v>1</v>
      </c>
      <c r="O817" s="81"/>
      <c r="P817" s="81"/>
      <c r="Q817" s="4"/>
      <c r="R817" s="4"/>
      <c r="S817" s="103"/>
      <c r="T817" s="115" t="s">
        <v>132</v>
      </c>
      <c r="U817" s="104">
        <f>_xlfn.IFNA(S817/INDEX('Exchange Rates'!$C$7:$F$14,MATCH('MAIN DATA, Orders'!F817,'Exchange Rates'!$B$7:$B$14,0),MATCH('MAIN DATA, Orders'!T817,'Exchange Rates'!$C$6:$F$6,0)), "-")</f>
        <v>0</v>
      </c>
      <c r="V817" s="4" t="s">
        <v>127</v>
      </c>
      <c r="W817" s="4" t="s">
        <v>127</v>
      </c>
      <c r="X817" s="4" t="s">
        <v>151</v>
      </c>
      <c r="Y817" s="115" t="s">
        <v>127</v>
      </c>
      <c r="Z817" s="115" t="s">
        <v>127</v>
      </c>
      <c r="AA817" s="115" t="s">
        <v>127</v>
      </c>
      <c r="AB817" s="115" t="s">
        <v>127</v>
      </c>
      <c r="AC817" s="115" t="s">
        <v>127</v>
      </c>
      <c r="AD817" s="115" t="s">
        <v>127</v>
      </c>
      <c r="AE817" s="115" t="s">
        <v>127</v>
      </c>
      <c r="AF817" s="115" t="s">
        <v>127</v>
      </c>
      <c r="AG817" s="4" t="s">
        <v>127</v>
      </c>
      <c r="AH817" s="4" t="s">
        <v>127</v>
      </c>
      <c r="AI817" s="4" t="s">
        <v>127</v>
      </c>
      <c r="AJ817" s="4" t="s">
        <v>127</v>
      </c>
      <c r="AK817" s="4" t="s">
        <v>127</v>
      </c>
      <c r="AL817" s="4" t="s">
        <v>127</v>
      </c>
      <c r="AM817" s="4" t="s">
        <v>127</v>
      </c>
      <c r="AN817" s="4" t="s">
        <v>127</v>
      </c>
      <c r="AO817" s="4" t="s">
        <v>127</v>
      </c>
      <c r="AP817" s="4" t="s">
        <v>127</v>
      </c>
      <c r="AQ817" s="4" t="s">
        <v>127</v>
      </c>
      <c r="AR817" s="4" t="s">
        <v>127</v>
      </c>
      <c r="AS817" s="4" t="s">
        <v>127</v>
      </c>
      <c r="AT817" s="4" t="s">
        <v>127</v>
      </c>
      <c r="AU817" s="4" t="s">
        <v>127</v>
      </c>
      <c r="AV817" s="4" t="s">
        <v>127</v>
      </c>
      <c r="AW817" s="4" t="s">
        <v>127</v>
      </c>
      <c r="AX817" s="4" t="s">
        <v>127</v>
      </c>
      <c r="AY817" s="111" t="s">
        <v>4031</v>
      </c>
      <c r="AZ817" s="4" t="s">
        <v>127</v>
      </c>
      <c r="BA817" s="4" t="s">
        <v>127</v>
      </c>
      <c r="BB817" s="4" t="s">
        <v>127</v>
      </c>
      <c r="BC817" s="4" t="s">
        <v>127</v>
      </c>
      <c r="BD817" s="4" t="s">
        <v>127</v>
      </c>
      <c r="BE817" s="4" t="s">
        <v>127</v>
      </c>
    </row>
    <row r="818" spans="1:57" ht="16" x14ac:dyDescent="0.4">
      <c r="A818" s="4" t="s">
        <v>4064</v>
      </c>
      <c r="B818" s="4" t="s">
        <v>4064</v>
      </c>
      <c r="C818" s="4" t="s">
        <v>127</v>
      </c>
      <c r="D818" s="4" t="s">
        <v>151</v>
      </c>
      <c r="E818" s="189"/>
      <c r="F818" s="4">
        <v>2021</v>
      </c>
      <c r="G818" s="4" t="s">
        <v>3991</v>
      </c>
      <c r="H818" s="22" t="str">
        <f>VLOOKUP($G818,'Item Classification'!B:C,2,0)</f>
        <v>Small Arms and Light Weapons (SALW)</v>
      </c>
      <c r="I818" s="6" t="str">
        <f>VLOOKUP($G818,'Item Classification'!B:D,3,0)</f>
        <v>Infantry</v>
      </c>
      <c r="J818" s="23">
        <f>VLOOKUP($G818,'Item Classification'!B:E,4,0)</f>
        <v>8</v>
      </c>
      <c r="K818" s="195" t="s">
        <v>763</v>
      </c>
      <c r="L818" s="195" t="s">
        <v>764</v>
      </c>
      <c r="M818" s="116" t="str">
        <f>VLOOKUP(L818,'NATO Classifications'!$D$6:$E$647,2,0)</f>
        <v>Guns below 75mm</v>
      </c>
      <c r="N818" s="4">
        <v>12000</v>
      </c>
      <c r="O818" s="81"/>
      <c r="P818" s="81"/>
      <c r="Q818" s="4"/>
      <c r="R818" s="4"/>
      <c r="S818" s="103"/>
      <c r="T818" s="115" t="s">
        <v>132</v>
      </c>
      <c r="U818" s="104">
        <f>_xlfn.IFNA(S818/INDEX('Exchange Rates'!$C$7:$F$14,MATCH('MAIN DATA, Orders'!F818,'Exchange Rates'!$B$7:$B$14,0),MATCH('MAIN DATA, Orders'!T818,'Exchange Rates'!$C$6:$F$6,0)), "-")</f>
        <v>0</v>
      </c>
      <c r="V818" s="4" t="s">
        <v>3978</v>
      </c>
      <c r="W818" s="4" t="s">
        <v>127</v>
      </c>
      <c r="X818" s="4" t="s">
        <v>151</v>
      </c>
      <c r="Y818" s="115" t="s">
        <v>127</v>
      </c>
      <c r="Z818" s="115">
        <v>1</v>
      </c>
      <c r="AA818" s="115">
        <v>0</v>
      </c>
      <c r="AB818" s="115">
        <v>0</v>
      </c>
      <c r="AC818" s="115">
        <v>1</v>
      </c>
      <c r="AD818" s="115">
        <v>1</v>
      </c>
      <c r="AE818" s="115">
        <v>0</v>
      </c>
      <c r="AF818" s="115">
        <v>1</v>
      </c>
      <c r="AG818" s="4" t="s">
        <v>3992</v>
      </c>
      <c r="AH818" s="4" t="s">
        <v>128</v>
      </c>
      <c r="AI818" s="4" t="s">
        <v>127</v>
      </c>
      <c r="AJ818" s="4" t="s">
        <v>3993</v>
      </c>
      <c r="AK818" s="4" t="s">
        <v>127</v>
      </c>
      <c r="AL818" s="4" t="s">
        <v>127</v>
      </c>
      <c r="AM818" s="4" t="s">
        <v>127</v>
      </c>
      <c r="AN818" s="4" t="s">
        <v>151</v>
      </c>
      <c r="AO818" s="4" t="s">
        <v>127</v>
      </c>
      <c r="AP818" s="4" t="s">
        <v>127</v>
      </c>
      <c r="AQ818" s="4" t="s">
        <v>127</v>
      </c>
      <c r="AR818" s="4" t="s">
        <v>127</v>
      </c>
      <c r="AS818" s="4" t="s">
        <v>127</v>
      </c>
      <c r="AT818" s="4" t="s">
        <v>127</v>
      </c>
      <c r="AU818" s="4" t="s">
        <v>127</v>
      </c>
      <c r="AV818" s="4" t="s">
        <v>127</v>
      </c>
      <c r="AW818" s="4" t="s">
        <v>127</v>
      </c>
      <c r="AX818" s="4" t="s">
        <v>127</v>
      </c>
      <c r="AY818" s="111" t="s">
        <v>4031</v>
      </c>
      <c r="AZ818" s="111" t="s">
        <v>4065</v>
      </c>
      <c r="BA818" s="4" t="s">
        <v>127</v>
      </c>
      <c r="BB818" s="4" t="s">
        <v>4066</v>
      </c>
      <c r="BC818" s="4" t="s">
        <v>127</v>
      </c>
      <c r="BD818" s="4" t="s">
        <v>127</v>
      </c>
      <c r="BE818" s="4" t="s">
        <v>127</v>
      </c>
    </row>
    <row r="819" spans="1:57" ht="16" x14ac:dyDescent="0.4">
      <c r="A819" s="4" t="s">
        <v>4067</v>
      </c>
      <c r="B819" s="4" t="s">
        <v>4067</v>
      </c>
      <c r="C819" s="4" t="s">
        <v>127</v>
      </c>
      <c r="D819" s="4" t="s">
        <v>151</v>
      </c>
      <c r="E819" s="189">
        <v>44924</v>
      </c>
      <c r="F819" s="4">
        <v>2022</v>
      </c>
      <c r="G819" s="4" t="s">
        <v>4068</v>
      </c>
      <c r="H819" s="22" t="str">
        <f>VLOOKUP($G819,'Item Classification'!B:C,2,0)</f>
        <v>Anti-tank missile</v>
      </c>
      <c r="I819" s="6" t="str">
        <f>VLOOKUP($G819,'Item Classification'!B:D,3,0)</f>
        <v>Missile (Land)</v>
      </c>
      <c r="J819" s="23">
        <f>VLOOKUP($G819,'Item Classification'!B:E,4,0)</f>
        <v>6</v>
      </c>
      <c r="K819" s="195" t="s">
        <v>211</v>
      </c>
      <c r="L819" s="195" t="s">
        <v>211</v>
      </c>
      <c r="M819" s="116" t="str">
        <f>VLOOKUP(L819,'NATO Classifications'!$D$6:$E$647,2,0)</f>
        <v>Guided Missiles</v>
      </c>
      <c r="N819" s="4">
        <v>200</v>
      </c>
      <c r="O819" s="81"/>
      <c r="P819" s="81"/>
      <c r="Q819" s="4"/>
      <c r="R819" s="4"/>
      <c r="S819" s="103"/>
      <c r="T819" s="115" t="s">
        <v>132</v>
      </c>
      <c r="U819" s="104">
        <f>_xlfn.IFNA(S819/INDEX('Exchange Rates'!$C$7:$F$14,MATCH('MAIN DATA, Orders'!F819,'Exchange Rates'!$B$7:$B$14,0),MATCH('MAIN DATA, Orders'!T819,'Exchange Rates'!$C$6:$F$6,0)), "-")</f>
        <v>0</v>
      </c>
      <c r="V819" s="4" t="s">
        <v>127</v>
      </c>
      <c r="W819" s="4" t="s">
        <v>127</v>
      </c>
      <c r="X819" s="4" t="s">
        <v>151</v>
      </c>
      <c r="Y819" s="24">
        <f t="shared" ref="Y819" si="195">_xlfn.NUMBERVALUE(_xlfn.CONCAT(YEAR(E819),TEXT(E819, "mm")))</f>
        <v>202212</v>
      </c>
      <c r="Z819" s="115">
        <v>0</v>
      </c>
      <c r="AA819" s="115">
        <v>0</v>
      </c>
      <c r="AB819" s="115">
        <v>0</v>
      </c>
      <c r="AC819" s="115">
        <v>1</v>
      </c>
      <c r="AD819" s="115">
        <v>1</v>
      </c>
      <c r="AE819" s="115">
        <v>0</v>
      </c>
      <c r="AF819" s="115">
        <v>0</v>
      </c>
      <c r="AG819" s="4" t="s">
        <v>475</v>
      </c>
      <c r="AH819" s="4" t="s">
        <v>151</v>
      </c>
      <c r="AI819" s="4" t="s">
        <v>127</v>
      </c>
      <c r="AJ819" s="4" t="s">
        <v>127</v>
      </c>
      <c r="AK819" s="4" t="s">
        <v>127</v>
      </c>
      <c r="AL819" s="4" t="s">
        <v>127</v>
      </c>
      <c r="AM819" s="4" t="s">
        <v>127</v>
      </c>
      <c r="AN819" s="4" t="s">
        <v>238</v>
      </c>
      <c r="AO819" s="4" t="s">
        <v>197</v>
      </c>
      <c r="AP819" s="4" t="s">
        <v>128</v>
      </c>
      <c r="AQ819" s="4" t="s">
        <v>162</v>
      </c>
      <c r="AR819" s="4" t="s">
        <v>127</v>
      </c>
      <c r="AS819" s="4" t="s">
        <v>127</v>
      </c>
      <c r="AT819" s="4" t="s">
        <v>127</v>
      </c>
      <c r="AU819" s="4" t="s">
        <v>127</v>
      </c>
      <c r="AV819" s="4" t="s">
        <v>127</v>
      </c>
      <c r="AW819" s="4" t="s">
        <v>127</v>
      </c>
      <c r="AX819" s="4" t="s">
        <v>127</v>
      </c>
      <c r="AY819" s="111" t="s">
        <v>4069</v>
      </c>
      <c r="AZ819" s="111" t="s">
        <v>4070</v>
      </c>
      <c r="BA819" s="4" t="s">
        <v>127</v>
      </c>
      <c r="BB819" s="4" t="s">
        <v>4071</v>
      </c>
      <c r="BC819" s="4" t="s">
        <v>127</v>
      </c>
      <c r="BD819" s="4" t="s">
        <v>127</v>
      </c>
      <c r="BE819" s="4" t="s">
        <v>127</v>
      </c>
    </row>
    <row r="820" spans="1:57" ht="16" x14ac:dyDescent="0.4">
      <c r="A820" s="4" t="s">
        <v>4072</v>
      </c>
      <c r="B820" s="4" t="s">
        <v>4072</v>
      </c>
      <c r="C820" s="4" t="s">
        <v>127</v>
      </c>
      <c r="D820" s="4" t="s">
        <v>151</v>
      </c>
      <c r="E820" s="189"/>
      <c r="F820" s="4">
        <v>2022</v>
      </c>
      <c r="G820" s="4" t="s">
        <v>4073</v>
      </c>
      <c r="H820" s="22" t="str">
        <f>VLOOKUP($G820,'Item Classification'!B:C,2,0)</f>
        <v>Surface-to-air missile (SAM)</v>
      </c>
      <c r="I820" s="6" t="str">
        <f>VLOOKUP($G820,'Item Classification'!B:D,3,0)</f>
        <v>Missile (Air)</v>
      </c>
      <c r="J820" s="23">
        <f>VLOOKUP($G820,'Item Classification'!B:E,4,0)</f>
        <v>6</v>
      </c>
      <c r="K820" s="195" t="s">
        <v>211</v>
      </c>
      <c r="L820" s="195" t="s">
        <v>211</v>
      </c>
      <c r="M820" s="116" t="str">
        <f>VLOOKUP(L820,'NATO Classifications'!$D$6:$E$647,2,0)</f>
        <v>Guided Missiles</v>
      </c>
      <c r="N820" s="4">
        <v>80</v>
      </c>
      <c r="O820" s="81"/>
      <c r="P820" s="81"/>
      <c r="Q820" s="4"/>
      <c r="R820" s="4"/>
      <c r="S820" s="103"/>
      <c r="T820" s="115" t="s">
        <v>132</v>
      </c>
      <c r="U820" s="104">
        <f>_xlfn.IFNA(S820/INDEX('Exchange Rates'!$C$7:$F$14,MATCH('MAIN DATA, Orders'!F820,'Exchange Rates'!$B$7:$B$14,0),MATCH('MAIN DATA, Orders'!T820,'Exchange Rates'!$C$6:$F$6,0)), "-")</f>
        <v>0</v>
      </c>
      <c r="V820" s="4" t="s">
        <v>127</v>
      </c>
      <c r="W820" s="4" t="s">
        <v>127</v>
      </c>
      <c r="X820" s="4" t="s">
        <v>151</v>
      </c>
      <c r="Y820" s="115" t="s">
        <v>127</v>
      </c>
      <c r="Z820" s="115" t="s">
        <v>127</v>
      </c>
      <c r="AA820" s="115" t="s">
        <v>127</v>
      </c>
      <c r="AB820" s="115" t="s">
        <v>127</v>
      </c>
      <c r="AC820" s="115" t="s">
        <v>127</v>
      </c>
      <c r="AD820" s="115" t="s">
        <v>127</v>
      </c>
      <c r="AE820" s="115" t="s">
        <v>127</v>
      </c>
      <c r="AF820" s="115" t="s">
        <v>127</v>
      </c>
      <c r="AG820" s="4" t="s">
        <v>127</v>
      </c>
      <c r="AH820" s="4" t="s">
        <v>127</v>
      </c>
      <c r="AI820" s="4" t="s">
        <v>127</v>
      </c>
      <c r="AJ820" s="4" t="s">
        <v>127</v>
      </c>
      <c r="AK820" s="4" t="s">
        <v>127</v>
      </c>
      <c r="AL820" s="4" t="s">
        <v>127</v>
      </c>
      <c r="AM820" s="4" t="s">
        <v>127</v>
      </c>
      <c r="AN820" s="4" t="s">
        <v>127</v>
      </c>
      <c r="AO820" s="4" t="s">
        <v>127</v>
      </c>
      <c r="AP820" s="4" t="s">
        <v>127</v>
      </c>
      <c r="AQ820" s="4" t="s">
        <v>127</v>
      </c>
      <c r="AR820" s="4" t="s">
        <v>127</v>
      </c>
      <c r="AS820" s="4" t="s">
        <v>127</v>
      </c>
      <c r="AT820" s="4" t="s">
        <v>127</v>
      </c>
      <c r="AU820" s="4" t="s">
        <v>127</v>
      </c>
      <c r="AV820" s="4" t="s">
        <v>127</v>
      </c>
      <c r="AW820" s="4" t="s">
        <v>127</v>
      </c>
      <c r="AX820" s="4" t="s">
        <v>127</v>
      </c>
      <c r="AY820" s="111" t="s">
        <v>4069</v>
      </c>
      <c r="AZ820" s="4" t="s">
        <v>127</v>
      </c>
      <c r="BA820" s="4" t="s">
        <v>127</v>
      </c>
      <c r="BB820" s="4" t="s">
        <v>127</v>
      </c>
      <c r="BC820" s="4" t="s">
        <v>127</v>
      </c>
      <c r="BD820" s="4" t="s">
        <v>127</v>
      </c>
      <c r="BE820" s="4" t="s">
        <v>127</v>
      </c>
    </row>
    <row r="821" spans="1:57" ht="16" x14ac:dyDescent="0.4">
      <c r="A821" s="4" t="s">
        <v>4074</v>
      </c>
      <c r="B821" s="4" t="s">
        <v>4074</v>
      </c>
      <c r="C821" s="4" t="s">
        <v>127</v>
      </c>
      <c r="D821" s="4" t="s">
        <v>151</v>
      </c>
      <c r="E821" s="189"/>
      <c r="F821" s="4">
        <v>2022</v>
      </c>
      <c r="G821" s="4" t="s">
        <v>4075</v>
      </c>
      <c r="H821" s="22" t="str">
        <f>VLOOKUP($G821,'Item Classification'!B:C,2,0)</f>
        <v>Surface-to-air missile (SAM)</v>
      </c>
      <c r="I821" s="6" t="str">
        <f>VLOOKUP($G821,'Item Classification'!B:D,3,0)</f>
        <v>Missile (Air)</v>
      </c>
      <c r="J821" s="23">
        <f>VLOOKUP($G821,'Item Classification'!B:E,4,0)</f>
        <v>6</v>
      </c>
      <c r="K821" s="195" t="s">
        <v>211</v>
      </c>
      <c r="L821" s="195" t="s">
        <v>211</v>
      </c>
      <c r="M821" s="116" t="str">
        <f>VLOOKUP(L821,'NATO Classifications'!$D$6:$E$647,2,0)</f>
        <v>Guided Missiles</v>
      </c>
      <c r="N821" s="4">
        <v>20</v>
      </c>
      <c r="O821" s="81"/>
      <c r="P821" s="81"/>
      <c r="Q821" s="4"/>
      <c r="R821" s="4"/>
      <c r="S821" s="103"/>
      <c r="T821" s="115" t="s">
        <v>132</v>
      </c>
      <c r="U821" s="104">
        <f>_xlfn.IFNA(S821/INDEX('Exchange Rates'!$C$7:$F$14,MATCH('MAIN DATA, Orders'!F821,'Exchange Rates'!$B$7:$B$14,0),MATCH('MAIN DATA, Orders'!T821,'Exchange Rates'!$C$6:$F$6,0)), "-")</f>
        <v>0</v>
      </c>
      <c r="V821" s="4" t="s">
        <v>127</v>
      </c>
      <c r="W821" s="4" t="s">
        <v>127</v>
      </c>
      <c r="X821" s="4" t="s">
        <v>151</v>
      </c>
      <c r="Y821" s="115" t="s">
        <v>127</v>
      </c>
      <c r="Z821" s="115" t="s">
        <v>127</v>
      </c>
      <c r="AA821" s="115" t="s">
        <v>127</v>
      </c>
      <c r="AB821" s="115" t="s">
        <v>127</v>
      </c>
      <c r="AC821" s="115" t="s">
        <v>127</v>
      </c>
      <c r="AD821" s="115" t="s">
        <v>127</v>
      </c>
      <c r="AE821" s="115" t="s">
        <v>127</v>
      </c>
      <c r="AF821" s="115" t="s">
        <v>127</v>
      </c>
      <c r="AG821" s="4" t="s">
        <v>127</v>
      </c>
      <c r="AH821" s="4" t="s">
        <v>127</v>
      </c>
      <c r="AI821" s="4" t="s">
        <v>127</v>
      </c>
      <c r="AJ821" s="4" t="s">
        <v>127</v>
      </c>
      <c r="AK821" s="4" t="s">
        <v>127</v>
      </c>
      <c r="AL821" s="4" t="s">
        <v>127</v>
      </c>
      <c r="AM821" s="4" t="s">
        <v>127</v>
      </c>
      <c r="AN821" s="4" t="s">
        <v>127</v>
      </c>
      <c r="AO821" s="4" t="s">
        <v>127</v>
      </c>
      <c r="AP821" s="4" t="s">
        <v>127</v>
      </c>
      <c r="AQ821" s="4" t="s">
        <v>127</v>
      </c>
      <c r="AR821" s="4" t="s">
        <v>127</v>
      </c>
      <c r="AS821" s="4" t="s">
        <v>127</v>
      </c>
      <c r="AT821" s="4" t="s">
        <v>127</v>
      </c>
      <c r="AU821" s="4" t="s">
        <v>127</v>
      </c>
      <c r="AV821" s="4" t="s">
        <v>127</v>
      </c>
      <c r="AW821" s="4" t="s">
        <v>127</v>
      </c>
      <c r="AX821" s="4" t="s">
        <v>127</v>
      </c>
      <c r="AY821" s="111" t="s">
        <v>4069</v>
      </c>
      <c r="AZ821" s="4" t="s">
        <v>127</v>
      </c>
      <c r="BA821" s="4" t="s">
        <v>127</v>
      </c>
      <c r="BB821" s="4" t="s">
        <v>127</v>
      </c>
      <c r="BC821" s="4" t="s">
        <v>127</v>
      </c>
      <c r="BD821" s="4" t="s">
        <v>127</v>
      </c>
      <c r="BE821" s="4" t="s">
        <v>127</v>
      </c>
    </row>
    <row r="822" spans="1:57" ht="16" x14ac:dyDescent="0.4">
      <c r="A822" s="4" t="s">
        <v>4076</v>
      </c>
      <c r="B822" s="4" t="s">
        <v>4076</v>
      </c>
      <c r="C822" s="4" t="s">
        <v>127</v>
      </c>
      <c r="D822" s="4" t="s">
        <v>151</v>
      </c>
      <c r="E822" s="189"/>
      <c r="F822" s="4">
        <v>2022</v>
      </c>
      <c r="G822" s="4" t="s">
        <v>4077</v>
      </c>
      <c r="H822" s="22" t="str">
        <f>VLOOKUP($G822,'Item Classification'!B:C,2,0)</f>
        <v>Surface-to-air missile (SAM)</v>
      </c>
      <c r="I822" s="6" t="str">
        <f>VLOOKUP($G822,'Item Classification'!B:D,3,0)</f>
        <v>Missile (Air)</v>
      </c>
      <c r="J822" s="23">
        <f>VLOOKUP($G822,'Item Classification'!B:E,4,0)</f>
        <v>6</v>
      </c>
      <c r="K822" s="195" t="s">
        <v>211</v>
      </c>
      <c r="L822" s="195" t="s">
        <v>211</v>
      </c>
      <c r="M822" s="116" t="str">
        <f>VLOOKUP(L822,'NATO Classifications'!$D$6:$E$647,2,0)</f>
        <v>Guided Missiles</v>
      </c>
      <c r="N822" s="4">
        <v>118</v>
      </c>
      <c r="O822" s="81"/>
      <c r="P822" s="81"/>
      <c r="Q822" s="4"/>
      <c r="R822" s="4"/>
      <c r="S822" s="103"/>
      <c r="T822" s="115" t="s">
        <v>132</v>
      </c>
      <c r="U822" s="104">
        <f>_xlfn.IFNA(S822/INDEX('Exchange Rates'!$C$7:$F$14,MATCH('MAIN DATA, Orders'!F822,'Exchange Rates'!$B$7:$B$14,0),MATCH('MAIN DATA, Orders'!T822,'Exchange Rates'!$C$6:$F$6,0)), "-")</f>
        <v>0</v>
      </c>
      <c r="V822" s="4" t="s">
        <v>127</v>
      </c>
      <c r="W822" s="4" t="s">
        <v>127</v>
      </c>
      <c r="X822" s="4" t="s">
        <v>151</v>
      </c>
      <c r="Y822" s="115" t="s">
        <v>127</v>
      </c>
      <c r="Z822" s="115" t="s">
        <v>127</v>
      </c>
      <c r="AA822" s="115" t="s">
        <v>127</v>
      </c>
      <c r="AB822" s="115" t="s">
        <v>127</v>
      </c>
      <c r="AC822" s="115" t="s">
        <v>127</v>
      </c>
      <c r="AD822" s="115" t="s">
        <v>127</v>
      </c>
      <c r="AE822" s="115" t="s">
        <v>127</v>
      </c>
      <c r="AF822" s="115" t="s">
        <v>127</v>
      </c>
      <c r="AG822" s="4" t="s">
        <v>127</v>
      </c>
      <c r="AH822" s="4" t="s">
        <v>127</v>
      </c>
      <c r="AI822" s="4" t="s">
        <v>127</v>
      </c>
      <c r="AJ822" s="4" t="s">
        <v>127</v>
      </c>
      <c r="AK822" s="4" t="s">
        <v>127</v>
      </c>
      <c r="AL822" s="4" t="s">
        <v>127</v>
      </c>
      <c r="AM822" s="4" t="s">
        <v>127</v>
      </c>
      <c r="AN822" s="4" t="s">
        <v>127</v>
      </c>
      <c r="AO822" s="4" t="s">
        <v>127</v>
      </c>
      <c r="AP822" s="4" t="s">
        <v>127</v>
      </c>
      <c r="AQ822" s="4" t="s">
        <v>127</v>
      </c>
      <c r="AR822" s="4" t="s">
        <v>127</v>
      </c>
      <c r="AS822" s="4" t="s">
        <v>127</v>
      </c>
      <c r="AT822" s="4" t="s">
        <v>127</v>
      </c>
      <c r="AU822" s="4" t="s">
        <v>127</v>
      </c>
      <c r="AV822" s="4" t="s">
        <v>127</v>
      </c>
      <c r="AW822" s="4" t="s">
        <v>127</v>
      </c>
      <c r="AX822" s="4" t="s">
        <v>127</v>
      </c>
      <c r="AY822" s="111" t="s">
        <v>4069</v>
      </c>
      <c r="AZ822" s="4" t="s">
        <v>127</v>
      </c>
      <c r="BA822" s="4" t="s">
        <v>127</v>
      </c>
      <c r="BB822" s="4" t="s">
        <v>127</v>
      </c>
      <c r="BC822" s="4" t="s">
        <v>127</v>
      </c>
      <c r="BD822" s="4" t="s">
        <v>127</v>
      </c>
      <c r="BE822" s="4" t="s">
        <v>127</v>
      </c>
    </row>
    <row r="823" spans="1:57" ht="16" x14ac:dyDescent="0.4">
      <c r="A823" s="4" t="s">
        <v>4078</v>
      </c>
      <c r="B823" s="4" t="s">
        <v>4078</v>
      </c>
      <c r="C823" s="4" t="s">
        <v>3976</v>
      </c>
      <c r="D823" s="4" t="s">
        <v>151</v>
      </c>
      <c r="E823" s="189">
        <v>44691</v>
      </c>
      <c r="F823" s="4">
        <v>2022</v>
      </c>
      <c r="G823" s="4" t="s">
        <v>3989</v>
      </c>
      <c r="H823" s="22" t="str">
        <f>VLOOKUP($G823,'Item Classification'!B:C,2,0)</f>
        <v>Armoured personnel carrier (APC)</v>
      </c>
      <c r="I823" s="6" t="str">
        <f>VLOOKUP($G823,'Item Classification'!B:D,3,0)</f>
        <v>Armoured vehicle</v>
      </c>
      <c r="J823" s="23">
        <f>VLOOKUP($G823,'Item Classification'!B:E,4,0)</f>
        <v>2</v>
      </c>
      <c r="K823" s="195" t="s">
        <v>274</v>
      </c>
      <c r="L823" s="195" t="s">
        <v>493</v>
      </c>
      <c r="M823" s="116" t="str">
        <f>VLOOKUP(L823,'NATO Classifications'!$D$6:$E$647,2,0)</f>
        <v>Combat, Assault, and Tactical Vehicles, Wheeled</v>
      </c>
      <c r="N823" s="4">
        <v>88</v>
      </c>
      <c r="O823" s="81"/>
      <c r="P823" s="81"/>
      <c r="Q823" s="4"/>
      <c r="R823" s="4"/>
      <c r="S823" s="103"/>
      <c r="T823" s="115" t="s">
        <v>132</v>
      </c>
      <c r="U823" s="104">
        <f>_xlfn.IFNA(S823/INDEX('Exchange Rates'!$C$7:$F$14,MATCH('MAIN DATA, Orders'!F823,'Exchange Rates'!$B$7:$B$14,0),MATCH('MAIN DATA, Orders'!T823,'Exchange Rates'!$C$6:$F$6,0)), "-")</f>
        <v>0</v>
      </c>
      <c r="V823" s="4" t="s">
        <v>3978</v>
      </c>
      <c r="W823" s="4" t="s">
        <v>127</v>
      </c>
      <c r="X823" s="4" t="s">
        <v>151</v>
      </c>
      <c r="Y823" s="24">
        <f t="shared" ref="Y823:Y825" si="196">_xlfn.NUMBERVALUE(_xlfn.CONCAT(YEAR(E823),TEXT(E823, "mm")))</f>
        <v>202205</v>
      </c>
      <c r="Z823" s="115">
        <v>1</v>
      </c>
      <c r="AA823" s="115">
        <v>0</v>
      </c>
      <c r="AB823" s="115">
        <v>0</v>
      </c>
      <c r="AC823" s="115">
        <v>1</v>
      </c>
      <c r="AD823" s="115">
        <v>0</v>
      </c>
      <c r="AE823" s="115">
        <v>0</v>
      </c>
      <c r="AF823" s="115">
        <v>0</v>
      </c>
      <c r="AG823" s="4" t="s">
        <v>1115</v>
      </c>
      <c r="AH823" s="4" t="s">
        <v>151</v>
      </c>
      <c r="AI823" s="4" t="s">
        <v>151</v>
      </c>
      <c r="AJ823" s="4" t="s">
        <v>3979</v>
      </c>
      <c r="AK823" s="4" t="s">
        <v>148</v>
      </c>
      <c r="AL823" s="4" t="s">
        <v>127</v>
      </c>
      <c r="AM823" s="4" t="s">
        <v>127</v>
      </c>
      <c r="AN823" s="4" t="s">
        <v>127</v>
      </c>
      <c r="AO823" s="4" t="s">
        <v>127</v>
      </c>
      <c r="AP823" s="4" t="s">
        <v>127</v>
      </c>
      <c r="AQ823" s="4" t="s">
        <v>127</v>
      </c>
      <c r="AR823" s="4" t="s">
        <v>127</v>
      </c>
      <c r="AS823" s="4" t="s">
        <v>127</v>
      </c>
      <c r="AT823" s="4" t="s">
        <v>127</v>
      </c>
      <c r="AU823" s="4" t="s">
        <v>127</v>
      </c>
      <c r="AV823" s="4" t="s">
        <v>127</v>
      </c>
      <c r="AW823" s="4" t="s">
        <v>127</v>
      </c>
      <c r="AX823" s="4" t="s">
        <v>127</v>
      </c>
      <c r="AY823" s="111" t="s">
        <v>4069</v>
      </c>
      <c r="AZ823" s="111" t="s">
        <v>4079</v>
      </c>
      <c r="BA823" s="111" t="s">
        <v>4080</v>
      </c>
      <c r="BB823" s="4" t="s">
        <v>4081</v>
      </c>
      <c r="BC823" s="4" t="s">
        <v>127</v>
      </c>
      <c r="BD823" s="4" t="s">
        <v>127</v>
      </c>
      <c r="BE823" s="4" t="s">
        <v>127</v>
      </c>
    </row>
    <row r="824" spans="1:57" ht="16" x14ac:dyDescent="0.4">
      <c r="A824" s="4" t="s">
        <v>4082</v>
      </c>
      <c r="B824" s="4" t="s">
        <v>4082</v>
      </c>
      <c r="C824" s="4" t="s">
        <v>3976</v>
      </c>
      <c r="D824" s="4" t="s">
        <v>151</v>
      </c>
      <c r="E824" s="189">
        <v>44691</v>
      </c>
      <c r="F824" s="4">
        <v>2022</v>
      </c>
      <c r="G824" s="4" t="s">
        <v>3977</v>
      </c>
      <c r="H824" s="22" t="str">
        <f>VLOOKUP($G824,'Item Classification'!B:C,2,0)</f>
        <v>Armoured personnel carrier (APC)</v>
      </c>
      <c r="I824" s="6" t="str">
        <f>VLOOKUP($G824,'Item Classification'!B:D,3,0)</f>
        <v>Armoured vehicle</v>
      </c>
      <c r="J824" s="23">
        <f>VLOOKUP($G824,'Item Classification'!B:E,4,0)</f>
        <v>2</v>
      </c>
      <c r="K824" s="195" t="s">
        <v>274</v>
      </c>
      <c r="L824" s="195" t="s">
        <v>493</v>
      </c>
      <c r="M824" s="116" t="str">
        <f>VLOOKUP(L824,'NATO Classifications'!$D$6:$E$647,2,0)</f>
        <v>Combat, Assault, and Tactical Vehicles, Wheeled</v>
      </c>
      <c r="N824" s="4">
        <v>302</v>
      </c>
      <c r="O824" s="81"/>
      <c r="P824" s="81"/>
      <c r="Q824" s="4"/>
      <c r="R824" s="4"/>
      <c r="S824" s="103"/>
      <c r="T824" s="115" t="s">
        <v>132</v>
      </c>
      <c r="U824" s="104">
        <f>_xlfn.IFNA(S824/INDEX('Exchange Rates'!$C$7:$F$14,MATCH('MAIN DATA, Orders'!F824,'Exchange Rates'!$B$7:$B$14,0),MATCH('MAIN DATA, Orders'!T824,'Exchange Rates'!$C$6:$F$6,0)), "-")</f>
        <v>0</v>
      </c>
      <c r="V824" s="4" t="s">
        <v>3978</v>
      </c>
      <c r="W824" s="4" t="s">
        <v>127</v>
      </c>
      <c r="X824" s="4" t="s">
        <v>151</v>
      </c>
      <c r="Y824" s="24">
        <f t="shared" si="196"/>
        <v>202205</v>
      </c>
      <c r="Z824" s="115">
        <v>1</v>
      </c>
      <c r="AA824" s="115">
        <v>0</v>
      </c>
      <c r="AB824" s="115">
        <v>0</v>
      </c>
      <c r="AC824" s="115">
        <v>1</v>
      </c>
      <c r="AD824" s="115">
        <v>0</v>
      </c>
      <c r="AE824" s="115">
        <v>0</v>
      </c>
      <c r="AF824" s="115">
        <v>0</v>
      </c>
      <c r="AG824" s="4" t="s">
        <v>1115</v>
      </c>
      <c r="AH824" s="4" t="s">
        <v>151</v>
      </c>
      <c r="AI824" s="4" t="s">
        <v>151</v>
      </c>
      <c r="AJ824" s="4" t="s">
        <v>3979</v>
      </c>
      <c r="AK824" s="4" t="s">
        <v>148</v>
      </c>
      <c r="AL824" s="4" t="s">
        <v>127</v>
      </c>
      <c r="AM824" s="4" t="s">
        <v>127</v>
      </c>
      <c r="AN824" s="4" t="s">
        <v>127</v>
      </c>
      <c r="AO824" s="4" t="s">
        <v>127</v>
      </c>
      <c r="AP824" s="4" t="s">
        <v>127</v>
      </c>
      <c r="AQ824" s="4" t="s">
        <v>127</v>
      </c>
      <c r="AR824" s="4" t="s">
        <v>127</v>
      </c>
      <c r="AS824" s="4" t="s">
        <v>127</v>
      </c>
      <c r="AT824" s="4" t="s">
        <v>127</v>
      </c>
      <c r="AU824" s="4" t="s">
        <v>127</v>
      </c>
      <c r="AV824" s="4" t="s">
        <v>127</v>
      </c>
      <c r="AW824" s="4" t="s">
        <v>127</v>
      </c>
      <c r="AX824" s="4" t="s">
        <v>127</v>
      </c>
      <c r="AY824" s="111" t="s">
        <v>4069</v>
      </c>
      <c r="AZ824" s="111" t="s">
        <v>4079</v>
      </c>
      <c r="BA824" s="111" t="s">
        <v>4080</v>
      </c>
      <c r="BB824" s="4" t="s">
        <v>4081</v>
      </c>
      <c r="BC824" s="4" t="s">
        <v>127</v>
      </c>
      <c r="BD824" s="4" t="s">
        <v>127</v>
      </c>
      <c r="BE824" s="4" t="s">
        <v>127</v>
      </c>
    </row>
    <row r="825" spans="1:57" ht="16" x14ac:dyDescent="0.4">
      <c r="A825" s="4" t="s">
        <v>4083</v>
      </c>
      <c r="B825" s="4" t="s">
        <v>4083</v>
      </c>
      <c r="C825" s="4" t="s">
        <v>3976</v>
      </c>
      <c r="D825" s="4" t="s">
        <v>151</v>
      </c>
      <c r="E825" s="189">
        <v>44924</v>
      </c>
      <c r="F825" s="4">
        <v>2022</v>
      </c>
      <c r="G825" s="108" t="s">
        <v>4056</v>
      </c>
      <c r="H825" s="22" t="str">
        <f>VLOOKUP($G825,'Item Classification'!B:C,2,0)</f>
        <v>Main Battle Tank (MBT)</v>
      </c>
      <c r="I825" s="6" t="str">
        <f>VLOOKUP($G825,'Item Classification'!B:D,3,0)</f>
        <v>Tank</v>
      </c>
      <c r="J825" s="23">
        <f>VLOOKUP($G825,'Item Classification'!B:E,4,0)</f>
        <v>1</v>
      </c>
      <c r="K825" s="195" t="s">
        <v>274</v>
      </c>
      <c r="L825" s="195" t="s">
        <v>329</v>
      </c>
      <c r="M825" s="116" t="str">
        <f>VLOOKUP(L825,'NATO Classifications'!$D$6:$E$647,2,0)</f>
        <v>Combat, Assault, and Tactical Vehicles, Tracked</v>
      </c>
      <c r="N825" s="4">
        <v>50</v>
      </c>
      <c r="O825" s="81"/>
      <c r="P825" s="81"/>
      <c r="Q825" s="4"/>
      <c r="R825" s="4"/>
      <c r="S825" s="103"/>
      <c r="T825" s="115" t="s">
        <v>132</v>
      </c>
      <c r="U825" s="104">
        <f>_xlfn.IFNA(S825/INDEX('Exchange Rates'!$C$7:$F$14,MATCH('MAIN DATA, Orders'!F825,'Exchange Rates'!$B$7:$B$14,0),MATCH('MAIN DATA, Orders'!T825,'Exchange Rates'!$C$6:$F$6,0)), "-")</f>
        <v>0</v>
      </c>
      <c r="V825" s="4" t="s">
        <v>127</v>
      </c>
      <c r="W825" s="4" t="s">
        <v>127</v>
      </c>
      <c r="X825" s="4" t="s">
        <v>151</v>
      </c>
      <c r="Y825" s="24">
        <f t="shared" si="196"/>
        <v>202212</v>
      </c>
      <c r="Z825" s="115">
        <v>1</v>
      </c>
      <c r="AA825" s="115">
        <v>0</v>
      </c>
      <c r="AB825" s="115">
        <v>0</v>
      </c>
      <c r="AC825" s="115">
        <v>1</v>
      </c>
      <c r="AD825" s="115">
        <v>0</v>
      </c>
      <c r="AE825" s="115">
        <v>0</v>
      </c>
      <c r="AF825" s="115">
        <v>0</v>
      </c>
      <c r="AG825" s="4" t="s">
        <v>4057</v>
      </c>
      <c r="AH825" s="4" t="s">
        <v>151</v>
      </c>
      <c r="AI825" s="4" t="s">
        <v>127</v>
      </c>
      <c r="AJ825" s="4" t="s">
        <v>127</v>
      </c>
      <c r="AK825" s="4" t="s">
        <v>127</v>
      </c>
      <c r="AL825" s="4" t="s">
        <v>127</v>
      </c>
      <c r="AM825" s="4" t="s">
        <v>127</v>
      </c>
      <c r="AN825" s="4" t="s">
        <v>127</v>
      </c>
      <c r="AO825" s="4" t="s">
        <v>127</v>
      </c>
      <c r="AP825" s="4" t="s">
        <v>127</v>
      </c>
      <c r="AQ825" s="4" t="s">
        <v>127</v>
      </c>
      <c r="AR825" s="4" t="s">
        <v>127</v>
      </c>
      <c r="AS825" s="4" t="s">
        <v>127</v>
      </c>
      <c r="AT825" s="4" t="s">
        <v>127</v>
      </c>
      <c r="AU825" s="4" t="s">
        <v>127</v>
      </c>
      <c r="AV825" s="4" t="s">
        <v>127</v>
      </c>
      <c r="AW825" s="4" t="s">
        <v>127</v>
      </c>
      <c r="AX825" s="4" t="s">
        <v>127</v>
      </c>
      <c r="AY825" s="111" t="s">
        <v>4069</v>
      </c>
      <c r="AZ825" s="111" t="s">
        <v>4084</v>
      </c>
      <c r="BA825" s="111" t="s">
        <v>4085</v>
      </c>
      <c r="BB825" s="4" t="s">
        <v>4086</v>
      </c>
      <c r="BC825" s="4" t="s">
        <v>4087</v>
      </c>
      <c r="BD825" s="4" t="s">
        <v>127</v>
      </c>
      <c r="BE825" s="4" t="s">
        <v>127</v>
      </c>
    </row>
    <row r="826" spans="1:57" ht="16" x14ac:dyDescent="0.4">
      <c r="A826" s="4" t="s">
        <v>4088</v>
      </c>
      <c r="B826" s="4" t="s">
        <v>4088</v>
      </c>
      <c r="C826" s="4" t="s">
        <v>127</v>
      </c>
      <c r="D826" s="4" t="s">
        <v>151</v>
      </c>
      <c r="E826" s="189"/>
      <c r="F826" s="4">
        <v>2022</v>
      </c>
      <c r="G826" s="4" t="s">
        <v>3991</v>
      </c>
      <c r="H826" s="22" t="str">
        <f>VLOOKUP($G826,'Item Classification'!B:C,2,0)</f>
        <v>Small Arms and Light Weapons (SALW)</v>
      </c>
      <c r="I826" s="6" t="str">
        <f>VLOOKUP($G826,'Item Classification'!B:D,3,0)</f>
        <v>Infantry</v>
      </c>
      <c r="J826" s="23">
        <f>VLOOKUP($G826,'Item Classification'!B:E,4,0)</f>
        <v>8</v>
      </c>
      <c r="K826" s="195" t="s">
        <v>763</v>
      </c>
      <c r="L826" s="195" t="s">
        <v>764</v>
      </c>
      <c r="M826" s="116" t="str">
        <f>VLOOKUP(L826,'NATO Classifications'!$D$6:$E$647,2,0)</f>
        <v>Guns below 75mm</v>
      </c>
      <c r="N826" s="4">
        <v>12660</v>
      </c>
      <c r="O826" s="81"/>
      <c r="P826" s="81"/>
      <c r="Q826" s="4"/>
      <c r="R826" s="4"/>
      <c r="S826" s="103"/>
      <c r="T826" s="115" t="s">
        <v>132</v>
      </c>
      <c r="U826" s="104">
        <f>_xlfn.IFNA(S826/INDEX('Exchange Rates'!$C$7:$F$14,MATCH('MAIN DATA, Orders'!F826,'Exchange Rates'!$B$7:$B$14,0),MATCH('MAIN DATA, Orders'!T826,'Exchange Rates'!$C$6:$F$6,0)), "-")</f>
        <v>0</v>
      </c>
      <c r="V826" s="4" t="s">
        <v>3978</v>
      </c>
      <c r="W826" s="4" t="s">
        <v>127</v>
      </c>
      <c r="X826" s="4" t="s">
        <v>151</v>
      </c>
      <c r="Y826" s="115" t="s">
        <v>127</v>
      </c>
      <c r="Z826" s="115">
        <v>1</v>
      </c>
      <c r="AA826" s="115">
        <v>0</v>
      </c>
      <c r="AB826" s="115">
        <v>0</v>
      </c>
      <c r="AC826" s="115">
        <v>1</v>
      </c>
      <c r="AD826" s="115">
        <v>1</v>
      </c>
      <c r="AE826" s="115">
        <v>0</v>
      </c>
      <c r="AF826" s="115">
        <v>1</v>
      </c>
      <c r="AG826" s="4" t="s">
        <v>3992</v>
      </c>
      <c r="AH826" s="4" t="s">
        <v>128</v>
      </c>
      <c r="AI826" s="4" t="s">
        <v>127</v>
      </c>
      <c r="AJ826" s="4" t="s">
        <v>3993</v>
      </c>
      <c r="AK826" s="4" t="s">
        <v>127</v>
      </c>
      <c r="AL826" s="4" t="s">
        <v>127</v>
      </c>
      <c r="AM826" s="4" t="s">
        <v>127</v>
      </c>
      <c r="AN826" s="4" t="s">
        <v>151</v>
      </c>
      <c r="AO826" s="4" t="s">
        <v>127</v>
      </c>
      <c r="AP826" s="4" t="s">
        <v>127</v>
      </c>
      <c r="AQ826" s="4" t="s">
        <v>127</v>
      </c>
      <c r="AR826" s="4" t="s">
        <v>127</v>
      </c>
      <c r="AS826" s="4" t="s">
        <v>127</v>
      </c>
      <c r="AT826" s="4" t="s">
        <v>127</v>
      </c>
      <c r="AU826" s="4" t="s">
        <v>127</v>
      </c>
      <c r="AV826" s="4" t="s">
        <v>127</v>
      </c>
      <c r="AW826" s="4" t="s">
        <v>127</v>
      </c>
      <c r="AX826" s="4" t="s">
        <v>127</v>
      </c>
      <c r="AY826" s="111" t="s">
        <v>4069</v>
      </c>
      <c r="AZ826" s="111" t="s">
        <v>4089</v>
      </c>
      <c r="BA826" s="111" t="s">
        <v>4090</v>
      </c>
      <c r="BB826" s="4" t="s">
        <v>4091</v>
      </c>
      <c r="BC826" s="4" t="s">
        <v>127</v>
      </c>
      <c r="BD826" s="4" t="s">
        <v>127</v>
      </c>
      <c r="BE826" s="4" t="s">
        <v>127</v>
      </c>
    </row>
    <row r="827" spans="1:57" ht="16" x14ac:dyDescent="0.4">
      <c r="A827" s="4" t="s">
        <v>4092</v>
      </c>
      <c r="B827" s="4" t="s">
        <v>4092</v>
      </c>
      <c r="C827" s="4" t="s">
        <v>127</v>
      </c>
      <c r="D827" s="4" t="s">
        <v>151</v>
      </c>
      <c r="E827" s="189"/>
      <c r="F827" s="4">
        <v>2022</v>
      </c>
      <c r="G827" s="4" t="s">
        <v>4093</v>
      </c>
      <c r="H827" s="22" t="str">
        <f>VLOOKUP($G827,'Item Classification'!B:C,2,0)</f>
        <v>Transport aircraft</v>
      </c>
      <c r="I827" s="6" t="str">
        <f>VLOOKUP($G827,'Item Classification'!B:D,3,0)</f>
        <v>Aircraft</v>
      </c>
      <c r="J827" s="23">
        <f>VLOOKUP($G827,'Item Classification'!B:E,4,0)</f>
        <v>11</v>
      </c>
      <c r="K827" s="195" t="s">
        <v>130</v>
      </c>
      <c r="L827" s="195" t="s">
        <v>237</v>
      </c>
      <c r="M827" s="116" t="str">
        <f>VLOOKUP(L827,'NATO Classifications'!$D$6:$E$647,2,0)</f>
        <v>Aircraft, Fixed Wing</v>
      </c>
      <c r="N827" s="4">
        <v>2</v>
      </c>
      <c r="O827" s="81"/>
      <c r="P827" s="81"/>
      <c r="Q827" s="4"/>
      <c r="R827" s="4"/>
      <c r="S827" s="103"/>
      <c r="T827" s="115" t="s">
        <v>132</v>
      </c>
      <c r="U827" s="104">
        <f>_xlfn.IFNA(S827/INDEX('Exchange Rates'!$C$7:$F$14,MATCH('MAIN DATA, Orders'!F827,'Exchange Rates'!$B$7:$B$14,0),MATCH('MAIN DATA, Orders'!T827,'Exchange Rates'!$C$6:$F$6,0)), "-")</f>
        <v>0</v>
      </c>
      <c r="V827" s="4" t="s">
        <v>127</v>
      </c>
      <c r="W827" s="4" t="s">
        <v>127</v>
      </c>
      <c r="X827" s="4" t="s">
        <v>151</v>
      </c>
      <c r="Y827" s="115" t="s">
        <v>127</v>
      </c>
      <c r="Z827" s="115" t="s">
        <v>127</v>
      </c>
      <c r="AA827" s="115" t="s">
        <v>127</v>
      </c>
      <c r="AB827" s="115" t="s">
        <v>127</v>
      </c>
      <c r="AC827" s="115" t="s">
        <v>127</v>
      </c>
      <c r="AD827" s="115" t="s">
        <v>127</v>
      </c>
      <c r="AE827" s="115" t="s">
        <v>127</v>
      </c>
      <c r="AF827" s="115" t="s">
        <v>127</v>
      </c>
      <c r="AG827" s="4" t="s">
        <v>127</v>
      </c>
      <c r="AH827" s="4" t="s">
        <v>127</v>
      </c>
      <c r="AI827" s="4" t="s">
        <v>127</v>
      </c>
      <c r="AJ827" s="4" t="s">
        <v>127</v>
      </c>
      <c r="AK827" s="4" t="s">
        <v>127</v>
      </c>
      <c r="AL827" s="4" t="s">
        <v>127</v>
      </c>
      <c r="AM827" s="4" t="s">
        <v>127</v>
      </c>
      <c r="AN827" s="4" t="s">
        <v>127</v>
      </c>
      <c r="AO827" s="4" t="s">
        <v>127</v>
      </c>
      <c r="AP827" s="4" t="s">
        <v>127</v>
      </c>
      <c r="AQ827" s="4" t="s">
        <v>127</v>
      </c>
      <c r="AR827" s="4" t="s">
        <v>127</v>
      </c>
      <c r="AS827" s="4" t="s">
        <v>127</v>
      </c>
      <c r="AT827" s="4" t="s">
        <v>127</v>
      </c>
      <c r="AU827" s="4" t="s">
        <v>127</v>
      </c>
      <c r="AV827" s="4" t="s">
        <v>127</v>
      </c>
      <c r="AW827" s="4" t="s">
        <v>127</v>
      </c>
      <c r="AX827" s="4" t="s">
        <v>127</v>
      </c>
      <c r="AY827" s="111" t="s">
        <v>4069</v>
      </c>
      <c r="AZ827" s="4" t="s">
        <v>127</v>
      </c>
      <c r="BA827" s="4" t="s">
        <v>127</v>
      </c>
      <c r="BB827" s="4" t="s">
        <v>127</v>
      </c>
      <c r="BC827" s="4" t="s">
        <v>127</v>
      </c>
      <c r="BD827" s="4" t="s">
        <v>127</v>
      </c>
      <c r="BE827" s="4" t="s">
        <v>127</v>
      </c>
    </row>
    <row r="828" spans="1:57" ht="16" x14ac:dyDescent="0.4">
      <c r="A828" s="4" t="s">
        <v>4094</v>
      </c>
      <c r="B828" s="4" t="s">
        <v>4094</v>
      </c>
      <c r="C828" s="4" t="s">
        <v>127</v>
      </c>
      <c r="D828" s="4" t="s">
        <v>151</v>
      </c>
      <c r="E828" s="189"/>
      <c r="F828" s="4">
        <v>2022</v>
      </c>
      <c r="G828" s="4" t="s">
        <v>4095</v>
      </c>
      <c r="H828" s="22" t="str">
        <f>VLOOKUP($G828,'Item Classification'!B:C,2,0)</f>
        <v>Communication and digitalisation</v>
      </c>
      <c r="I828" s="6" t="str">
        <f>VLOOKUP($G828,'Item Classification'!B:D,3,0)</f>
        <v>Modernisation</v>
      </c>
      <c r="J828" s="23">
        <f>VLOOKUP($G828,'Item Classification'!B:E,4,0)</f>
        <v>13</v>
      </c>
      <c r="K828" s="195" t="s">
        <v>168</v>
      </c>
      <c r="L828" s="195" t="s">
        <v>182</v>
      </c>
      <c r="M828" s="116" t="str">
        <f>VLOOKUP(L828,'NATO Classifications'!$D$6:$E$647,2,0)</f>
        <v>ADP Software</v>
      </c>
      <c r="N828" s="4">
        <v>20</v>
      </c>
      <c r="O828" s="81"/>
      <c r="P828" s="81"/>
      <c r="Q828" s="4"/>
      <c r="R828" s="4"/>
      <c r="S828" s="103"/>
      <c r="T828" s="115" t="s">
        <v>132</v>
      </c>
      <c r="U828" s="104">
        <f>_xlfn.IFNA(S828/INDEX('Exchange Rates'!$C$7:$F$14,MATCH('MAIN DATA, Orders'!F828,'Exchange Rates'!$B$7:$B$14,0),MATCH('MAIN DATA, Orders'!T828,'Exchange Rates'!$C$6:$F$6,0)), "-")</f>
        <v>0</v>
      </c>
      <c r="V828" s="4" t="s">
        <v>127</v>
      </c>
      <c r="W828" s="4" t="s">
        <v>127</v>
      </c>
      <c r="X828" s="4" t="s">
        <v>151</v>
      </c>
      <c r="Y828" s="115" t="s">
        <v>127</v>
      </c>
      <c r="Z828" s="115" t="s">
        <v>127</v>
      </c>
      <c r="AA828" s="115" t="s">
        <v>127</v>
      </c>
      <c r="AB828" s="115" t="s">
        <v>127</v>
      </c>
      <c r="AC828" s="115" t="s">
        <v>127</v>
      </c>
      <c r="AD828" s="115" t="s">
        <v>127</v>
      </c>
      <c r="AE828" s="115" t="s">
        <v>127</v>
      </c>
      <c r="AF828" s="115" t="s">
        <v>127</v>
      </c>
      <c r="AG828" s="4" t="s">
        <v>127</v>
      </c>
      <c r="AH828" s="4" t="s">
        <v>127</v>
      </c>
      <c r="AI828" s="4" t="s">
        <v>127</v>
      </c>
      <c r="AJ828" s="4" t="s">
        <v>127</v>
      </c>
      <c r="AK828" s="4" t="s">
        <v>127</v>
      </c>
      <c r="AL828" s="4" t="s">
        <v>127</v>
      </c>
      <c r="AM828" s="4" t="s">
        <v>127</v>
      </c>
      <c r="AN828" s="4" t="s">
        <v>127</v>
      </c>
      <c r="AO828" s="4" t="s">
        <v>127</v>
      </c>
      <c r="AP828" s="4" t="s">
        <v>127</v>
      </c>
      <c r="AQ828" s="4" t="s">
        <v>127</v>
      </c>
      <c r="AR828" s="4" t="s">
        <v>127</v>
      </c>
      <c r="AS828" s="4" t="s">
        <v>127</v>
      </c>
      <c r="AT828" s="4" t="s">
        <v>127</v>
      </c>
      <c r="AU828" s="4" t="s">
        <v>127</v>
      </c>
      <c r="AV828" s="4" t="s">
        <v>127</v>
      </c>
      <c r="AW828" s="4" t="s">
        <v>127</v>
      </c>
      <c r="AX828" s="4" t="s">
        <v>127</v>
      </c>
      <c r="AY828" s="111" t="s">
        <v>4069</v>
      </c>
      <c r="AZ828" s="4" t="s">
        <v>127</v>
      </c>
      <c r="BA828" s="4" t="s">
        <v>127</v>
      </c>
      <c r="BB828" s="4" t="s">
        <v>127</v>
      </c>
      <c r="BC828" s="4" t="s">
        <v>127</v>
      </c>
      <c r="BD828" s="4" t="s">
        <v>127</v>
      </c>
      <c r="BE828" s="4" t="s">
        <v>127</v>
      </c>
    </row>
    <row r="829" spans="1:57" ht="16" x14ac:dyDescent="0.4">
      <c r="A829" s="4" t="s">
        <v>4096</v>
      </c>
      <c r="B829" s="4" t="s">
        <v>4096</v>
      </c>
      <c r="C829" s="4" t="s">
        <v>127</v>
      </c>
      <c r="D829" s="4" t="s">
        <v>151</v>
      </c>
      <c r="E829" s="189"/>
      <c r="F829" s="4">
        <v>2022</v>
      </c>
      <c r="G829" s="4" t="s">
        <v>4097</v>
      </c>
      <c r="H829" s="22" t="str">
        <f>VLOOKUP($G829,'Item Classification'!B:C,2,0)</f>
        <v>Precision approach radar (PAR)</v>
      </c>
      <c r="I829" s="6" t="str">
        <f>VLOOKUP($G829,'Item Classification'!B:D,3,0)</f>
        <v>Aircraft</v>
      </c>
      <c r="J829" s="23">
        <f>VLOOKUP($G829,'Item Classification'!B:E,4,0)</f>
        <v>11</v>
      </c>
      <c r="K829" s="195" t="s">
        <v>158</v>
      </c>
      <c r="L829" s="195" t="s">
        <v>399</v>
      </c>
      <c r="M829" s="116" t="str">
        <f>VLOOKUP(L829,'NATO Classifications'!$D$6:$E$647,2,0)</f>
        <v>Radar and Sensor</v>
      </c>
      <c r="N829" s="4">
        <v>8</v>
      </c>
      <c r="O829" s="81"/>
      <c r="P829" s="81"/>
      <c r="Q829" s="4"/>
      <c r="R829" s="4"/>
      <c r="S829" s="103"/>
      <c r="T829" s="115" t="s">
        <v>132</v>
      </c>
      <c r="U829" s="104">
        <f>_xlfn.IFNA(S829/INDEX('Exchange Rates'!$C$7:$F$14,MATCH('MAIN DATA, Orders'!F829,'Exchange Rates'!$B$7:$B$14,0),MATCH('MAIN DATA, Orders'!T829,'Exchange Rates'!$C$6:$F$6,0)), "-")</f>
        <v>0</v>
      </c>
      <c r="V829" s="4" t="s">
        <v>127</v>
      </c>
      <c r="W829" s="4" t="s">
        <v>127</v>
      </c>
      <c r="X829" s="4" t="s">
        <v>151</v>
      </c>
      <c r="Y829" s="115" t="s">
        <v>127</v>
      </c>
      <c r="Z829" s="115" t="s">
        <v>127</v>
      </c>
      <c r="AA829" s="115" t="s">
        <v>127</v>
      </c>
      <c r="AB829" s="115" t="s">
        <v>127</v>
      </c>
      <c r="AC829" s="115" t="s">
        <v>127</v>
      </c>
      <c r="AD829" s="115" t="s">
        <v>127</v>
      </c>
      <c r="AE829" s="115" t="s">
        <v>127</v>
      </c>
      <c r="AF829" s="115" t="s">
        <v>127</v>
      </c>
      <c r="AG829" s="4" t="s">
        <v>127</v>
      </c>
      <c r="AH829" s="4" t="s">
        <v>127</v>
      </c>
      <c r="AI829" s="4" t="s">
        <v>127</v>
      </c>
      <c r="AJ829" s="4" t="s">
        <v>127</v>
      </c>
      <c r="AK829" s="4" t="s">
        <v>127</v>
      </c>
      <c r="AL829" s="4" t="s">
        <v>127</v>
      </c>
      <c r="AM829" s="4" t="s">
        <v>127</v>
      </c>
      <c r="AN829" s="4" t="s">
        <v>127</v>
      </c>
      <c r="AO829" s="4" t="s">
        <v>127</v>
      </c>
      <c r="AP829" s="4" t="s">
        <v>127</v>
      </c>
      <c r="AQ829" s="4" t="s">
        <v>127</v>
      </c>
      <c r="AR829" s="4" t="s">
        <v>127</v>
      </c>
      <c r="AS829" s="4" t="s">
        <v>127</v>
      </c>
      <c r="AT829" s="4" t="s">
        <v>127</v>
      </c>
      <c r="AU829" s="4" t="s">
        <v>127</v>
      </c>
      <c r="AV829" s="4" t="s">
        <v>127</v>
      </c>
      <c r="AW829" s="4" t="s">
        <v>127</v>
      </c>
      <c r="AX829" s="4" t="s">
        <v>127</v>
      </c>
      <c r="AY829" s="111" t="s">
        <v>4069</v>
      </c>
      <c r="AZ829" s="4" t="s">
        <v>127</v>
      </c>
      <c r="BA829" s="4" t="s">
        <v>127</v>
      </c>
      <c r="BB829" s="4" t="s">
        <v>127</v>
      </c>
      <c r="BC829" s="4" t="s">
        <v>127</v>
      </c>
      <c r="BD829" s="4" t="s">
        <v>127</v>
      </c>
      <c r="BE829" s="4" t="s">
        <v>127</v>
      </c>
    </row>
    <row r="830" spans="1:57" ht="16" x14ac:dyDescent="0.4">
      <c r="A830" s="4" t="s">
        <v>4098</v>
      </c>
      <c r="B830" s="4" t="s">
        <v>4098</v>
      </c>
      <c r="C830" s="4" t="s">
        <v>127</v>
      </c>
      <c r="D830" s="4" t="s">
        <v>151</v>
      </c>
      <c r="E830" s="189"/>
      <c r="F830" s="4">
        <v>2022</v>
      </c>
      <c r="G830" s="4" t="s">
        <v>4099</v>
      </c>
      <c r="H830" s="22" t="str">
        <f>VLOOKUP($G830,'Item Classification'!B:C,2,0)</f>
        <v>Aerial management control centre</v>
      </c>
      <c r="I830" s="6" t="str">
        <f>VLOOKUP($G830,'Item Classification'!B:D,3,0)</f>
        <v>Aircraft</v>
      </c>
      <c r="J830" s="23">
        <f>VLOOKUP($G830,'Item Classification'!B:E,4,0)</f>
        <v>11</v>
      </c>
      <c r="K830" s="195" t="s">
        <v>158</v>
      </c>
      <c r="L830" s="195" t="s">
        <v>443</v>
      </c>
      <c r="M830" s="116" t="str">
        <f>VLOOKUP(L830,'NATO Classifications'!$D$6:$E$647,2,0)</f>
        <v>Communication, Detection, and Coherent Radiation Equipment (other)</v>
      </c>
      <c r="N830" s="4">
        <v>1</v>
      </c>
      <c r="O830" s="81"/>
      <c r="P830" s="81"/>
      <c r="Q830" s="4"/>
      <c r="R830" s="4"/>
      <c r="S830" s="103"/>
      <c r="T830" s="115" t="s">
        <v>132</v>
      </c>
      <c r="U830" s="104">
        <f>_xlfn.IFNA(S830/INDEX('Exchange Rates'!$C$7:$F$14,MATCH('MAIN DATA, Orders'!F830,'Exchange Rates'!$B$7:$B$14,0),MATCH('MAIN DATA, Orders'!T830,'Exchange Rates'!$C$6:$F$6,0)), "-")</f>
        <v>0</v>
      </c>
      <c r="V830" s="4" t="s">
        <v>127</v>
      </c>
      <c r="W830" s="4" t="s">
        <v>127</v>
      </c>
      <c r="X830" s="4" t="s">
        <v>151</v>
      </c>
      <c r="Y830" s="115" t="s">
        <v>127</v>
      </c>
      <c r="Z830" s="115" t="s">
        <v>127</v>
      </c>
      <c r="AA830" s="115" t="s">
        <v>127</v>
      </c>
      <c r="AB830" s="115" t="s">
        <v>127</v>
      </c>
      <c r="AC830" s="115" t="s">
        <v>127</v>
      </c>
      <c r="AD830" s="115" t="s">
        <v>127</v>
      </c>
      <c r="AE830" s="115" t="s">
        <v>127</v>
      </c>
      <c r="AF830" s="115" t="s">
        <v>127</v>
      </c>
      <c r="AG830" s="4" t="s">
        <v>127</v>
      </c>
      <c r="AH830" s="4" t="s">
        <v>127</v>
      </c>
      <c r="AI830" s="4" t="s">
        <v>127</v>
      </c>
      <c r="AJ830" s="4" t="s">
        <v>127</v>
      </c>
      <c r="AK830" s="4" t="s">
        <v>127</v>
      </c>
      <c r="AL830" s="4" t="s">
        <v>127</v>
      </c>
      <c r="AM830" s="4" t="s">
        <v>127</v>
      </c>
      <c r="AN830" s="4" t="s">
        <v>127</v>
      </c>
      <c r="AO830" s="4" t="s">
        <v>127</v>
      </c>
      <c r="AP830" s="4" t="s">
        <v>127</v>
      </c>
      <c r="AQ830" s="4" t="s">
        <v>127</v>
      </c>
      <c r="AR830" s="4" t="s">
        <v>127</v>
      </c>
      <c r="AS830" s="4" t="s">
        <v>127</v>
      </c>
      <c r="AT830" s="4" t="s">
        <v>127</v>
      </c>
      <c r="AU830" s="4" t="s">
        <v>127</v>
      </c>
      <c r="AV830" s="4" t="s">
        <v>127</v>
      </c>
      <c r="AW830" s="4" t="s">
        <v>127</v>
      </c>
      <c r="AX830" s="4" t="s">
        <v>127</v>
      </c>
      <c r="AY830" s="111" t="s">
        <v>4069</v>
      </c>
      <c r="AZ830" s="4" t="s">
        <v>127</v>
      </c>
      <c r="BA830" s="4" t="s">
        <v>127</v>
      </c>
      <c r="BB830" s="4" t="s">
        <v>127</v>
      </c>
      <c r="BC830" s="4" t="s">
        <v>127</v>
      </c>
      <c r="BD830" s="4" t="s">
        <v>127</v>
      </c>
      <c r="BE830" s="4" t="s">
        <v>127</v>
      </c>
    </row>
    <row r="831" spans="1:57" ht="16" x14ac:dyDescent="0.4">
      <c r="A831" s="4" t="s">
        <v>4100</v>
      </c>
      <c r="B831" s="4" t="s">
        <v>4100</v>
      </c>
      <c r="C831" s="4" t="s">
        <v>127</v>
      </c>
      <c r="D831" s="4" t="s">
        <v>151</v>
      </c>
      <c r="E831" s="189"/>
      <c r="F831" s="4">
        <v>2022</v>
      </c>
      <c r="G831" s="4" t="s">
        <v>4101</v>
      </c>
      <c r="H831" s="22" t="str">
        <f>VLOOKUP($G831,'Item Classification'!B:C,2,0)</f>
        <v>Armoured personnel carrier (APC)</v>
      </c>
      <c r="I831" s="6" t="str">
        <f>VLOOKUP($G831,'Item Classification'!B:D,3,0)</f>
        <v>Armoured vehicle</v>
      </c>
      <c r="J831" s="23">
        <f>VLOOKUP($G831,'Item Classification'!B:E,4,0)</f>
        <v>2</v>
      </c>
      <c r="K831" s="195" t="s">
        <v>274</v>
      </c>
      <c r="L831" s="195" t="s">
        <v>493</v>
      </c>
      <c r="M831" s="116" t="str">
        <f>VLOOKUP(L831,'NATO Classifications'!$D$6:$E$647,2,0)</f>
        <v>Combat, Assault, and Tactical Vehicles, Wheeled</v>
      </c>
      <c r="N831" s="4">
        <v>54</v>
      </c>
      <c r="O831" s="81"/>
      <c r="P831" s="81"/>
      <c r="Q831" s="4"/>
      <c r="R831" s="4"/>
      <c r="S831" s="103"/>
      <c r="T831" s="115" t="s">
        <v>132</v>
      </c>
      <c r="U831" s="104">
        <f>_xlfn.IFNA(S831/INDEX('Exchange Rates'!$C$7:$F$14,MATCH('MAIN DATA, Orders'!F831,'Exchange Rates'!$B$7:$B$14,0),MATCH('MAIN DATA, Orders'!T831,'Exchange Rates'!$C$6:$F$6,0)), "-")</f>
        <v>0</v>
      </c>
      <c r="V831" s="4" t="s">
        <v>127</v>
      </c>
      <c r="W831" s="4" t="s">
        <v>127</v>
      </c>
      <c r="X831" s="4" t="s">
        <v>151</v>
      </c>
      <c r="Y831" s="115" t="s">
        <v>127</v>
      </c>
      <c r="Z831" s="115" t="s">
        <v>127</v>
      </c>
      <c r="AA831" s="115" t="s">
        <v>127</v>
      </c>
      <c r="AB831" s="115" t="s">
        <v>127</v>
      </c>
      <c r="AC831" s="115" t="s">
        <v>127</v>
      </c>
      <c r="AD831" s="115" t="s">
        <v>127</v>
      </c>
      <c r="AE831" s="115" t="s">
        <v>127</v>
      </c>
      <c r="AF831" s="115" t="s">
        <v>127</v>
      </c>
      <c r="AG831" s="4" t="s">
        <v>127</v>
      </c>
      <c r="AH831" s="4" t="s">
        <v>127</v>
      </c>
      <c r="AI831" s="4" t="s">
        <v>127</v>
      </c>
      <c r="AJ831" s="4" t="s">
        <v>127</v>
      </c>
      <c r="AK831" s="4" t="s">
        <v>127</v>
      </c>
      <c r="AL831" s="4" t="s">
        <v>127</v>
      </c>
      <c r="AM831" s="4" t="s">
        <v>127</v>
      </c>
      <c r="AN831" s="4" t="s">
        <v>127</v>
      </c>
      <c r="AO831" s="4" t="s">
        <v>127</v>
      </c>
      <c r="AP831" s="4" t="s">
        <v>127</v>
      </c>
      <c r="AQ831" s="4" t="s">
        <v>127</v>
      </c>
      <c r="AR831" s="4" t="s">
        <v>127</v>
      </c>
      <c r="AS831" s="4" t="s">
        <v>127</v>
      </c>
      <c r="AT831" s="4" t="s">
        <v>127</v>
      </c>
      <c r="AU831" s="4" t="s">
        <v>127</v>
      </c>
      <c r="AV831" s="4" t="s">
        <v>127</v>
      </c>
      <c r="AW831" s="4" t="s">
        <v>127</v>
      </c>
      <c r="AX831" s="4" t="s">
        <v>127</v>
      </c>
      <c r="AY831" s="111" t="s">
        <v>4069</v>
      </c>
      <c r="AZ831" s="4" t="s">
        <v>127</v>
      </c>
      <c r="BA831" s="4" t="s">
        <v>127</v>
      </c>
      <c r="BB831" s="4" t="s">
        <v>127</v>
      </c>
      <c r="BC831" s="4" t="s">
        <v>127</v>
      </c>
      <c r="BD831" s="4" t="s">
        <v>127</v>
      </c>
      <c r="BE831" s="4" t="s">
        <v>127</v>
      </c>
    </row>
    <row r="832" spans="1:57" ht="16" x14ac:dyDescent="0.4">
      <c r="A832" s="4" t="s">
        <v>4102</v>
      </c>
      <c r="B832" s="4" t="s">
        <v>4102</v>
      </c>
      <c r="C832" s="4" t="s">
        <v>127</v>
      </c>
      <c r="D832" s="4" t="s">
        <v>151</v>
      </c>
      <c r="E832" s="189"/>
      <c r="F832" s="4">
        <v>2022</v>
      </c>
      <c r="G832" s="4" t="s">
        <v>4103</v>
      </c>
      <c r="H832" s="22" t="str">
        <f>VLOOKUP($G832,'Item Classification'!B:C,2,0)</f>
        <v>Armoured personnel carrier (APC)</v>
      </c>
      <c r="I832" s="6" t="str">
        <f>VLOOKUP($G832,'Item Classification'!B:D,3,0)</f>
        <v>Armoured vehicle</v>
      </c>
      <c r="J832" s="23">
        <f>VLOOKUP($G832,'Item Classification'!B:E,4,0)</f>
        <v>2</v>
      </c>
      <c r="K832" s="195" t="s">
        <v>274</v>
      </c>
      <c r="L832" s="195" t="s">
        <v>493</v>
      </c>
      <c r="M832" s="116" t="str">
        <f>VLOOKUP(L832,'NATO Classifications'!$D$6:$E$647,2,0)</f>
        <v>Combat, Assault, and Tactical Vehicles, Wheeled</v>
      </c>
      <c r="N832" s="4">
        <v>120</v>
      </c>
      <c r="O832" s="81"/>
      <c r="P832" s="81"/>
      <c r="Q832" s="4"/>
      <c r="R832" s="4"/>
      <c r="S832" s="103"/>
      <c r="T832" s="115" t="s">
        <v>132</v>
      </c>
      <c r="U832" s="104">
        <f>_xlfn.IFNA(S832/INDEX('Exchange Rates'!$C$7:$F$14,MATCH('MAIN DATA, Orders'!F832,'Exchange Rates'!$B$7:$B$14,0),MATCH('MAIN DATA, Orders'!T832,'Exchange Rates'!$C$6:$F$6,0)), "-")</f>
        <v>0</v>
      </c>
      <c r="V832" s="4" t="s">
        <v>127</v>
      </c>
      <c r="W832" s="4" t="s">
        <v>127</v>
      </c>
      <c r="X832" s="4" t="s">
        <v>151</v>
      </c>
      <c r="Y832" s="115" t="s">
        <v>127</v>
      </c>
      <c r="Z832" s="115" t="s">
        <v>127</v>
      </c>
      <c r="AA832" s="115" t="s">
        <v>127</v>
      </c>
      <c r="AB832" s="115" t="s">
        <v>127</v>
      </c>
      <c r="AC832" s="115" t="s">
        <v>127</v>
      </c>
      <c r="AD832" s="115" t="s">
        <v>127</v>
      </c>
      <c r="AE832" s="115" t="s">
        <v>127</v>
      </c>
      <c r="AF832" s="115" t="s">
        <v>127</v>
      </c>
      <c r="AG832" s="4" t="s">
        <v>127</v>
      </c>
      <c r="AH832" s="4" t="s">
        <v>127</v>
      </c>
      <c r="AI832" s="4" t="s">
        <v>127</v>
      </c>
      <c r="AJ832" s="4" t="s">
        <v>127</v>
      </c>
      <c r="AK832" s="4" t="s">
        <v>127</v>
      </c>
      <c r="AL832" s="4" t="s">
        <v>127</v>
      </c>
      <c r="AM832" s="4" t="s">
        <v>127</v>
      </c>
      <c r="AN832" s="4" t="s">
        <v>127</v>
      </c>
      <c r="AO832" s="4" t="s">
        <v>127</v>
      </c>
      <c r="AP832" s="4" t="s">
        <v>127</v>
      </c>
      <c r="AQ832" s="4" t="s">
        <v>127</v>
      </c>
      <c r="AR832" s="4" t="s">
        <v>127</v>
      </c>
      <c r="AS832" s="4" t="s">
        <v>127</v>
      </c>
      <c r="AT832" s="4" t="s">
        <v>127</v>
      </c>
      <c r="AU832" s="4" t="s">
        <v>127</v>
      </c>
      <c r="AV832" s="4" t="s">
        <v>127</v>
      </c>
      <c r="AW832" s="4" t="s">
        <v>127</v>
      </c>
      <c r="AX832" s="4" t="s">
        <v>127</v>
      </c>
      <c r="AY832" s="111" t="s">
        <v>4069</v>
      </c>
      <c r="AZ832" s="4" t="s">
        <v>127</v>
      </c>
      <c r="BA832" s="4" t="s">
        <v>127</v>
      </c>
      <c r="BB832" s="4" t="s">
        <v>127</v>
      </c>
      <c r="BC832" s="4" t="s">
        <v>127</v>
      </c>
      <c r="BD832" s="4" t="s">
        <v>127</v>
      </c>
      <c r="BE832" s="4" t="s">
        <v>127</v>
      </c>
    </row>
    <row r="833" spans="1:57" ht="16" x14ac:dyDescent="0.4">
      <c r="A833" s="4" t="s">
        <v>4104</v>
      </c>
      <c r="B833" s="4" t="s">
        <v>4104</v>
      </c>
      <c r="C833" s="4" t="s">
        <v>127</v>
      </c>
      <c r="D833" s="4" t="s">
        <v>151</v>
      </c>
      <c r="E833" s="189"/>
      <c r="F833" s="4">
        <v>2022</v>
      </c>
      <c r="G833" s="4" t="s">
        <v>4105</v>
      </c>
      <c r="H833" s="22" t="str">
        <f>VLOOKUP($G833,'Item Classification'!B:C,2,0)</f>
        <v>Satellite communications</v>
      </c>
      <c r="I833" s="6" t="str">
        <f>VLOOKUP($G833,'Item Classification'!B:D,3,0)</f>
        <v>Modernisation</v>
      </c>
      <c r="J833" s="23">
        <f>VLOOKUP($G833,'Item Classification'!B:E,4,0)</f>
        <v>13</v>
      </c>
      <c r="K833" s="195" t="s">
        <v>2028</v>
      </c>
      <c r="L833" s="195" t="s">
        <v>2028</v>
      </c>
      <c r="M833" s="116" t="str">
        <f>VLOOKUP(L833,'NATO Classifications'!$D$6:$E$647,2,0)</f>
        <v>Space Vehicles</v>
      </c>
      <c r="N833" s="4">
        <v>10</v>
      </c>
      <c r="O833" s="81"/>
      <c r="P833" s="81"/>
      <c r="Q833" s="4"/>
      <c r="R833" s="4"/>
      <c r="S833" s="103"/>
      <c r="T833" s="115" t="s">
        <v>132</v>
      </c>
      <c r="U833" s="104">
        <f>_xlfn.IFNA(S833/INDEX('Exchange Rates'!$C$7:$F$14,MATCH('MAIN DATA, Orders'!F833,'Exchange Rates'!$B$7:$B$14,0),MATCH('MAIN DATA, Orders'!T833,'Exchange Rates'!$C$6:$F$6,0)), "-")</f>
        <v>0</v>
      </c>
      <c r="V833" s="4" t="s">
        <v>127</v>
      </c>
      <c r="W833" s="4" t="s">
        <v>127</v>
      </c>
      <c r="X833" s="4" t="s">
        <v>151</v>
      </c>
      <c r="Y833" s="115" t="s">
        <v>127</v>
      </c>
      <c r="Z833" s="115" t="s">
        <v>127</v>
      </c>
      <c r="AA833" s="115" t="s">
        <v>127</v>
      </c>
      <c r="AB833" s="115" t="s">
        <v>127</v>
      </c>
      <c r="AC833" s="115" t="s">
        <v>127</v>
      </c>
      <c r="AD833" s="115" t="s">
        <v>127</v>
      </c>
      <c r="AE833" s="115" t="s">
        <v>127</v>
      </c>
      <c r="AF833" s="115" t="s">
        <v>127</v>
      </c>
      <c r="AG833" s="4" t="s">
        <v>127</v>
      </c>
      <c r="AH833" s="4" t="s">
        <v>127</v>
      </c>
      <c r="AI833" s="4" t="s">
        <v>127</v>
      </c>
      <c r="AJ833" s="4" t="s">
        <v>127</v>
      </c>
      <c r="AK833" s="4" t="s">
        <v>127</v>
      </c>
      <c r="AL833" s="4" t="s">
        <v>127</v>
      </c>
      <c r="AM833" s="4" t="s">
        <v>127</v>
      </c>
      <c r="AN833" s="4" t="s">
        <v>127</v>
      </c>
      <c r="AO833" s="4" t="s">
        <v>127</v>
      </c>
      <c r="AP833" s="4" t="s">
        <v>127</v>
      </c>
      <c r="AQ833" s="4" t="s">
        <v>127</v>
      </c>
      <c r="AR833" s="4" t="s">
        <v>127</v>
      </c>
      <c r="AS833" s="4" t="s">
        <v>127</v>
      </c>
      <c r="AT833" s="4" t="s">
        <v>127</v>
      </c>
      <c r="AU833" s="4" t="s">
        <v>127</v>
      </c>
      <c r="AV833" s="4" t="s">
        <v>127</v>
      </c>
      <c r="AW833" s="4" t="s">
        <v>127</v>
      </c>
      <c r="AX833" s="4" t="s">
        <v>127</v>
      </c>
      <c r="AY833" s="111" t="s">
        <v>4069</v>
      </c>
      <c r="AZ833" s="4" t="s">
        <v>127</v>
      </c>
      <c r="BA833" s="4" t="s">
        <v>127</v>
      </c>
      <c r="BB833" s="4" t="s">
        <v>127</v>
      </c>
      <c r="BC833" s="4" t="s">
        <v>127</v>
      </c>
      <c r="BD833" s="4" t="s">
        <v>127</v>
      </c>
      <c r="BE833" s="4" t="s">
        <v>127</v>
      </c>
    </row>
    <row r="834" spans="1:57" ht="16" x14ac:dyDescent="0.4">
      <c r="A834" s="4" t="s">
        <v>4106</v>
      </c>
      <c r="B834" s="4" t="s">
        <v>4106</v>
      </c>
      <c r="C834" s="4" t="s">
        <v>127</v>
      </c>
      <c r="D834" s="4" t="s">
        <v>151</v>
      </c>
      <c r="E834" s="189">
        <v>44803</v>
      </c>
      <c r="F834" s="4">
        <v>2022</v>
      </c>
      <c r="G834" s="4" t="s">
        <v>4107</v>
      </c>
      <c r="H834" s="22" t="str">
        <f>VLOOKUP($G834,'Item Classification'!B:C,2,0)</f>
        <v>Small all-terrain transport vehicle</v>
      </c>
      <c r="I834" s="6" t="str">
        <f>VLOOKUP($G834,'Item Classification'!B:D,3,0)</f>
        <v>Other</v>
      </c>
      <c r="J834" s="23">
        <f>VLOOKUP($G834,'Item Classification'!B:E,4,0)</f>
        <v>16</v>
      </c>
      <c r="K834" s="195" t="s">
        <v>274</v>
      </c>
      <c r="L834" s="195" t="s">
        <v>275</v>
      </c>
      <c r="M834" s="116" t="str">
        <f>VLOOKUP(L834,'NATO Classifications'!$D$6:$E$647,2,0)</f>
        <v>Trucks and Truck Tractors, Wheeled</v>
      </c>
      <c r="N834" s="4">
        <v>180</v>
      </c>
      <c r="O834" s="81">
        <f t="shared" si="192"/>
        <v>244444.44444444444</v>
      </c>
      <c r="P834" s="81">
        <f t="shared" si="193"/>
        <v>244444.44444444444</v>
      </c>
      <c r="Q834" s="4">
        <v>2022</v>
      </c>
      <c r="R834" s="4">
        <v>2027</v>
      </c>
      <c r="S834" s="112">
        <v>44000000</v>
      </c>
      <c r="T834" s="115" t="s">
        <v>132</v>
      </c>
      <c r="U834" s="104">
        <f>_xlfn.IFNA(S834/INDEX('Exchange Rates'!$C$7:$F$14,MATCH('MAIN DATA, Orders'!F834,'Exchange Rates'!$B$7:$B$14,0),MATCH('MAIN DATA, Orders'!T834,'Exchange Rates'!$C$6:$F$6,0)), "-")</f>
        <v>44000000</v>
      </c>
      <c r="V834" s="4" t="s">
        <v>3978</v>
      </c>
      <c r="W834" s="4" t="s">
        <v>127</v>
      </c>
      <c r="X834" s="4" t="s">
        <v>151</v>
      </c>
      <c r="Y834" s="24">
        <f t="shared" ref="Y834" si="197">_xlfn.NUMBERVALUE(_xlfn.CONCAT(YEAR(E834),TEXT(E834, "mm")))</f>
        <v>202208</v>
      </c>
      <c r="Z834" s="115">
        <v>1</v>
      </c>
      <c r="AA834" s="115">
        <v>0</v>
      </c>
      <c r="AB834" s="115">
        <v>0</v>
      </c>
      <c r="AC834" s="115">
        <v>1</v>
      </c>
      <c r="AD834" s="115">
        <v>0</v>
      </c>
      <c r="AE834" s="115">
        <v>0</v>
      </c>
      <c r="AF834" s="115">
        <v>0</v>
      </c>
      <c r="AG834" s="4" t="s">
        <v>4108</v>
      </c>
      <c r="AH834" s="4" t="s">
        <v>151</v>
      </c>
      <c r="AI834" s="4" t="s">
        <v>127</v>
      </c>
      <c r="AJ834" s="4" t="s">
        <v>127</v>
      </c>
      <c r="AK834" s="4" t="s">
        <v>127</v>
      </c>
      <c r="AL834" s="4" t="s">
        <v>127</v>
      </c>
      <c r="AM834" s="4" t="s">
        <v>127</v>
      </c>
      <c r="AN834" s="4" t="s">
        <v>127</v>
      </c>
      <c r="AO834" s="4" t="s">
        <v>127</v>
      </c>
      <c r="AP834" s="4" t="s">
        <v>127</v>
      </c>
      <c r="AQ834" s="4" t="s">
        <v>127</v>
      </c>
      <c r="AR834" s="4" t="s">
        <v>127</v>
      </c>
      <c r="AS834" s="4" t="s">
        <v>127</v>
      </c>
      <c r="AT834" s="4" t="s">
        <v>127</v>
      </c>
      <c r="AU834" s="4" t="s">
        <v>127</v>
      </c>
      <c r="AV834" s="4" t="s">
        <v>127</v>
      </c>
      <c r="AW834" s="4" t="s">
        <v>127</v>
      </c>
      <c r="AX834" s="4" t="s">
        <v>127</v>
      </c>
      <c r="AY834" s="111" t="s">
        <v>4069</v>
      </c>
      <c r="AZ834" s="111" t="s">
        <v>4109</v>
      </c>
      <c r="BA834" s="4" t="s">
        <v>127</v>
      </c>
      <c r="BB834" s="4" t="s">
        <v>4110</v>
      </c>
      <c r="BC834" s="4" t="s">
        <v>127</v>
      </c>
      <c r="BD834" s="4" t="s">
        <v>127</v>
      </c>
      <c r="BE834" s="4" t="s">
        <v>127</v>
      </c>
    </row>
    <row r="835" spans="1:57" ht="16" x14ac:dyDescent="0.4">
      <c r="A835" s="4" t="s">
        <v>4111</v>
      </c>
      <c r="B835" s="4" t="s">
        <v>4111</v>
      </c>
      <c r="C835" s="4" t="s">
        <v>127</v>
      </c>
      <c r="D835" s="4" t="s">
        <v>151</v>
      </c>
      <c r="E835" s="189"/>
      <c r="F835" s="4">
        <v>2022</v>
      </c>
      <c r="G835" s="4" t="s">
        <v>4112</v>
      </c>
      <c r="H835" s="22" t="str">
        <f>VLOOKUP($G835,'Item Classification'!B:C,2,0)</f>
        <v>Weapon modernisation programme</v>
      </c>
      <c r="I835" s="6" t="str">
        <f>VLOOKUP($G835,'Item Classification'!B:D,3,0)</f>
        <v>Modernisation</v>
      </c>
      <c r="J835" s="23">
        <f>VLOOKUP($G835,'Item Classification'!B:E,4,0)</f>
        <v>13</v>
      </c>
      <c r="K835" s="195" t="s">
        <v>229</v>
      </c>
      <c r="L835" s="195" t="s">
        <v>230</v>
      </c>
      <c r="M835" s="116" t="str">
        <f>VLOOKUP(L835,'NATO Classifications'!$D$6:$E$647,2,0)</f>
        <v>Miscellaneous Items</v>
      </c>
      <c r="N835" s="114" t="s">
        <v>127</v>
      </c>
      <c r="O835" s="81"/>
      <c r="P835" s="81"/>
      <c r="Q835" s="4"/>
      <c r="R835" s="4"/>
      <c r="S835" s="4"/>
      <c r="T835" s="115" t="s">
        <v>132</v>
      </c>
      <c r="U835" s="104">
        <f>_xlfn.IFNA(S835/INDEX('Exchange Rates'!$C$7:$F$14,MATCH('MAIN DATA, Orders'!F835,'Exchange Rates'!$B$7:$B$14,0),MATCH('MAIN DATA, Orders'!T835,'Exchange Rates'!$C$6:$F$6,0)), "-")</f>
        <v>0</v>
      </c>
      <c r="V835" s="4" t="s">
        <v>127</v>
      </c>
      <c r="W835" s="4" t="s">
        <v>127</v>
      </c>
      <c r="X835" s="4" t="s">
        <v>151</v>
      </c>
      <c r="Y835" s="115" t="s">
        <v>127</v>
      </c>
      <c r="Z835" s="115" t="s">
        <v>127</v>
      </c>
      <c r="AA835" s="115" t="s">
        <v>127</v>
      </c>
      <c r="AB835" s="115" t="s">
        <v>127</v>
      </c>
      <c r="AC835" s="115" t="s">
        <v>127</v>
      </c>
      <c r="AD835" s="115" t="s">
        <v>127</v>
      </c>
      <c r="AE835" s="115" t="s">
        <v>127</v>
      </c>
      <c r="AF835" s="115" t="s">
        <v>127</v>
      </c>
      <c r="AG835" s="4" t="s">
        <v>127</v>
      </c>
      <c r="AH835" s="4" t="s">
        <v>127</v>
      </c>
      <c r="AI835" s="4" t="s">
        <v>127</v>
      </c>
      <c r="AJ835" s="4" t="s">
        <v>127</v>
      </c>
      <c r="AK835" s="4" t="s">
        <v>127</v>
      </c>
      <c r="AL835" s="4" t="s">
        <v>127</v>
      </c>
      <c r="AM835" s="4" t="s">
        <v>127</v>
      </c>
      <c r="AN835" s="4" t="s">
        <v>127</v>
      </c>
      <c r="AO835" s="4" t="s">
        <v>127</v>
      </c>
      <c r="AP835" s="4" t="s">
        <v>127</v>
      </c>
      <c r="AQ835" s="4" t="s">
        <v>127</v>
      </c>
      <c r="AR835" s="4" t="s">
        <v>127</v>
      </c>
      <c r="AS835" s="4" t="s">
        <v>127</v>
      </c>
      <c r="AT835" s="4" t="s">
        <v>127</v>
      </c>
      <c r="AU835" s="4" t="s">
        <v>127</v>
      </c>
      <c r="AV835" s="4" t="s">
        <v>127</v>
      </c>
      <c r="AW835" s="4" t="s">
        <v>127</v>
      </c>
      <c r="AX835" s="4" t="s">
        <v>127</v>
      </c>
      <c r="AY835" s="111" t="s">
        <v>4069</v>
      </c>
      <c r="AZ835" s="4" t="s">
        <v>127</v>
      </c>
      <c r="BA835" s="4" t="s">
        <v>127</v>
      </c>
      <c r="BB835" s="4" t="s">
        <v>127</v>
      </c>
      <c r="BC835" s="4" t="s">
        <v>127</v>
      </c>
      <c r="BD835" s="4" t="s">
        <v>127</v>
      </c>
      <c r="BE835" s="4" t="s">
        <v>127</v>
      </c>
    </row>
    <row r="836" spans="1:57" ht="16" x14ac:dyDescent="0.4">
      <c r="A836" s="4" t="s">
        <v>4113</v>
      </c>
      <c r="B836" s="4" t="s">
        <v>4113</v>
      </c>
      <c r="C836" s="4" t="s">
        <v>3976</v>
      </c>
      <c r="D836" s="4" t="s">
        <v>151</v>
      </c>
      <c r="E836" s="189"/>
      <c r="F836" s="4">
        <v>2023</v>
      </c>
      <c r="G836" s="4" t="s">
        <v>4114</v>
      </c>
      <c r="H836" s="22" t="str">
        <f>VLOOKUP($G836,'Item Classification'!B:C,2,0)</f>
        <v>Infantry mobility vehicle</v>
      </c>
      <c r="I836" s="6" t="str">
        <f>VLOOKUP($G836,'Item Classification'!B:D,3,0)</f>
        <v>Armoured vehicle</v>
      </c>
      <c r="J836" s="23">
        <f>VLOOKUP($G836,'Item Classification'!B:E,4,0)</f>
        <v>2</v>
      </c>
      <c r="K836" s="195" t="s">
        <v>274</v>
      </c>
      <c r="L836" s="195" t="s">
        <v>493</v>
      </c>
      <c r="M836" s="116" t="str">
        <f>VLOOKUP(L836,'NATO Classifications'!$D$6:$E$647,2,0)</f>
        <v>Combat, Assault, and Tactical Vehicles, Wheeled</v>
      </c>
      <c r="N836" s="4">
        <v>420</v>
      </c>
      <c r="O836" s="81">
        <f t="shared" si="192"/>
        <v>1190476.1904761905</v>
      </c>
      <c r="P836" s="81">
        <f t="shared" si="193"/>
        <v>1190476.1904761905</v>
      </c>
      <c r="Q836" s="4"/>
      <c r="R836" s="4"/>
      <c r="S836" s="139">
        <v>500000000</v>
      </c>
      <c r="T836" s="115" t="s">
        <v>132</v>
      </c>
      <c r="U836" s="104">
        <f>_xlfn.IFNA(S836/INDEX('Exchange Rates'!$C$7:$F$14,MATCH('MAIN DATA, Orders'!F836,'Exchange Rates'!$B$7:$B$14,0),MATCH('MAIN DATA, Orders'!T836,'Exchange Rates'!$C$6:$F$6,0)), "-")</f>
        <v>500000000</v>
      </c>
      <c r="V836" s="4" t="s">
        <v>4115</v>
      </c>
      <c r="W836" s="4" t="s">
        <v>127</v>
      </c>
      <c r="X836" s="4" t="s">
        <v>151</v>
      </c>
      <c r="Y836" s="115" t="s">
        <v>127</v>
      </c>
      <c r="Z836" s="115" t="s">
        <v>127</v>
      </c>
      <c r="AA836" s="115" t="s">
        <v>127</v>
      </c>
      <c r="AB836" s="115" t="s">
        <v>127</v>
      </c>
      <c r="AC836" s="115">
        <v>1</v>
      </c>
      <c r="AD836" s="115">
        <v>0</v>
      </c>
      <c r="AE836" s="115">
        <v>0</v>
      </c>
      <c r="AF836" s="115">
        <v>0</v>
      </c>
      <c r="AG836" s="4" t="s">
        <v>1115</v>
      </c>
      <c r="AH836" s="4" t="s">
        <v>151</v>
      </c>
      <c r="AI836" s="4" t="s">
        <v>151</v>
      </c>
      <c r="AJ836" s="4" t="s">
        <v>3985</v>
      </c>
      <c r="AK836" s="4" t="s">
        <v>127</v>
      </c>
      <c r="AL836" s="4" t="s">
        <v>127</v>
      </c>
      <c r="AM836" s="4" t="s">
        <v>127</v>
      </c>
      <c r="AN836" s="4" t="s">
        <v>127</v>
      </c>
      <c r="AO836" s="4" t="s">
        <v>127</v>
      </c>
      <c r="AP836" s="4" t="s">
        <v>127</v>
      </c>
      <c r="AQ836" s="4" t="s">
        <v>127</v>
      </c>
      <c r="AR836" s="4" t="s">
        <v>127</v>
      </c>
      <c r="AS836" s="4" t="s">
        <v>127</v>
      </c>
      <c r="AT836" s="4" t="s">
        <v>127</v>
      </c>
      <c r="AU836" s="4" t="s">
        <v>127</v>
      </c>
      <c r="AV836" s="4" t="s">
        <v>127</v>
      </c>
      <c r="AW836" s="4" t="s">
        <v>127</v>
      </c>
      <c r="AX836" s="6" t="s">
        <v>127</v>
      </c>
      <c r="AY836" s="96" t="s">
        <v>4116</v>
      </c>
      <c r="AZ836" s="96" t="s">
        <v>4117</v>
      </c>
      <c r="BA836" s="96" t="s">
        <v>4118</v>
      </c>
      <c r="BB836" s="4" t="s">
        <v>4119</v>
      </c>
      <c r="BC836" s="4" t="s">
        <v>127</v>
      </c>
      <c r="BD836" s="4" t="s">
        <v>127</v>
      </c>
      <c r="BE836" s="4" t="s">
        <v>127</v>
      </c>
    </row>
    <row r="837" spans="1:57" ht="16" x14ac:dyDescent="0.4">
      <c r="A837" s="4" t="s">
        <v>4120</v>
      </c>
      <c r="B837" s="4" t="s">
        <v>4120</v>
      </c>
      <c r="C837" s="4" t="s">
        <v>127</v>
      </c>
      <c r="D837" s="4" t="s">
        <v>151</v>
      </c>
      <c r="E837" s="189"/>
      <c r="F837" s="4">
        <v>2023</v>
      </c>
      <c r="G837" s="4" t="s">
        <v>4121</v>
      </c>
      <c r="H837" s="22" t="str">
        <f>VLOOKUP($G837,'Item Classification'!B:C,2,0)</f>
        <v>Infantry mobility vehicle</v>
      </c>
      <c r="I837" s="6" t="str">
        <f>VLOOKUP($G837,'Item Classification'!B:D,3,0)</f>
        <v>Armoured vehicle</v>
      </c>
      <c r="J837" s="23">
        <f>VLOOKUP($G837,'Item Classification'!B:E,4,0)</f>
        <v>2</v>
      </c>
      <c r="K837" s="195" t="s">
        <v>274</v>
      </c>
      <c r="L837" s="195" t="s">
        <v>275</v>
      </c>
      <c r="M837" s="116" t="str">
        <f>VLOOKUP(L837,'NATO Classifications'!$D$6:$E$647,2,0)</f>
        <v>Trucks and Truck Tractors, Wheeled</v>
      </c>
      <c r="N837" s="4">
        <v>22</v>
      </c>
      <c r="O837" s="81"/>
      <c r="P837" s="81"/>
      <c r="Q837" s="4"/>
      <c r="R837" s="4"/>
      <c r="S837" s="4"/>
      <c r="T837" s="115" t="s">
        <v>132</v>
      </c>
      <c r="U837" s="104">
        <f>_xlfn.IFNA(S837/INDEX('Exchange Rates'!$C$7:$F$14,MATCH('MAIN DATA, Orders'!F837,'Exchange Rates'!$B$7:$B$14,0),MATCH('MAIN DATA, Orders'!T837,'Exchange Rates'!$C$6:$F$6,0)), "-")</f>
        <v>0</v>
      </c>
      <c r="V837" s="4" t="s">
        <v>127</v>
      </c>
      <c r="W837" s="4" t="s">
        <v>127</v>
      </c>
      <c r="X837" s="4" t="s">
        <v>151</v>
      </c>
      <c r="Y837" s="115" t="s">
        <v>127</v>
      </c>
      <c r="Z837" s="115" t="s">
        <v>127</v>
      </c>
      <c r="AA837" s="115" t="s">
        <v>127</v>
      </c>
      <c r="AB837" s="115" t="s">
        <v>127</v>
      </c>
      <c r="AC837" s="115" t="s">
        <v>127</v>
      </c>
      <c r="AD837" s="115" t="s">
        <v>127</v>
      </c>
      <c r="AE837" s="115" t="s">
        <v>127</v>
      </c>
      <c r="AF837" s="115" t="s">
        <v>127</v>
      </c>
      <c r="AG837" s="4" t="s">
        <v>127</v>
      </c>
      <c r="AH837" s="4" t="s">
        <v>127</v>
      </c>
      <c r="AI837" s="4" t="s">
        <v>127</v>
      </c>
      <c r="AJ837" s="4" t="s">
        <v>127</v>
      </c>
      <c r="AK837" s="4" t="s">
        <v>127</v>
      </c>
      <c r="AL837" s="4" t="s">
        <v>127</v>
      </c>
      <c r="AM837" s="4" t="s">
        <v>127</v>
      </c>
      <c r="AN837" s="4" t="s">
        <v>127</v>
      </c>
      <c r="AO837" s="4" t="s">
        <v>127</v>
      </c>
      <c r="AP837" s="4" t="s">
        <v>127</v>
      </c>
      <c r="AQ837" s="4" t="s">
        <v>127</v>
      </c>
      <c r="AR837" s="4" t="s">
        <v>127</v>
      </c>
      <c r="AS837" s="4" t="s">
        <v>127</v>
      </c>
      <c r="AT837" s="4" t="s">
        <v>127</v>
      </c>
      <c r="AU837" s="4" t="s">
        <v>127</v>
      </c>
      <c r="AV837" s="4" t="s">
        <v>127</v>
      </c>
      <c r="AW837" s="4" t="s">
        <v>127</v>
      </c>
      <c r="AX837" s="4" t="s">
        <v>127</v>
      </c>
      <c r="AY837" s="96" t="s">
        <v>4116</v>
      </c>
      <c r="AZ837" s="96" t="s">
        <v>4122</v>
      </c>
      <c r="BA837" s="4" t="s">
        <v>127</v>
      </c>
      <c r="BB837" s="4" t="s">
        <v>127</v>
      </c>
      <c r="BC837" s="4" t="s">
        <v>127</v>
      </c>
      <c r="BD837" s="4" t="s">
        <v>127</v>
      </c>
      <c r="BE837" s="4" t="s">
        <v>127</v>
      </c>
    </row>
    <row r="838" spans="1:57" ht="16" x14ac:dyDescent="0.4">
      <c r="A838" s="4" t="s">
        <v>4123</v>
      </c>
      <c r="B838" s="4" t="s">
        <v>4123</v>
      </c>
      <c r="C838" s="4" t="s">
        <v>127</v>
      </c>
      <c r="D838" s="4" t="s">
        <v>151</v>
      </c>
      <c r="E838" s="189"/>
      <c r="F838" s="4">
        <v>2023</v>
      </c>
      <c r="G838" s="4" t="s">
        <v>3991</v>
      </c>
      <c r="H838" s="22" t="str">
        <f>VLOOKUP($G838,'Item Classification'!B:C,2,0)</f>
        <v>Small Arms and Light Weapons (SALW)</v>
      </c>
      <c r="I838" s="6" t="str">
        <f>VLOOKUP($G838,'Item Classification'!B:D,3,0)</f>
        <v>Infantry</v>
      </c>
      <c r="J838" s="23">
        <f>VLOOKUP($G838,'Item Classification'!B:E,4,0)</f>
        <v>8</v>
      </c>
      <c r="K838" s="195" t="s">
        <v>763</v>
      </c>
      <c r="L838" s="195" t="s">
        <v>764</v>
      </c>
      <c r="M838" s="116" t="str">
        <f>VLOOKUP(L838,'NATO Classifications'!$D$6:$E$647,2,0)</f>
        <v>Guns below 75mm</v>
      </c>
      <c r="N838" s="4">
        <v>8000</v>
      </c>
      <c r="O838" s="81"/>
      <c r="P838" s="81"/>
      <c r="Q838" s="4"/>
      <c r="R838" s="4"/>
      <c r="S838" s="4"/>
      <c r="T838" s="115" t="s">
        <v>132</v>
      </c>
      <c r="U838" s="104">
        <f>_xlfn.IFNA(S838/INDEX('Exchange Rates'!$C$7:$F$14,MATCH('MAIN DATA, Orders'!F838,'Exchange Rates'!$B$7:$B$14,0),MATCH('MAIN DATA, Orders'!T838,'Exchange Rates'!$C$6:$F$6,0)), "-")</f>
        <v>0</v>
      </c>
      <c r="V838" s="4" t="s">
        <v>127</v>
      </c>
      <c r="W838" s="4" t="s">
        <v>127</v>
      </c>
      <c r="X838" s="4" t="s">
        <v>151</v>
      </c>
      <c r="Y838" s="115" t="s">
        <v>127</v>
      </c>
      <c r="Z838" s="115">
        <v>1</v>
      </c>
      <c r="AA838" s="115">
        <v>0</v>
      </c>
      <c r="AB838" s="115">
        <v>0</v>
      </c>
      <c r="AC838" s="115">
        <v>1</v>
      </c>
      <c r="AD838" s="115">
        <v>1</v>
      </c>
      <c r="AE838" s="115">
        <v>0</v>
      </c>
      <c r="AF838" s="115">
        <v>1</v>
      </c>
      <c r="AG838" s="4" t="s">
        <v>3992</v>
      </c>
      <c r="AH838" s="4" t="s">
        <v>128</v>
      </c>
      <c r="AI838" s="4" t="s">
        <v>127</v>
      </c>
      <c r="AJ838" s="4" t="s">
        <v>3993</v>
      </c>
      <c r="AK838" s="4" t="s">
        <v>127</v>
      </c>
      <c r="AL838" s="4" t="s">
        <v>127</v>
      </c>
      <c r="AM838" s="4" t="s">
        <v>127</v>
      </c>
      <c r="AN838" s="4" t="s">
        <v>127</v>
      </c>
      <c r="AO838" s="4" t="s">
        <v>127</v>
      </c>
      <c r="AP838" s="4" t="s">
        <v>127</v>
      </c>
      <c r="AQ838" s="4" t="s">
        <v>127</v>
      </c>
      <c r="AR838" s="4" t="s">
        <v>127</v>
      </c>
      <c r="AS838" s="4" t="s">
        <v>127</v>
      </c>
      <c r="AT838" s="4" t="s">
        <v>127</v>
      </c>
      <c r="AU838" s="4" t="s">
        <v>127</v>
      </c>
      <c r="AV838" s="4" t="s">
        <v>127</v>
      </c>
      <c r="AW838" s="4" t="s">
        <v>127</v>
      </c>
      <c r="AX838" s="4" t="s">
        <v>127</v>
      </c>
      <c r="AY838" s="96" t="s">
        <v>4116</v>
      </c>
      <c r="AZ838" s="96" t="s">
        <v>4124</v>
      </c>
      <c r="BA838" s="4" t="s">
        <v>127</v>
      </c>
      <c r="BB838" s="4" t="s">
        <v>127</v>
      </c>
      <c r="BC838" s="4" t="s">
        <v>127</v>
      </c>
      <c r="BD838" s="4" t="s">
        <v>127</v>
      </c>
      <c r="BE838" s="4" t="s">
        <v>127</v>
      </c>
    </row>
    <row r="839" spans="1:57" ht="16" x14ac:dyDescent="0.4">
      <c r="A839" s="4" t="s">
        <v>4125</v>
      </c>
      <c r="B839" s="4" t="s">
        <v>4125</v>
      </c>
      <c r="C839" s="4" t="s">
        <v>127</v>
      </c>
      <c r="D839" s="4" t="s">
        <v>151</v>
      </c>
      <c r="E839" s="189">
        <v>45288</v>
      </c>
      <c r="F839" s="4">
        <v>2023</v>
      </c>
      <c r="G839" s="4" t="s">
        <v>4126</v>
      </c>
      <c r="H839" s="22" t="str">
        <f>VLOOKUP($G839,'Item Classification'!B:C,2,0)</f>
        <v>Aircraft carrier modernisation</v>
      </c>
      <c r="I839" s="6" t="str">
        <f>VLOOKUP($G839,'Item Classification'!B:D,3,0)</f>
        <v>Naval</v>
      </c>
      <c r="J839" s="23">
        <f>VLOOKUP($G839,'Item Classification'!B:E,4,0)</f>
        <v>12</v>
      </c>
      <c r="K839" s="195" t="s">
        <v>143</v>
      </c>
      <c r="L839" s="195" t="s">
        <v>144</v>
      </c>
      <c r="M839" s="116" t="str">
        <f>VLOOKUP(L839,'NATO Classifications'!$D$6:$E$647,2,0)</f>
        <v>Combat Ships and Landing Vessels</v>
      </c>
      <c r="N839" s="4">
        <v>1</v>
      </c>
      <c r="O839" s="81">
        <f t="shared" si="192"/>
        <v>579310000</v>
      </c>
      <c r="P839" s="81">
        <f t="shared" si="193"/>
        <v>579310000</v>
      </c>
      <c r="Q839" s="4">
        <v>2027</v>
      </c>
      <c r="R839" s="4"/>
      <c r="S839" s="139">
        <v>579310000</v>
      </c>
      <c r="T839" s="115" t="s">
        <v>132</v>
      </c>
      <c r="U839" s="104">
        <f>_xlfn.IFNA(S839/INDEX('Exchange Rates'!$C$7:$F$14,MATCH('MAIN DATA, Orders'!F839,'Exchange Rates'!$B$7:$B$14,0),MATCH('MAIN DATA, Orders'!T839,'Exchange Rates'!$C$6:$F$6,0)), "-")</f>
        <v>579310000</v>
      </c>
      <c r="V839" s="4" t="s">
        <v>4115</v>
      </c>
      <c r="W839" s="4" t="s">
        <v>127</v>
      </c>
      <c r="X839" s="4" t="s">
        <v>151</v>
      </c>
      <c r="Y839" s="24">
        <f t="shared" ref="Y839" si="198">_xlfn.NUMBERVALUE(_xlfn.CONCAT(YEAR(E839),TEXT(E839, "mm")))</f>
        <v>202312</v>
      </c>
      <c r="Z839" s="115" t="s">
        <v>127</v>
      </c>
      <c r="AA839" s="115" t="s">
        <v>127</v>
      </c>
      <c r="AB839" s="115" t="s">
        <v>127</v>
      </c>
      <c r="AC839" s="115">
        <v>1</v>
      </c>
      <c r="AD839" s="115">
        <v>1</v>
      </c>
      <c r="AE839" s="115">
        <v>0</v>
      </c>
      <c r="AF839" s="115">
        <v>1</v>
      </c>
      <c r="AG839" s="4" t="s">
        <v>4030</v>
      </c>
      <c r="AH839" s="4" t="s">
        <v>151</v>
      </c>
      <c r="AI839" s="4" t="s">
        <v>151</v>
      </c>
      <c r="AJ839" s="4" t="s">
        <v>148</v>
      </c>
      <c r="AK839" s="4" t="s">
        <v>475</v>
      </c>
      <c r="AL839" s="4" t="s">
        <v>4127</v>
      </c>
      <c r="AM839" s="4" t="s">
        <v>127</v>
      </c>
      <c r="AN839" s="4" t="s">
        <v>238</v>
      </c>
      <c r="AO839" s="4" t="s">
        <v>128</v>
      </c>
      <c r="AP839" s="4" t="s">
        <v>197</v>
      </c>
      <c r="AQ839" s="4" t="s">
        <v>162</v>
      </c>
      <c r="AR839" s="4" t="s">
        <v>127</v>
      </c>
      <c r="AS839" s="4" t="s">
        <v>127</v>
      </c>
      <c r="AT839" s="4" t="s">
        <v>127</v>
      </c>
      <c r="AU839" s="4" t="s">
        <v>127</v>
      </c>
      <c r="AV839" s="4" t="s">
        <v>127</v>
      </c>
      <c r="AW839" s="4" t="s">
        <v>127</v>
      </c>
      <c r="AX839" s="4" t="s">
        <v>127</v>
      </c>
      <c r="AY839" s="96" t="s">
        <v>4116</v>
      </c>
      <c r="AZ839" s="96" t="s">
        <v>4128</v>
      </c>
      <c r="BA839" s="96" t="s">
        <v>4129</v>
      </c>
      <c r="BB839" s="4" t="s">
        <v>4130</v>
      </c>
      <c r="BC839" s="4" t="s">
        <v>127</v>
      </c>
      <c r="BD839" s="4" t="s">
        <v>127</v>
      </c>
      <c r="BE839" s="4" t="s">
        <v>127</v>
      </c>
    </row>
    <row r="840" spans="1:57" ht="16" x14ac:dyDescent="0.4">
      <c r="A840" s="4" t="s">
        <v>4131</v>
      </c>
      <c r="B840" s="4" t="s">
        <v>4131</v>
      </c>
      <c r="C840" s="4" t="s">
        <v>127</v>
      </c>
      <c r="D840" s="4" t="s">
        <v>151</v>
      </c>
      <c r="E840" s="189"/>
      <c r="F840" s="4">
        <v>2023</v>
      </c>
      <c r="G840" s="4" t="s">
        <v>4132</v>
      </c>
      <c r="H840" s="22" t="str">
        <f>VLOOKUP($G840,'Item Classification'!B:C,2,0)</f>
        <v>Fighter aircraft</v>
      </c>
      <c r="I840" s="6" t="str">
        <f>VLOOKUP($G840,'Item Classification'!B:D,3,0)</f>
        <v>Aircraft</v>
      </c>
      <c r="J840" s="23">
        <f>VLOOKUP($G840,'Item Classification'!B:E,4,0)</f>
        <v>11</v>
      </c>
      <c r="K840" s="195" t="s">
        <v>130</v>
      </c>
      <c r="L840" s="195" t="s">
        <v>237</v>
      </c>
      <c r="M840" s="116" t="str">
        <f>VLOOKUP(L840,'NATO Classifications'!$D$6:$E$647,2,0)</f>
        <v>Aircraft, Fixed Wing</v>
      </c>
      <c r="N840" s="4">
        <v>42</v>
      </c>
      <c r="O840" s="81">
        <f t="shared" si="192"/>
        <v>119047619.04761904</v>
      </c>
      <c r="P840" s="81">
        <f t="shared" si="193"/>
        <v>119047619.04761904</v>
      </c>
      <c r="Q840" s="4">
        <v>2027</v>
      </c>
      <c r="R840" s="4"/>
      <c r="S840" s="139">
        <v>5000000000</v>
      </c>
      <c r="T840" s="115" t="s">
        <v>132</v>
      </c>
      <c r="U840" s="104">
        <f>_xlfn.IFNA(S840/INDEX('Exchange Rates'!$C$7:$F$14,MATCH('MAIN DATA, Orders'!F840,'Exchange Rates'!$B$7:$B$14,0),MATCH('MAIN DATA, Orders'!T840,'Exchange Rates'!$C$6:$F$6,0)), "-")</f>
        <v>5000000000</v>
      </c>
      <c r="V840" s="4" t="s">
        <v>4115</v>
      </c>
      <c r="W840" s="4" t="s">
        <v>127</v>
      </c>
      <c r="X840" s="4" t="s">
        <v>151</v>
      </c>
      <c r="Y840" s="115" t="s">
        <v>127</v>
      </c>
      <c r="Z840" s="115" t="s">
        <v>127</v>
      </c>
      <c r="AA840" s="115" t="s">
        <v>127</v>
      </c>
      <c r="AB840" s="115" t="s">
        <v>127</v>
      </c>
      <c r="AC840" s="115">
        <v>1</v>
      </c>
      <c r="AD840" s="115">
        <v>1</v>
      </c>
      <c r="AE840" s="115">
        <v>0</v>
      </c>
      <c r="AF840" s="115">
        <v>1</v>
      </c>
      <c r="AG840" s="4" t="s">
        <v>4133</v>
      </c>
      <c r="AH840" s="4" t="s">
        <v>151</v>
      </c>
      <c r="AI840" s="4" t="s">
        <v>151</v>
      </c>
      <c r="AJ840" s="4" t="s">
        <v>148</v>
      </c>
      <c r="AK840" s="4" t="s">
        <v>2350</v>
      </c>
      <c r="AL840" s="4" t="s">
        <v>475</v>
      </c>
      <c r="AM840" s="4" t="s">
        <v>127</v>
      </c>
      <c r="AN840" s="4" t="s">
        <v>238</v>
      </c>
      <c r="AO840" s="4" t="s">
        <v>128</v>
      </c>
      <c r="AP840" s="4" t="s">
        <v>197</v>
      </c>
      <c r="AQ840" s="4" t="s">
        <v>162</v>
      </c>
      <c r="AR840" s="4" t="s">
        <v>127</v>
      </c>
      <c r="AS840" s="4" t="s">
        <v>127</v>
      </c>
      <c r="AT840" s="4" t="s">
        <v>127</v>
      </c>
      <c r="AU840" s="4" t="s">
        <v>127</v>
      </c>
      <c r="AV840" s="4" t="s">
        <v>127</v>
      </c>
      <c r="AW840" s="4" t="s">
        <v>127</v>
      </c>
      <c r="AX840" s="4" t="s">
        <v>127</v>
      </c>
      <c r="AY840" s="96" t="s">
        <v>4116</v>
      </c>
      <c r="AZ840" s="96" t="s">
        <v>4134</v>
      </c>
      <c r="BA840" s="96" t="s">
        <v>4135</v>
      </c>
      <c r="BB840" s="4" t="s">
        <v>4136</v>
      </c>
      <c r="BC840" s="4" t="s">
        <v>127</v>
      </c>
      <c r="BD840" s="4" t="s">
        <v>127</v>
      </c>
      <c r="BE840" s="4" t="s">
        <v>127</v>
      </c>
    </row>
    <row r="841" spans="1:57" ht="16" x14ac:dyDescent="0.4">
      <c r="A841" s="4" t="s">
        <v>4137</v>
      </c>
      <c r="B841" s="4" t="s">
        <v>4137</v>
      </c>
      <c r="C841" s="4" t="s">
        <v>127</v>
      </c>
      <c r="D841" s="4" t="s">
        <v>151</v>
      </c>
      <c r="E841" s="189"/>
      <c r="F841" s="4">
        <v>2023</v>
      </c>
      <c r="G841" s="4" t="s">
        <v>4068</v>
      </c>
      <c r="H841" s="22" t="str">
        <f>VLOOKUP($G841,'Item Classification'!B:C,2,0)</f>
        <v>Anti-tank missile</v>
      </c>
      <c r="I841" s="6" t="str">
        <f>VLOOKUP($G841,'Item Classification'!B:D,3,0)</f>
        <v>Missile (Land)</v>
      </c>
      <c r="J841" s="23">
        <f>VLOOKUP($G841,'Item Classification'!B:E,4,0)</f>
        <v>6</v>
      </c>
      <c r="K841" s="195" t="s">
        <v>211</v>
      </c>
      <c r="L841" s="195" t="s">
        <v>211</v>
      </c>
      <c r="M841" s="116" t="str">
        <f>VLOOKUP(L841,'NATO Classifications'!$D$6:$E$647,2,0)</f>
        <v>Guided Missiles</v>
      </c>
      <c r="N841" s="4">
        <v>200</v>
      </c>
      <c r="O841" s="81"/>
      <c r="P841" s="81"/>
      <c r="Q841" s="4"/>
      <c r="R841" s="4"/>
      <c r="S841" s="4"/>
      <c r="T841" s="115" t="s">
        <v>132</v>
      </c>
      <c r="U841" s="104">
        <f>_xlfn.IFNA(S841/INDEX('Exchange Rates'!$C$7:$F$14,MATCH('MAIN DATA, Orders'!F841,'Exchange Rates'!$B$7:$B$14,0),MATCH('MAIN DATA, Orders'!T841,'Exchange Rates'!$C$6:$F$6,0)), "-")</f>
        <v>0</v>
      </c>
      <c r="V841" s="4" t="s">
        <v>127</v>
      </c>
      <c r="W841" s="4" t="s">
        <v>127</v>
      </c>
      <c r="X841" s="4" t="s">
        <v>151</v>
      </c>
      <c r="Y841" s="115" t="s">
        <v>127</v>
      </c>
      <c r="Z841" s="115">
        <v>1</v>
      </c>
      <c r="AA841" s="115">
        <v>0</v>
      </c>
      <c r="AB841" s="115">
        <v>0</v>
      </c>
      <c r="AC841" s="115" t="s">
        <v>127</v>
      </c>
      <c r="AD841" s="115" t="s">
        <v>127</v>
      </c>
      <c r="AE841" s="115" t="s">
        <v>127</v>
      </c>
      <c r="AF841" s="115" t="s">
        <v>127</v>
      </c>
      <c r="AG841" s="4" t="s">
        <v>127</v>
      </c>
      <c r="AH841" s="4" t="s">
        <v>127</v>
      </c>
      <c r="AI841" s="4" t="s">
        <v>127</v>
      </c>
      <c r="AJ841" s="4" t="s">
        <v>127</v>
      </c>
      <c r="AK841" s="4" t="s">
        <v>127</v>
      </c>
      <c r="AL841" s="4" t="s">
        <v>127</v>
      </c>
      <c r="AM841" s="4" t="s">
        <v>127</v>
      </c>
      <c r="AN841" s="4" t="s">
        <v>127</v>
      </c>
      <c r="AO841" s="4" t="s">
        <v>127</v>
      </c>
      <c r="AP841" s="4" t="s">
        <v>127</v>
      </c>
      <c r="AQ841" s="4" t="s">
        <v>127</v>
      </c>
      <c r="AR841" s="4" t="s">
        <v>127</v>
      </c>
      <c r="AS841" s="4" t="s">
        <v>127</v>
      </c>
      <c r="AT841" s="4" t="s">
        <v>127</v>
      </c>
      <c r="AU841" s="4" t="s">
        <v>127</v>
      </c>
      <c r="AV841" s="4" t="s">
        <v>127</v>
      </c>
      <c r="AW841" s="4" t="s">
        <v>127</v>
      </c>
      <c r="AX841" s="4" t="s">
        <v>127</v>
      </c>
      <c r="AY841" s="96" t="s">
        <v>4116</v>
      </c>
      <c r="AZ841" s="4" t="s">
        <v>127</v>
      </c>
      <c r="BA841" s="4" t="s">
        <v>127</v>
      </c>
      <c r="BB841" s="4" t="s">
        <v>127</v>
      </c>
      <c r="BC841" s="4" t="s">
        <v>127</v>
      </c>
      <c r="BD841" s="4" t="s">
        <v>127</v>
      </c>
      <c r="BE841" s="4" t="s">
        <v>127</v>
      </c>
    </row>
    <row r="842" spans="1:57" ht="16" x14ac:dyDescent="0.4">
      <c r="A842" s="4" t="s">
        <v>4138</v>
      </c>
      <c r="B842" s="4" t="s">
        <v>4138</v>
      </c>
      <c r="C842" s="4" t="s">
        <v>127</v>
      </c>
      <c r="D842" s="4" t="s">
        <v>151</v>
      </c>
      <c r="E842" s="189"/>
      <c r="F842" s="4">
        <v>2023</v>
      </c>
      <c r="G842" s="4" t="s">
        <v>4139</v>
      </c>
      <c r="H842" s="22" t="str">
        <f>VLOOKUP($G842,'Item Classification'!B:C,2,0)</f>
        <v>Anti-ship missile (long-range)</v>
      </c>
      <c r="I842" s="6" t="str">
        <f>VLOOKUP($G842,'Item Classification'!B:D,3,0)</f>
        <v>Missile (Naval)</v>
      </c>
      <c r="J842" s="23">
        <f>VLOOKUP($G842,'Item Classification'!B:E,4,0)</f>
        <v>6</v>
      </c>
      <c r="K842" s="195" t="s">
        <v>211</v>
      </c>
      <c r="L842" s="195" t="s">
        <v>211</v>
      </c>
      <c r="M842" s="116" t="str">
        <f>VLOOKUP(L842,'NATO Classifications'!$D$6:$E$647,2,0)</f>
        <v>Guided Missiles</v>
      </c>
      <c r="N842" s="4">
        <v>20</v>
      </c>
      <c r="O842" s="81"/>
      <c r="P842" s="81"/>
      <c r="Q842" s="4"/>
      <c r="R842" s="4"/>
      <c r="S842" s="4"/>
      <c r="T842" s="115" t="s">
        <v>132</v>
      </c>
      <c r="U842" s="104">
        <f>_xlfn.IFNA(S842/INDEX('Exchange Rates'!$C$7:$F$14,MATCH('MAIN DATA, Orders'!F842,'Exchange Rates'!$B$7:$B$14,0),MATCH('MAIN DATA, Orders'!T842,'Exchange Rates'!$C$6:$F$6,0)), "-")</f>
        <v>0</v>
      </c>
      <c r="V842" s="4" t="s">
        <v>127</v>
      </c>
      <c r="W842" s="4" t="s">
        <v>127</v>
      </c>
      <c r="X842" s="4" t="s">
        <v>151</v>
      </c>
      <c r="Y842" s="115" t="s">
        <v>127</v>
      </c>
      <c r="Z842" s="115">
        <v>1</v>
      </c>
      <c r="AA842" s="115">
        <v>0</v>
      </c>
      <c r="AB842" s="115">
        <v>0</v>
      </c>
      <c r="AC842" s="115" t="s">
        <v>127</v>
      </c>
      <c r="AD842" s="115" t="s">
        <v>127</v>
      </c>
      <c r="AE842" s="115" t="s">
        <v>127</v>
      </c>
      <c r="AF842" s="115" t="s">
        <v>127</v>
      </c>
      <c r="AG842" s="4" t="s">
        <v>127</v>
      </c>
      <c r="AH842" s="4" t="s">
        <v>127</v>
      </c>
      <c r="AI842" s="4" t="s">
        <v>127</v>
      </c>
      <c r="AJ842" s="4" t="s">
        <v>127</v>
      </c>
      <c r="AK842" s="4" t="s">
        <v>127</v>
      </c>
      <c r="AL842" s="4" t="s">
        <v>127</v>
      </c>
      <c r="AM842" s="4" t="s">
        <v>127</v>
      </c>
      <c r="AN842" s="4" t="s">
        <v>127</v>
      </c>
      <c r="AO842" s="4" t="s">
        <v>127</v>
      </c>
      <c r="AP842" s="4" t="s">
        <v>127</v>
      </c>
      <c r="AQ842" s="4" t="s">
        <v>127</v>
      </c>
      <c r="AR842" s="4" t="s">
        <v>127</v>
      </c>
      <c r="AS842" s="4" t="s">
        <v>127</v>
      </c>
      <c r="AT842" s="4" t="s">
        <v>127</v>
      </c>
      <c r="AU842" s="4" t="s">
        <v>127</v>
      </c>
      <c r="AV842" s="4" t="s">
        <v>127</v>
      </c>
      <c r="AW842" s="4" t="s">
        <v>127</v>
      </c>
      <c r="AX842" s="4" t="s">
        <v>127</v>
      </c>
      <c r="AY842" s="96" t="s">
        <v>4116</v>
      </c>
      <c r="AZ842" s="4" t="s">
        <v>127</v>
      </c>
      <c r="BA842" s="4" t="s">
        <v>127</v>
      </c>
      <c r="BB842" s="4" t="s">
        <v>127</v>
      </c>
      <c r="BC842" s="4" t="s">
        <v>127</v>
      </c>
      <c r="BD842" s="4" t="s">
        <v>127</v>
      </c>
      <c r="BE842" s="4" t="s">
        <v>127</v>
      </c>
    </row>
    <row r="843" spans="1:57" ht="16" x14ac:dyDescent="0.4">
      <c r="A843" s="4" t="s">
        <v>4140</v>
      </c>
      <c r="B843" s="4" t="s">
        <v>4140</v>
      </c>
      <c r="C843" s="4" t="s">
        <v>127</v>
      </c>
      <c r="D843" s="4" t="s">
        <v>151</v>
      </c>
      <c r="E843" s="189"/>
      <c r="F843" s="4">
        <v>2023</v>
      </c>
      <c r="G843" s="4" t="s">
        <v>4141</v>
      </c>
      <c r="H843" s="22" t="str">
        <f>VLOOKUP($G843,'Item Classification'!B:C,2,0)</f>
        <v>Surface-to-air missile (SAM)</v>
      </c>
      <c r="I843" s="6" t="str">
        <f>VLOOKUP($G843,'Item Classification'!B:D,3,0)</f>
        <v>Missile (Air)</v>
      </c>
      <c r="J843" s="23">
        <f>VLOOKUP($G843,'Item Classification'!B:E,4,0)</f>
        <v>6</v>
      </c>
      <c r="K843" s="195" t="s">
        <v>211</v>
      </c>
      <c r="L843" s="195" t="s">
        <v>211</v>
      </c>
      <c r="M843" s="116" t="str">
        <f>VLOOKUP(L843,'NATO Classifications'!$D$6:$E$647,2,0)</f>
        <v>Guided Missiles</v>
      </c>
      <c r="N843" s="4">
        <v>100</v>
      </c>
      <c r="O843" s="81"/>
      <c r="P843" s="81"/>
      <c r="Q843" s="4"/>
      <c r="R843" s="4"/>
      <c r="S843" s="4"/>
      <c r="T843" s="115" t="s">
        <v>132</v>
      </c>
      <c r="U843" s="104">
        <f>_xlfn.IFNA(S843/INDEX('Exchange Rates'!$C$7:$F$14,MATCH('MAIN DATA, Orders'!F843,'Exchange Rates'!$B$7:$B$14,0),MATCH('MAIN DATA, Orders'!T843,'Exchange Rates'!$C$6:$F$6,0)), "-")</f>
        <v>0</v>
      </c>
      <c r="V843" s="4" t="s">
        <v>127</v>
      </c>
      <c r="W843" s="4" t="s">
        <v>127</v>
      </c>
      <c r="X843" s="4" t="s">
        <v>151</v>
      </c>
      <c r="Y843" s="115" t="s">
        <v>127</v>
      </c>
      <c r="Z843" s="115">
        <v>1</v>
      </c>
      <c r="AA843" s="115">
        <v>0</v>
      </c>
      <c r="AB843" s="115">
        <v>0</v>
      </c>
      <c r="AC843" s="115" t="s">
        <v>127</v>
      </c>
      <c r="AD843" s="115" t="s">
        <v>127</v>
      </c>
      <c r="AE843" s="115" t="s">
        <v>127</v>
      </c>
      <c r="AF843" s="115" t="s">
        <v>127</v>
      </c>
      <c r="AG843" s="4" t="s">
        <v>127</v>
      </c>
      <c r="AH843" s="4" t="s">
        <v>127</v>
      </c>
      <c r="AI843" s="4" t="s">
        <v>127</v>
      </c>
      <c r="AJ843" s="4" t="s">
        <v>127</v>
      </c>
      <c r="AK843" s="4" t="s">
        <v>127</v>
      </c>
      <c r="AL843" s="4" t="s">
        <v>127</v>
      </c>
      <c r="AM843" s="4" t="s">
        <v>127</v>
      </c>
      <c r="AN843" s="4" t="s">
        <v>127</v>
      </c>
      <c r="AO843" s="4" t="s">
        <v>127</v>
      </c>
      <c r="AP843" s="4" t="s">
        <v>127</v>
      </c>
      <c r="AQ843" s="4" t="s">
        <v>127</v>
      </c>
      <c r="AR843" s="4" t="s">
        <v>127</v>
      </c>
      <c r="AS843" s="4" t="s">
        <v>127</v>
      </c>
      <c r="AT843" s="4" t="s">
        <v>127</v>
      </c>
      <c r="AU843" s="4" t="s">
        <v>127</v>
      </c>
      <c r="AV843" s="4" t="s">
        <v>127</v>
      </c>
      <c r="AW843" s="4" t="s">
        <v>127</v>
      </c>
      <c r="AX843" s="4" t="s">
        <v>127</v>
      </c>
      <c r="AY843" s="96" t="s">
        <v>4116</v>
      </c>
      <c r="AZ843" s="4" t="s">
        <v>127</v>
      </c>
      <c r="BA843" s="4" t="s">
        <v>127</v>
      </c>
      <c r="BB843" s="4" t="s">
        <v>127</v>
      </c>
      <c r="BC843" s="4" t="s">
        <v>127</v>
      </c>
      <c r="BD843" s="4" t="s">
        <v>127</v>
      </c>
      <c r="BE843" s="4" t="s">
        <v>127</v>
      </c>
    </row>
    <row r="844" spans="1:57" ht="16" x14ac:dyDescent="0.4">
      <c r="A844" s="4" t="s">
        <v>4142</v>
      </c>
      <c r="B844" s="4" t="s">
        <v>4142</v>
      </c>
      <c r="C844" s="4" t="s">
        <v>127</v>
      </c>
      <c r="D844" s="4" t="s">
        <v>151</v>
      </c>
      <c r="E844" s="189"/>
      <c r="F844" s="4">
        <v>2023</v>
      </c>
      <c r="G844" s="4" t="s">
        <v>4143</v>
      </c>
      <c r="H844" s="22" t="str">
        <f>VLOOKUP($G844,'Item Classification'!B:C,2,0)</f>
        <v>Protection masks</v>
      </c>
      <c r="I844" s="6" t="str">
        <f>VLOOKUP($G844,'Item Classification'!B:D,3,0)</f>
        <v>Other</v>
      </c>
      <c r="J844" s="23">
        <f>VLOOKUP($G844,'Item Classification'!B:E,4,0)</f>
        <v>16</v>
      </c>
      <c r="K844" s="195" t="s">
        <v>925</v>
      </c>
      <c r="L844" s="195" t="s">
        <v>1684</v>
      </c>
      <c r="M844" s="116" t="str">
        <f>VLOOKUP(L844,'NATO Classifications'!$D$6:$E$647,2,0)</f>
        <v>Decontaminating and Impregnating Equipment</v>
      </c>
      <c r="N844" s="4">
        <v>1</v>
      </c>
      <c r="O844" s="81"/>
      <c r="P844" s="81"/>
      <c r="Q844" s="4"/>
      <c r="R844" s="4"/>
      <c r="S844" s="4"/>
      <c r="T844" s="115" t="s">
        <v>132</v>
      </c>
      <c r="U844" s="104">
        <f>_xlfn.IFNA(S844/INDEX('Exchange Rates'!$C$7:$F$14,MATCH('MAIN DATA, Orders'!F844,'Exchange Rates'!$B$7:$B$14,0),MATCH('MAIN DATA, Orders'!T844,'Exchange Rates'!$C$6:$F$6,0)), "-")</f>
        <v>0</v>
      </c>
      <c r="V844" s="4" t="s">
        <v>127</v>
      </c>
      <c r="W844" s="4" t="s">
        <v>127</v>
      </c>
      <c r="X844" s="4" t="s">
        <v>151</v>
      </c>
      <c r="Y844" s="115" t="s">
        <v>127</v>
      </c>
      <c r="Z844" s="115" t="s">
        <v>127</v>
      </c>
      <c r="AA844" s="115" t="s">
        <v>127</v>
      </c>
      <c r="AB844" s="115" t="s">
        <v>127</v>
      </c>
      <c r="AC844" s="115" t="s">
        <v>127</v>
      </c>
      <c r="AD844" s="115" t="s">
        <v>127</v>
      </c>
      <c r="AE844" s="115" t="s">
        <v>127</v>
      </c>
      <c r="AF844" s="115" t="s">
        <v>127</v>
      </c>
      <c r="AG844" s="4" t="s">
        <v>127</v>
      </c>
      <c r="AH844" s="4" t="s">
        <v>127</v>
      </c>
      <c r="AI844" s="4" t="s">
        <v>127</v>
      </c>
      <c r="AJ844" s="4" t="s">
        <v>127</v>
      </c>
      <c r="AK844" s="4" t="s">
        <v>127</v>
      </c>
      <c r="AL844" s="4" t="s">
        <v>127</v>
      </c>
      <c r="AM844" s="4" t="s">
        <v>127</v>
      </c>
      <c r="AN844" s="4" t="s">
        <v>127</v>
      </c>
      <c r="AO844" s="4" t="s">
        <v>127</v>
      </c>
      <c r="AP844" s="4" t="s">
        <v>127</v>
      </c>
      <c r="AQ844" s="4" t="s">
        <v>127</v>
      </c>
      <c r="AR844" s="4" t="s">
        <v>127</v>
      </c>
      <c r="AS844" s="4" t="s">
        <v>127</v>
      </c>
      <c r="AT844" s="4" t="s">
        <v>127</v>
      </c>
      <c r="AU844" s="4" t="s">
        <v>127</v>
      </c>
      <c r="AV844" s="4" t="s">
        <v>127</v>
      </c>
      <c r="AW844" s="4" t="s">
        <v>127</v>
      </c>
      <c r="AX844" s="4" t="s">
        <v>127</v>
      </c>
      <c r="AY844" s="96" t="s">
        <v>4116</v>
      </c>
      <c r="AZ844" s="4" t="s">
        <v>127</v>
      </c>
      <c r="BA844" s="4" t="s">
        <v>127</v>
      </c>
      <c r="BB844" s="4" t="s">
        <v>127</v>
      </c>
      <c r="BC844" s="4" t="s">
        <v>127</v>
      </c>
      <c r="BD844" s="4" t="s">
        <v>127</v>
      </c>
      <c r="BE844" s="4" t="s">
        <v>127</v>
      </c>
    </row>
    <row r="845" spans="1:57" ht="16" x14ac:dyDescent="0.4">
      <c r="A845" s="4" t="s">
        <v>4144</v>
      </c>
      <c r="B845" s="4" t="s">
        <v>4144</v>
      </c>
      <c r="C845" s="4" t="s">
        <v>127</v>
      </c>
      <c r="D845" s="4" t="s">
        <v>151</v>
      </c>
      <c r="E845" s="189">
        <v>45290</v>
      </c>
      <c r="F845" s="4">
        <v>2023</v>
      </c>
      <c r="G845" s="4" t="s">
        <v>4145</v>
      </c>
      <c r="H845" s="22" t="str">
        <f>VLOOKUP($G845,'Item Classification'!B:C,2,0)</f>
        <v>155mm howitzer</v>
      </c>
      <c r="I845" s="6" t="str">
        <f>VLOOKUP($G845,'Item Classification'!B:D,3,0)</f>
        <v>Artillery</v>
      </c>
      <c r="J845" s="23">
        <f>VLOOKUP($G845,'Item Classification'!B:E,4,0)</f>
        <v>3</v>
      </c>
      <c r="K845" s="195" t="s">
        <v>763</v>
      </c>
      <c r="L845" s="195" t="s">
        <v>3515</v>
      </c>
      <c r="M845" s="116" t="str">
        <f>VLOOKUP(L845,'NATO Classifications'!$D$6:$E$647,2,0)</f>
        <v>Guns over 75mm</v>
      </c>
      <c r="N845" s="4">
        <v>109</v>
      </c>
      <c r="O845" s="81">
        <f t="shared" si="192"/>
        <v>3211009.1743119266</v>
      </c>
      <c r="P845" s="81">
        <f t="shared" si="193"/>
        <v>3211009.1743119266</v>
      </c>
      <c r="Q845" s="4">
        <v>2026</v>
      </c>
      <c r="R845" s="4"/>
      <c r="S845" s="112">
        <v>350000000</v>
      </c>
      <c r="T845" s="115" t="s">
        <v>132</v>
      </c>
      <c r="U845" s="104">
        <f>_xlfn.IFNA(S845/INDEX('Exchange Rates'!$C$7:$F$14,MATCH('MAIN DATA, Orders'!F845,'Exchange Rates'!$B$7:$B$14,0),MATCH('MAIN DATA, Orders'!T845,'Exchange Rates'!$C$6:$F$6,0)), "-")</f>
        <v>350000000</v>
      </c>
      <c r="V845" s="4" t="s">
        <v>4115</v>
      </c>
      <c r="W845" s="4" t="s">
        <v>127</v>
      </c>
      <c r="X845" s="4" t="s">
        <v>151</v>
      </c>
      <c r="Y845" s="24">
        <f t="shared" ref="Y845" si="199">_xlfn.NUMBERVALUE(_xlfn.CONCAT(YEAR(E845),TEXT(E845, "mm")))</f>
        <v>202312</v>
      </c>
      <c r="Z845" s="115">
        <v>0</v>
      </c>
      <c r="AA845" s="115">
        <v>0</v>
      </c>
      <c r="AB845" s="115">
        <v>0</v>
      </c>
      <c r="AC845" s="115">
        <v>1</v>
      </c>
      <c r="AD845" s="115">
        <v>1</v>
      </c>
      <c r="AE845" s="115">
        <v>0</v>
      </c>
      <c r="AF845" s="115">
        <v>1</v>
      </c>
      <c r="AG845" s="4" t="s">
        <v>4057</v>
      </c>
      <c r="AH845" s="4" t="s">
        <v>127</v>
      </c>
      <c r="AI845" s="4" t="s">
        <v>127</v>
      </c>
      <c r="AJ845" s="4" t="s">
        <v>1213</v>
      </c>
      <c r="AK845" s="4" t="s">
        <v>127</v>
      </c>
      <c r="AL845" s="4" t="s">
        <v>127</v>
      </c>
      <c r="AM845" s="4" t="s">
        <v>127</v>
      </c>
      <c r="AN845" s="4" t="s">
        <v>146</v>
      </c>
      <c r="AO845" s="4" t="s">
        <v>128</v>
      </c>
      <c r="AP845" s="4" t="s">
        <v>127</v>
      </c>
      <c r="AQ845" s="4" t="s">
        <v>127</v>
      </c>
      <c r="AR845" s="4" t="s">
        <v>127</v>
      </c>
      <c r="AS845" s="4" t="s">
        <v>127</v>
      </c>
      <c r="AT845" s="4" t="s">
        <v>127</v>
      </c>
      <c r="AU845" s="4" t="s">
        <v>127</v>
      </c>
      <c r="AV845" s="4" t="s">
        <v>127</v>
      </c>
      <c r="AW845" s="4" t="s">
        <v>127</v>
      </c>
      <c r="AX845" s="4" t="s">
        <v>127</v>
      </c>
      <c r="AY845" s="96" t="s">
        <v>4117</v>
      </c>
      <c r="AZ845" s="111" t="s">
        <v>4146</v>
      </c>
      <c r="BA845" s="96" t="s">
        <v>4147</v>
      </c>
      <c r="BB845" s="4" t="s">
        <v>4148</v>
      </c>
      <c r="BC845" s="4" t="s">
        <v>127</v>
      </c>
      <c r="BD845" s="4" t="s">
        <v>127</v>
      </c>
      <c r="BE845" s="4" t="s">
        <v>127</v>
      </c>
    </row>
    <row r="846" spans="1:57" ht="16" x14ac:dyDescent="0.4">
      <c r="A846" s="4" t="s">
        <v>4149</v>
      </c>
      <c r="B846" s="4" t="s">
        <v>4149</v>
      </c>
      <c r="C846" s="4" t="s">
        <v>127</v>
      </c>
      <c r="D846" s="4" t="s">
        <v>151</v>
      </c>
      <c r="E846" s="189"/>
      <c r="F846" s="4">
        <v>2023</v>
      </c>
      <c r="G846" s="4" t="s">
        <v>4150</v>
      </c>
      <c r="H846" s="22" t="str">
        <f>VLOOKUP($G846,'Item Classification'!B:C,2,0)</f>
        <v>155mm howitzer</v>
      </c>
      <c r="I846" s="6" t="str">
        <f>VLOOKUP($G846,'Item Classification'!B:D,3,0)</f>
        <v>Artillery</v>
      </c>
      <c r="J846" s="23">
        <f>VLOOKUP($G846,'Item Classification'!B:E,4,0)</f>
        <v>3</v>
      </c>
      <c r="K846" s="195" t="s">
        <v>763</v>
      </c>
      <c r="L846" s="195" t="s">
        <v>3515</v>
      </c>
      <c r="M846" s="116" t="str">
        <f>VLOOKUP(L846,'NATO Classifications'!$D$6:$E$647,2,0)</f>
        <v>Guns over 75mm</v>
      </c>
      <c r="N846" s="4">
        <v>18</v>
      </c>
      <c r="O846" s="81"/>
      <c r="P846" s="81"/>
      <c r="Q846" s="4"/>
      <c r="R846" s="4"/>
      <c r="S846" s="4"/>
      <c r="T846" s="115" t="s">
        <v>132</v>
      </c>
      <c r="U846" s="104">
        <f>_xlfn.IFNA(S846/INDEX('Exchange Rates'!$C$7:$F$14,MATCH('MAIN DATA, Orders'!F846,'Exchange Rates'!$B$7:$B$14,0),MATCH('MAIN DATA, Orders'!T846,'Exchange Rates'!$C$6:$F$6,0)), "-")</f>
        <v>0</v>
      </c>
      <c r="V846" s="4" t="s">
        <v>127</v>
      </c>
      <c r="W846" s="4" t="s">
        <v>127</v>
      </c>
      <c r="X846" s="4" t="s">
        <v>151</v>
      </c>
      <c r="Y846" s="115" t="s">
        <v>127</v>
      </c>
      <c r="Z846" s="115" t="s">
        <v>127</v>
      </c>
      <c r="AA846" s="115" t="s">
        <v>127</v>
      </c>
      <c r="AB846" s="115" t="s">
        <v>127</v>
      </c>
      <c r="AC846" s="115" t="s">
        <v>127</v>
      </c>
      <c r="AD846" s="115" t="s">
        <v>127</v>
      </c>
      <c r="AE846" s="115" t="s">
        <v>127</v>
      </c>
      <c r="AF846" s="115" t="s">
        <v>127</v>
      </c>
      <c r="AG846" s="4" t="s">
        <v>127</v>
      </c>
      <c r="AH846" s="4" t="s">
        <v>127</v>
      </c>
      <c r="AI846" s="4" t="s">
        <v>127</v>
      </c>
      <c r="AJ846" s="4" t="s">
        <v>127</v>
      </c>
      <c r="AK846" s="4" t="s">
        <v>127</v>
      </c>
      <c r="AL846" s="4" t="s">
        <v>127</v>
      </c>
      <c r="AM846" s="4" t="s">
        <v>127</v>
      </c>
      <c r="AN846" s="4" t="s">
        <v>127</v>
      </c>
      <c r="AO846" s="4" t="s">
        <v>127</v>
      </c>
      <c r="AP846" s="4" t="s">
        <v>127</v>
      </c>
      <c r="AQ846" s="4" t="s">
        <v>127</v>
      </c>
      <c r="AR846" s="4" t="s">
        <v>127</v>
      </c>
      <c r="AS846" s="4" t="s">
        <v>127</v>
      </c>
      <c r="AT846" s="4" t="s">
        <v>127</v>
      </c>
      <c r="AU846" s="4" t="s">
        <v>127</v>
      </c>
      <c r="AV846" s="4" t="s">
        <v>127</v>
      </c>
      <c r="AW846" s="4" t="s">
        <v>127</v>
      </c>
      <c r="AX846" s="4" t="s">
        <v>127</v>
      </c>
      <c r="AY846" s="96" t="s">
        <v>4116</v>
      </c>
      <c r="AZ846" s="4" t="s">
        <v>127</v>
      </c>
      <c r="BA846" s="4" t="s">
        <v>127</v>
      </c>
      <c r="BB846" s="4" t="s">
        <v>127</v>
      </c>
      <c r="BC846" s="4" t="s">
        <v>127</v>
      </c>
      <c r="BD846" s="4" t="s">
        <v>127</v>
      </c>
      <c r="BE846" s="4" t="s">
        <v>127</v>
      </c>
    </row>
    <row r="847" spans="1:57" ht="16" x14ac:dyDescent="0.4">
      <c r="A847" s="4" t="s">
        <v>4151</v>
      </c>
      <c r="B847" s="4" t="s">
        <v>4151</v>
      </c>
      <c r="C847" s="4" t="s">
        <v>3976</v>
      </c>
      <c r="D847" s="4" t="s">
        <v>151</v>
      </c>
      <c r="E847" s="189">
        <v>45650</v>
      </c>
      <c r="F847" s="4">
        <v>2024</v>
      </c>
      <c r="G847" s="108" t="s">
        <v>4056</v>
      </c>
      <c r="H847" s="22" t="str">
        <f>VLOOKUP($G847,'Item Classification'!B:C,2,0)</f>
        <v>Main Battle Tank (MBT)</v>
      </c>
      <c r="I847" s="6" t="str">
        <f>VLOOKUP($G847,'Item Classification'!B:D,3,0)</f>
        <v>Tank</v>
      </c>
      <c r="J847" s="23">
        <f>VLOOKUP($G847,'Item Classification'!B:E,4,0)</f>
        <v>1</v>
      </c>
      <c r="K847" s="195" t="s">
        <v>274</v>
      </c>
      <c r="L847" s="195" t="s">
        <v>329</v>
      </c>
      <c r="M847" s="116" t="str">
        <f>VLOOKUP(L847,'NATO Classifications'!$D$6:$E$647,2,0)</f>
        <v>Combat, Assault, and Tactical Vehicles, Tracked</v>
      </c>
      <c r="N847" s="4">
        <v>100</v>
      </c>
      <c r="O847" s="81"/>
      <c r="P847" s="81"/>
      <c r="Q847" s="4"/>
      <c r="R847" s="4"/>
      <c r="S847" s="4"/>
      <c r="T847" s="115" t="s">
        <v>132</v>
      </c>
      <c r="U847" s="104">
        <f>_xlfn.IFNA(S847/INDEX('Exchange Rates'!$C$7:$F$14,MATCH('MAIN DATA, Orders'!F847,'Exchange Rates'!$B$7:$B$14,0),MATCH('MAIN DATA, Orders'!T847,'Exchange Rates'!$C$6:$F$6,0)), "-")</f>
        <v>0</v>
      </c>
      <c r="V847" s="4" t="s">
        <v>4115</v>
      </c>
      <c r="W847" s="4" t="s">
        <v>127</v>
      </c>
      <c r="X847" s="4" t="s">
        <v>151</v>
      </c>
      <c r="Y847" s="24">
        <f t="shared" ref="Y847" si="200">_xlfn.NUMBERVALUE(_xlfn.CONCAT(YEAR(E847),TEXT(E847, "mm")))</f>
        <v>202412</v>
      </c>
      <c r="Z847" s="115">
        <v>0</v>
      </c>
      <c r="AA847" s="115">
        <v>0</v>
      </c>
      <c r="AB847" s="115">
        <v>0</v>
      </c>
      <c r="AC847" s="115">
        <v>1</v>
      </c>
      <c r="AD847" s="115">
        <v>1</v>
      </c>
      <c r="AE847" s="115">
        <v>0</v>
      </c>
      <c r="AF847" s="115">
        <v>1</v>
      </c>
      <c r="AG847" s="4" t="s">
        <v>4057</v>
      </c>
      <c r="AH847" s="4" t="s">
        <v>151</v>
      </c>
      <c r="AI847" s="4" t="s">
        <v>151</v>
      </c>
      <c r="AJ847" s="4" t="s">
        <v>1213</v>
      </c>
      <c r="AK847" s="4" t="s">
        <v>127</v>
      </c>
      <c r="AL847" s="4" t="s">
        <v>127</v>
      </c>
      <c r="AM847" s="4" t="s">
        <v>127</v>
      </c>
      <c r="AN847" s="4" t="s">
        <v>146</v>
      </c>
      <c r="AO847" s="4" t="s">
        <v>128</v>
      </c>
      <c r="AP847" s="4" t="s">
        <v>127</v>
      </c>
      <c r="AQ847" s="4" t="s">
        <v>127</v>
      </c>
      <c r="AR847" s="4" t="s">
        <v>127</v>
      </c>
      <c r="AS847" s="4" t="s">
        <v>127</v>
      </c>
      <c r="AT847" s="4" t="s">
        <v>127</v>
      </c>
      <c r="AU847" s="4" t="s">
        <v>127</v>
      </c>
      <c r="AV847" s="4" t="s">
        <v>127</v>
      </c>
      <c r="AW847" s="4" t="s">
        <v>127</v>
      </c>
      <c r="AX847" s="4" t="s">
        <v>127</v>
      </c>
      <c r="AY847" s="96" t="s">
        <v>4152</v>
      </c>
      <c r="AZ847" s="111" t="s">
        <v>4084</v>
      </c>
      <c r="BA847" s="4" t="s">
        <v>127</v>
      </c>
      <c r="BB847" s="4" t="s">
        <v>127</v>
      </c>
      <c r="BC847" s="4" t="s">
        <v>127</v>
      </c>
      <c r="BD847" s="4" t="s">
        <v>127</v>
      </c>
      <c r="BE847" s="4" t="s">
        <v>127</v>
      </c>
    </row>
    <row r="848" spans="1:57" ht="16" x14ac:dyDescent="0.4">
      <c r="A848" s="4" t="s">
        <v>4153</v>
      </c>
      <c r="B848" s="4" t="s">
        <v>4153</v>
      </c>
      <c r="C848" s="4" t="s">
        <v>3976</v>
      </c>
      <c r="D848" s="4" t="s">
        <v>151</v>
      </c>
      <c r="E848" s="189"/>
      <c r="F848" s="4">
        <v>2024</v>
      </c>
      <c r="G848" s="4" t="s">
        <v>4154</v>
      </c>
      <c r="H848" s="22" t="str">
        <f>VLOOKUP($G848,'Item Classification'!B:C,2,0)</f>
        <v>Armoured personnel carrier (APC)</v>
      </c>
      <c r="I848" s="6" t="str">
        <f>VLOOKUP($G848,'Item Classification'!B:D,3,0)</f>
        <v>Armoured vehicle</v>
      </c>
      <c r="J848" s="23">
        <f>VLOOKUP($G848,'Item Classification'!B:E,4,0)</f>
        <v>2</v>
      </c>
      <c r="K848" s="195" t="s">
        <v>274</v>
      </c>
      <c r="L848" s="195" t="s">
        <v>493</v>
      </c>
      <c r="M848" s="116" t="str">
        <f>VLOOKUP(L848,'NATO Classifications'!$D$6:$E$647,2,0)</f>
        <v>Combat, Assault, and Tactical Vehicles, Wheeled</v>
      </c>
      <c r="N848" s="4">
        <v>395</v>
      </c>
      <c r="O848" s="81"/>
      <c r="P848" s="81"/>
      <c r="Q848" s="4"/>
      <c r="R848" s="4"/>
      <c r="S848" s="4"/>
      <c r="T848" s="115" t="s">
        <v>132</v>
      </c>
      <c r="U848" s="104">
        <f>_xlfn.IFNA(S848/INDEX('Exchange Rates'!$C$7:$F$14,MATCH('MAIN DATA, Orders'!F848,'Exchange Rates'!$B$7:$B$14,0),MATCH('MAIN DATA, Orders'!T848,'Exchange Rates'!$C$6:$F$6,0)), "-")</f>
        <v>0</v>
      </c>
      <c r="V848" s="4" t="s">
        <v>127</v>
      </c>
      <c r="W848" s="4" t="s">
        <v>127</v>
      </c>
      <c r="X848" s="4" t="s">
        <v>151</v>
      </c>
      <c r="Y848" s="115" t="s">
        <v>127</v>
      </c>
      <c r="Z848" s="115" t="s">
        <v>127</v>
      </c>
      <c r="AA848" s="115" t="s">
        <v>127</v>
      </c>
      <c r="AB848" s="115" t="s">
        <v>127</v>
      </c>
      <c r="AC848" s="115" t="s">
        <v>127</v>
      </c>
      <c r="AD848" s="115" t="s">
        <v>127</v>
      </c>
      <c r="AE848" s="115" t="s">
        <v>127</v>
      </c>
      <c r="AF848" s="115" t="s">
        <v>127</v>
      </c>
      <c r="AG848" s="4" t="s">
        <v>127</v>
      </c>
      <c r="AH848" s="4" t="s">
        <v>127</v>
      </c>
      <c r="AI848" s="4" t="s">
        <v>127</v>
      </c>
      <c r="AJ848" s="4" t="s">
        <v>127</v>
      </c>
      <c r="AK848" s="4" t="s">
        <v>127</v>
      </c>
      <c r="AL848" s="4" t="s">
        <v>127</v>
      </c>
      <c r="AM848" s="4" t="s">
        <v>127</v>
      </c>
      <c r="AN848" s="4" t="s">
        <v>127</v>
      </c>
      <c r="AO848" s="4" t="s">
        <v>127</v>
      </c>
      <c r="AP848" s="4" t="s">
        <v>127</v>
      </c>
      <c r="AQ848" s="4" t="s">
        <v>127</v>
      </c>
      <c r="AR848" s="4" t="s">
        <v>127</v>
      </c>
      <c r="AS848" s="4" t="s">
        <v>127</v>
      </c>
      <c r="AT848" s="4" t="s">
        <v>127</v>
      </c>
      <c r="AU848" s="4" t="s">
        <v>127</v>
      </c>
      <c r="AV848" s="4" t="s">
        <v>127</v>
      </c>
      <c r="AW848" s="4" t="s">
        <v>127</v>
      </c>
      <c r="AX848" s="4" t="s">
        <v>127</v>
      </c>
      <c r="AY848" s="96" t="s">
        <v>4152</v>
      </c>
      <c r="AZ848" s="4" t="s">
        <v>127</v>
      </c>
      <c r="BA848" s="4" t="s">
        <v>127</v>
      </c>
      <c r="BB848" s="4" t="s">
        <v>127</v>
      </c>
      <c r="BC848" s="4" t="s">
        <v>127</v>
      </c>
      <c r="BD848" s="4" t="s">
        <v>127</v>
      </c>
      <c r="BE848" s="4" t="s">
        <v>127</v>
      </c>
    </row>
    <row r="849" spans="1:57" ht="16" x14ac:dyDescent="0.4">
      <c r="A849" s="4" t="s">
        <v>4155</v>
      </c>
      <c r="B849" s="4" t="s">
        <v>4155</v>
      </c>
      <c r="C849" s="4" t="s">
        <v>127</v>
      </c>
      <c r="D849" s="4" t="s">
        <v>151</v>
      </c>
      <c r="E849" s="189"/>
      <c r="F849" s="4">
        <v>2024</v>
      </c>
      <c r="G849" s="4" t="s">
        <v>4103</v>
      </c>
      <c r="H849" s="22" t="str">
        <f>VLOOKUP($G849,'Item Classification'!B:C,2,0)</f>
        <v>Armoured personnel carrier (APC)</v>
      </c>
      <c r="I849" s="6" t="str">
        <f>VLOOKUP($G849,'Item Classification'!B:D,3,0)</f>
        <v>Armoured vehicle</v>
      </c>
      <c r="J849" s="23">
        <f>VLOOKUP($G849,'Item Classification'!B:E,4,0)</f>
        <v>2</v>
      </c>
      <c r="K849" s="195" t="s">
        <v>274</v>
      </c>
      <c r="L849" s="195" t="s">
        <v>493</v>
      </c>
      <c r="M849" s="116" t="str">
        <f>VLOOKUP(L849,'NATO Classifications'!$D$6:$E$647,2,0)</f>
        <v>Combat, Assault, and Tactical Vehicles, Wheeled</v>
      </c>
      <c r="N849" s="4">
        <v>120</v>
      </c>
      <c r="O849" s="81"/>
      <c r="P849" s="81"/>
      <c r="Q849" s="4"/>
      <c r="R849" s="4"/>
      <c r="S849" s="4"/>
      <c r="T849" s="115" t="s">
        <v>132</v>
      </c>
      <c r="U849" s="104">
        <f>_xlfn.IFNA(S849/INDEX('Exchange Rates'!$C$7:$F$14,MATCH('MAIN DATA, Orders'!F849,'Exchange Rates'!$B$7:$B$14,0),MATCH('MAIN DATA, Orders'!T849,'Exchange Rates'!$C$6:$F$6,0)), "-")</f>
        <v>0</v>
      </c>
      <c r="V849" s="4" t="s">
        <v>127</v>
      </c>
      <c r="W849" s="4" t="s">
        <v>127</v>
      </c>
      <c r="X849" s="4" t="s">
        <v>151</v>
      </c>
      <c r="Y849" s="115" t="s">
        <v>127</v>
      </c>
      <c r="Z849" s="115" t="s">
        <v>127</v>
      </c>
      <c r="AA849" s="115" t="s">
        <v>127</v>
      </c>
      <c r="AB849" s="115" t="s">
        <v>127</v>
      </c>
      <c r="AC849" s="115" t="s">
        <v>127</v>
      </c>
      <c r="AD849" s="115" t="s">
        <v>127</v>
      </c>
      <c r="AE849" s="115" t="s">
        <v>127</v>
      </c>
      <c r="AF849" s="115" t="s">
        <v>127</v>
      </c>
      <c r="AG849" s="4" t="s">
        <v>127</v>
      </c>
      <c r="AH849" s="4" t="s">
        <v>127</v>
      </c>
      <c r="AI849" s="4" t="s">
        <v>127</v>
      </c>
      <c r="AJ849" s="4" t="s">
        <v>127</v>
      </c>
      <c r="AK849" s="4" t="s">
        <v>127</v>
      </c>
      <c r="AL849" s="4" t="s">
        <v>127</v>
      </c>
      <c r="AM849" s="4" t="s">
        <v>127</v>
      </c>
      <c r="AN849" s="4" t="s">
        <v>127</v>
      </c>
      <c r="AO849" s="4" t="s">
        <v>127</v>
      </c>
      <c r="AP849" s="4" t="s">
        <v>127</v>
      </c>
      <c r="AQ849" s="4" t="s">
        <v>127</v>
      </c>
      <c r="AR849" s="4" t="s">
        <v>127</v>
      </c>
      <c r="AS849" s="4" t="s">
        <v>127</v>
      </c>
      <c r="AT849" s="4" t="s">
        <v>127</v>
      </c>
      <c r="AU849" s="4" t="s">
        <v>127</v>
      </c>
      <c r="AV849" s="4" t="s">
        <v>127</v>
      </c>
      <c r="AW849" s="4" t="s">
        <v>127</v>
      </c>
      <c r="AX849" s="4" t="s">
        <v>127</v>
      </c>
      <c r="AY849" s="96" t="s">
        <v>4152</v>
      </c>
      <c r="AZ849" s="4" t="s">
        <v>127</v>
      </c>
      <c r="BA849" s="4" t="s">
        <v>127</v>
      </c>
      <c r="BB849" s="4" t="s">
        <v>127</v>
      </c>
      <c r="BC849" s="4" t="s">
        <v>127</v>
      </c>
      <c r="BD849" s="4" t="s">
        <v>127</v>
      </c>
      <c r="BE849" s="4" t="s">
        <v>127</v>
      </c>
    </row>
    <row r="850" spans="1:57" ht="16" x14ac:dyDescent="0.4">
      <c r="A850" s="4" t="s">
        <v>4156</v>
      </c>
      <c r="B850" s="4" t="s">
        <v>4156</v>
      </c>
      <c r="C850" s="4" t="s">
        <v>127</v>
      </c>
      <c r="D850" s="4" t="s">
        <v>151</v>
      </c>
      <c r="E850" s="189"/>
      <c r="F850" s="4">
        <v>2024</v>
      </c>
      <c r="G850" s="4" t="s">
        <v>4157</v>
      </c>
      <c r="H850" s="22" t="str">
        <f>VLOOKUP($G850,'Item Classification'!B:C,2,0)</f>
        <v>Special force vehicle</v>
      </c>
      <c r="I850" s="6" t="str">
        <f>VLOOKUP($G850,'Item Classification'!B:D,3,0)</f>
        <v>Other</v>
      </c>
      <c r="J850" s="23">
        <f>VLOOKUP($G850,'Item Classification'!B:E,4,0)</f>
        <v>16</v>
      </c>
      <c r="K850" s="195" t="s">
        <v>274</v>
      </c>
      <c r="L850" s="195" t="s">
        <v>275</v>
      </c>
      <c r="M850" s="116" t="str">
        <f>VLOOKUP(L850,'NATO Classifications'!$D$6:$E$647,2,0)</f>
        <v>Trucks and Truck Tractors, Wheeled</v>
      </c>
      <c r="N850" s="4">
        <v>56</v>
      </c>
      <c r="O850" s="81"/>
      <c r="P850" s="81"/>
      <c r="Q850" s="4"/>
      <c r="R850" s="4"/>
      <c r="S850" s="4"/>
      <c r="T850" s="115" t="s">
        <v>132</v>
      </c>
      <c r="U850" s="104">
        <f>_xlfn.IFNA(S850/INDEX('Exchange Rates'!$C$7:$F$14,MATCH('MAIN DATA, Orders'!F850,'Exchange Rates'!$B$7:$B$14,0),MATCH('MAIN DATA, Orders'!T850,'Exchange Rates'!$C$6:$F$6,0)), "-")</f>
        <v>0</v>
      </c>
      <c r="V850" s="4" t="s">
        <v>127</v>
      </c>
      <c r="W850" s="4" t="s">
        <v>127</v>
      </c>
      <c r="X850" s="4" t="s">
        <v>151</v>
      </c>
      <c r="Y850" s="115" t="s">
        <v>127</v>
      </c>
      <c r="Z850" s="115" t="s">
        <v>127</v>
      </c>
      <c r="AA850" s="115" t="s">
        <v>127</v>
      </c>
      <c r="AB850" s="115" t="s">
        <v>127</v>
      </c>
      <c r="AC850" s="115" t="s">
        <v>127</v>
      </c>
      <c r="AD850" s="115" t="s">
        <v>127</v>
      </c>
      <c r="AE850" s="115" t="s">
        <v>127</v>
      </c>
      <c r="AF850" s="115" t="s">
        <v>127</v>
      </c>
      <c r="AG850" s="4" t="s">
        <v>127</v>
      </c>
      <c r="AH850" s="4" t="s">
        <v>127</v>
      </c>
      <c r="AI850" s="4" t="s">
        <v>127</v>
      </c>
      <c r="AJ850" s="4" t="s">
        <v>127</v>
      </c>
      <c r="AK850" s="4" t="s">
        <v>127</v>
      </c>
      <c r="AL850" s="4" t="s">
        <v>127</v>
      </c>
      <c r="AM850" s="4" t="s">
        <v>127</v>
      </c>
      <c r="AN850" s="4" t="s">
        <v>127</v>
      </c>
      <c r="AO850" s="4" t="s">
        <v>127</v>
      </c>
      <c r="AP850" s="4" t="s">
        <v>127</v>
      </c>
      <c r="AQ850" s="4" t="s">
        <v>127</v>
      </c>
      <c r="AR850" s="4" t="s">
        <v>127</v>
      </c>
      <c r="AS850" s="4" t="s">
        <v>127</v>
      </c>
      <c r="AT850" s="4" t="s">
        <v>127</v>
      </c>
      <c r="AU850" s="4" t="s">
        <v>127</v>
      </c>
      <c r="AV850" s="4" t="s">
        <v>127</v>
      </c>
      <c r="AW850" s="4" t="s">
        <v>127</v>
      </c>
      <c r="AX850" s="4" t="s">
        <v>127</v>
      </c>
      <c r="AY850" s="96" t="s">
        <v>4152</v>
      </c>
      <c r="AZ850" s="4" t="s">
        <v>127</v>
      </c>
      <c r="BA850" s="4" t="s">
        <v>127</v>
      </c>
      <c r="BB850" s="4" t="s">
        <v>127</v>
      </c>
      <c r="BC850" s="4" t="s">
        <v>127</v>
      </c>
      <c r="BD850" s="4" t="s">
        <v>127</v>
      </c>
      <c r="BE850" s="4" t="s">
        <v>127</v>
      </c>
    </row>
    <row r="851" spans="1:57" ht="16" x14ac:dyDescent="0.4">
      <c r="A851" s="4" t="s">
        <v>4158</v>
      </c>
      <c r="B851" s="4" t="s">
        <v>4158</v>
      </c>
      <c r="C851" s="4" t="s">
        <v>127</v>
      </c>
      <c r="D851" s="4" t="s">
        <v>151</v>
      </c>
      <c r="E851" s="189"/>
      <c r="F851" s="4">
        <v>2024</v>
      </c>
      <c r="G851" s="4" t="s">
        <v>3991</v>
      </c>
      <c r="H851" s="22" t="str">
        <f>VLOOKUP($G851,'Item Classification'!B:C,2,0)</f>
        <v>Small Arms and Light Weapons (SALW)</v>
      </c>
      <c r="I851" s="6" t="str">
        <f>VLOOKUP($G851,'Item Classification'!B:D,3,0)</f>
        <v>Infantry</v>
      </c>
      <c r="J851" s="23">
        <f>VLOOKUP($G851,'Item Classification'!B:E,4,0)</f>
        <v>8</v>
      </c>
      <c r="K851" s="195" t="s">
        <v>763</v>
      </c>
      <c r="L851" s="195" t="s">
        <v>764</v>
      </c>
      <c r="M851" s="116" t="str">
        <f>VLOOKUP(L851,'NATO Classifications'!$D$6:$E$647,2,0)</f>
        <v>Guns below 75mm</v>
      </c>
      <c r="N851" s="4">
        <v>8000</v>
      </c>
      <c r="O851" s="81"/>
      <c r="P851" s="81"/>
      <c r="Q851" s="4"/>
      <c r="R851" s="4"/>
      <c r="S851" s="4"/>
      <c r="T851" s="115" t="s">
        <v>132</v>
      </c>
      <c r="U851" s="104">
        <f>_xlfn.IFNA(S851/INDEX('Exchange Rates'!$C$7:$F$14,MATCH('MAIN DATA, Orders'!F851,'Exchange Rates'!$B$7:$B$14,0),MATCH('MAIN DATA, Orders'!T851,'Exchange Rates'!$C$6:$F$6,0)), "-")</f>
        <v>0</v>
      </c>
      <c r="V851" s="4" t="s">
        <v>127</v>
      </c>
      <c r="W851" s="4" t="s">
        <v>127</v>
      </c>
      <c r="X851" s="4" t="s">
        <v>151</v>
      </c>
      <c r="Y851" s="115" t="s">
        <v>127</v>
      </c>
      <c r="Z851" s="115" t="s">
        <v>127</v>
      </c>
      <c r="AA851" s="115" t="s">
        <v>127</v>
      </c>
      <c r="AB851" s="115" t="s">
        <v>127</v>
      </c>
      <c r="AC851" s="115" t="s">
        <v>127</v>
      </c>
      <c r="AD851" s="115" t="s">
        <v>127</v>
      </c>
      <c r="AE851" s="115" t="s">
        <v>127</v>
      </c>
      <c r="AF851" s="115" t="s">
        <v>127</v>
      </c>
      <c r="AG851" s="4" t="s">
        <v>127</v>
      </c>
      <c r="AH851" s="4" t="s">
        <v>127</v>
      </c>
      <c r="AI851" s="4" t="s">
        <v>127</v>
      </c>
      <c r="AJ851" s="4" t="s">
        <v>127</v>
      </c>
      <c r="AK851" s="4" t="s">
        <v>127</v>
      </c>
      <c r="AL851" s="4" t="s">
        <v>127</v>
      </c>
      <c r="AM851" s="4" t="s">
        <v>127</v>
      </c>
      <c r="AN851" s="4" t="s">
        <v>127</v>
      </c>
      <c r="AO851" s="4" t="s">
        <v>127</v>
      </c>
      <c r="AP851" s="4" t="s">
        <v>127</v>
      </c>
      <c r="AQ851" s="4" t="s">
        <v>127</v>
      </c>
      <c r="AR851" s="4" t="s">
        <v>127</v>
      </c>
      <c r="AS851" s="4" t="s">
        <v>127</v>
      </c>
      <c r="AT851" s="4" t="s">
        <v>127</v>
      </c>
      <c r="AU851" s="4" t="s">
        <v>127</v>
      </c>
      <c r="AV851" s="4" t="s">
        <v>127</v>
      </c>
      <c r="AW851" s="4" t="s">
        <v>127</v>
      </c>
      <c r="AX851" s="4" t="s">
        <v>127</v>
      </c>
      <c r="AY851" s="96" t="s">
        <v>4152</v>
      </c>
      <c r="AZ851" s="4" t="s">
        <v>127</v>
      </c>
      <c r="BA851" s="4" t="s">
        <v>127</v>
      </c>
      <c r="BB851" s="4" t="s">
        <v>127</v>
      </c>
      <c r="BC851" s="4" t="s">
        <v>127</v>
      </c>
      <c r="BD851" s="4" t="s">
        <v>127</v>
      </c>
      <c r="BE851" s="4" t="s">
        <v>127</v>
      </c>
    </row>
    <row r="852" spans="1:57" ht="16" x14ac:dyDescent="0.4">
      <c r="A852" s="4" t="s">
        <v>4159</v>
      </c>
      <c r="B852" s="4" t="s">
        <v>4159</v>
      </c>
      <c r="C852" s="4" t="s">
        <v>127</v>
      </c>
      <c r="D852" s="4" t="s">
        <v>151</v>
      </c>
      <c r="E852" s="189"/>
      <c r="F852" s="4">
        <v>2024</v>
      </c>
      <c r="G852" s="4" t="s">
        <v>4160</v>
      </c>
      <c r="H852" s="22" t="str">
        <f>VLOOKUP($G852,'Item Classification'!B:C,2,0)</f>
        <v>Anti-ship missile</v>
      </c>
      <c r="I852" s="6" t="str">
        <f>VLOOKUP($G852,'Item Classification'!B:D,3,0)</f>
        <v>Missile (Naval)</v>
      </c>
      <c r="J852" s="23">
        <f>VLOOKUP($G852,'Item Classification'!B:E,4,0)</f>
        <v>6</v>
      </c>
      <c r="K852" s="195" t="s">
        <v>211</v>
      </c>
      <c r="L852" s="195" t="s">
        <v>211</v>
      </c>
      <c r="M852" s="116" t="str">
        <f>VLOOKUP(L852,'NATO Classifications'!$D$6:$E$647,2,0)</f>
        <v>Guided Missiles</v>
      </c>
      <c r="N852" s="4">
        <v>1</v>
      </c>
      <c r="O852" s="81"/>
      <c r="P852" s="81"/>
      <c r="Q852" s="4"/>
      <c r="R852" s="4"/>
      <c r="S852" s="4"/>
      <c r="T852" s="115" t="s">
        <v>132</v>
      </c>
      <c r="U852" s="104">
        <f>_xlfn.IFNA(S852/INDEX('Exchange Rates'!$C$7:$F$14,MATCH('MAIN DATA, Orders'!F852,'Exchange Rates'!$B$7:$B$14,0),MATCH('MAIN DATA, Orders'!T852,'Exchange Rates'!$C$6:$F$6,0)), "-")</f>
        <v>0</v>
      </c>
      <c r="V852" s="4" t="s">
        <v>127</v>
      </c>
      <c r="W852" s="4" t="s">
        <v>127</v>
      </c>
      <c r="X852" s="4" t="s">
        <v>151</v>
      </c>
      <c r="Y852" s="115" t="s">
        <v>127</v>
      </c>
      <c r="Z852" s="115" t="s">
        <v>127</v>
      </c>
      <c r="AA852" s="115" t="s">
        <v>127</v>
      </c>
      <c r="AB852" s="115" t="s">
        <v>127</v>
      </c>
      <c r="AC852" s="115" t="s">
        <v>127</v>
      </c>
      <c r="AD852" s="115" t="s">
        <v>127</v>
      </c>
      <c r="AE852" s="115" t="s">
        <v>127</v>
      </c>
      <c r="AF852" s="115" t="s">
        <v>127</v>
      </c>
      <c r="AG852" s="4" t="s">
        <v>127</v>
      </c>
      <c r="AH852" s="4" t="s">
        <v>127</v>
      </c>
      <c r="AI852" s="4" t="s">
        <v>127</v>
      </c>
      <c r="AJ852" s="4" t="s">
        <v>127</v>
      </c>
      <c r="AK852" s="4" t="s">
        <v>127</v>
      </c>
      <c r="AL852" s="4" t="s">
        <v>127</v>
      </c>
      <c r="AM852" s="4" t="s">
        <v>127</v>
      </c>
      <c r="AN852" s="4" t="s">
        <v>127</v>
      </c>
      <c r="AO852" s="4" t="s">
        <v>127</v>
      </c>
      <c r="AP852" s="4" t="s">
        <v>127</v>
      </c>
      <c r="AQ852" s="4" t="s">
        <v>127</v>
      </c>
      <c r="AR852" s="4" t="s">
        <v>127</v>
      </c>
      <c r="AS852" s="4" t="s">
        <v>127</v>
      </c>
      <c r="AT852" s="4" t="s">
        <v>127</v>
      </c>
      <c r="AU852" s="4" t="s">
        <v>127</v>
      </c>
      <c r="AV852" s="4" t="s">
        <v>127</v>
      </c>
      <c r="AW852" s="4" t="s">
        <v>127</v>
      </c>
      <c r="AX852" s="4" t="s">
        <v>127</v>
      </c>
      <c r="AY852" s="96" t="s">
        <v>4152</v>
      </c>
      <c r="AZ852" s="4" t="s">
        <v>127</v>
      </c>
      <c r="BA852" s="4" t="s">
        <v>127</v>
      </c>
      <c r="BB852" s="4" t="s">
        <v>127</v>
      </c>
      <c r="BC852" s="4" t="s">
        <v>127</v>
      </c>
      <c r="BD852" s="4" t="s">
        <v>127</v>
      </c>
      <c r="BE852" s="4" t="s">
        <v>127</v>
      </c>
    </row>
    <row r="853" spans="1:57" ht="16" x14ac:dyDescent="0.4">
      <c r="A853" s="4" t="s">
        <v>4161</v>
      </c>
      <c r="B853" s="4" t="s">
        <v>4161</v>
      </c>
      <c r="C853" s="4" t="s">
        <v>127</v>
      </c>
      <c r="D853" s="4" t="s">
        <v>151</v>
      </c>
      <c r="E853" s="189"/>
      <c r="F853" s="4">
        <v>2024</v>
      </c>
      <c r="G853" s="4" t="s">
        <v>4162</v>
      </c>
      <c r="H853" s="22" t="str">
        <f>VLOOKUP($G853,'Item Classification'!B:C,2,0)</f>
        <v>Anti-mine module</v>
      </c>
      <c r="I853" s="6" t="str">
        <f>VLOOKUP($G853,'Item Classification'!B:D,3,0)</f>
        <v>Mine</v>
      </c>
      <c r="J853" s="23">
        <f>VLOOKUP($G853,'Item Classification'!B:E,4,0)</f>
        <v>9</v>
      </c>
      <c r="K853" s="195" t="s">
        <v>143</v>
      </c>
      <c r="L853" s="195" t="s">
        <v>144</v>
      </c>
      <c r="M853" s="116" t="str">
        <f>VLOOKUP(L853,'NATO Classifications'!$D$6:$E$647,2,0)</f>
        <v>Combat Ships and Landing Vessels</v>
      </c>
      <c r="N853" s="114"/>
      <c r="O853" s="81"/>
      <c r="P853" s="81"/>
      <c r="Q853" s="4"/>
      <c r="R853" s="4"/>
      <c r="S853" s="4"/>
      <c r="T853" s="115" t="s">
        <v>132</v>
      </c>
      <c r="U853" s="104">
        <f>_xlfn.IFNA(S853/INDEX('Exchange Rates'!$C$7:$F$14,MATCH('MAIN DATA, Orders'!F853,'Exchange Rates'!$B$7:$B$14,0),MATCH('MAIN DATA, Orders'!T853,'Exchange Rates'!$C$6:$F$6,0)), "-")</f>
        <v>0</v>
      </c>
      <c r="V853" s="4" t="s">
        <v>127</v>
      </c>
      <c r="W853" s="4" t="s">
        <v>127</v>
      </c>
      <c r="X853" s="4" t="s">
        <v>151</v>
      </c>
      <c r="Y853" s="115" t="s">
        <v>127</v>
      </c>
      <c r="Z853" s="115" t="s">
        <v>127</v>
      </c>
      <c r="AA853" s="115" t="s">
        <v>127</v>
      </c>
      <c r="AB853" s="115" t="s">
        <v>127</v>
      </c>
      <c r="AC853" s="115" t="s">
        <v>127</v>
      </c>
      <c r="AD853" s="115" t="s">
        <v>127</v>
      </c>
      <c r="AE853" s="115" t="s">
        <v>127</v>
      </c>
      <c r="AF853" s="115" t="s">
        <v>127</v>
      </c>
      <c r="AG853" s="4" t="s">
        <v>127</v>
      </c>
      <c r="AH853" s="4" t="s">
        <v>127</v>
      </c>
      <c r="AI853" s="4" t="s">
        <v>127</v>
      </c>
      <c r="AJ853" s="4" t="s">
        <v>127</v>
      </c>
      <c r="AK853" s="4" t="s">
        <v>127</v>
      </c>
      <c r="AL853" s="4" t="s">
        <v>127</v>
      </c>
      <c r="AM853" s="4" t="s">
        <v>127</v>
      </c>
      <c r="AN853" s="4" t="s">
        <v>127</v>
      </c>
      <c r="AO853" s="4" t="s">
        <v>127</v>
      </c>
      <c r="AP853" s="4" t="s">
        <v>127</v>
      </c>
      <c r="AQ853" s="4" t="s">
        <v>127</v>
      </c>
      <c r="AR853" s="4" t="s">
        <v>127</v>
      </c>
      <c r="AS853" s="4" t="s">
        <v>127</v>
      </c>
      <c r="AT853" s="4" t="s">
        <v>127</v>
      </c>
      <c r="AU853" s="4" t="s">
        <v>127</v>
      </c>
      <c r="AV853" s="4" t="s">
        <v>127</v>
      </c>
      <c r="AW853" s="4" t="s">
        <v>127</v>
      </c>
      <c r="AX853" s="4" t="s">
        <v>127</v>
      </c>
      <c r="AY853" s="96" t="s">
        <v>4152</v>
      </c>
      <c r="AZ853" s="4" t="s">
        <v>127</v>
      </c>
      <c r="BA853" s="4" t="s">
        <v>127</v>
      </c>
      <c r="BB853" s="4" t="s">
        <v>127</v>
      </c>
      <c r="BC853" s="4" t="s">
        <v>127</v>
      </c>
      <c r="BD853" s="4" t="s">
        <v>127</v>
      </c>
      <c r="BE853" s="4" t="s">
        <v>127</v>
      </c>
    </row>
    <row r="854" spans="1:57" ht="16" x14ac:dyDescent="0.4">
      <c r="A854" s="4" t="s">
        <v>4163</v>
      </c>
      <c r="B854" s="4" t="s">
        <v>4163</v>
      </c>
      <c r="C854" s="4" t="s">
        <v>127</v>
      </c>
      <c r="D854" s="4" t="s">
        <v>151</v>
      </c>
      <c r="E854" s="189">
        <v>45552</v>
      </c>
      <c r="F854" s="4">
        <v>2024</v>
      </c>
      <c r="G854" s="4" t="s">
        <v>4164</v>
      </c>
      <c r="H854" s="22" t="str">
        <f>VLOOKUP($G854,'Item Classification'!B:C,2,0)</f>
        <v>Anti-aircraft surface-to-air missile (SAM) system (long-range)</v>
      </c>
      <c r="I854" s="6" t="str">
        <f>VLOOKUP($G854,'Item Classification'!B:D,3,0)</f>
        <v>Air defence system</v>
      </c>
      <c r="J854" s="23">
        <f>VLOOKUP($G854,'Item Classification'!B:E,4,0)</f>
        <v>5</v>
      </c>
      <c r="K854" s="195" t="s">
        <v>211</v>
      </c>
      <c r="L854" s="195" t="s">
        <v>326</v>
      </c>
      <c r="M854" s="116" t="str">
        <f>VLOOKUP(L854,'NATO Classifications'!$D$6:$E$647,2,0)</f>
        <v>Guided Missile Systems, Complete</v>
      </c>
      <c r="N854" s="4">
        <v>8</v>
      </c>
      <c r="O854" s="81">
        <f t="shared" si="192"/>
        <v>75000000</v>
      </c>
      <c r="P854" s="81">
        <f t="shared" si="193"/>
        <v>75000000</v>
      </c>
      <c r="Q854" s="4">
        <v>2026</v>
      </c>
      <c r="R854" s="4"/>
      <c r="S854" s="139">
        <v>600000000</v>
      </c>
      <c r="T854" s="115" t="s">
        <v>132</v>
      </c>
      <c r="U854" s="104">
        <f>_xlfn.IFNA(S854/INDEX('Exchange Rates'!$C$7:$F$14,MATCH('MAIN DATA, Orders'!F854,'Exchange Rates'!$B$7:$B$14,0),MATCH('MAIN DATA, Orders'!T854,'Exchange Rates'!$C$6:$F$6,0)), "-")</f>
        <v>600000000</v>
      </c>
      <c r="V854" s="4" t="s">
        <v>127</v>
      </c>
      <c r="W854" s="4" t="s">
        <v>127</v>
      </c>
      <c r="X854" s="4" t="s">
        <v>151</v>
      </c>
      <c r="Y854" s="24">
        <f t="shared" ref="Y854" si="201">_xlfn.NUMBERVALUE(_xlfn.CONCAT(YEAR(E854),TEXT(E854, "mm")))</f>
        <v>202409</v>
      </c>
      <c r="Z854" s="115">
        <v>1</v>
      </c>
      <c r="AA854" s="115">
        <v>0</v>
      </c>
      <c r="AB854" s="115">
        <v>0</v>
      </c>
      <c r="AC854" s="115">
        <v>1</v>
      </c>
      <c r="AD854" s="115">
        <v>1</v>
      </c>
      <c r="AE854" s="115">
        <v>0</v>
      </c>
      <c r="AF854" s="115">
        <v>1</v>
      </c>
      <c r="AG854" s="4" t="s">
        <v>2333</v>
      </c>
      <c r="AH854" s="4" t="s">
        <v>151</v>
      </c>
      <c r="AI854" s="4" t="s">
        <v>127</v>
      </c>
      <c r="AJ854" s="4" t="s">
        <v>148</v>
      </c>
      <c r="AK854" s="4" t="s">
        <v>475</v>
      </c>
      <c r="AL854" s="4" t="s">
        <v>127</v>
      </c>
      <c r="AM854" s="4" t="s">
        <v>127</v>
      </c>
      <c r="AN854" s="4" t="s">
        <v>238</v>
      </c>
      <c r="AO854" s="4" t="s">
        <v>128</v>
      </c>
      <c r="AP854" s="4" t="s">
        <v>197</v>
      </c>
      <c r="AQ854" s="4" t="s">
        <v>162</v>
      </c>
      <c r="AR854" s="4" t="s">
        <v>127</v>
      </c>
      <c r="AS854" s="4" t="s">
        <v>127</v>
      </c>
      <c r="AT854" s="4" t="s">
        <v>127</v>
      </c>
      <c r="AU854" s="4" t="s">
        <v>127</v>
      </c>
      <c r="AV854" s="4" t="s">
        <v>127</v>
      </c>
      <c r="AW854" s="4" t="s">
        <v>127</v>
      </c>
      <c r="AX854" s="4" t="s">
        <v>127</v>
      </c>
      <c r="AY854" s="96" t="s">
        <v>4152</v>
      </c>
      <c r="AZ854" s="96" t="s">
        <v>4165</v>
      </c>
      <c r="BA854" s="96" t="s">
        <v>4166</v>
      </c>
      <c r="BB854" s="4" t="s">
        <v>127</v>
      </c>
      <c r="BC854" s="4" t="s">
        <v>127</v>
      </c>
      <c r="BD854" s="4" t="s">
        <v>127</v>
      </c>
      <c r="BE854" s="4" t="s">
        <v>127</v>
      </c>
    </row>
    <row r="855" spans="1:57" ht="16" x14ac:dyDescent="0.4">
      <c r="A855" s="4" t="s">
        <v>4167</v>
      </c>
      <c r="B855" s="4" t="s">
        <v>4167</v>
      </c>
      <c r="C855" s="4" t="s">
        <v>127</v>
      </c>
      <c r="D855" s="4" t="s">
        <v>151</v>
      </c>
      <c r="E855" s="189"/>
      <c r="F855" s="4">
        <v>2024</v>
      </c>
      <c r="G855" s="4" t="s">
        <v>4168</v>
      </c>
      <c r="H855" s="22" t="str">
        <f>VLOOKUP($G855,'Item Classification'!B:C,2,0)</f>
        <v>Air-to-air missile (AAM) system</v>
      </c>
      <c r="I855" s="6" t="str">
        <f>VLOOKUP($G855,'Item Classification'!B:D,3,0)</f>
        <v>Missile (Air)</v>
      </c>
      <c r="J855" s="23">
        <f>VLOOKUP($G855,'Item Classification'!B:E,4,0)</f>
        <v>6</v>
      </c>
      <c r="K855" s="195" t="s">
        <v>211</v>
      </c>
      <c r="L855" s="195" t="s">
        <v>326</v>
      </c>
      <c r="M855" s="116" t="str">
        <f>VLOOKUP(L855,'NATO Classifications'!$D$6:$E$647,2,0)</f>
        <v>Guided Missile Systems, Complete</v>
      </c>
      <c r="N855" s="4"/>
      <c r="O855" s="81"/>
      <c r="P855" s="81"/>
      <c r="Q855" s="4"/>
      <c r="R855" s="4"/>
      <c r="S855" s="4"/>
      <c r="T855" s="115" t="s">
        <v>132</v>
      </c>
      <c r="U855" s="104">
        <f>_xlfn.IFNA(S855/INDEX('Exchange Rates'!$C$7:$F$14,MATCH('MAIN DATA, Orders'!F855,'Exchange Rates'!$B$7:$B$14,0),MATCH('MAIN DATA, Orders'!T855,'Exchange Rates'!$C$6:$F$6,0)), "-")</f>
        <v>0</v>
      </c>
      <c r="V855" s="4" t="s">
        <v>127</v>
      </c>
      <c r="W855" s="4" t="s">
        <v>127</v>
      </c>
      <c r="X855" s="4" t="s">
        <v>151</v>
      </c>
      <c r="Y855" s="115" t="s">
        <v>127</v>
      </c>
      <c r="Z855" s="115" t="s">
        <v>127</v>
      </c>
      <c r="AA855" s="115" t="s">
        <v>127</v>
      </c>
      <c r="AB855" s="115" t="s">
        <v>127</v>
      </c>
      <c r="AC855" s="115" t="s">
        <v>127</v>
      </c>
      <c r="AD855" s="115" t="s">
        <v>127</v>
      </c>
      <c r="AE855" s="115" t="s">
        <v>127</v>
      </c>
      <c r="AF855" s="115" t="s">
        <v>127</v>
      </c>
      <c r="AG855" s="4" t="s">
        <v>127</v>
      </c>
      <c r="AH855" s="4" t="s">
        <v>127</v>
      </c>
      <c r="AI855" s="4" t="s">
        <v>127</v>
      </c>
      <c r="AJ855" s="4" t="s">
        <v>127</v>
      </c>
      <c r="AK855" s="4" t="s">
        <v>127</v>
      </c>
      <c r="AL855" s="4" t="s">
        <v>127</v>
      </c>
      <c r="AM855" s="4" t="s">
        <v>127</v>
      </c>
      <c r="AN855" s="4" t="s">
        <v>127</v>
      </c>
      <c r="AO855" s="4" t="s">
        <v>127</v>
      </c>
      <c r="AP855" s="4" t="s">
        <v>127</v>
      </c>
      <c r="AQ855" s="4" t="s">
        <v>127</v>
      </c>
      <c r="AR855" s="4" t="s">
        <v>127</v>
      </c>
      <c r="AS855" s="4" t="s">
        <v>127</v>
      </c>
      <c r="AT855" s="4" t="s">
        <v>127</v>
      </c>
      <c r="AU855" s="4" t="s">
        <v>127</v>
      </c>
      <c r="AV855" s="4" t="s">
        <v>127</v>
      </c>
      <c r="AW855" s="4" t="s">
        <v>127</v>
      </c>
      <c r="AX855" s="4" t="s">
        <v>127</v>
      </c>
      <c r="AY855" s="96" t="s">
        <v>4152</v>
      </c>
      <c r="AZ855" s="4" t="s">
        <v>127</v>
      </c>
      <c r="BA855" s="4" t="s">
        <v>127</v>
      </c>
      <c r="BB855" s="4" t="s">
        <v>127</v>
      </c>
      <c r="BC855" s="4" t="s">
        <v>127</v>
      </c>
      <c r="BD855" s="4" t="s">
        <v>127</v>
      </c>
      <c r="BE855" s="4" t="s">
        <v>127</v>
      </c>
    </row>
    <row r="856" spans="1:57" ht="16" x14ac:dyDescent="0.4">
      <c r="A856" s="4" t="s">
        <v>4169</v>
      </c>
      <c r="B856" s="4" t="s">
        <v>4169</v>
      </c>
      <c r="C856" s="4" t="s">
        <v>127</v>
      </c>
      <c r="D856" s="4" t="s">
        <v>151</v>
      </c>
      <c r="E856" s="189"/>
      <c r="F856" s="4">
        <v>2024</v>
      </c>
      <c r="G856" s="4" t="s">
        <v>4170</v>
      </c>
      <c r="H856" s="22" t="str">
        <f>VLOOKUP($G856,'Item Classification'!B:C,2,0)</f>
        <v>Air-to-air missile (AAM)</v>
      </c>
      <c r="I856" s="6" t="str">
        <f>VLOOKUP($G856,'Item Classification'!B:D,3,0)</f>
        <v>Missile (Air)</v>
      </c>
      <c r="J856" s="23">
        <f>VLOOKUP($G856,'Item Classification'!B:E,4,0)</f>
        <v>6</v>
      </c>
      <c r="K856" s="195" t="s">
        <v>211</v>
      </c>
      <c r="L856" s="195" t="s">
        <v>211</v>
      </c>
      <c r="M856" s="116" t="str">
        <f>VLOOKUP(L856,'NATO Classifications'!$D$6:$E$647,2,0)</f>
        <v>Guided Missiles</v>
      </c>
      <c r="N856" s="4">
        <v>1</v>
      </c>
      <c r="O856" s="81"/>
      <c r="P856" s="81"/>
      <c r="Q856" s="4"/>
      <c r="R856" s="4"/>
      <c r="S856" s="4"/>
      <c r="T856" s="115" t="s">
        <v>132</v>
      </c>
      <c r="U856" s="104">
        <f>_xlfn.IFNA(S856/INDEX('Exchange Rates'!$C$7:$F$14,MATCH('MAIN DATA, Orders'!F856,'Exchange Rates'!$B$7:$B$14,0),MATCH('MAIN DATA, Orders'!T856,'Exchange Rates'!$C$6:$F$6,0)), "-")</f>
        <v>0</v>
      </c>
      <c r="V856" s="4" t="s">
        <v>127</v>
      </c>
      <c r="W856" s="4" t="s">
        <v>127</v>
      </c>
      <c r="X856" s="4" t="s">
        <v>151</v>
      </c>
      <c r="Y856" s="115" t="s">
        <v>127</v>
      </c>
      <c r="Z856" s="115" t="s">
        <v>127</v>
      </c>
      <c r="AA856" s="115" t="s">
        <v>127</v>
      </c>
      <c r="AB856" s="115" t="s">
        <v>127</v>
      </c>
      <c r="AC856" s="115" t="s">
        <v>127</v>
      </c>
      <c r="AD856" s="115" t="s">
        <v>127</v>
      </c>
      <c r="AE856" s="115" t="s">
        <v>127</v>
      </c>
      <c r="AF856" s="115" t="s">
        <v>127</v>
      </c>
      <c r="AG856" s="4" t="s">
        <v>127</v>
      </c>
      <c r="AH856" s="4" t="s">
        <v>127</v>
      </c>
      <c r="AI856" s="4" t="s">
        <v>127</v>
      </c>
      <c r="AJ856" s="4" t="s">
        <v>127</v>
      </c>
      <c r="AK856" s="4" t="s">
        <v>127</v>
      </c>
      <c r="AL856" s="4" t="s">
        <v>127</v>
      </c>
      <c r="AM856" s="4" t="s">
        <v>127</v>
      </c>
      <c r="AN856" s="4" t="s">
        <v>127</v>
      </c>
      <c r="AO856" s="4" t="s">
        <v>127</v>
      </c>
      <c r="AP856" s="4" t="s">
        <v>127</v>
      </c>
      <c r="AQ856" s="4" t="s">
        <v>127</v>
      </c>
      <c r="AR856" s="4" t="s">
        <v>127</v>
      </c>
      <c r="AS856" s="4" t="s">
        <v>127</v>
      </c>
      <c r="AT856" s="4" t="s">
        <v>127</v>
      </c>
      <c r="AU856" s="4" t="s">
        <v>127</v>
      </c>
      <c r="AV856" s="4" t="s">
        <v>127</v>
      </c>
      <c r="AW856" s="4" t="s">
        <v>127</v>
      </c>
      <c r="AX856" s="4" t="s">
        <v>127</v>
      </c>
      <c r="AY856" s="96" t="s">
        <v>4152</v>
      </c>
      <c r="AZ856" s="4" t="s">
        <v>127</v>
      </c>
      <c r="BA856" s="4" t="s">
        <v>127</v>
      </c>
      <c r="BB856" s="4" t="s">
        <v>127</v>
      </c>
      <c r="BC856" s="4" t="s">
        <v>127</v>
      </c>
      <c r="BD856" s="4" t="s">
        <v>127</v>
      </c>
      <c r="BE856" s="4" t="s">
        <v>127</v>
      </c>
    </row>
    <row r="857" spans="1:57" ht="16" x14ac:dyDescent="0.4">
      <c r="A857" s="4" t="s">
        <v>4171</v>
      </c>
      <c r="B857" s="4" t="s">
        <v>4171</v>
      </c>
      <c r="C857" s="4" t="s">
        <v>127</v>
      </c>
      <c r="D857" s="4" t="s">
        <v>151</v>
      </c>
      <c r="E857" s="189"/>
      <c r="F857" s="4">
        <v>2024</v>
      </c>
      <c r="G857" s="4" t="s">
        <v>4172</v>
      </c>
      <c r="H857" s="22" t="str">
        <f>VLOOKUP($G857,'Item Classification'!B:C,2,0)</f>
        <v>Air-to-air missile (AAM)</v>
      </c>
      <c r="I857" s="6" t="str">
        <f>VLOOKUP($G857,'Item Classification'!B:D,3,0)</f>
        <v>Missile (Air)</v>
      </c>
      <c r="J857" s="23">
        <f>VLOOKUP($G857,'Item Classification'!B:E,4,0)</f>
        <v>6</v>
      </c>
      <c r="K857" s="195" t="s">
        <v>211</v>
      </c>
      <c r="L857" s="195" t="s">
        <v>211</v>
      </c>
      <c r="M857" s="116" t="str">
        <f>VLOOKUP(L857,'NATO Classifications'!$D$6:$E$647,2,0)</f>
        <v>Guided Missiles</v>
      </c>
      <c r="N857" s="4">
        <v>1</v>
      </c>
      <c r="O857" s="81"/>
      <c r="P857" s="81"/>
      <c r="Q857" s="4"/>
      <c r="R857" s="4"/>
      <c r="S857" s="4"/>
      <c r="T857" s="115" t="s">
        <v>132</v>
      </c>
      <c r="U857" s="104">
        <f>_xlfn.IFNA(S857/INDEX('Exchange Rates'!$C$7:$F$14,MATCH('MAIN DATA, Orders'!F857,'Exchange Rates'!$B$7:$B$14,0),MATCH('MAIN DATA, Orders'!T857,'Exchange Rates'!$C$6:$F$6,0)), "-")</f>
        <v>0</v>
      </c>
      <c r="V857" s="4" t="s">
        <v>127</v>
      </c>
      <c r="W857" s="4" t="s">
        <v>127</v>
      </c>
      <c r="X857" s="4" t="s">
        <v>151</v>
      </c>
      <c r="Y857" s="115" t="s">
        <v>127</v>
      </c>
      <c r="Z857" s="115" t="s">
        <v>127</v>
      </c>
      <c r="AA857" s="115" t="s">
        <v>127</v>
      </c>
      <c r="AB857" s="115" t="s">
        <v>127</v>
      </c>
      <c r="AC857" s="115" t="s">
        <v>127</v>
      </c>
      <c r="AD857" s="115" t="s">
        <v>127</v>
      </c>
      <c r="AE857" s="115" t="s">
        <v>127</v>
      </c>
      <c r="AF857" s="115" t="s">
        <v>127</v>
      </c>
      <c r="AG857" s="4" t="s">
        <v>127</v>
      </c>
      <c r="AH857" s="4" t="s">
        <v>127</v>
      </c>
      <c r="AI857" s="4" t="s">
        <v>127</v>
      </c>
      <c r="AJ857" s="4" t="s">
        <v>127</v>
      </c>
      <c r="AK857" s="4" t="s">
        <v>127</v>
      </c>
      <c r="AL857" s="4" t="s">
        <v>127</v>
      </c>
      <c r="AM857" s="4" t="s">
        <v>127</v>
      </c>
      <c r="AN857" s="4" t="s">
        <v>127</v>
      </c>
      <c r="AO857" s="4" t="s">
        <v>127</v>
      </c>
      <c r="AP857" s="4" t="s">
        <v>127</v>
      </c>
      <c r="AQ857" s="4" t="s">
        <v>127</v>
      </c>
      <c r="AR857" s="4" t="s">
        <v>127</v>
      </c>
      <c r="AS857" s="4" t="s">
        <v>127</v>
      </c>
      <c r="AT857" s="4" t="s">
        <v>127</v>
      </c>
      <c r="AU857" s="4" t="s">
        <v>127</v>
      </c>
      <c r="AV857" s="4" t="s">
        <v>127</v>
      </c>
      <c r="AW857" s="4" t="s">
        <v>127</v>
      </c>
      <c r="AX857" s="4" t="s">
        <v>127</v>
      </c>
      <c r="AY857" s="96" t="s">
        <v>4152</v>
      </c>
      <c r="AZ857" s="4" t="s">
        <v>127</v>
      </c>
      <c r="BA857" s="4" t="s">
        <v>127</v>
      </c>
      <c r="BB857" s="4" t="s">
        <v>127</v>
      </c>
      <c r="BC857" s="4" t="s">
        <v>127</v>
      </c>
      <c r="BD857" s="4" t="s">
        <v>127</v>
      </c>
      <c r="BE857" s="4" t="s">
        <v>127</v>
      </c>
    </row>
    <row r="858" spans="1:57" ht="16" x14ac:dyDescent="0.4">
      <c r="A858" s="4" t="s">
        <v>4173</v>
      </c>
      <c r="B858" s="4" t="s">
        <v>4173</v>
      </c>
      <c r="C858" s="4" t="s">
        <v>127</v>
      </c>
      <c r="D858" s="4" t="s">
        <v>151</v>
      </c>
      <c r="E858" s="189"/>
      <c r="F858" s="4">
        <v>2024</v>
      </c>
      <c r="G858" s="4" t="s">
        <v>4143</v>
      </c>
      <c r="H858" s="22" t="str">
        <f>VLOOKUP($G858,'Item Classification'!B:C,2,0)</f>
        <v>Protection masks</v>
      </c>
      <c r="I858" s="6" t="str">
        <f>VLOOKUP($G858,'Item Classification'!B:D,3,0)</f>
        <v>Other</v>
      </c>
      <c r="J858" s="23">
        <f>VLOOKUP($G858,'Item Classification'!B:E,4,0)</f>
        <v>16</v>
      </c>
      <c r="K858" s="195" t="s">
        <v>925</v>
      </c>
      <c r="L858" s="195" t="s">
        <v>1684</v>
      </c>
      <c r="M858" s="116" t="str">
        <f>VLOOKUP(L858,'NATO Classifications'!$D$6:$E$647,2,0)</f>
        <v>Decontaminating and Impregnating Equipment</v>
      </c>
      <c r="N858" s="4">
        <v>1</v>
      </c>
      <c r="O858" s="81"/>
      <c r="P858" s="81"/>
      <c r="Q858" s="4"/>
      <c r="R858" s="4"/>
      <c r="S858" s="4"/>
      <c r="T858" s="115" t="s">
        <v>132</v>
      </c>
      <c r="U858" s="104">
        <f>_xlfn.IFNA(S858/INDEX('Exchange Rates'!$C$7:$F$14,MATCH('MAIN DATA, Orders'!F858,'Exchange Rates'!$B$7:$B$14,0),MATCH('MAIN DATA, Orders'!T858,'Exchange Rates'!$C$6:$F$6,0)), "-")</f>
        <v>0</v>
      </c>
      <c r="V858" s="4" t="s">
        <v>127</v>
      </c>
      <c r="W858" s="4" t="s">
        <v>127</v>
      </c>
      <c r="X858" s="4" t="s">
        <v>151</v>
      </c>
      <c r="Y858" s="115" t="s">
        <v>127</v>
      </c>
      <c r="Z858" s="115" t="s">
        <v>127</v>
      </c>
      <c r="AA858" s="115" t="s">
        <v>127</v>
      </c>
      <c r="AB858" s="115" t="s">
        <v>127</v>
      </c>
      <c r="AC858" s="115" t="s">
        <v>127</v>
      </c>
      <c r="AD858" s="115" t="s">
        <v>127</v>
      </c>
      <c r="AE858" s="115" t="s">
        <v>127</v>
      </c>
      <c r="AF858" s="115" t="s">
        <v>127</v>
      </c>
      <c r="AG858" s="4" t="s">
        <v>127</v>
      </c>
      <c r="AH858" s="4" t="s">
        <v>127</v>
      </c>
      <c r="AI858" s="4" t="s">
        <v>127</v>
      </c>
      <c r="AJ858" s="4" t="s">
        <v>127</v>
      </c>
      <c r="AK858" s="4" t="s">
        <v>127</v>
      </c>
      <c r="AL858" s="4" t="s">
        <v>127</v>
      </c>
      <c r="AM858" s="4" t="s">
        <v>127</v>
      </c>
      <c r="AN858" s="4" t="s">
        <v>127</v>
      </c>
      <c r="AO858" s="4" t="s">
        <v>127</v>
      </c>
      <c r="AP858" s="4" t="s">
        <v>127</v>
      </c>
      <c r="AQ858" s="4" t="s">
        <v>127</v>
      </c>
      <c r="AR858" s="4" t="s">
        <v>127</v>
      </c>
      <c r="AS858" s="4" t="s">
        <v>127</v>
      </c>
      <c r="AT858" s="4" t="s">
        <v>127</v>
      </c>
      <c r="AU858" s="4" t="s">
        <v>127</v>
      </c>
      <c r="AV858" s="4" t="s">
        <v>127</v>
      </c>
      <c r="AW858" s="4" t="s">
        <v>127</v>
      </c>
      <c r="AX858" s="4" t="s">
        <v>127</v>
      </c>
      <c r="AY858" s="96" t="s">
        <v>4152</v>
      </c>
      <c r="AZ858" s="4" t="s">
        <v>127</v>
      </c>
      <c r="BA858" s="4" t="s">
        <v>127</v>
      </c>
      <c r="BB858" s="4" t="s">
        <v>127</v>
      </c>
      <c r="BC858" s="4" t="s">
        <v>127</v>
      </c>
      <c r="BD858" s="4" t="s">
        <v>127</v>
      </c>
      <c r="BE858" s="4" t="s">
        <v>127</v>
      </c>
    </row>
    <row r="859" spans="1:57" ht="16" x14ac:dyDescent="0.4">
      <c r="A859" s="4" t="s">
        <v>4174</v>
      </c>
      <c r="B859" s="4" t="s">
        <v>4174</v>
      </c>
      <c r="C859" s="4" t="s">
        <v>127</v>
      </c>
      <c r="D859" s="4" t="s">
        <v>151</v>
      </c>
      <c r="E859" s="189"/>
      <c r="F859" s="4">
        <v>2024</v>
      </c>
      <c r="G859" s="4" t="s">
        <v>4175</v>
      </c>
      <c r="H859" s="22" t="str">
        <f>VLOOKUP($G859,'Item Classification'!B:C,2,0)</f>
        <v>Anti-drone laser</v>
      </c>
      <c r="I859" s="6" t="str">
        <f>VLOOKUP($G859,'Item Classification'!B:D,3,0)</f>
        <v>Drone</v>
      </c>
      <c r="J859" s="23">
        <f>VLOOKUP($G859,'Item Classification'!B:E,4,0)</f>
        <v>7</v>
      </c>
      <c r="K859" s="195" t="s">
        <v>158</v>
      </c>
      <c r="L859" s="195" t="s">
        <v>379</v>
      </c>
      <c r="M859" s="116" t="str">
        <f>VLOOKUP(L859,'NATO Classifications'!$D$6:$E$647,2,0)</f>
        <v>Communication, Detection, and Coherent Radiation Equipment (other)</v>
      </c>
      <c r="N859" s="4"/>
      <c r="O859" s="81"/>
      <c r="P859" s="81"/>
      <c r="Q859" s="4"/>
      <c r="R859" s="4"/>
      <c r="S859" s="4"/>
      <c r="T859" s="115" t="s">
        <v>132</v>
      </c>
      <c r="U859" s="104">
        <f>_xlfn.IFNA(S859/INDEX('Exchange Rates'!$C$7:$F$14,MATCH('MAIN DATA, Orders'!F859,'Exchange Rates'!$B$7:$B$14,0),MATCH('MAIN DATA, Orders'!T859,'Exchange Rates'!$C$6:$F$6,0)), "-")</f>
        <v>0</v>
      </c>
      <c r="V859" s="4" t="s">
        <v>127</v>
      </c>
      <c r="W859" s="4" t="s">
        <v>127</v>
      </c>
      <c r="X859" s="4" t="s">
        <v>151</v>
      </c>
      <c r="Y859" s="115" t="s">
        <v>127</v>
      </c>
      <c r="Z859" s="115" t="s">
        <v>127</v>
      </c>
      <c r="AA859" s="115" t="s">
        <v>127</v>
      </c>
      <c r="AB859" s="115" t="s">
        <v>127</v>
      </c>
      <c r="AC859" s="115" t="s">
        <v>127</v>
      </c>
      <c r="AD859" s="115" t="s">
        <v>127</v>
      </c>
      <c r="AE859" s="115" t="s">
        <v>127</v>
      </c>
      <c r="AF859" s="115" t="s">
        <v>127</v>
      </c>
      <c r="AG859" s="4" t="s">
        <v>127</v>
      </c>
      <c r="AH859" s="4" t="s">
        <v>127</v>
      </c>
      <c r="AI859" s="4" t="s">
        <v>127</v>
      </c>
      <c r="AJ859" s="4" t="s">
        <v>127</v>
      </c>
      <c r="AK859" s="4" t="s">
        <v>127</v>
      </c>
      <c r="AL859" s="4" t="s">
        <v>127</v>
      </c>
      <c r="AM859" s="4" t="s">
        <v>127</v>
      </c>
      <c r="AN859" s="4" t="s">
        <v>127</v>
      </c>
      <c r="AO859" s="4" t="s">
        <v>127</v>
      </c>
      <c r="AP859" s="4" t="s">
        <v>127</v>
      </c>
      <c r="AQ859" s="4" t="s">
        <v>127</v>
      </c>
      <c r="AR859" s="4" t="s">
        <v>127</v>
      </c>
      <c r="AS859" s="4" t="s">
        <v>127</v>
      </c>
      <c r="AT859" s="4" t="s">
        <v>127</v>
      </c>
      <c r="AU859" s="4" t="s">
        <v>127</v>
      </c>
      <c r="AV859" s="4" t="s">
        <v>127</v>
      </c>
      <c r="AW859" s="4" t="s">
        <v>127</v>
      </c>
      <c r="AX859" s="4" t="s">
        <v>127</v>
      </c>
      <c r="AY859" s="96" t="s">
        <v>4152</v>
      </c>
      <c r="AZ859" s="4" t="s">
        <v>127</v>
      </c>
      <c r="BA859" s="4" t="s">
        <v>127</v>
      </c>
      <c r="BB859" s="4" t="s">
        <v>127</v>
      </c>
      <c r="BC859" s="4" t="s">
        <v>127</v>
      </c>
      <c r="BD859" s="4" t="s">
        <v>127</v>
      </c>
      <c r="BE859" s="4" t="s">
        <v>127</v>
      </c>
    </row>
    <row r="860" spans="1:57" ht="16" x14ac:dyDescent="0.4">
      <c r="A860" s="4" t="s">
        <v>4176</v>
      </c>
      <c r="B860" s="4" t="s">
        <v>4176</v>
      </c>
      <c r="C860" s="4" t="s">
        <v>127</v>
      </c>
      <c r="D860" s="4" t="s">
        <v>151</v>
      </c>
      <c r="E860" s="189"/>
      <c r="F860" s="4">
        <v>2024</v>
      </c>
      <c r="G860" s="4" t="s">
        <v>4177</v>
      </c>
      <c r="H860" s="22" t="str">
        <f>VLOOKUP($G860,'Item Classification'!B:C,2,0)</f>
        <v>Ammunition transport truck</v>
      </c>
      <c r="I860" s="6" t="str">
        <f>VLOOKUP($G860,'Item Classification'!B:D,3,0)</f>
        <v>Other</v>
      </c>
      <c r="J860" s="23">
        <f>VLOOKUP($G860,'Item Classification'!B:E,4,0)</f>
        <v>16</v>
      </c>
      <c r="K860" s="195" t="s">
        <v>274</v>
      </c>
      <c r="L860" s="195" t="s">
        <v>275</v>
      </c>
      <c r="M860" s="116" t="str">
        <f>VLOOKUP(L860,'NATO Classifications'!$D$6:$E$647,2,0)</f>
        <v>Trucks and Truck Tractors, Wheeled</v>
      </c>
      <c r="N860" s="4">
        <v>6</v>
      </c>
      <c r="O860" s="81"/>
      <c r="P860" s="81"/>
      <c r="Q860" s="4"/>
      <c r="R860" s="4"/>
      <c r="S860" s="4"/>
      <c r="T860" s="115" t="s">
        <v>132</v>
      </c>
      <c r="U860" s="104">
        <f>_xlfn.IFNA(S860/INDEX('Exchange Rates'!$C$7:$F$14,MATCH('MAIN DATA, Orders'!F860,'Exchange Rates'!$B$7:$B$14,0),MATCH('MAIN DATA, Orders'!T860,'Exchange Rates'!$C$6:$F$6,0)), "-")</f>
        <v>0</v>
      </c>
      <c r="V860" s="4" t="s">
        <v>127</v>
      </c>
      <c r="W860" s="4" t="s">
        <v>127</v>
      </c>
      <c r="X860" s="4" t="s">
        <v>151</v>
      </c>
      <c r="Y860" s="115" t="s">
        <v>127</v>
      </c>
      <c r="Z860" s="115" t="s">
        <v>127</v>
      </c>
      <c r="AA860" s="115" t="s">
        <v>127</v>
      </c>
      <c r="AB860" s="115" t="s">
        <v>127</v>
      </c>
      <c r="AC860" s="115" t="s">
        <v>127</v>
      </c>
      <c r="AD860" s="115" t="s">
        <v>127</v>
      </c>
      <c r="AE860" s="115" t="s">
        <v>127</v>
      </c>
      <c r="AF860" s="115" t="s">
        <v>127</v>
      </c>
      <c r="AG860" s="4" t="s">
        <v>127</v>
      </c>
      <c r="AH860" s="4" t="s">
        <v>127</v>
      </c>
      <c r="AI860" s="4" t="s">
        <v>127</v>
      </c>
      <c r="AJ860" s="4" t="s">
        <v>127</v>
      </c>
      <c r="AK860" s="4" t="s">
        <v>127</v>
      </c>
      <c r="AL860" s="4" t="s">
        <v>127</v>
      </c>
      <c r="AM860" s="4" t="s">
        <v>127</v>
      </c>
      <c r="AN860" s="4" t="s">
        <v>127</v>
      </c>
      <c r="AO860" s="4" t="s">
        <v>127</v>
      </c>
      <c r="AP860" s="4" t="s">
        <v>127</v>
      </c>
      <c r="AQ860" s="4" t="s">
        <v>127</v>
      </c>
      <c r="AR860" s="4" t="s">
        <v>127</v>
      </c>
      <c r="AS860" s="4" t="s">
        <v>127</v>
      </c>
      <c r="AT860" s="4" t="s">
        <v>127</v>
      </c>
      <c r="AU860" s="4" t="s">
        <v>127</v>
      </c>
      <c r="AV860" s="4" t="s">
        <v>127</v>
      </c>
      <c r="AW860" s="4" t="s">
        <v>127</v>
      </c>
      <c r="AX860" s="4" t="s">
        <v>127</v>
      </c>
      <c r="AY860" s="96" t="s">
        <v>4152</v>
      </c>
      <c r="AZ860" s="4" t="s">
        <v>127</v>
      </c>
      <c r="BA860" s="4" t="s">
        <v>127</v>
      </c>
      <c r="BB860" s="4" t="s">
        <v>127</v>
      </c>
      <c r="BC860" s="4" t="s">
        <v>127</v>
      </c>
      <c r="BD860" s="4" t="s">
        <v>127</v>
      </c>
      <c r="BE860" s="4" t="s">
        <v>127</v>
      </c>
    </row>
    <row r="861" spans="1:57" ht="16" x14ac:dyDescent="0.4">
      <c r="A861" s="4" t="s">
        <v>4178</v>
      </c>
      <c r="B861" s="4" t="s">
        <v>4178</v>
      </c>
      <c r="C861" s="4" t="s">
        <v>127</v>
      </c>
      <c r="D861" s="4" t="s">
        <v>151</v>
      </c>
      <c r="E861" s="189"/>
      <c r="F861" s="4">
        <v>2025</v>
      </c>
      <c r="G861" s="4" t="s">
        <v>4179</v>
      </c>
      <c r="H861" s="22" t="str">
        <f>VLOOKUP($G861,'Item Classification'!B:C,2,0)</f>
        <v>Non-combat military vehicle</v>
      </c>
      <c r="I861" s="6" t="str">
        <f>VLOOKUP($G861,'Item Classification'!B:D,3,0)</f>
        <v>Other</v>
      </c>
      <c r="J861" s="23">
        <f>VLOOKUP($G861,'Item Classification'!B:E,4,0)</f>
        <v>16</v>
      </c>
      <c r="K861" s="195" t="s">
        <v>274</v>
      </c>
      <c r="L861" s="195" t="s">
        <v>275</v>
      </c>
      <c r="M861" s="116" t="str">
        <f>VLOOKUP(L861,'NATO Classifications'!$D$6:$E$647,2,0)</f>
        <v>Trucks and Truck Tractors, Wheeled</v>
      </c>
      <c r="N861" s="4">
        <v>165</v>
      </c>
      <c r="O861" s="81"/>
      <c r="P861" s="81"/>
      <c r="Q861" s="4"/>
      <c r="R861" s="4"/>
      <c r="S861" s="4"/>
      <c r="T861" s="115" t="s">
        <v>132</v>
      </c>
      <c r="U861" s="104">
        <f>_xlfn.IFNA(S861/INDEX('Exchange Rates'!$C$7:$F$14,MATCH('MAIN DATA, Orders'!F861,'Exchange Rates'!$B$7:$B$14,0),MATCH('MAIN DATA, Orders'!T861,'Exchange Rates'!$C$6:$F$6,0)), "-")</f>
        <v>0</v>
      </c>
      <c r="V861" s="4" t="s">
        <v>127</v>
      </c>
      <c r="W861" s="4" t="s">
        <v>127</v>
      </c>
      <c r="X861" s="4" t="s">
        <v>151</v>
      </c>
      <c r="Y861" s="115" t="s">
        <v>127</v>
      </c>
      <c r="Z861" s="115" t="s">
        <v>127</v>
      </c>
      <c r="AA861" s="115" t="s">
        <v>127</v>
      </c>
      <c r="AB861" s="115" t="s">
        <v>127</v>
      </c>
      <c r="AC861" s="115" t="s">
        <v>127</v>
      </c>
      <c r="AD861" s="115" t="s">
        <v>127</v>
      </c>
      <c r="AE861" s="115" t="s">
        <v>127</v>
      </c>
      <c r="AF861" s="115" t="s">
        <v>127</v>
      </c>
      <c r="AG861" s="4" t="s">
        <v>127</v>
      </c>
      <c r="AH861" s="4" t="s">
        <v>127</v>
      </c>
      <c r="AI861" s="4" t="s">
        <v>127</v>
      </c>
      <c r="AJ861" s="4" t="s">
        <v>127</v>
      </c>
      <c r="AK861" s="4" t="s">
        <v>127</v>
      </c>
      <c r="AL861" s="4" t="s">
        <v>127</v>
      </c>
      <c r="AM861" s="4" t="s">
        <v>127</v>
      </c>
      <c r="AN861" s="4" t="s">
        <v>127</v>
      </c>
      <c r="AO861" s="4" t="s">
        <v>127</v>
      </c>
      <c r="AP861" s="4" t="s">
        <v>127</v>
      </c>
      <c r="AQ861" s="4" t="s">
        <v>127</v>
      </c>
      <c r="AR861" s="4" t="s">
        <v>127</v>
      </c>
      <c r="AS861" s="4" t="s">
        <v>127</v>
      </c>
      <c r="AT861" s="4" t="s">
        <v>127</v>
      </c>
      <c r="AU861" s="4" t="s">
        <v>127</v>
      </c>
      <c r="AV861" s="4" t="s">
        <v>127</v>
      </c>
      <c r="AW861" s="4" t="s">
        <v>127</v>
      </c>
      <c r="AX861" s="4" t="s">
        <v>127</v>
      </c>
      <c r="AY861" s="96" t="s">
        <v>4180</v>
      </c>
      <c r="AZ861" s="4" t="s">
        <v>127</v>
      </c>
      <c r="BA861" s="4" t="s">
        <v>127</v>
      </c>
      <c r="BB861" s="4" t="s">
        <v>127</v>
      </c>
      <c r="BC861" s="4" t="s">
        <v>127</v>
      </c>
      <c r="BD861" s="4" t="s">
        <v>127</v>
      </c>
      <c r="BE861" s="4" t="s">
        <v>127</v>
      </c>
    </row>
    <row r="862" spans="1:57" ht="16" x14ac:dyDescent="0.4">
      <c r="A862" s="4" t="s">
        <v>4181</v>
      </c>
      <c r="B862" s="4" t="s">
        <v>4181</v>
      </c>
      <c r="C862" s="4" t="s">
        <v>127</v>
      </c>
      <c r="D862" s="4" t="s">
        <v>151</v>
      </c>
      <c r="E862" s="189"/>
      <c r="F862" s="4">
        <v>2025</v>
      </c>
      <c r="G862" s="4" t="s">
        <v>4182</v>
      </c>
      <c r="H862" s="22" t="str">
        <f>VLOOKUP($G862,'Item Classification'!B:C,2,0)</f>
        <v>Aircraft carrier development</v>
      </c>
      <c r="I862" s="6" t="str">
        <f>VLOOKUP($G862,'Item Classification'!B:D,3,0)</f>
        <v>Development - Naval</v>
      </c>
      <c r="J862" s="23">
        <f>VLOOKUP($G862,'Item Classification'!B:E,4,0)</f>
        <v>15</v>
      </c>
      <c r="K862" s="195" t="s">
        <v>143</v>
      </c>
      <c r="L862" s="195" t="s">
        <v>144</v>
      </c>
      <c r="M862" s="116" t="str">
        <f>VLOOKUP(L862,'NATO Classifications'!$D$6:$E$647,2,0)</f>
        <v>Combat Ships and Landing Vessels</v>
      </c>
      <c r="N862" s="4">
        <v>1</v>
      </c>
      <c r="O862" s="81"/>
      <c r="P862" s="81"/>
      <c r="Q862" s="4"/>
      <c r="R862" s="4"/>
      <c r="S862" s="4"/>
      <c r="T862" s="115" t="s">
        <v>132</v>
      </c>
      <c r="U862" s="104">
        <f>_xlfn.IFNA(S862/INDEX('Exchange Rates'!$C$7:$F$14,MATCH('MAIN DATA, Orders'!F862,'Exchange Rates'!$B$7:$B$14,0),MATCH('MAIN DATA, Orders'!T862,'Exchange Rates'!$C$6:$F$6,0)), "-")</f>
        <v>0</v>
      </c>
      <c r="V862" s="4" t="s">
        <v>127</v>
      </c>
      <c r="W862" s="4" t="s">
        <v>127</v>
      </c>
      <c r="X862" s="4" t="s">
        <v>151</v>
      </c>
      <c r="Y862" s="115" t="s">
        <v>127</v>
      </c>
      <c r="Z862" s="115" t="s">
        <v>127</v>
      </c>
      <c r="AA862" s="115" t="s">
        <v>127</v>
      </c>
      <c r="AB862" s="115" t="s">
        <v>127</v>
      </c>
      <c r="AC862" s="115" t="s">
        <v>127</v>
      </c>
      <c r="AD862" s="115" t="s">
        <v>127</v>
      </c>
      <c r="AE862" s="115" t="s">
        <v>127</v>
      </c>
      <c r="AF862" s="115" t="s">
        <v>127</v>
      </c>
      <c r="AG862" s="4" t="s">
        <v>127</v>
      </c>
      <c r="AH862" s="4" t="s">
        <v>127</v>
      </c>
      <c r="AI862" s="4" t="s">
        <v>127</v>
      </c>
      <c r="AJ862" s="4" t="s">
        <v>127</v>
      </c>
      <c r="AK862" s="4" t="s">
        <v>127</v>
      </c>
      <c r="AL862" s="4" t="s">
        <v>127</v>
      </c>
      <c r="AM862" s="4" t="s">
        <v>127</v>
      </c>
      <c r="AN862" s="4" t="s">
        <v>127</v>
      </c>
      <c r="AO862" s="4" t="s">
        <v>127</v>
      </c>
      <c r="AP862" s="4" t="s">
        <v>127</v>
      </c>
      <c r="AQ862" s="4" t="s">
        <v>127</v>
      </c>
      <c r="AR862" s="4" t="s">
        <v>127</v>
      </c>
      <c r="AS862" s="4" t="s">
        <v>127</v>
      </c>
      <c r="AT862" s="4" t="s">
        <v>127</v>
      </c>
      <c r="AU862" s="4" t="s">
        <v>127</v>
      </c>
      <c r="AV862" s="4" t="s">
        <v>127</v>
      </c>
      <c r="AW862" s="4" t="s">
        <v>127</v>
      </c>
      <c r="AX862" s="4" t="s">
        <v>127</v>
      </c>
      <c r="AY862" s="96" t="s">
        <v>4180</v>
      </c>
      <c r="AZ862" s="4" t="s">
        <v>127</v>
      </c>
      <c r="BA862" s="4" t="s">
        <v>127</v>
      </c>
      <c r="BB862" s="4" t="s">
        <v>127</v>
      </c>
      <c r="BC862" s="4" t="s">
        <v>127</v>
      </c>
      <c r="BD862" s="4" t="s">
        <v>127</v>
      </c>
      <c r="BE862" s="4" t="s">
        <v>127</v>
      </c>
    </row>
    <row r="863" spans="1:57" ht="16" x14ac:dyDescent="0.4">
      <c r="A863" s="4" t="s">
        <v>4183</v>
      </c>
      <c r="B863" s="4" t="s">
        <v>4183</v>
      </c>
      <c r="C863" s="4" t="s">
        <v>127</v>
      </c>
      <c r="D863" s="4" t="s">
        <v>151</v>
      </c>
      <c r="E863" s="189"/>
      <c r="F863" s="4">
        <v>2025</v>
      </c>
      <c r="G863" s="4" t="s">
        <v>4029</v>
      </c>
      <c r="H863" s="22" t="str">
        <f>VLOOKUP($G863,'Item Classification'!B:C,2,0)</f>
        <v>Frigate</v>
      </c>
      <c r="I863" s="6" t="str">
        <f>VLOOKUP($G863,'Item Classification'!B:D,3,0)</f>
        <v>Naval</v>
      </c>
      <c r="J863" s="23">
        <f>VLOOKUP($G863,'Item Classification'!B:E,4,0)</f>
        <v>12</v>
      </c>
      <c r="K863" s="195" t="s">
        <v>143</v>
      </c>
      <c r="L863" s="195" t="s">
        <v>144</v>
      </c>
      <c r="M863" s="116" t="str">
        <f>VLOOKUP(L863,'NATO Classifications'!$D$6:$E$647,2,0)</f>
        <v>Combat Ships and Landing Vessels</v>
      </c>
      <c r="N863" s="4">
        <v>1</v>
      </c>
      <c r="O863" s="81"/>
      <c r="P863" s="81"/>
      <c r="Q863" s="4"/>
      <c r="R863" s="4"/>
      <c r="S863" s="4"/>
      <c r="T863" s="115" t="s">
        <v>132</v>
      </c>
      <c r="U863" s="104">
        <f>_xlfn.IFNA(S863/INDEX('Exchange Rates'!$C$7:$F$14,MATCH('MAIN DATA, Orders'!F863,'Exchange Rates'!$B$7:$B$14,0),MATCH('MAIN DATA, Orders'!T863,'Exchange Rates'!$C$6:$F$6,0)), "-")</f>
        <v>0</v>
      </c>
      <c r="V863" s="4" t="s">
        <v>127</v>
      </c>
      <c r="W863" s="4" t="s">
        <v>127</v>
      </c>
      <c r="X863" s="4" t="s">
        <v>151</v>
      </c>
      <c r="Y863" s="115" t="s">
        <v>127</v>
      </c>
      <c r="Z863" s="115" t="s">
        <v>127</v>
      </c>
      <c r="AA863" s="115" t="s">
        <v>127</v>
      </c>
      <c r="AB863" s="115" t="s">
        <v>127</v>
      </c>
      <c r="AC863" s="115" t="s">
        <v>127</v>
      </c>
      <c r="AD863" s="115" t="s">
        <v>127</v>
      </c>
      <c r="AE863" s="115" t="s">
        <v>127</v>
      </c>
      <c r="AF863" s="115" t="s">
        <v>127</v>
      </c>
      <c r="AG863" s="4" t="s">
        <v>127</v>
      </c>
      <c r="AH863" s="4" t="s">
        <v>127</v>
      </c>
      <c r="AI863" s="4" t="s">
        <v>127</v>
      </c>
      <c r="AJ863" s="4" t="s">
        <v>127</v>
      </c>
      <c r="AK863" s="4" t="s">
        <v>127</v>
      </c>
      <c r="AL863" s="4" t="s">
        <v>127</v>
      </c>
      <c r="AM863" s="4" t="s">
        <v>127</v>
      </c>
      <c r="AN863" s="4" t="s">
        <v>127</v>
      </c>
      <c r="AO863" s="4" t="s">
        <v>127</v>
      </c>
      <c r="AP863" s="4" t="s">
        <v>127</v>
      </c>
      <c r="AQ863" s="4" t="s">
        <v>127</v>
      </c>
      <c r="AR863" s="4" t="s">
        <v>127</v>
      </c>
      <c r="AS863" s="4" t="s">
        <v>127</v>
      </c>
      <c r="AT863" s="4" t="s">
        <v>127</v>
      </c>
      <c r="AU863" s="4" t="s">
        <v>127</v>
      </c>
      <c r="AV863" s="4" t="s">
        <v>127</v>
      </c>
      <c r="AW863" s="4" t="s">
        <v>127</v>
      </c>
      <c r="AX863" s="4" t="s">
        <v>127</v>
      </c>
      <c r="AY863" s="96" t="s">
        <v>4180</v>
      </c>
      <c r="AZ863" s="4" t="s">
        <v>127</v>
      </c>
      <c r="BA863" s="4" t="s">
        <v>127</v>
      </c>
      <c r="BB863" s="4" t="s">
        <v>127</v>
      </c>
      <c r="BC863" s="4" t="s">
        <v>127</v>
      </c>
      <c r="BD863" s="4" t="s">
        <v>127</v>
      </c>
      <c r="BE863" s="4" t="s">
        <v>127</v>
      </c>
    </row>
    <row r="864" spans="1:57" ht="16" x14ac:dyDescent="0.4">
      <c r="A864" s="4" t="s">
        <v>4184</v>
      </c>
      <c r="B864" s="4" t="s">
        <v>4184</v>
      </c>
      <c r="C864" s="4" t="s">
        <v>127</v>
      </c>
      <c r="D864" s="4" t="s">
        <v>151</v>
      </c>
      <c r="E864" s="189"/>
      <c r="F864" s="4">
        <v>2025</v>
      </c>
      <c r="G864" s="4" t="s">
        <v>4185</v>
      </c>
      <c r="H864" s="22" t="str">
        <f>VLOOKUP($G864,'Item Classification'!B:C,2,0)</f>
        <v>Anti-mine ship</v>
      </c>
      <c r="I864" s="6" t="str">
        <f>VLOOKUP($G864,'Item Classification'!B:D,3,0)</f>
        <v>Naval</v>
      </c>
      <c r="J864" s="23">
        <f>VLOOKUP($G864,'Item Classification'!B:E,4,0)</f>
        <v>12</v>
      </c>
      <c r="K864" s="195" t="s">
        <v>143</v>
      </c>
      <c r="L864" s="195" t="s">
        <v>144</v>
      </c>
      <c r="M864" s="116" t="str">
        <f>VLOOKUP(L864,'NATO Classifications'!$D$6:$E$647,2,0)</f>
        <v>Combat Ships and Landing Vessels</v>
      </c>
      <c r="N864" s="4"/>
      <c r="O864" s="81"/>
      <c r="P864" s="81"/>
      <c r="Q864" s="4"/>
      <c r="R864" s="4"/>
      <c r="S864" s="4"/>
      <c r="T864" s="115" t="s">
        <v>132</v>
      </c>
      <c r="U864" s="104">
        <f>_xlfn.IFNA(S864/INDEX('Exchange Rates'!$C$7:$F$14,MATCH('MAIN DATA, Orders'!F864,'Exchange Rates'!$B$7:$B$14,0),MATCH('MAIN DATA, Orders'!T864,'Exchange Rates'!$C$6:$F$6,0)), "-")</f>
        <v>0</v>
      </c>
      <c r="V864" s="4" t="s">
        <v>127</v>
      </c>
      <c r="W864" s="4" t="s">
        <v>127</v>
      </c>
      <c r="X864" s="4" t="s">
        <v>151</v>
      </c>
      <c r="Y864" s="115" t="s">
        <v>127</v>
      </c>
      <c r="Z864" s="115" t="s">
        <v>127</v>
      </c>
      <c r="AA864" s="115" t="s">
        <v>127</v>
      </c>
      <c r="AB864" s="115" t="s">
        <v>127</v>
      </c>
      <c r="AC864" s="115" t="s">
        <v>127</v>
      </c>
      <c r="AD864" s="115" t="s">
        <v>127</v>
      </c>
      <c r="AE864" s="115" t="s">
        <v>127</v>
      </c>
      <c r="AF864" s="115" t="s">
        <v>127</v>
      </c>
      <c r="AG864" s="4" t="s">
        <v>127</v>
      </c>
      <c r="AH864" s="4" t="s">
        <v>127</v>
      </c>
      <c r="AI864" s="4" t="s">
        <v>127</v>
      </c>
      <c r="AJ864" s="4" t="s">
        <v>127</v>
      </c>
      <c r="AK864" s="4" t="s">
        <v>127</v>
      </c>
      <c r="AL864" s="4" t="s">
        <v>127</v>
      </c>
      <c r="AM864" s="4" t="s">
        <v>127</v>
      </c>
      <c r="AN864" s="4" t="s">
        <v>127</v>
      </c>
      <c r="AO864" s="4" t="s">
        <v>127</v>
      </c>
      <c r="AP864" s="4" t="s">
        <v>127</v>
      </c>
      <c r="AQ864" s="4" t="s">
        <v>127</v>
      </c>
      <c r="AR864" s="4" t="s">
        <v>127</v>
      </c>
      <c r="AS864" s="4" t="s">
        <v>127</v>
      </c>
      <c r="AT864" s="4" t="s">
        <v>127</v>
      </c>
      <c r="AU864" s="4" t="s">
        <v>127</v>
      </c>
      <c r="AV864" s="4" t="s">
        <v>127</v>
      </c>
      <c r="AW864" s="4" t="s">
        <v>127</v>
      </c>
      <c r="AX864" s="4" t="s">
        <v>127</v>
      </c>
      <c r="AY864" s="96" t="s">
        <v>4180</v>
      </c>
      <c r="AZ864" s="4" t="s">
        <v>127</v>
      </c>
      <c r="BA864" s="4" t="s">
        <v>127</v>
      </c>
      <c r="BB864" s="4" t="s">
        <v>127</v>
      </c>
      <c r="BC864" s="4" t="s">
        <v>127</v>
      </c>
      <c r="BD864" s="4" t="s">
        <v>127</v>
      </c>
      <c r="BE864" s="4" t="s">
        <v>127</v>
      </c>
    </row>
    <row r="865" spans="1:57" ht="16" x14ac:dyDescent="0.4">
      <c r="A865" s="4" t="s">
        <v>4186</v>
      </c>
      <c r="B865" s="4" t="s">
        <v>4186</v>
      </c>
      <c r="C865" s="4" t="s">
        <v>127</v>
      </c>
      <c r="D865" s="4" t="s">
        <v>151</v>
      </c>
      <c r="E865" s="189"/>
      <c r="F865" s="4">
        <v>2025</v>
      </c>
      <c r="G865" s="4" t="s">
        <v>4103</v>
      </c>
      <c r="H865" s="22" t="str">
        <f>VLOOKUP($G865,'Item Classification'!B:C,2,0)</f>
        <v>Armoured personnel carrier (APC)</v>
      </c>
      <c r="I865" s="6" t="str">
        <f>VLOOKUP($G865,'Item Classification'!B:D,3,0)</f>
        <v>Armoured vehicle</v>
      </c>
      <c r="J865" s="23">
        <f>VLOOKUP($G865,'Item Classification'!B:E,4,0)</f>
        <v>2</v>
      </c>
      <c r="K865" s="195" t="s">
        <v>274</v>
      </c>
      <c r="L865" s="195" t="s">
        <v>493</v>
      </c>
      <c r="M865" s="116" t="str">
        <f>VLOOKUP(L865,'NATO Classifications'!$D$6:$E$647,2,0)</f>
        <v>Combat, Assault, and Tactical Vehicles, Wheeled</v>
      </c>
      <c r="N865" s="4">
        <v>120</v>
      </c>
      <c r="O865" s="81"/>
      <c r="P865" s="81"/>
      <c r="Q865" s="4"/>
      <c r="R865" s="4"/>
      <c r="S865" s="4"/>
      <c r="T865" s="115" t="s">
        <v>132</v>
      </c>
      <c r="U865" s="104">
        <f>_xlfn.IFNA(S865/INDEX('Exchange Rates'!$C$7:$F$14,MATCH('MAIN DATA, Orders'!F865,'Exchange Rates'!$B$7:$B$14,0),MATCH('MAIN DATA, Orders'!T865,'Exchange Rates'!$C$6:$F$6,0)), "-")</f>
        <v>0</v>
      </c>
      <c r="V865" s="4" t="s">
        <v>127</v>
      </c>
      <c r="W865" s="4" t="s">
        <v>127</v>
      </c>
      <c r="X865" s="4" t="s">
        <v>151</v>
      </c>
      <c r="Y865" s="115" t="s">
        <v>127</v>
      </c>
      <c r="Z865" s="115" t="s">
        <v>127</v>
      </c>
      <c r="AA865" s="115" t="s">
        <v>127</v>
      </c>
      <c r="AB865" s="115" t="s">
        <v>127</v>
      </c>
      <c r="AC865" s="115" t="s">
        <v>127</v>
      </c>
      <c r="AD865" s="115" t="s">
        <v>127</v>
      </c>
      <c r="AE865" s="115" t="s">
        <v>127</v>
      </c>
      <c r="AF865" s="115" t="s">
        <v>127</v>
      </c>
      <c r="AG865" s="4" t="s">
        <v>127</v>
      </c>
      <c r="AH865" s="4" t="s">
        <v>127</v>
      </c>
      <c r="AI865" s="4" t="s">
        <v>127</v>
      </c>
      <c r="AJ865" s="4" t="s">
        <v>127</v>
      </c>
      <c r="AK865" s="4" t="s">
        <v>127</v>
      </c>
      <c r="AL865" s="4" t="s">
        <v>127</v>
      </c>
      <c r="AM865" s="4" t="s">
        <v>127</v>
      </c>
      <c r="AN865" s="4" t="s">
        <v>127</v>
      </c>
      <c r="AO865" s="4" t="s">
        <v>127</v>
      </c>
      <c r="AP865" s="4" t="s">
        <v>127</v>
      </c>
      <c r="AQ865" s="4" t="s">
        <v>127</v>
      </c>
      <c r="AR865" s="4" t="s">
        <v>127</v>
      </c>
      <c r="AS865" s="4" t="s">
        <v>127</v>
      </c>
      <c r="AT865" s="4" t="s">
        <v>127</v>
      </c>
      <c r="AU865" s="4" t="s">
        <v>127</v>
      </c>
      <c r="AV865" s="4" t="s">
        <v>127</v>
      </c>
      <c r="AW865" s="4" t="s">
        <v>127</v>
      </c>
      <c r="AX865" s="4" t="s">
        <v>127</v>
      </c>
      <c r="AY865" s="96" t="s">
        <v>4180</v>
      </c>
      <c r="AZ865" s="4" t="s">
        <v>127</v>
      </c>
      <c r="BA865" s="4" t="s">
        <v>127</v>
      </c>
      <c r="BB865" s="4" t="s">
        <v>127</v>
      </c>
      <c r="BC865" s="4" t="s">
        <v>127</v>
      </c>
      <c r="BD865" s="4" t="s">
        <v>127</v>
      </c>
      <c r="BE865" s="4" t="s">
        <v>127</v>
      </c>
    </row>
    <row r="866" spans="1:57" ht="16" x14ac:dyDescent="0.4">
      <c r="A866" s="4" t="s">
        <v>4187</v>
      </c>
      <c r="B866" s="4" t="s">
        <v>4187</v>
      </c>
      <c r="C866" s="4" t="s">
        <v>127</v>
      </c>
      <c r="D866" s="4" t="s">
        <v>151</v>
      </c>
      <c r="E866" s="189"/>
      <c r="F866" s="4">
        <v>2025</v>
      </c>
      <c r="G866" s="4" t="s">
        <v>3991</v>
      </c>
      <c r="H866" s="22" t="str">
        <f>VLOOKUP($G866,'Item Classification'!B:C,2,0)</f>
        <v>Small Arms and Light Weapons (SALW)</v>
      </c>
      <c r="I866" s="6" t="str">
        <f>VLOOKUP($G866,'Item Classification'!B:D,3,0)</f>
        <v>Infantry</v>
      </c>
      <c r="J866" s="23">
        <f>VLOOKUP($G866,'Item Classification'!B:E,4,0)</f>
        <v>8</v>
      </c>
      <c r="K866" s="195" t="s">
        <v>763</v>
      </c>
      <c r="L866" s="195" t="s">
        <v>764</v>
      </c>
      <c r="M866" s="116" t="str">
        <f>VLOOKUP(L866,'NATO Classifications'!$D$6:$E$647,2,0)</f>
        <v>Guns below 75mm</v>
      </c>
      <c r="N866" s="4">
        <v>8000</v>
      </c>
      <c r="O866" s="81"/>
      <c r="P866" s="81"/>
      <c r="Q866" s="4"/>
      <c r="R866" s="4"/>
      <c r="S866" s="4"/>
      <c r="T866" s="115" t="s">
        <v>132</v>
      </c>
      <c r="U866" s="104">
        <f>_xlfn.IFNA(S866/INDEX('Exchange Rates'!$C$7:$F$14,MATCH('MAIN DATA, Orders'!F866,'Exchange Rates'!$B$7:$B$14,0),MATCH('MAIN DATA, Orders'!T866,'Exchange Rates'!$C$6:$F$6,0)), "-")</f>
        <v>0</v>
      </c>
      <c r="V866" s="4" t="s">
        <v>127</v>
      </c>
      <c r="W866" s="4" t="s">
        <v>127</v>
      </c>
      <c r="X866" s="4" t="s">
        <v>151</v>
      </c>
      <c r="Y866" s="115" t="s">
        <v>127</v>
      </c>
      <c r="Z866" s="115">
        <v>1</v>
      </c>
      <c r="AA866" s="115">
        <v>0</v>
      </c>
      <c r="AB866" s="115">
        <v>0</v>
      </c>
      <c r="AC866" s="115">
        <v>1</v>
      </c>
      <c r="AD866" s="115">
        <v>1</v>
      </c>
      <c r="AE866" s="115">
        <v>0</v>
      </c>
      <c r="AF866" s="115">
        <v>1</v>
      </c>
      <c r="AG866" s="4" t="s">
        <v>3992</v>
      </c>
      <c r="AH866" s="4" t="s">
        <v>128</v>
      </c>
      <c r="AI866" s="4" t="s">
        <v>127</v>
      </c>
      <c r="AJ866" s="4" t="s">
        <v>3993</v>
      </c>
      <c r="AK866" s="4" t="s">
        <v>127</v>
      </c>
      <c r="AL866" s="4" t="s">
        <v>127</v>
      </c>
      <c r="AM866" s="4" t="s">
        <v>127</v>
      </c>
      <c r="AN866" s="4" t="s">
        <v>127</v>
      </c>
      <c r="AO866" s="4" t="s">
        <v>127</v>
      </c>
      <c r="AP866" s="4" t="s">
        <v>127</v>
      </c>
      <c r="AQ866" s="4" t="s">
        <v>127</v>
      </c>
      <c r="AR866" s="4" t="s">
        <v>127</v>
      </c>
      <c r="AS866" s="4" t="s">
        <v>127</v>
      </c>
      <c r="AT866" s="4" t="s">
        <v>127</v>
      </c>
      <c r="AU866" s="4" t="s">
        <v>127</v>
      </c>
      <c r="AV866" s="4" t="s">
        <v>127</v>
      </c>
      <c r="AW866" s="4" t="s">
        <v>127</v>
      </c>
      <c r="AX866" s="4" t="s">
        <v>127</v>
      </c>
      <c r="AY866" s="96" t="s">
        <v>4180</v>
      </c>
      <c r="AZ866" s="96" t="s">
        <v>4188</v>
      </c>
      <c r="BA866" s="4" t="s">
        <v>127</v>
      </c>
      <c r="BB866" s="4" t="s">
        <v>127</v>
      </c>
      <c r="BC866" s="4" t="s">
        <v>127</v>
      </c>
      <c r="BD866" s="4" t="s">
        <v>127</v>
      </c>
      <c r="BE866" s="4" t="s">
        <v>127</v>
      </c>
    </row>
    <row r="867" spans="1:57" ht="16" x14ac:dyDescent="0.4">
      <c r="A867" s="4" t="s">
        <v>4189</v>
      </c>
      <c r="B867" s="4" t="s">
        <v>4189</v>
      </c>
      <c r="C867" s="4" t="s">
        <v>127</v>
      </c>
      <c r="D867" s="4" t="s">
        <v>151</v>
      </c>
      <c r="E867" s="189"/>
      <c r="F867" s="4">
        <v>2025</v>
      </c>
      <c r="G867" s="4" t="s">
        <v>4190</v>
      </c>
      <c r="H867" s="22" t="str">
        <f>VLOOKUP($G867,'Item Classification'!B:C,2,0)</f>
        <v>Aircraft infrastructure</v>
      </c>
      <c r="I867" s="6" t="str">
        <f>VLOOKUP($G867,'Item Classification'!B:D,3,0)</f>
        <v>Development - Aircraft</v>
      </c>
      <c r="J867" s="23">
        <f>VLOOKUP($G867,'Item Classification'!B:E,4,0)</f>
        <v>15</v>
      </c>
      <c r="K867" s="195" t="s">
        <v>386</v>
      </c>
      <c r="L867" s="195" t="s">
        <v>387</v>
      </c>
      <c r="M867" s="116" t="str">
        <f>VLOOKUP(L867,'NATO Classifications'!$D$6:$E$647,2,0)</f>
        <v>Prefabricated and Portable Buildings</v>
      </c>
      <c r="N867" s="4">
        <v>1</v>
      </c>
      <c r="O867" s="81"/>
      <c r="P867" s="81"/>
      <c r="Q867" s="4"/>
      <c r="R867" s="4"/>
      <c r="S867" s="4"/>
      <c r="T867" s="115" t="s">
        <v>132</v>
      </c>
      <c r="U867" s="104">
        <f>_xlfn.IFNA(S867/INDEX('Exchange Rates'!$C$7:$F$14,MATCH('MAIN DATA, Orders'!F867,'Exchange Rates'!$B$7:$B$14,0),MATCH('MAIN DATA, Orders'!T867,'Exchange Rates'!$C$6:$F$6,0)), "-")</f>
        <v>0</v>
      </c>
      <c r="V867" s="4" t="s">
        <v>127</v>
      </c>
      <c r="W867" s="4" t="s">
        <v>127</v>
      </c>
      <c r="X867" s="4" t="s">
        <v>151</v>
      </c>
      <c r="Y867" s="115" t="s">
        <v>127</v>
      </c>
      <c r="Z867" s="115" t="s">
        <v>127</v>
      </c>
      <c r="AA867" s="115" t="s">
        <v>127</v>
      </c>
      <c r="AB867" s="115" t="s">
        <v>127</v>
      </c>
      <c r="AC867" s="115" t="s">
        <v>127</v>
      </c>
      <c r="AD867" s="115" t="s">
        <v>127</v>
      </c>
      <c r="AE867" s="115" t="s">
        <v>127</v>
      </c>
      <c r="AF867" s="115" t="s">
        <v>127</v>
      </c>
      <c r="AG867" s="4" t="s">
        <v>127</v>
      </c>
      <c r="AH867" s="4" t="s">
        <v>127</v>
      </c>
      <c r="AI867" s="4" t="s">
        <v>127</v>
      </c>
      <c r="AJ867" s="4" t="s">
        <v>127</v>
      </c>
      <c r="AK867" s="4" t="s">
        <v>127</v>
      </c>
      <c r="AL867" s="4" t="s">
        <v>127</v>
      </c>
      <c r="AM867" s="4" t="s">
        <v>127</v>
      </c>
      <c r="AN867" s="4" t="s">
        <v>127</v>
      </c>
      <c r="AO867" s="4" t="s">
        <v>127</v>
      </c>
      <c r="AP867" s="4" t="s">
        <v>127</v>
      </c>
      <c r="AQ867" s="4" t="s">
        <v>127</v>
      </c>
      <c r="AR867" s="4" t="s">
        <v>127</v>
      </c>
      <c r="AS867" s="4" t="s">
        <v>127</v>
      </c>
      <c r="AT867" s="4" t="s">
        <v>127</v>
      </c>
      <c r="AU867" s="4" t="s">
        <v>127</v>
      </c>
      <c r="AV867" s="4" t="s">
        <v>127</v>
      </c>
      <c r="AW867" s="4" t="s">
        <v>127</v>
      </c>
      <c r="AX867" s="4" t="s">
        <v>127</v>
      </c>
      <c r="AY867" s="96" t="s">
        <v>4180</v>
      </c>
      <c r="AZ867" s="4" t="s">
        <v>127</v>
      </c>
      <c r="BA867" s="4" t="s">
        <v>127</v>
      </c>
      <c r="BB867" s="4" t="s">
        <v>127</v>
      </c>
      <c r="BC867" s="4" t="s">
        <v>127</v>
      </c>
      <c r="BD867" s="4" t="s">
        <v>127</v>
      </c>
      <c r="BE867" s="4" t="s">
        <v>127</v>
      </c>
    </row>
    <row r="868" spans="1:57" ht="16" x14ac:dyDescent="0.4">
      <c r="A868" s="4" t="s">
        <v>4191</v>
      </c>
      <c r="B868" s="4" t="s">
        <v>4191</v>
      </c>
      <c r="C868" s="4" t="s">
        <v>127</v>
      </c>
      <c r="D868" s="4" t="s">
        <v>151</v>
      </c>
      <c r="E868" s="189"/>
      <c r="F868" s="4">
        <v>2025</v>
      </c>
      <c r="G868" s="4" t="s">
        <v>4192</v>
      </c>
      <c r="H868" s="22" t="str">
        <f>VLOOKUP($G868,'Item Classification'!B:C,2,0)</f>
        <v>Aircraft ammunition</v>
      </c>
      <c r="I868" s="6" t="str">
        <f>VLOOKUP($G868,'Item Classification'!B:D,3,0)</f>
        <v>Ammunition</v>
      </c>
      <c r="J868" s="23">
        <f>VLOOKUP($G868,'Item Classification'!B:E,4,0)</f>
        <v>4</v>
      </c>
      <c r="K868" s="195" t="s">
        <v>189</v>
      </c>
      <c r="L868" s="195" t="s">
        <v>740</v>
      </c>
      <c r="M868" s="116" t="str">
        <f>VLOOKUP(L868,'NATO Classifications'!$D$6:$E$647,2,0)</f>
        <v>Ammunition below 75mm</v>
      </c>
      <c r="N868" s="4"/>
      <c r="O868" s="81"/>
      <c r="P868" s="81"/>
      <c r="Q868" s="4"/>
      <c r="R868" s="4"/>
      <c r="S868" s="4"/>
      <c r="T868" s="115" t="s">
        <v>132</v>
      </c>
      <c r="U868" s="104">
        <f>_xlfn.IFNA(S868/INDEX('Exchange Rates'!$C$7:$F$14,MATCH('MAIN DATA, Orders'!F868,'Exchange Rates'!$B$7:$B$14,0),MATCH('MAIN DATA, Orders'!T868,'Exchange Rates'!$C$6:$F$6,0)), "-")</f>
        <v>0</v>
      </c>
      <c r="V868" s="4" t="s">
        <v>127</v>
      </c>
      <c r="W868" s="4" t="s">
        <v>127</v>
      </c>
      <c r="X868" s="4" t="s">
        <v>151</v>
      </c>
      <c r="Y868" s="115" t="s">
        <v>127</v>
      </c>
      <c r="Z868" s="115" t="s">
        <v>127</v>
      </c>
      <c r="AA868" s="115" t="s">
        <v>127</v>
      </c>
      <c r="AB868" s="115" t="s">
        <v>127</v>
      </c>
      <c r="AC868" s="115" t="s">
        <v>127</v>
      </c>
      <c r="AD868" s="115" t="s">
        <v>127</v>
      </c>
      <c r="AE868" s="115" t="s">
        <v>127</v>
      </c>
      <c r="AF868" s="115" t="s">
        <v>127</v>
      </c>
      <c r="AG868" s="4" t="s">
        <v>127</v>
      </c>
      <c r="AH868" s="4" t="s">
        <v>127</v>
      </c>
      <c r="AI868" s="4" t="s">
        <v>127</v>
      </c>
      <c r="AJ868" s="4" t="s">
        <v>127</v>
      </c>
      <c r="AK868" s="4" t="s">
        <v>127</v>
      </c>
      <c r="AL868" s="4" t="s">
        <v>127</v>
      </c>
      <c r="AM868" s="4" t="s">
        <v>127</v>
      </c>
      <c r="AN868" s="4" t="s">
        <v>127</v>
      </c>
      <c r="AO868" s="4" t="s">
        <v>127</v>
      </c>
      <c r="AP868" s="4" t="s">
        <v>127</v>
      </c>
      <c r="AQ868" s="4" t="s">
        <v>127</v>
      </c>
      <c r="AR868" s="4" t="s">
        <v>127</v>
      </c>
      <c r="AS868" s="4" t="s">
        <v>127</v>
      </c>
      <c r="AT868" s="4" t="s">
        <v>127</v>
      </c>
      <c r="AU868" s="4" t="s">
        <v>127</v>
      </c>
      <c r="AV868" s="4" t="s">
        <v>127</v>
      </c>
      <c r="AW868" s="4" t="s">
        <v>127</v>
      </c>
      <c r="AX868" s="4" t="s">
        <v>127</v>
      </c>
      <c r="AY868" s="96" t="s">
        <v>4180</v>
      </c>
      <c r="AZ868" s="4" t="s">
        <v>127</v>
      </c>
      <c r="BA868" s="4" t="s">
        <v>127</v>
      </c>
      <c r="BB868" s="4" t="s">
        <v>127</v>
      </c>
      <c r="BC868" s="4" t="s">
        <v>127</v>
      </c>
      <c r="BD868" s="4" t="s">
        <v>127</v>
      </c>
      <c r="BE868" s="4" t="s">
        <v>127</v>
      </c>
    </row>
    <row r="869" spans="1:57" ht="16" x14ac:dyDescent="0.4">
      <c r="A869" s="4" t="s">
        <v>4193</v>
      </c>
      <c r="B869" s="4" t="s">
        <v>4193</v>
      </c>
      <c r="C869" s="4" t="s">
        <v>127</v>
      </c>
      <c r="D869" s="4" t="s">
        <v>151</v>
      </c>
      <c r="E869" s="189"/>
      <c r="F869" s="4">
        <v>2025</v>
      </c>
      <c r="G869" s="4" t="s">
        <v>4194</v>
      </c>
      <c r="H869" s="22" t="str">
        <f>VLOOKUP($G869,'Item Classification'!B:C,2,0)</f>
        <v>Missile various</v>
      </c>
      <c r="I869" s="6" t="str">
        <f>VLOOKUP($G869,'Item Classification'!B:D,3,0)</f>
        <v>Missile (Land)</v>
      </c>
      <c r="J869" s="23">
        <f>VLOOKUP($G869,'Item Classification'!B:E,4,0)</f>
        <v>6</v>
      </c>
      <c r="K869" s="195" t="s">
        <v>211</v>
      </c>
      <c r="L869" s="195" t="s">
        <v>211</v>
      </c>
      <c r="M869" s="116" t="str">
        <f>VLOOKUP(L869,'NATO Classifications'!$D$6:$E$647,2,0)</f>
        <v>Guided Missiles</v>
      </c>
      <c r="N869" s="4"/>
      <c r="O869" s="81"/>
      <c r="P869" s="81"/>
      <c r="Q869" s="4"/>
      <c r="R869" s="4"/>
      <c r="S869" s="4"/>
      <c r="T869" s="115" t="s">
        <v>132</v>
      </c>
      <c r="U869" s="104">
        <f>_xlfn.IFNA(S869/INDEX('Exchange Rates'!$C$7:$F$14,MATCH('MAIN DATA, Orders'!F869,'Exchange Rates'!$B$7:$B$14,0),MATCH('MAIN DATA, Orders'!T869,'Exchange Rates'!$C$6:$F$6,0)), "-")</f>
        <v>0</v>
      </c>
      <c r="V869" s="4" t="s">
        <v>127</v>
      </c>
      <c r="W869" s="4" t="s">
        <v>127</v>
      </c>
      <c r="X869" s="4" t="s">
        <v>151</v>
      </c>
      <c r="Y869" s="115" t="s">
        <v>127</v>
      </c>
      <c r="Z869" s="115" t="s">
        <v>127</v>
      </c>
      <c r="AA869" s="115" t="s">
        <v>127</v>
      </c>
      <c r="AB869" s="115" t="s">
        <v>127</v>
      </c>
      <c r="AC869" s="115" t="s">
        <v>127</v>
      </c>
      <c r="AD869" s="115" t="s">
        <v>127</v>
      </c>
      <c r="AE869" s="115" t="s">
        <v>127</v>
      </c>
      <c r="AF869" s="115" t="s">
        <v>127</v>
      </c>
      <c r="AG869" s="4" t="s">
        <v>127</v>
      </c>
      <c r="AH869" s="4" t="s">
        <v>127</v>
      </c>
      <c r="AI869" s="4" t="s">
        <v>127</v>
      </c>
      <c r="AJ869" s="4" t="s">
        <v>127</v>
      </c>
      <c r="AK869" s="4" t="s">
        <v>127</v>
      </c>
      <c r="AL869" s="4" t="s">
        <v>127</v>
      </c>
      <c r="AM869" s="4" t="s">
        <v>127</v>
      </c>
      <c r="AN869" s="4" t="s">
        <v>127</v>
      </c>
      <c r="AO869" s="4" t="s">
        <v>127</v>
      </c>
      <c r="AP869" s="4" t="s">
        <v>127</v>
      </c>
      <c r="AQ869" s="4" t="s">
        <v>127</v>
      </c>
      <c r="AR869" s="4" t="s">
        <v>127</v>
      </c>
      <c r="AS869" s="4" t="s">
        <v>127</v>
      </c>
      <c r="AT869" s="4" t="s">
        <v>127</v>
      </c>
      <c r="AU869" s="4" t="s">
        <v>127</v>
      </c>
      <c r="AV869" s="4" t="s">
        <v>127</v>
      </c>
      <c r="AW869" s="4" t="s">
        <v>127</v>
      </c>
      <c r="AX869" s="4" t="s">
        <v>127</v>
      </c>
      <c r="AY869" s="96" t="s">
        <v>4180</v>
      </c>
      <c r="AZ869" s="4" t="s">
        <v>127</v>
      </c>
      <c r="BA869" s="4" t="s">
        <v>127</v>
      </c>
      <c r="BB869" s="4" t="s">
        <v>127</v>
      </c>
      <c r="BC869" s="4" t="s">
        <v>127</v>
      </c>
      <c r="BD869" s="4" t="s">
        <v>127</v>
      </c>
      <c r="BE869" s="4" t="s">
        <v>127</v>
      </c>
    </row>
    <row r="870" spans="1:57" ht="15.5" x14ac:dyDescent="0.35">
      <c r="B870" s="4"/>
      <c r="C870" s="4"/>
      <c r="D870" s="4"/>
      <c r="E870" s="189"/>
      <c r="F870" s="4"/>
      <c r="G870" s="4"/>
      <c r="H870" s="22"/>
      <c r="J870" s="23"/>
      <c r="K870" s="196"/>
      <c r="L870" s="196"/>
      <c r="M870" s="116"/>
      <c r="T870" s="24"/>
    </row>
    <row r="871" spans="1:57" ht="15.5" x14ac:dyDescent="0.35">
      <c r="B871" s="4"/>
      <c r="C871" s="4"/>
      <c r="D871" s="4"/>
      <c r="E871" s="189"/>
      <c r="F871" s="4"/>
      <c r="G871" s="4"/>
      <c r="M871" s="116"/>
      <c r="T871" s="24"/>
    </row>
    <row r="872" spans="1:57" ht="15.5" x14ac:dyDescent="0.35">
      <c r="A872" s="4"/>
      <c r="D872" s="22"/>
      <c r="F872" s="23"/>
      <c r="M872" s="116"/>
      <c r="T872" s="24"/>
    </row>
    <row r="873" spans="1:57" ht="15.5" x14ac:dyDescent="0.35">
      <c r="A873" s="4"/>
      <c r="D873" s="22"/>
      <c r="F873" s="23"/>
      <c r="M873" s="116"/>
    </row>
    <row r="874" spans="1:57" ht="15.5" x14ac:dyDescent="0.35">
      <c r="D874" s="22"/>
      <c r="F874" s="23"/>
      <c r="M874" s="116"/>
    </row>
    <row r="875" spans="1:57" ht="15.5" x14ac:dyDescent="0.35">
      <c r="D875" s="22"/>
      <c r="F875" s="23"/>
      <c r="J875" s="110"/>
      <c r="K875" s="197"/>
      <c r="L875" s="197"/>
      <c r="M875" s="116"/>
      <c r="N875" s="24"/>
      <c r="O875" s="110"/>
    </row>
    <row r="876" spans="1:57" ht="15.5" x14ac:dyDescent="0.35">
      <c r="D876" s="22"/>
      <c r="F876" s="23"/>
      <c r="G876" s="81"/>
      <c r="M876" s="116"/>
    </row>
    <row r="877" spans="1:57" ht="15.5" x14ac:dyDescent="0.35">
      <c r="D877" s="22"/>
      <c r="F877" s="23"/>
      <c r="M877" s="116"/>
    </row>
    <row r="878" spans="1:57" ht="15.5" x14ac:dyDescent="0.35">
      <c r="D878" s="22"/>
      <c r="F878" s="23"/>
      <c r="M878" s="116"/>
    </row>
    <row r="879" spans="1:57" ht="15.75" customHeight="1" x14ac:dyDescent="0.35">
      <c r="D879" s="22"/>
      <c r="F879" s="23"/>
      <c r="M879" s="116"/>
    </row>
    <row r="880" spans="1:57" ht="15.75" customHeight="1" x14ac:dyDescent="0.35">
      <c r="M880" s="116"/>
    </row>
    <row r="881" spans="1:13" ht="15.75" customHeight="1" x14ac:dyDescent="0.35">
      <c r="M881" s="116"/>
    </row>
    <row r="882" spans="1:13" ht="15.75" customHeight="1" x14ac:dyDescent="0.35">
      <c r="M882" s="116"/>
    </row>
    <row r="883" spans="1:13" ht="15.75" customHeight="1" x14ac:dyDescent="0.35">
      <c r="M883" s="116"/>
    </row>
    <row r="884" spans="1:13" ht="15.75" customHeight="1" x14ac:dyDescent="0.35">
      <c r="M884" s="116"/>
    </row>
    <row r="885" spans="1:13" ht="15.75" customHeight="1" x14ac:dyDescent="0.35">
      <c r="M885" s="116"/>
    </row>
    <row r="886" spans="1:13" ht="15.75" customHeight="1" x14ac:dyDescent="0.35">
      <c r="A886" s="4"/>
      <c r="M886" s="116"/>
    </row>
    <row r="887" spans="1:13" ht="15.75" customHeight="1" x14ac:dyDescent="0.35">
      <c r="A887" s="4"/>
      <c r="M887" s="116"/>
    </row>
    <row r="888" spans="1:13" ht="15.75" customHeight="1" x14ac:dyDescent="0.35">
      <c r="A888" s="4"/>
      <c r="M888" s="116"/>
    </row>
    <row r="889" spans="1:13" ht="15.75" customHeight="1" x14ac:dyDescent="0.35">
      <c r="A889" s="4"/>
      <c r="M889" s="116"/>
    </row>
    <row r="890" spans="1:13" ht="15.75" customHeight="1" x14ac:dyDescent="0.35">
      <c r="A890" s="4"/>
      <c r="M890" s="116"/>
    </row>
    <row r="891" spans="1:13" ht="15.75" customHeight="1" x14ac:dyDescent="0.35">
      <c r="A891" s="4"/>
      <c r="M891" s="116"/>
    </row>
    <row r="892" spans="1:13" ht="15.75" customHeight="1" x14ac:dyDescent="0.35">
      <c r="A892" s="4"/>
      <c r="M892" s="116"/>
    </row>
    <row r="893" spans="1:13" ht="15.75" customHeight="1" x14ac:dyDescent="0.35">
      <c r="A893" s="4"/>
      <c r="M893" s="116"/>
    </row>
    <row r="894" spans="1:13" ht="15.75" customHeight="1" x14ac:dyDescent="0.35">
      <c r="A894" s="4"/>
      <c r="M894" s="116"/>
    </row>
    <row r="895" spans="1:13" ht="15.75" customHeight="1" x14ac:dyDescent="0.35">
      <c r="A895" s="4"/>
      <c r="M895" s="116"/>
    </row>
    <row r="896" spans="1:13" ht="15.75" customHeight="1" x14ac:dyDescent="0.35">
      <c r="A896" s="4"/>
      <c r="M896" s="116"/>
    </row>
    <row r="897" spans="1:13" ht="15.75" customHeight="1" x14ac:dyDescent="0.35">
      <c r="A897" s="4"/>
      <c r="M897" s="116"/>
    </row>
    <row r="898" spans="1:13" ht="15.75" customHeight="1" x14ac:dyDescent="0.35">
      <c r="A898" s="4"/>
      <c r="M898" s="116"/>
    </row>
    <row r="899" spans="1:13" ht="15.75" customHeight="1" x14ac:dyDescent="0.35">
      <c r="A899" s="4"/>
      <c r="M899" s="116"/>
    </row>
    <row r="900" spans="1:13" ht="15.75" customHeight="1" x14ac:dyDescent="0.35">
      <c r="A900" s="4"/>
      <c r="M900" s="116"/>
    </row>
    <row r="901" spans="1:13" ht="15.75" customHeight="1" x14ac:dyDescent="0.35">
      <c r="A901" s="4"/>
      <c r="M901" s="116"/>
    </row>
    <row r="902" spans="1:13" ht="15.75" customHeight="1" x14ac:dyDescent="0.35">
      <c r="A902" s="4"/>
      <c r="M902" s="116"/>
    </row>
    <row r="903" spans="1:13" ht="15.75" customHeight="1" x14ac:dyDescent="0.35">
      <c r="A903" s="4"/>
      <c r="M903" s="116"/>
    </row>
    <row r="904" spans="1:13" ht="15.75" customHeight="1" x14ac:dyDescent="0.35">
      <c r="A904" s="4"/>
      <c r="M904" s="116"/>
    </row>
    <row r="905" spans="1:13" ht="15.75" customHeight="1" x14ac:dyDescent="0.35">
      <c r="A905" s="4"/>
      <c r="M905" s="116"/>
    </row>
    <row r="906" spans="1:13" ht="15.75" customHeight="1" x14ac:dyDescent="0.35">
      <c r="A906" s="4"/>
      <c r="M906" s="116"/>
    </row>
    <row r="907" spans="1:13" ht="15.75" customHeight="1" x14ac:dyDescent="0.35">
      <c r="A907" s="4"/>
      <c r="M907" s="116"/>
    </row>
    <row r="908" spans="1:13" ht="15.75" customHeight="1" x14ac:dyDescent="0.35">
      <c r="A908" s="4"/>
      <c r="M908" s="116"/>
    </row>
    <row r="909" spans="1:13" ht="15.75" customHeight="1" x14ac:dyDescent="0.35">
      <c r="A909" s="4"/>
      <c r="M909" s="116"/>
    </row>
    <row r="910" spans="1:13" ht="15.75" customHeight="1" x14ac:dyDescent="0.35">
      <c r="A910" s="4"/>
      <c r="M910" s="116"/>
    </row>
    <row r="911" spans="1:13" ht="15.75" customHeight="1" x14ac:dyDescent="0.35">
      <c r="A911" s="4"/>
      <c r="M911" s="116"/>
    </row>
    <row r="912" spans="1:13" ht="15.75" customHeight="1" x14ac:dyDescent="0.35">
      <c r="A912" s="4"/>
      <c r="M912" s="116"/>
    </row>
    <row r="913" spans="1:13" ht="15.75" customHeight="1" x14ac:dyDescent="0.35">
      <c r="A913" s="4"/>
      <c r="M913" s="116"/>
    </row>
    <row r="914" spans="1:13" ht="15.75" customHeight="1" x14ac:dyDescent="0.35">
      <c r="A914" s="4"/>
      <c r="M914" s="116"/>
    </row>
    <row r="915" spans="1:13" ht="15.75" customHeight="1" x14ac:dyDescent="0.35">
      <c r="A915" s="4"/>
      <c r="M915" s="116"/>
    </row>
    <row r="916" spans="1:13" ht="15.75" customHeight="1" x14ac:dyDescent="0.35">
      <c r="A916" s="4"/>
      <c r="M916" s="116"/>
    </row>
    <row r="917" spans="1:13" ht="15.75" customHeight="1" x14ac:dyDescent="0.35">
      <c r="A917" s="4"/>
      <c r="M917" s="116"/>
    </row>
    <row r="918" spans="1:13" ht="15.75" customHeight="1" x14ac:dyDescent="0.35">
      <c r="A918" s="4"/>
      <c r="M918" s="116"/>
    </row>
    <row r="919" spans="1:13" ht="15.75" customHeight="1" x14ac:dyDescent="0.35">
      <c r="A919" s="4"/>
      <c r="M919" s="116"/>
    </row>
    <row r="920" spans="1:13" ht="15.75" customHeight="1" x14ac:dyDescent="0.35">
      <c r="A920" s="4"/>
      <c r="M920" s="116"/>
    </row>
    <row r="921" spans="1:13" ht="15.75" customHeight="1" x14ac:dyDescent="0.35">
      <c r="A921" s="4"/>
      <c r="M921" s="116"/>
    </row>
    <row r="922" spans="1:13" ht="15.75" customHeight="1" x14ac:dyDescent="0.35">
      <c r="A922" s="4"/>
      <c r="M922" s="116"/>
    </row>
    <row r="923" spans="1:13" ht="15.75" customHeight="1" x14ac:dyDescent="0.35">
      <c r="A923" s="4"/>
      <c r="M923" s="116"/>
    </row>
    <row r="924" spans="1:13" ht="15.75" customHeight="1" x14ac:dyDescent="0.35">
      <c r="A924" s="4"/>
      <c r="M924" s="116"/>
    </row>
    <row r="925" spans="1:13" ht="15.75" customHeight="1" x14ac:dyDescent="0.35">
      <c r="A925" s="4"/>
      <c r="M925" s="116"/>
    </row>
    <row r="926" spans="1:13" ht="15.75" customHeight="1" x14ac:dyDescent="0.35">
      <c r="A926" s="4"/>
      <c r="M926" s="116"/>
    </row>
    <row r="927" spans="1:13" ht="15.75" customHeight="1" x14ac:dyDescent="0.35">
      <c r="A927" s="4"/>
      <c r="M927" s="116"/>
    </row>
    <row r="928" spans="1:13" ht="15.75" customHeight="1" x14ac:dyDescent="0.35">
      <c r="A928" s="4"/>
      <c r="M928" s="116"/>
    </row>
    <row r="929" spans="1:13" ht="15.75" customHeight="1" x14ac:dyDescent="0.35">
      <c r="A929" s="4"/>
      <c r="M929" s="116"/>
    </row>
    <row r="930" spans="1:13" ht="15.75" customHeight="1" x14ac:dyDescent="0.35">
      <c r="A930" s="4"/>
      <c r="M930" s="116"/>
    </row>
    <row r="931" spans="1:13" ht="15.75" customHeight="1" x14ac:dyDescent="0.35">
      <c r="A931" s="4"/>
      <c r="M931" s="116"/>
    </row>
    <row r="932" spans="1:13" ht="15.75" customHeight="1" x14ac:dyDescent="0.35">
      <c r="A932" s="4"/>
      <c r="M932" s="116"/>
    </row>
    <row r="933" spans="1:13" ht="15.75" customHeight="1" x14ac:dyDescent="0.35">
      <c r="A933" s="4"/>
      <c r="M933" s="116"/>
    </row>
    <row r="934" spans="1:13" ht="15.75" customHeight="1" x14ac:dyDescent="0.35">
      <c r="A934" s="4"/>
      <c r="M934" s="116"/>
    </row>
    <row r="935" spans="1:13" ht="15.75" customHeight="1" x14ac:dyDescent="0.35">
      <c r="A935" s="4"/>
      <c r="M935" s="116"/>
    </row>
    <row r="936" spans="1:13" ht="15.75" customHeight="1" x14ac:dyDescent="0.35">
      <c r="A936" s="4"/>
      <c r="M936" s="116"/>
    </row>
    <row r="937" spans="1:13" ht="15.75" customHeight="1" x14ac:dyDescent="0.35">
      <c r="A937" s="4"/>
      <c r="M937" s="116"/>
    </row>
    <row r="938" spans="1:13" ht="15.75" customHeight="1" x14ac:dyDescent="0.35">
      <c r="A938" s="4"/>
      <c r="M938" s="116"/>
    </row>
    <row r="939" spans="1:13" ht="15.75" customHeight="1" x14ac:dyDescent="0.35">
      <c r="A939" s="4"/>
      <c r="M939" s="116"/>
    </row>
    <row r="940" spans="1:13" ht="15.75" customHeight="1" x14ac:dyDescent="0.35">
      <c r="A940" s="4"/>
      <c r="M940" s="116"/>
    </row>
    <row r="941" spans="1:13" ht="15.75" customHeight="1" x14ac:dyDescent="0.35">
      <c r="A941" s="4"/>
      <c r="M941" s="116"/>
    </row>
    <row r="942" spans="1:13" ht="15.75" customHeight="1" x14ac:dyDescent="0.35">
      <c r="A942" s="4"/>
      <c r="M942" s="116"/>
    </row>
    <row r="943" spans="1:13" ht="15.75" customHeight="1" x14ac:dyDescent="0.35">
      <c r="A943" s="4"/>
      <c r="M943" s="116"/>
    </row>
    <row r="944" spans="1:13" ht="15.75" customHeight="1" x14ac:dyDescent="0.35">
      <c r="A944" s="4"/>
      <c r="M944" s="116"/>
    </row>
    <row r="945" spans="1:13" ht="15.75" customHeight="1" x14ac:dyDescent="0.35">
      <c r="A945" s="4"/>
      <c r="M945" s="116"/>
    </row>
    <row r="946" spans="1:13" ht="15.75" customHeight="1" x14ac:dyDescent="0.35">
      <c r="A946" s="4"/>
      <c r="M946" s="116"/>
    </row>
    <row r="947" spans="1:13" ht="15.75" customHeight="1" x14ac:dyDescent="0.35">
      <c r="A947" s="4"/>
      <c r="M947" s="116"/>
    </row>
    <row r="948" spans="1:13" ht="15.75" customHeight="1" x14ac:dyDescent="0.35">
      <c r="A948" s="4"/>
      <c r="M948" s="116"/>
    </row>
    <row r="949" spans="1:13" ht="15.75" customHeight="1" x14ac:dyDescent="0.35">
      <c r="A949" s="4"/>
      <c r="M949" s="116"/>
    </row>
    <row r="950" spans="1:13" ht="15.75" customHeight="1" x14ac:dyDescent="0.35">
      <c r="A950" s="4"/>
      <c r="M950" s="116"/>
    </row>
    <row r="951" spans="1:13" ht="15.75" customHeight="1" x14ac:dyDescent="0.35">
      <c r="A951" s="4"/>
      <c r="M951" s="116"/>
    </row>
    <row r="952" spans="1:13" ht="15.75" customHeight="1" x14ac:dyDescent="0.35">
      <c r="A952" s="4"/>
      <c r="M952" s="116"/>
    </row>
    <row r="953" spans="1:13" ht="15.75" customHeight="1" x14ac:dyDescent="0.35">
      <c r="A953" s="4"/>
      <c r="M953" s="116"/>
    </row>
    <row r="954" spans="1:13" ht="15.75" customHeight="1" x14ac:dyDescent="0.35">
      <c r="A954" s="4"/>
      <c r="M954" s="116"/>
    </row>
    <row r="955" spans="1:13" ht="15.75" customHeight="1" x14ac:dyDescent="0.35">
      <c r="A955" s="4"/>
      <c r="M955" s="116"/>
    </row>
    <row r="956" spans="1:13" ht="15.75" customHeight="1" x14ac:dyDescent="0.35">
      <c r="A956" s="4"/>
      <c r="M956" s="116"/>
    </row>
    <row r="957" spans="1:13" ht="15.75" customHeight="1" x14ac:dyDescent="0.35">
      <c r="A957" s="4"/>
      <c r="M957" s="116"/>
    </row>
    <row r="958" spans="1:13" ht="15.75" customHeight="1" x14ac:dyDescent="0.35">
      <c r="A958" s="4"/>
      <c r="M958" s="116"/>
    </row>
    <row r="959" spans="1:13" ht="15.75" customHeight="1" x14ac:dyDescent="0.35">
      <c r="A959" s="4"/>
      <c r="M959" s="116"/>
    </row>
    <row r="960" spans="1:13" ht="15.75" customHeight="1" x14ac:dyDescent="0.35">
      <c r="A960" s="4"/>
      <c r="M960" s="116"/>
    </row>
    <row r="961" spans="1:13" ht="15.75" customHeight="1" x14ac:dyDescent="0.35">
      <c r="A961" s="4"/>
      <c r="M961" s="116"/>
    </row>
    <row r="962" spans="1:13" ht="15.75" customHeight="1" x14ac:dyDescent="0.35">
      <c r="A962" s="4"/>
      <c r="M962" s="116"/>
    </row>
    <row r="963" spans="1:13" ht="15.75" customHeight="1" x14ac:dyDescent="0.35">
      <c r="A963" s="4"/>
      <c r="M963" s="116"/>
    </row>
    <row r="964" spans="1:13" ht="15.75" customHeight="1" x14ac:dyDescent="0.35">
      <c r="A964" s="4"/>
      <c r="M964" s="116"/>
    </row>
    <row r="965" spans="1:13" ht="15.75" customHeight="1" x14ac:dyDescent="0.35">
      <c r="A965" s="4"/>
      <c r="M965" s="116"/>
    </row>
    <row r="966" spans="1:13" ht="15.75" customHeight="1" x14ac:dyDescent="0.35">
      <c r="A966" s="4"/>
      <c r="M966" s="116"/>
    </row>
    <row r="967" spans="1:13" ht="15.75" customHeight="1" x14ac:dyDescent="0.35">
      <c r="A967" s="4"/>
      <c r="M967" s="116"/>
    </row>
    <row r="968" spans="1:13" ht="15.75" customHeight="1" x14ac:dyDescent="0.35">
      <c r="A968" s="4"/>
      <c r="M968" s="116"/>
    </row>
    <row r="969" spans="1:13" ht="15.75" customHeight="1" x14ac:dyDescent="0.35">
      <c r="A969" s="4"/>
      <c r="M969" s="116"/>
    </row>
    <row r="970" spans="1:13" ht="15.75" customHeight="1" x14ac:dyDescent="0.35">
      <c r="A970" s="4"/>
      <c r="M970" s="116"/>
    </row>
    <row r="971" spans="1:13" ht="15.75" customHeight="1" x14ac:dyDescent="0.35">
      <c r="A971" s="4"/>
      <c r="M971" s="116"/>
    </row>
    <row r="972" spans="1:13" ht="15.75" customHeight="1" x14ac:dyDescent="0.35">
      <c r="A972" s="4"/>
      <c r="M972" s="116"/>
    </row>
    <row r="973" spans="1:13" ht="15.75" customHeight="1" x14ac:dyDescent="0.35">
      <c r="A973" s="4"/>
      <c r="M973" s="116"/>
    </row>
    <row r="974" spans="1:13" ht="15.75" customHeight="1" x14ac:dyDescent="0.35">
      <c r="A974" s="4"/>
      <c r="M974" s="116"/>
    </row>
    <row r="975" spans="1:13" ht="15.75" customHeight="1" x14ac:dyDescent="0.35">
      <c r="A975" s="4"/>
      <c r="M975" s="116"/>
    </row>
    <row r="976" spans="1:13" ht="15.75" customHeight="1" x14ac:dyDescent="0.35">
      <c r="A976" s="4"/>
      <c r="M976" s="116"/>
    </row>
    <row r="977" spans="1:13" ht="15.75" customHeight="1" x14ac:dyDescent="0.35">
      <c r="A977" s="4"/>
      <c r="M977" s="116"/>
    </row>
    <row r="978" spans="1:13" ht="15.75" customHeight="1" x14ac:dyDescent="0.35">
      <c r="A978" s="4"/>
      <c r="M978" s="116"/>
    </row>
    <row r="979" spans="1:13" ht="15.75" customHeight="1" x14ac:dyDescent="0.35">
      <c r="A979" s="4"/>
      <c r="M979" s="116"/>
    </row>
    <row r="980" spans="1:13" ht="15.75" customHeight="1" x14ac:dyDescent="0.35">
      <c r="A980" s="4"/>
      <c r="M980" s="116"/>
    </row>
    <row r="981" spans="1:13" ht="15.75" customHeight="1" x14ac:dyDescent="0.35">
      <c r="A981" s="4"/>
      <c r="M981" s="116"/>
    </row>
    <row r="982" spans="1:13" ht="15.75" customHeight="1" x14ac:dyDescent="0.35">
      <c r="A982" s="4"/>
      <c r="M982" s="116"/>
    </row>
    <row r="983" spans="1:13" ht="15.75" customHeight="1" x14ac:dyDescent="0.35">
      <c r="A983" s="4"/>
      <c r="M983" s="116"/>
    </row>
    <row r="984" spans="1:13" ht="15.75" customHeight="1" x14ac:dyDescent="0.35">
      <c r="A984" s="4"/>
      <c r="M984" s="116"/>
    </row>
    <row r="985" spans="1:13" ht="15.75" customHeight="1" x14ac:dyDescent="0.35">
      <c r="A985" s="4"/>
      <c r="M985" s="116"/>
    </row>
    <row r="986" spans="1:13" ht="15.75" customHeight="1" x14ac:dyDescent="0.35">
      <c r="A986" s="4"/>
      <c r="M986" s="116"/>
    </row>
    <row r="987" spans="1:13" ht="15.75" customHeight="1" x14ac:dyDescent="0.35">
      <c r="A987" s="4"/>
      <c r="M987" s="116"/>
    </row>
    <row r="988" spans="1:13" ht="15.75" customHeight="1" x14ac:dyDescent="0.35">
      <c r="A988" s="4"/>
      <c r="M988" s="116"/>
    </row>
    <row r="989" spans="1:13" ht="15.75" customHeight="1" x14ac:dyDescent="0.35">
      <c r="A989" s="4"/>
      <c r="M989" s="116"/>
    </row>
    <row r="990" spans="1:13" ht="15.75" customHeight="1" x14ac:dyDescent="0.35">
      <c r="A990" s="4"/>
      <c r="M990" s="116"/>
    </row>
    <row r="991" spans="1:13" ht="15.75" customHeight="1" x14ac:dyDescent="0.35">
      <c r="A991" s="4"/>
      <c r="M991" s="116"/>
    </row>
    <row r="992" spans="1:13" ht="15.75" customHeight="1" x14ac:dyDescent="0.35">
      <c r="A992" s="4"/>
      <c r="M992" s="116"/>
    </row>
    <row r="993" spans="1:13" ht="15.75" customHeight="1" x14ac:dyDescent="0.35">
      <c r="A993" s="4"/>
      <c r="M993" s="116"/>
    </row>
    <row r="994" spans="1:13" ht="15.75" customHeight="1" x14ac:dyDescent="0.35">
      <c r="A994" s="4"/>
      <c r="M994" s="116"/>
    </row>
    <row r="995" spans="1:13" ht="15.75" customHeight="1" x14ac:dyDescent="0.35">
      <c r="A995" s="4"/>
      <c r="M995" s="116"/>
    </row>
    <row r="996" spans="1:13" ht="15.75" customHeight="1" x14ac:dyDescent="0.35">
      <c r="A996" s="4"/>
      <c r="M996" s="116"/>
    </row>
    <row r="997" spans="1:13" ht="15.75" customHeight="1" x14ac:dyDescent="0.35">
      <c r="A997" s="4"/>
      <c r="M997" s="116"/>
    </row>
    <row r="998" spans="1:13" ht="15.75" customHeight="1" x14ac:dyDescent="0.35">
      <c r="A998" s="4"/>
      <c r="M998" s="116"/>
    </row>
    <row r="999" spans="1:13" ht="15.75" customHeight="1" x14ac:dyDescent="0.35">
      <c r="A999" s="4"/>
      <c r="M999" s="116"/>
    </row>
    <row r="1000" spans="1:13" ht="15.75" customHeight="1" x14ac:dyDescent="0.35">
      <c r="A1000" s="4"/>
      <c r="M1000" s="116"/>
    </row>
    <row r="1001" spans="1:13" ht="15.75" customHeight="1" x14ac:dyDescent="0.35">
      <c r="A1001" s="4"/>
      <c r="M1001" s="116"/>
    </row>
    <row r="1002" spans="1:13" ht="15.75" customHeight="1" x14ac:dyDescent="0.35">
      <c r="A1002" s="4"/>
      <c r="M1002" s="116"/>
    </row>
    <row r="1003" spans="1:13" ht="15.75" customHeight="1" x14ac:dyDescent="0.35">
      <c r="A1003" s="4"/>
      <c r="M1003" s="116"/>
    </row>
    <row r="1004" spans="1:13" ht="15.75" customHeight="1" x14ac:dyDescent="0.35">
      <c r="A1004" s="4"/>
      <c r="M1004" s="116"/>
    </row>
    <row r="1005" spans="1:13" ht="15.75" customHeight="1" x14ac:dyDescent="0.35">
      <c r="A1005" s="4"/>
      <c r="M1005" s="116"/>
    </row>
    <row r="1006" spans="1:13" ht="15.75" customHeight="1" x14ac:dyDescent="0.35">
      <c r="A1006" s="4"/>
      <c r="M1006" s="116"/>
    </row>
    <row r="1007" spans="1:13" ht="15.75" customHeight="1" x14ac:dyDescent="0.35">
      <c r="A1007" s="4"/>
      <c r="M1007" s="116"/>
    </row>
    <row r="1008" spans="1:13" ht="15.75" customHeight="1" x14ac:dyDescent="0.35">
      <c r="A1008" s="4"/>
      <c r="M1008" s="116"/>
    </row>
    <row r="1009" spans="1:13" ht="15.75" customHeight="1" x14ac:dyDescent="0.35">
      <c r="A1009" s="4"/>
      <c r="M1009" s="116"/>
    </row>
    <row r="1010" spans="1:13" ht="15.75" customHeight="1" x14ac:dyDescent="0.35">
      <c r="A1010" s="4"/>
      <c r="M1010" s="116"/>
    </row>
    <row r="1011" spans="1:13" ht="15.75" customHeight="1" x14ac:dyDescent="0.35">
      <c r="A1011" s="4"/>
      <c r="M1011" s="116"/>
    </row>
    <row r="1012" spans="1:13" ht="15.75" customHeight="1" x14ac:dyDescent="0.35">
      <c r="A1012" s="4"/>
      <c r="M1012" s="116"/>
    </row>
    <row r="1013" spans="1:13" ht="15.75" customHeight="1" x14ac:dyDescent="0.35">
      <c r="A1013" s="4"/>
      <c r="M1013" s="116"/>
    </row>
    <row r="1014" spans="1:13" ht="15.75" customHeight="1" x14ac:dyDescent="0.35">
      <c r="A1014" s="4"/>
      <c r="M1014" s="116"/>
    </row>
    <row r="1015" spans="1:13" ht="15.75" customHeight="1" x14ac:dyDescent="0.35">
      <c r="A1015" s="4"/>
      <c r="M1015" s="116"/>
    </row>
    <row r="1016" spans="1:13" ht="15.75" customHeight="1" x14ac:dyDescent="0.35">
      <c r="A1016" s="4"/>
      <c r="M1016" s="116"/>
    </row>
    <row r="1017" spans="1:13" ht="15.75" customHeight="1" x14ac:dyDescent="0.35">
      <c r="A1017" s="4"/>
      <c r="M1017" s="116"/>
    </row>
    <row r="1018" spans="1:13" ht="15.75" customHeight="1" x14ac:dyDescent="0.35">
      <c r="A1018" s="4"/>
      <c r="M1018" s="116"/>
    </row>
    <row r="1019" spans="1:13" ht="15.75" customHeight="1" x14ac:dyDescent="0.35">
      <c r="A1019" s="4"/>
      <c r="M1019" s="116"/>
    </row>
    <row r="1020" spans="1:13" ht="15.75" customHeight="1" x14ac:dyDescent="0.35">
      <c r="A1020" s="4"/>
      <c r="M1020" s="116"/>
    </row>
    <row r="1021" spans="1:13" ht="15.75" customHeight="1" x14ac:dyDescent="0.35">
      <c r="A1021" s="4"/>
      <c r="M1021" s="116"/>
    </row>
    <row r="1022" spans="1:13" ht="15.75" customHeight="1" x14ac:dyDescent="0.35">
      <c r="A1022" s="4"/>
      <c r="M1022" s="116"/>
    </row>
    <row r="1023" spans="1:13" ht="15.75" customHeight="1" x14ac:dyDescent="0.35">
      <c r="A1023" s="4"/>
      <c r="M1023" s="116"/>
    </row>
    <row r="1024" spans="1:13" ht="15.75" customHeight="1" x14ac:dyDescent="0.35">
      <c r="A1024" s="4"/>
      <c r="M1024" s="116"/>
    </row>
    <row r="1025" spans="1:13" ht="15.75" customHeight="1" x14ac:dyDescent="0.35">
      <c r="A1025" s="4"/>
      <c r="M1025" s="116"/>
    </row>
    <row r="1026" spans="1:13" ht="15.75" customHeight="1" x14ac:dyDescent="0.35">
      <c r="A1026" s="4"/>
      <c r="M1026" s="116"/>
    </row>
    <row r="1027" spans="1:13" ht="15.75" customHeight="1" x14ac:dyDescent="0.35">
      <c r="A1027" s="4"/>
      <c r="M1027" s="116"/>
    </row>
    <row r="1028" spans="1:13" ht="15.75" customHeight="1" x14ac:dyDescent="0.35">
      <c r="A1028" s="4"/>
      <c r="M1028" s="116"/>
    </row>
    <row r="1029" spans="1:13" ht="15.75" customHeight="1" x14ac:dyDescent="0.35">
      <c r="A1029" s="4"/>
      <c r="M1029" s="116"/>
    </row>
    <row r="1030" spans="1:13" ht="15.75" customHeight="1" x14ac:dyDescent="0.35">
      <c r="A1030" s="4"/>
      <c r="M1030" s="116"/>
    </row>
    <row r="1031" spans="1:13" ht="15.75" customHeight="1" x14ac:dyDescent="0.35">
      <c r="A1031" s="4"/>
      <c r="M1031" s="116"/>
    </row>
    <row r="1032" spans="1:13" ht="15.75" customHeight="1" x14ac:dyDescent="0.35">
      <c r="A1032" s="4"/>
      <c r="M1032" s="116"/>
    </row>
    <row r="1033" spans="1:13" ht="15.75" customHeight="1" x14ac:dyDescent="0.35">
      <c r="A1033" s="4"/>
      <c r="M1033" s="116"/>
    </row>
    <row r="1034" spans="1:13" ht="15.75" customHeight="1" x14ac:dyDescent="0.35">
      <c r="A1034" s="4"/>
      <c r="M1034" s="116"/>
    </row>
    <row r="1035" spans="1:13" ht="15.75" customHeight="1" x14ac:dyDescent="0.35">
      <c r="A1035"/>
      <c r="M1035" s="116"/>
    </row>
    <row r="1036" spans="1:13" ht="15.75" customHeight="1" x14ac:dyDescent="0.35">
      <c r="A1036"/>
      <c r="M1036" s="116"/>
    </row>
    <row r="1037" spans="1:13" ht="15.75" customHeight="1" x14ac:dyDescent="0.35">
      <c r="A1037"/>
      <c r="M1037" s="116"/>
    </row>
    <row r="1038" spans="1:13" ht="15.75" customHeight="1" x14ac:dyDescent="0.35">
      <c r="A1038"/>
      <c r="M1038" s="116"/>
    </row>
    <row r="1039" spans="1:13" ht="15.75" customHeight="1" x14ac:dyDescent="0.35">
      <c r="A1039"/>
      <c r="M1039" s="116"/>
    </row>
    <row r="1040" spans="1:13" ht="15.75" customHeight="1" x14ac:dyDescent="0.35">
      <c r="A1040"/>
      <c r="M1040" s="116"/>
    </row>
    <row r="1041" spans="1:13" ht="15.75" customHeight="1" x14ac:dyDescent="0.35">
      <c r="A1041"/>
      <c r="M1041" s="116"/>
    </row>
    <row r="1042" spans="1:13" ht="15.75" customHeight="1" x14ac:dyDescent="0.35">
      <c r="A1042"/>
      <c r="M1042" s="116"/>
    </row>
    <row r="1043" spans="1:13" ht="15.75" customHeight="1" x14ac:dyDescent="0.35">
      <c r="A1043"/>
      <c r="M1043" s="116"/>
    </row>
    <row r="1044" spans="1:13" ht="15.75" customHeight="1" x14ac:dyDescent="0.35">
      <c r="A1044"/>
      <c r="M1044" s="116"/>
    </row>
    <row r="1045" spans="1:13" ht="15.75" customHeight="1" x14ac:dyDescent="0.35">
      <c r="A1045"/>
      <c r="M1045" s="116"/>
    </row>
    <row r="1046" spans="1:13" ht="15.75" customHeight="1" x14ac:dyDescent="0.35">
      <c r="A1046"/>
      <c r="M1046" s="116"/>
    </row>
    <row r="1047" spans="1:13" ht="15.75" customHeight="1" x14ac:dyDescent="0.35">
      <c r="A1047"/>
      <c r="M1047" s="116"/>
    </row>
    <row r="1048" spans="1:13" ht="15.75" customHeight="1" x14ac:dyDescent="0.35">
      <c r="A1048"/>
      <c r="M1048" s="116"/>
    </row>
    <row r="1049" spans="1:13" ht="15.75" customHeight="1" x14ac:dyDescent="0.35">
      <c r="A1049"/>
      <c r="M1049" s="116"/>
    </row>
    <row r="1050" spans="1:13" ht="15.75" customHeight="1" x14ac:dyDescent="0.35">
      <c r="A1050"/>
      <c r="M1050" s="116"/>
    </row>
    <row r="1051" spans="1:13" ht="15.75" customHeight="1" x14ac:dyDescent="0.35">
      <c r="A1051"/>
      <c r="M1051" s="116"/>
    </row>
    <row r="1052" spans="1:13" ht="15.75" customHeight="1" x14ac:dyDescent="0.35">
      <c r="A1052"/>
      <c r="M1052" s="116"/>
    </row>
    <row r="1053" spans="1:13" ht="15.75" customHeight="1" x14ac:dyDescent="0.35">
      <c r="A1053"/>
      <c r="M1053" s="116"/>
    </row>
    <row r="1054" spans="1:13" ht="15.75" customHeight="1" x14ac:dyDescent="0.35">
      <c r="A1054"/>
      <c r="M1054" s="116"/>
    </row>
    <row r="1055" spans="1:13" ht="15.75" customHeight="1" x14ac:dyDescent="0.35">
      <c r="A1055"/>
      <c r="M1055" s="116"/>
    </row>
    <row r="1056" spans="1:13" ht="15.75" customHeight="1" x14ac:dyDescent="0.35">
      <c r="A1056"/>
      <c r="M1056" s="116"/>
    </row>
    <row r="1057" spans="1:13" ht="15.75" customHeight="1" x14ac:dyDescent="0.35">
      <c r="A1057"/>
      <c r="M1057" s="116"/>
    </row>
    <row r="1058" spans="1:13" ht="15.75" customHeight="1" x14ac:dyDescent="0.35">
      <c r="A1058"/>
      <c r="M1058" s="116"/>
    </row>
    <row r="1059" spans="1:13" ht="15.75" customHeight="1" x14ac:dyDescent="0.35">
      <c r="A1059"/>
      <c r="M1059" s="116"/>
    </row>
    <row r="1060" spans="1:13" ht="15.75" customHeight="1" x14ac:dyDescent="0.35">
      <c r="A1060"/>
      <c r="M1060" s="116"/>
    </row>
    <row r="1061" spans="1:13" ht="15.75" customHeight="1" x14ac:dyDescent="0.35">
      <c r="A1061"/>
      <c r="M1061" s="116"/>
    </row>
    <row r="1062" spans="1:13" ht="15.75" customHeight="1" x14ac:dyDescent="0.35">
      <c r="A1062"/>
      <c r="M1062" s="116"/>
    </row>
    <row r="1063" spans="1:13" ht="15.75" customHeight="1" x14ac:dyDescent="0.35">
      <c r="A1063"/>
      <c r="M1063" s="116"/>
    </row>
    <row r="1064" spans="1:13" ht="15.75" customHeight="1" x14ac:dyDescent="0.35">
      <c r="A1064"/>
      <c r="M1064" s="116"/>
    </row>
    <row r="1065" spans="1:13" ht="15.75" customHeight="1" x14ac:dyDescent="0.35">
      <c r="A1065"/>
      <c r="M1065" s="116"/>
    </row>
    <row r="1066" spans="1:13" ht="15.75" customHeight="1" x14ac:dyDescent="0.35">
      <c r="A1066"/>
      <c r="M1066" s="116"/>
    </row>
    <row r="1067" spans="1:13" ht="15.75" customHeight="1" x14ac:dyDescent="0.35">
      <c r="A1067"/>
      <c r="M1067" s="116"/>
    </row>
    <row r="1068" spans="1:13" ht="15.75" customHeight="1" x14ac:dyDescent="0.35">
      <c r="A1068"/>
      <c r="M1068" s="116"/>
    </row>
    <row r="1069" spans="1:13" ht="15.75" customHeight="1" x14ac:dyDescent="0.35">
      <c r="A1069"/>
      <c r="M1069" s="116"/>
    </row>
    <row r="1070" spans="1:13" ht="15.75" customHeight="1" x14ac:dyDescent="0.35">
      <c r="A1070"/>
      <c r="M1070" s="116"/>
    </row>
    <row r="1071" spans="1:13" ht="15.75" customHeight="1" x14ac:dyDescent="0.35">
      <c r="A1071"/>
      <c r="M1071" s="116"/>
    </row>
    <row r="1072" spans="1:13" ht="15.75" customHeight="1" x14ac:dyDescent="0.35">
      <c r="A1072"/>
      <c r="M1072" s="116"/>
    </row>
    <row r="1073" spans="1:13" ht="15.75" customHeight="1" x14ac:dyDescent="0.35">
      <c r="A1073"/>
      <c r="M1073" s="116"/>
    </row>
    <row r="1074" spans="1:13" ht="15.75" customHeight="1" x14ac:dyDescent="0.35">
      <c r="A1074"/>
      <c r="M1074" s="116"/>
    </row>
    <row r="1075" spans="1:13" ht="15.75" customHeight="1" x14ac:dyDescent="0.35">
      <c r="A1075"/>
      <c r="M1075" s="116"/>
    </row>
    <row r="1076" spans="1:13" ht="15.75" customHeight="1" x14ac:dyDescent="0.35">
      <c r="A1076"/>
      <c r="M1076" s="116"/>
    </row>
    <row r="1077" spans="1:13" ht="15.75" customHeight="1" x14ac:dyDescent="0.35">
      <c r="A1077"/>
      <c r="M1077" s="116"/>
    </row>
    <row r="1078" spans="1:13" ht="15.75" customHeight="1" x14ac:dyDescent="0.35">
      <c r="A1078"/>
      <c r="M1078" s="116"/>
    </row>
    <row r="1079" spans="1:13" ht="15.75" customHeight="1" x14ac:dyDescent="0.35">
      <c r="A1079"/>
      <c r="M1079" s="116"/>
    </row>
    <row r="1080" spans="1:13" ht="15.75" customHeight="1" x14ac:dyDescent="0.35">
      <c r="A1080"/>
      <c r="M1080" s="116"/>
    </row>
    <row r="1081" spans="1:13" ht="15.75" customHeight="1" x14ac:dyDescent="0.35">
      <c r="A1081"/>
      <c r="M1081" s="116"/>
    </row>
    <row r="1082" spans="1:13" ht="15.75" customHeight="1" x14ac:dyDescent="0.35">
      <c r="A1082"/>
      <c r="M1082" s="116"/>
    </row>
    <row r="1083" spans="1:13" ht="15.75" customHeight="1" x14ac:dyDescent="0.35">
      <c r="A1083"/>
      <c r="M1083" s="116"/>
    </row>
    <row r="1084" spans="1:13" ht="15.75" customHeight="1" x14ac:dyDescent="0.35">
      <c r="A1084"/>
      <c r="M1084" s="116"/>
    </row>
    <row r="1085" spans="1:13" ht="15.75" customHeight="1" x14ac:dyDescent="0.35">
      <c r="A1085"/>
      <c r="M1085" s="116"/>
    </row>
    <row r="1086" spans="1:13" ht="15.75" customHeight="1" x14ac:dyDescent="0.35">
      <c r="A1086"/>
      <c r="M1086" s="116"/>
    </row>
    <row r="1087" spans="1:13" ht="15.75" customHeight="1" x14ac:dyDescent="0.35">
      <c r="A1087"/>
      <c r="M1087" s="116"/>
    </row>
    <row r="1088" spans="1:13" ht="15.75" customHeight="1" x14ac:dyDescent="0.35">
      <c r="A1088"/>
      <c r="M1088" s="116"/>
    </row>
    <row r="1089" spans="1:13" ht="15.75" customHeight="1" x14ac:dyDescent="0.35">
      <c r="A1089"/>
      <c r="M1089" s="116"/>
    </row>
    <row r="1090" spans="1:13" ht="15.75" customHeight="1" x14ac:dyDescent="0.35">
      <c r="A1090"/>
      <c r="M1090" s="116"/>
    </row>
    <row r="1091" spans="1:13" ht="15.75" customHeight="1" x14ac:dyDescent="0.35">
      <c r="A1091"/>
      <c r="M1091" s="116"/>
    </row>
    <row r="1092" spans="1:13" ht="15.75" customHeight="1" x14ac:dyDescent="0.35">
      <c r="A1092"/>
      <c r="M1092" s="116"/>
    </row>
    <row r="1093" spans="1:13" ht="15.75" customHeight="1" x14ac:dyDescent="0.35">
      <c r="A1093"/>
      <c r="M1093" s="116"/>
    </row>
    <row r="1094" spans="1:13" ht="15.75" customHeight="1" x14ac:dyDescent="0.35">
      <c r="A1094"/>
      <c r="M1094" s="116"/>
    </row>
    <row r="1095" spans="1:13" ht="15.75" customHeight="1" x14ac:dyDescent="0.35">
      <c r="A1095"/>
      <c r="M1095" s="116"/>
    </row>
    <row r="1096" spans="1:13" ht="15.75" customHeight="1" x14ac:dyDescent="0.35">
      <c r="A1096"/>
      <c r="M1096" s="116"/>
    </row>
    <row r="1097" spans="1:13" ht="15.75" customHeight="1" x14ac:dyDescent="0.35">
      <c r="A1097"/>
      <c r="M1097" s="116"/>
    </row>
    <row r="1098" spans="1:13" ht="15.75" customHeight="1" x14ac:dyDescent="0.35">
      <c r="A1098"/>
      <c r="M1098" s="116"/>
    </row>
    <row r="1099" spans="1:13" ht="15.75" customHeight="1" x14ac:dyDescent="0.35">
      <c r="A1099"/>
      <c r="M1099" s="116"/>
    </row>
    <row r="1100" spans="1:13" ht="15.75" customHeight="1" x14ac:dyDescent="0.35">
      <c r="A1100"/>
      <c r="M1100" s="116"/>
    </row>
    <row r="1101" spans="1:13" ht="15.75" customHeight="1" x14ac:dyDescent="0.35">
      <c r="A1101"/>
      <c r="M1101" s="116"/>
    </row>
    <row r="1102" spans="1:13" ht="15.75" customHeight="1" x14ac:dyDescent="0.35">
      <c r="A1102"/>
      <c r="M1102" s="116"/>
    </row>
    <row r="1103" spans="1:13" ht="15.75" customHeight="1" x14ac:dyDescent="0.35">
      <c r="A1103"/>
      <c r="M1103" s="116"/>
    </row>
    <row r="1104" spans="1:13" ht="15.75" customHeight="1" x14ac:dyDescent="0.35">
      <c r="A1104"/>
      <c r="M1104" s="116"/>
    </row>
    <row r="1105" spans="1:13" ht="15.75" customHeight="1" x14ac:dyDescent="0.35">
      <c r="A1105"/>
      <c r="M1105" s="116"/>
    </row>
    <row r="1106" spans="1:13" ht="15.75" customHeight="1" x14ac:dyDescent="0.35">
      <c r="A1106"/>
      <c r="M1106" s="116"/>
    </row>
    <row r="1107" spans="1:13" ht="15.75" customHeight="1" x14ac:dyDescent="0.35">
      <c r="A1107"/>
      <c r="M1107" s="116"/>
    </row>
    <row r="1108" spans="1:13" ht="15.75" customHeight="1" x14ac:dyDescent="0.35">
      <c r="A1108"/>
      <c r="M1108" s="116"/>
    </row>
    <row r="1109" spans="1:13" ht="15.75" customHeight="1" x14ac:dyDescent="0.35">
      <c r="A1109"/>
      <c r="M1109" s="116"/>
    </row>
    <row r="1110" spans="1:13" ht="15.75" customHeight="1" x14ac:dyDescent="0.35">
      <c r="A1110"/>
      <c r="M1110" s="116"/>
    </row>
    <row r="1111" spans="1:13" ht="15.75" customHeight="1" x14ac:dyDescent="0.35">
      <c r="A1111"/>
      <c r="M1111" s="116"/>
    </row>
    <row r="1112" spans="1:13" ht="15.75" customHeight="1" x14ac:dyDescent="0.35">
      <c r="A1112"/>
      <c r="M1112" s="116"/>
    </row>
    <row r="1113" spans="1:13" ht="15.75" customHeight="1" x14ac:dyDescent="0.35">
      <c r="A1113"/>
      <c r="M1113" s="116"/>
    </row>
    <row r="1114" spans="1:13" ht="15.75" customHeight="1" x14ac:dyDescent="0.35">
      <c r="A1114"/>
      <c r="M1114" s="116"/>
    </row>
    <row r="1115" spans="1:13" ht="15.75" customHeight="1" x14ac:dyDescent="0.35">
      <c r="A1115"/>
      <c r="M1115" s="116"/>
    </row>
    <row r="1116" spans="1:13" ht="15.75" customHeight="1" x14ac:dyDescent="0.35">
      <c r="A1116"/>
      <c r="M1116" s="116"/>
    </row>
    <row r="1117" spans="1:13" ht="15.75" customHeight="1" x14ac:dyDescent="0.35">
      <c r="A1117"/>
      <c r="M1117" s="116"/>
    </row>
    <row r="1118" spans="1:13" ht="15.75" customHeight="1" x14ac:dyDescent="0.35">
      <c r="A1118"/>
      <c r="M1118" s="116"/>
    </row>
    <row r="1119" spans="1:13" ht="15.75" customHeight="1" x14ac:dyDescent="0.35">
      <c r="A1119"/>
      <c r="M1119" s="116"/>
    </row>
    <row r="1120" spans="1:13" ht="15.75" customHeight="1" x14ac:dyDescent="0.35">
      <c r="A1120"/>
      <c r="M1120" s="116"/>
    </row>
    <row r="1121" spans="1:13" ht="15.75" customHeight="1" x14ac:dyDescent="0.35">
      <c r="A1121"/>
      <c r="M1121" s="116"/>
    </row>
    <row r="1122" spans="1:13" ht="15.75" customHeight="1" x14ac:dyDescent="0.35">
      <c r="A1122"/>
      <c r="M1122" s="116"/>
    </row>
    <row r="1123" spans="1:13" ht="15.75" customHeight="1" x14ac:dyDescent="0.35">
      <c r="A1123"/>
      <c r="M1123" s="116"/>
    </row>
    <row r="1124" spans="1:13" ht="15.75" customHeight="1" x14ac:dyDescent="0.35">
      <c r="A1124"/>
      <c r="M1124" s="116"/>
    </row>
    <row r="1125" spans="1:13" ht="15.75" customHeight="1" x14ac:dyDescent="0.35">
      <c r="A1125"/>
      <c r="M1125" s="116"/>
    </row>
    <row r="1126" spans="1:13" ht="15.75" customHeight="1" x14ac:dyDescent="0.35">
      <c r="A1126"/>
      <c r="M1126" s="116"/>
    </row>
    <row r="1127" spans="1:13" ht="15.75" customHeight="1" x14ac:dyDescent="0.35">
      <c r="A1127"/>
      <c r="M1127" s="116"/>
    </row>
    <row r="1128" spans="1:13" ht="15.75" customHeight="1" x14ac:dyDescent="0.35">
      <c r="A1128"/>
      <c r="M1128" s="116"/>
    </row>
    <row r="1129" spans="1:13" ht="15.75" customHeight="1" x14ac:dyDescent="0.35">
      <c r="A1129"/>
      <c r="M1129" s="116"/>
    </row>
    <row r="1130" spans="1:13" ht="15.75" customHeight="1" x14ac:dyDescent="0.35">
      <c r="A1130"/>
      <c r="M1130" s="116"/>
    </row>
    <row r="1131" spans="1:13" ht="15.75" customHeight="1" x14ac:dyDescent="0.35">
      <c r="A1131"/>
      <c r="M1131" s="116"/>
    </row>
    <row r="1132" spans="1:13" ht="15.75" customHeight="1" x14ac:dyDescent="0.35">
      <c r="A1132"/>
      <c r="M1132" s="116"/>
    </row>
    <row r="1133" spans="1:13" ht="15.75" customHeight="1" x14ac:dyDescent="0.35">
      <c r="A1133"/>
    </row>
  </sheetData>
  <autoFilter ref="A1:BO869" xr:uid="{00000000-0001-0000-0100-000000000000}"/>
  <sortState xmlns:xlrd2="http://schemas.microsoft.com/office/spreadsheetml/2017/richdata2" ref="B254:BG771">
    <sortCondition ref="E254:E771"/>
  </sortState>
  <phoneticPr fontId="13" type="noConversion"/>
  <hyperlinks>
    <hyperlink ref="AY425" r:id="rId1" xr:uid="{21D8018F-FE79-4CD5-B7AD-BECA2353D521}"/>
    <hyperlink ref="AY426" r:id="rId2" xr:uid="{FFA979AF-5693-4505-A724-D9CAF5129FC3}"/>
    <hyperlink ref="AY428" r:id="rId3" xr:uid="{02F67A38-EB28-4C95-88A0-BF904B12482C}"/>
    <hyperlink ref="AY429" r:id="rId4" xr:uid="{6D901657-810B-48A1-BE2C-B19D093E01D2}"/>
    <hyperlink ref="AZ429" r:id="rId5" xr:uid="{06284A0D-7789-4B7A-BBB7-968F25BCCB9F}"/>
    <hyperlink ref="AY430" r:id="rId6" xr:uid="{02CB1030-1715-45EF-82B6-650355F915F3}"/>
    <hyperlink ref="AY431" r:id="rId7" xr:uid="{11DB8781-3EEA-4436-8841-1BD40E730414}"/>
    <hyperlink ref="AY432" r:id="rId8" xr:uid="{8EBF1ACB-3291-4EB1-AD7A-4A20B2BA43E3}"/>
    <hyperlink ref="AY433" r:id="rId9" xr:uid="{C70A5B37-CDDF-4D79-B1EC-5EF5E68AE127}"/>
    <hyperlink ref="AZ433" r:id="rId10" xr:uid="{B96EB1B9-7930-4C11-A869-83F6ACE55DA2}"/>
    <hyperlink ref="AY434" r:id="rId11" xr:uid="{D9DF278D-3D83-478D-B4BF-17A888E69815}"/>
    <hyperlink ref="AZ434" r:id="rId12" xr:uid="{2A7E18ED-E8FA-45E2-8B5F-403CC7DBB2D9}"/>
    <hyperlink ref="AY435" r:id="rId13" xr:uid="{EB6DE5A9-84AB-4C97-98D3-4B3944205E62}"/>
    <hyperlink ref="AY437" r:id="rId14" xr:uid="{89676938-E473-4475-A17D-55502A2B948D}"/>
    <hyperlink ref="AY438" r:id="rId15" xr:uid="{CCA53821-FF25-4420-9B22-FDE58A58F3F6}"/>
    <hyperlink ref="AZ438" r:id="rId16" xr:uid="{7E31BB33-83B8-4A17-A297-D23E3C4506B3}"/>
    <hyperlink ref="AY439" r:id="rId17" xr:uid="{C1FF37DE-CCF1-454B-97FE-E24B3756A84E}"/>
    <hyperlink ref="AY440" r:id="rId18" xr:uid="{844398C4-C798-4BC0-BDC7-B92F5657ECFB}"/>
    <hyperlink ref="AY441" r:id="rId19" xr:uid="{0BFFDFC0-10A3-4118-B0E5-FF1619AE3DF0}"/>
    <hyperlink ref="AZ441" r:id="rId20" xr:uid="{308FE3BE-D148-483E-8951-5452755D7E32}"/>
    <hyperlink ref="AY442" r:id="rId21" xr:uid="{118642B2-F605-48F4-B4FA-9D339C3B8B5B}"/>
    <hyperlink ref="AY443" r:id="rId22" xr:uid="{FC227B6E-993A-4C30-83C6-FB6FDB8C6CB9}"/>
    <hyperlink ref="AY444" r:id="rId23" xr:uid="{425EF579-2047-49C8-BD08-ABC9707E897D}"/>
    <hyperlink ref="AY445" r:id="rId24" xr:uid="{64B25000-BFB0-4E57-B129-A9919F3FABA0}"/>
    <hyperlink ref="AY446" r:id="rId25" xr:uid="{2B24C342-325F-40C5-AF40-59E5A5F2023D}"/>
    <hyperlink ref="AY447" r:id="rId26" xr:uid="{3136E8AB-131C-45B4-964A-D6EDF4BD308F}"/>
    <hyperlink ref="AY449" r:id="rId27" xr:uid="{8E3CB199-7E56-4AEB-B8E3-66B0543D3DF2}"/>
    <hyperlink ref="AY450" r:id="rId28" xr:uid="{113ADEAD-18BD-4BCA-8E4B-37330C6366CD}"/>
    <hyperlink ref="AY451" r:id="rId29" xr:uid="{B854F035-4038-4255-8321-32CDFD603B2D}"/>
    <hyperlink ref="AY452" r:id="rId30" xr:uid="{EEA57A61-6ADA-43B0-8834-10A8F0B081E5}"/>
    <hyperlink ref="AY453" r:id="rId31" xr:uid="{12A600F7-9CC3-4457-BF45-C182185B56CD}"/>
    <hyperlink ref="AY454" r:id="rId32" xr:uid="{9097876A-2FB8-4C0A-BFBB-D8BB64210D57}"/>
    <hyperlink ref="AY455" r:id="rId33" xr:uid="{C51C3CF1-461F-4642-9823-C356983E2FCB}"/>
    <hyperlink ref="AZ455" r:id="rId34" xr:uid="{53C83CB2-BB6E-4A55-BB85-9F781D3D9E9E}"/>
    <hyperlink ref="AY456" r:id="rId35" xr:uid="{F93F661A-F4D9-49E3-BA37-57A2C0DC44BE}"/>
    <hyperlink ref="AY457" r:id="rId36" xr:uid="{D1FEC448-F4FB-480A-85EF-7A48703A0D64}"/>
    <hyperlink ref="AY458" r:id="rId37" xr:uid="{FB5313FE-81AC-4E36-B1CE-48BF59FD6645}"/>
    <hyperlink ref="AY459" r:id="rId38" xr:uid="{BAF5C6FD-0941-437D-99AC-DC91D894AE09}"/>
    <hyperlink ref="AY460" r:id="rId39" xr:uid="{1B96FC0A-26A8-49B1-BA91-DF3CDF477CD9}"/>
    <hyperlink ref="AY461" r:id="rId40" xr:uid="{69FABF72-3E74-4157-BCAB-0088B0C5082F}"/>
    <hyperlink ref="AY462" r:id="rId41" xr:uid="{7E4FB037-6566-4E8A-B356-8740F6AB6D99}"/>
    <hyperlink ref="AY463" r:id="rId42" xr:uid="{40871AC1-1C71-4E26-9BA4-C31626696672}"/>
    <hyperlink ref="AY464" r:id="rId43" xr:uid="{49E77024-8761-44B3-84B3-4566B2484D7B}"/>
    <hyperlink ref="AY427" r:id="rId44" xr:uid="{EDDECC2D-E296-471F-96BE-DE2560F916BA}"/>
    <hyperlink ref="AY436" r:id="rId45" xr:uid="{81A51A24-D877-465D-8F96-779E52CE4B72}"/>
    <hyperlink ref="AY448" r:id="rId46" xr:uid="{09871421-4A17-4648-804A-973166E71834}"/>
    <hyperlink ref="AY466" r:id="rId47" xr:uid="{7BA4DE51-E258-410A-8148-E1AB0E5352E7}"/>
    <hyperlink ref="AY467" r:id="rId48" xr:uid="{A3BFC655-6FCD-4137-8E0B-88DE6C19F4A6}"/>
    <hyperlink ref="AY468" r:id="rId49" xr:uid="{6021FF65-8702-4607-A624-0DC8E11D944A}"/>
    <hyperlink ref="AY465" r:id="rId50" xr:uid="{87697591-4120-4A5C-A2DD-C05E41A3926E}"/>
    <hyperlink ref="AY470" r:id="rId51" xr:uid="{A0ABA286-1824-4FA0-91E3-B47262B8378D}"/>
    <hyperlink ref="AY469" r:id="rId52" xr:uid="{58682ABE-F65D-4F1A-8EF2-8BF13979FF55}"/>
    <hyperlink ref="AY471" r:id="rId53" xr:uid="{D726A861-9C43-4040-8245-95A6758253CF}"/>
    <hyperlink ref="AY472" r:id="rId54" xr:uid="{D238886C-308D-41CD-8575-D388955B7F47}"/>
    <hyperlink ref="AY473" r:id="rId55" xr:uid="{BFD52321-EB89-4D43-BF33-75D89B03EC5B}"/>
    <hyperlink ref="BA473" r:id="rId56" xr:uid="{F28E67BE-DF63-4529-A8BE-E560DA7F817B}"/>
    <hyperlink ref="AZ473" r:id="rId57" xr:uid="{F185ECAC-ED8D-485F-9801-720CC13C6364}"/>
    <hyperlink ref="AY478" r:id="rId58" xr:uid="{391F464F-B473-4BF3-9723-C029780412DB}"/>
    <hyperlink ref="AY481" r:id="rId59" xr:uid="{4D5EFDFD-B50C-4F97-87EB-9874A3E8202D}"/>
    <hyperlink ref="AY482" r:id="rId60" xr:uid="{E59A69C6-D0E5-47AF-8AE0-2408F949C7AF}"/>
    <hyperlink ref="AY483" r:id="rId61" xr:uid="{02842B77-7D68-4ABA-B6CD-59F57C6C625C}"/>
    <hyperlink ref="AY484" r:id="rId62" xr:uid="{3F503DFF-D535-45D4-B9E7-FA1A62960EA7}"/>
    <hyperlink ref="AY485" r:id="rId63" xr:uid="{A99023BF-A038-414E-9770-E927D46E41BC}"/>
    <hyperlink ref="AY486" r:id="rId64" xr:uid="{C1E13AC5-8D75-4655-AEB3-E40EC969569D}"/>
    <hyperlink ref="AZ487" r:id="rId65" xr:uid="{37113F26-2A17-4E4A-ACF8-F3C87EADC49C}"/>
    <hyperlink ref="AY488" r:id="rId66" xr:uid="{275C2DC7-AAE2-4190-8BAB-55B62A37EA64}"/>
    <hyperlink ref="AY489" r:id="rId67" xr:uid="{CCBB51EC-05C0-4D55-8E7F-CFDBB7BAC07B}"/>
    <hyperlink ref="AY490" r:id="rId68" xr:uid="{ADF6A8FD-5A77-4AFA-93C2-A857041E00E0}"/>
    <hyperlink ref="AY491" r:id="rId69" xr:uid="{8D747854-7612-45E1-9CE4-BAD127CE5A64}"/>
    <hyperlink ref="AY492" r:id="rId70" xr:uid="{13B08EE9-2525-49E5-84C5-993D9AD08B37}"/>
    <hyperlink ref="AY493" r:id="rId71" xr:uid="{C307B598-1F6E-45C6-8EBD-5D2E210BF59E}"/>
    <hyperlink ref="AY494" r:id="rId72" xr:uid="{5A7B680D-675C-4779-B466-1FA3ABD6014F}"/>
    <hyperlink ref="AY495" r:id="rId73" xr:uid="{2C5EF202-D130-4B51-95F4-5FE8C3D06691}"/>
    <hyperlink ref="AY496" r:id="rId74" xr:uid="{6733DE7F-396C-4DDA-B82E-E90B6DDB2051}"/>
    <hyperlink ref="AY497" r:id="rId75" xr:uid="{5F34498D-5C60-4B7D-8D82-500C26D7E1B7}"/>
    <hyperlink ref="AY498" r:id="rId76" xr:uid="{AF4A1934-FB46-435C-9F75-3E2168F2E178}"/>
    <hyperlink ref="AY499" r:id="rId77" xr:uid="{8581ABD9-CE98-478A-B62A-D917E362F09B}"/>
    <hyperlink ref="AY500" r:id="rId78" xr:uid="{DB4B89BE-3425-43A9-BFA3-736D1A006C1C}"/>
    <hyperlink ref="AY501" r:id="rId79" xr:uid="{5C70A6B0-988B-4153-ABE2-91DBAA16605C}"/>
    <hyperlink ref="AY502" r:id="rId80" xr:uid="{91E4F6FA-A561-4EC1-ACA9-030881824F77}"/>
    <hyperlink ref="AY474" r:id="rId81" xr:uid="{550CAC5B-FC64-49BF-B6CB-20C8B65E655C}"/>
    <hyperlink ref="AZ474" r:id="rId82" xr:uid="{1FFC1F42-81B7-4EAD-B3BE-E42855CE90A9}"/>
    <hyperlink ref="AY475" r:id="rId83" xr:uid="{B213B043-4EA6-4DA8-AAEF-667611CFA725}"/>
    <hyperlink ref="AY476" r:id="rId84" xr:uid="{7A89159C-FE68-4521-9D12-CEF7215FFEA9}"/>
    <hyperlink ref="AY477" r:id="rId85" xr:uid="{B64FE446-47F8-4222-833E-DB1592F44873}"/>
    <hyperlink ref="AY479" r:id="rId86" xr:uid="{924ECF3C-909A-4427-A905-FD4909046ABD}"/>
    <hyperlink ref="AY480" r:id="rId87" xr:uid="{EFB90551-D05E-4209-A73E-24FA1814A2E2}"/>
    <hyperlink ref="AY503" r:id="rId88" xr:uid="{7EF17D24-384A-48B2-B4FD-7DC902336B01}"/>
    <hyperlink ref="AY504" r:id="rId89" xr:uid="{6812DE61-45F5-49A8-8339-60B588987016}"/>
    <hyperlink ref="AY505" r:id="rId90" xr:uid="{3DE24BD6-0601-4703-8204-344292FA1CE9}"/>
    <hyperlink ref="AY506" r:id="rId91" xr:uid="{421B3CEB-E99F-4F8C-95FB-374070B6838F}"/>
    <hyperlink ref="AY507" r:id="rId92" xr:uid="{DC7183CF-CF0C-43F5-A029-546E5350A11B}"/>
    <hyperlink ref="AY508" r:id="rId93" xr:uid="{BD8C14B2-CF6A-4048-B5B3-4B978900E1E8}"/>
    <hyperlink ref="AY509" r:id="rId94" xr:uid="{B8BFB260-008D-4ECD-8380-A75EFAD8E4C5}"/>
    <hyperlink ref="AY510" r:id="rId95" xr:uid="{CC67045E-D652-42B9-B457-0B2D59D9B14F}"/>
    <hyperlink ref="AY511" r:id="rId96" xr:uid="{25C57E12-3212-44EA-BB2F-A7CF4F49B150}"/>
    <hyperlink ref="AZ511" r:id="rId97" xr:uid="{6994ECCA-AF16-4E3C-BCBE-9CD640370EAB}"/>
    <hyperlink ref="AY512" r:id="rId98" xr:uid="{BAE6A3CF-76F7-43D5-9601-0EE69FD5DB95}"/>
    <hyperlink ref="AY513" r:id="rId99" xr:uid="{8B864F90-72DB-4841-A727-090CA7FC1F8E}"/>
    <hyperlink ref="AY514" r:id="rId100" xr:uid="{17F0EFFB-937E-43EC-A29B-65832557488F}"/>
    <hyperlink ref="AY515" r:id="rId101" xr:uid="{A6402CC5-304B-476D-A0F3-E94012C49567}"/>
    <hyperlink ref="AY516" r:id="rId102" xr:uid="{E481D8E0-BF90-445E-829B-2FF62E9284DF}"/>
    <hyperlink ref="AY517" r:id="rId103" xr:uid="{7F3EF5D3-AE2A-416B-A8CB-F4C8C5FB94C8}"/>
    <hyperlink ref="AY518" r:id="rId104" xr:uid="{537E4358-B4C5-440B-AC42-629B09193AFF}"/>
    <hyperlink ref="AY519" r:id="rId105" xr:uid="{BE6E015B-2C84-49D7-926D-5D4F619F4B7E}"/>
    <hyperlink ref="AY520" r:id="rId106" xr:uid="{BB042047-2DE5-4562-93AB-07B3105B2083}"/>
    <hyperlink ref="AY521" r:id="rId107" xr:uid="{DB33973A-7E4C-45BA-9765-3A0923423F7D}"/>
    <hyperlink ref="AY522" r:id="rId108" xr:uid="{7225189B-C3C8-4672-9338-74A454DD1664}"/>
    <hyperlink ref="AY523" r:id="rId109" xr:uid="{419BC081-7134-47A2-8928-1E3A5EE86A45}"/>
    <hyperlink ref="AY524" r:id="rId110" xr:uid="{564A3C1E-7194-4792-A967-0AADB344CC76}"/>
    <hyperlink ref="AY525" r:id="rId111" xr:uid="{85283299-7E8E-411A-B33C-50BCBE38885B}"/>
    <hyperlink ref="AY526" r:id="rId112" xr:uid="{6E0BED5E-D7BD-4E78-A8AC-59F25DC0F6DC}"/>
    <hyperlink ref="AY527" r:id="rId113" xr:uid="{280B170B-02E2-4A8E-ABED-19A0E19575DF}"/>
    <hyperlink ref="AY528" r:id="rId114" xr:uid="{A2EC29AA-378B-4F15-A525-C9281117A619}"/>
    <hyperlink ref="AZ528" r:id="rId115" xr:uid="{380410CB-90D6-4875-BC35-28ED2F5A82F5}"/>
    <hyperlink ref="AY529" r:id="rId116" xr:uid="{CF90B753-67C9-4229-B269-739CE300392A}"/>
    <hyperlink ref="AY530" r:id="rId117" xr:uid="{EDFA6AE3-C231-4399-B093-F5C35B43D743}"/>
    <hyperlink ref="AY531" r:id="rId118" xr:uid="{651F0CAF-1E54-40C1-8302-19D86B754CCA}"/>
    <hyperlink ref="AY532" r:id="rId119" xr:uid="{7E34116F-5901-4975-AA44-3E0FAB50EB41}"/>
    <hyperlink ref="AY533" r:id="rId120" xr:uid="{9CD38C26-F71C-4FBA-BEF1-9340AE752524}"/>
    <hyperlink ref="AY534" r:id="rId121" xr:uid="{EC443877-488D-4FF6-A89A-B0571D8389C5}"/>
    <hyperlink ref="AY535" r:id="rId122" xr:uid="{E57E1BA5-DF10-44C5-8E0B-F35D382B0C9C}"/>
    <hyperlink ref="AY536" r:id="rId123" xr:uid="{670E8A25-81EA-474B-B487-7A97B2D45812}"/>
    <hyperlink ref="AY537" r:id="rId124" xr:uid="{43BF8AC6-144F-40ED-BA40-80D3FF18A4AA}"/>
    <hyperlink ref="AY538" r:id="rId125" xr:uid="{AC0BDB34-4144-4CA3-8427-7697BBA717C0}"/>
    <hyperlink ref="AY539" r:id="rId126" xr:uid="{DA80C2D9-0301-4E45-8D47-5C25766CE6D0}"/>
    <hyperlink ref="AY540" r:id="rId127" xr:uid="{1C99C7A0-B6B3-48E7-8BD8-5ADB00F00C67}"/>
    <hyperlink ref="AY547" r:id="rId128" xr:uid="{097E3D53-15C2-4F4C-85B5-47FE9EC3B327}"/>
    <hyperlink ref="AY548" r:id="rId129" xr:uid="{17F33B6A-AE95-4B07-8A56-05FD6E8249E4}"/>
    <hyperlink ref="AY549" r:id="rId130" xr:uid="{0F68C4CF-5603-468F-96C7-B3915CCB68A2}"/>
    <hyperlink ref="AY550" r:id="rId131" xr:uid="{F062814A-1D4D-49E3-9363-7FA750C5ED85}"/>
    <hyperlink ref="AZ550" r:id="rId132" xr:uid="{79803673-0587-43B5-892F-B29E8F5F6FAF}"/>
    <hyperlink ref="AY552" r:id="rId133" xr:uid="{EAD430F2-B01B-41B6-84BA-4E6BD46050DC}"/>
    <hyperlink ref="AY553" r:id="rId134" xr:uid="{4CA32724-292C-40DC-8113-FFA81DD2C5A6}"/>
    <hyperlink ref="AY554" r:id="rId135" xr:uid="{E00C372B-00FD-4805-BA44-B943E4479B9C}"/>
    <hyperlink ref="AY555" r:id="rId136" xr:uid="{70FCFCBB-1C4F-4EFD-8B1C-2F86CE69F3AB}"/>
    <hyperlink ref="AY556" r:id="rId137" xr:uid="{365F3491-74B7-4F84-BDCC-9A4F859C9ABC}"/>
    <hyperlink ref="AY557" r:id="rId138" xr:uid="{00E82A7B-FB3A-4570-A004-3A75AEE65924}"/>
    <hyperlink ref="AZ557" r:id="rId139" xr:uid="{1959F18E-7FD0-4AA6-81EC-5F54F433181E}"/>
    <hyperlink ref="AY558" r:id="rId140" xr:uid="{8CA33E83-9995-4415-8ACF-B98C053FFD3C}"/>
    <hyperlink ref="AY559" r:id="rId141" xr:uid="{97E7D42D-67D2-458B-9FE7-8490147B4ED6}"/>
    <hyperlink ref="AY560" r:id="rId142" xr:uid="{8B3EB5A0-90A5-402F-827F-883DDFE9CE2C}"/>
    <hyperlink ref="AY565" r:id="rId143" xr:uid="{3136751E-0262-4A78-B508-F444D47BA952}"/>
    <hyperlink ref="AY566" r:id="rId144" xr:uid="{6CF4C738-AB1A-4693-A839-FCD06DFB729D}"/>
    <hyperlink ref="AY568" r:id="rId145" xr:uid="{D51910CB-3CA1-43A3-8851-9B1F5440C837}"/>
    <hyperlink ref="AY569" r:id="rId146" xr:uid="{0C2C7F67-C532-4BA2-80D5-E035FDCB5F36}"/>
    <hyperlink ref="AY570" r:id="rId147" xr:uid="{5480B80D-D7A7-4C4F-941C-9A66F1EFF96C}"/>
    <hyperlink ref="AZ570" r:id="rId148" xr:uid="{11CACC6F-0F09-406E-8FBE-822013FB7CF9}"/>
    <hyperlink ref="AY571" r:id="rId149" xr:uid="{310D1676-E86E-4040-9C54-7C998D59B55D}"/>
    <hyperlink ref="AY573" r:id="rId150" xr:uid="{70129A10-839D-4CD4-B51D-69DE08BBA077}"/>
    <hyperlink ref="AY541" r:id="rId151" xr:uid="{B393CB44-BA68-4965-B262-9A55873C3AA3}"/>
    <hyperlink ref="AY542" r:id="rId152" xr:uid="{F8CE73C1-5335-4945-BAFD-E27D435C38B8}"/>
    <hyperlink ref="AY543" r:id="rId153" xr:uid="{3EA5E5B5-4773-479D-9CF8-0885AB429F93}"/>
    <hyperlink ref="AY544" r:id="rId154" xr:uid="{C62F2EA4-7897-4FC1-88AB-42C9506FF3D5}"/>
    <hyperlink ref="AY545" r:id="rId155" xr:uid="{C5601383-8329-40EA-B305-8D1EBDE7A099}"/>
    <hyperlink ref="AY546" r:id="rId156" xr:uid="{245157E2-1588-4298-8A56-4B0211CA8597}"/>
    <hyperlink ref="AY551" r:id="rId157" xr:uid="{4F379366-D30D-4003-A1B7-E2381A526CF9}"/>
    <hyperlink ref="AY561" r:id="rId158" xr:uid="{681702B8-FD3B-4876-A3C7-C56164AB18D6}"/>
    <hyperlink ref="AY562" r:id="rId159" xr:uid="{FDEC0EC6-0018-44BB-BD3D-3A5791D1C3B2}"/>
    <hyperlink ref="AY563" r:id="rId160" xr:uid="{3EFE8E4B-3755-4DF9-97E2-C626EEB3E0FD}"/>
    <hyperlink ref="AY564" r:id="rId161" xr:uid="{E6CA30C0-BE2E-4B6E-A82E-65272155330F}"/>
    <hyperlink ref="AY567" r:id="rId162" xr:uid="{4DA959F9-11A1-45E3-9B1F-732EA39A23F5}"/>
    <hyperlink ref="AY574" r:id="rId163" xr:uid="{C411246F-9925-430D-861F-5B854FCA16C9}"/>
    <hyperlink ref="AY575" r:id="rId164" xr:uid="{F33E986E-D534-468F-9B17-B73BA261021A}"/>
    <hyperlink ref="AY576" r:id="rId165" xr:uid="{898B9769-5DA0-43C1-9C57-1918F35421AA}"/>
    <hyperlink ref="AY577" r:id="rId166" xr:uid="{A8F1C41D-2AFD-44DB-A4FD-A1FFFA772CA0}"/>
    <hyperlink ref="AY578" r:id="rId167" xr:uid="{449F63DC-EE7E-44D4-BA6C-547859790A38}"/>
    <hyperlink ref="AY579" r:id="rId168" xr:uid="{5B68E43E-0C0C-45C0-B2AE-D630136BBFC1}"/>
    <hyperlink ref="AY580" r:id="rId169" xr:uid="{BB48DC00-CB6D-46FD-A604-FFC6F9CAB509}"/>
    <hyperlink ref="AY581" r:id="rId170" xr:uid="{2FE39843-EA32-44D0-A3E2-D2F603BD7CAC}"/>
    <hyperlink ref="AY582" r:id="rId171" xr:uid="{3E85AC1B-6137-4A5C-A291-95CCA8A721B5}"/>
    <hyperlink ref="AY583" r:id="rId172" xr:uid="{D23070BA-6618-4988-8AF7-64171CC11393}"/>
    <hyperlink ref="AY584" r:id="rId173" xr:uid="{29FEC2D4-0F97-4DC2-B447-5B7F0790B060}"/>
    <hyperlink ref="AY585" r:id="rId174" xr:uid="{ED675687-75BA-4767-87E6-965012E498E8}"/>
    <hyperlink ref="AY586" r:id="rId175" xr:uid="{7F90335F-8898-4ACE-BFC4-E08C990BEE74}"/>
    <hyperlink ref="AY587" r:id="rId176" xr:uid="{A0A9E227-E517-401B-AF0B-CB32AAA98BC0}"/>
    <hyperlink ref="AY588" r:id="rId177" xr:uid="{36AD2B53-90D7-41F4-A31D-FB20C89CCEBA}"/>
    <hyperlink ref="AY589" r:id="rId178" xr:uid="{AF631AD4-2266-4C61-9A9E-FEB0CE33F248}"/>
    <hyperlink ref="AY590" r:id="rId179" xr:uid="{82959BE9-9F01-4E57-9199-0D73C0036034}"/>
    <hyperlink ref="AZ590" r:id="rId180" xr:uid="{542B1B79-A3C5-4419-AEF0-0BDA2CDEBBA3}"/>
    <hyperlink ref="AY591" r:id="rId181" xr:uid="{81CBADC3-D0EB-4B35-9F66-69575892EB57}"/>
    <hyperlink ref="AY592" r:id="rId182" xr:uid="{C7FD0D64-0255-4769-82E2-8B79412FDF7B}"/>
    <hyperlink ref="AY593" r:id="rId183" xr:uid="{221F6E0E-81F4-4492-8C2D-EF73CF1CDC00}"/>
    <hyperlink ref="AY594" r:id="rId184" xr:uid="{3BCB44C8-FD32-420B-BDB3-841D5D4314A3}"/>
    <hyperlink ref="AY595" r:id="rId185" xr:uid="{03151A0B-8177-4E43-B0BC-901CC325550C}"/>
    <hyperlink ref="AY596" r:id="rId186" xr:uid="{AA6E7083-A3F9-4D17-8935-F48C2679B01A}"/>
    <hyperlink ref="AY597" r:id="rId187" xr:uid="{403E32C6-2CBA-4C82-882A-3566C92377FA}"/>
    <hyperlink ref="AZ597" r:id="rId188" xr:uid="{83FEDBB0-9715-4C3C-A808-9267ECBFF4AC}"/>
    <hyperlink ref="AY598" r:id="rId189" xr:uid="{8BBE419D-4960-4ADC-8EA3-124944D63798}"/>
    <hyperlink ref="AZ598" r:id="rId190" xr:uid="{0713AAE8-15DE-4BE4-AD45-6301541AE5CA}"/>
    <hyperlink ref="AY599" r:id="rId191" xr:uid="{E089FD91-0E33-48A7-873C-FF01AC80087B}"/>
    <hyperlink ref="AZ599" r:id="rId192" xr:uid="{3B1041EE-7CD7-429B-AA21-5C6584B6012C}"/>
    <hyperlink ref="AY600" r:id="rId193" xr:uid="{AD973546-14ED-42B2-AA31-43816DD6A87E}"/>
    <hyperlink ref="AZ600" r:id="rId194" xr:uid="{D92FFAAF-E985-4C83-81CB-E8CC4BF4C3DD}"/>
    <hyperlink ref="AY601" r:id="rId195" xr:uid="{8774079A-AE69-413F-A502-7DC00272981E}"/>
    <hyperlink ref="AZ601" r:id="rId196" xr:uid="{DF3CF1E8-2095-49A6-BCE4-FC1E2140BD38}"/>
    <hyperlink ref="AY602" r:id="rId197" xr:uid="{4B3B6C82-18C4-44EE-80DF-11453990883A}"/>
    <hyperlink ref="AZ602" r:id="rId198" xr:uid="{5CC7981B-06A9-4782-AC42-825A4C69C187}"/>
    <hyperlink ref="AY603" r:id="rId199" xr:uid="{2E2C1A45-1A17-48A4-8E10-46B9005DE774}"/>
    <hyperlink ref="AY604" r:id="rId200" xr:uid="{426C4CB3-CB2A-4F10-8526-AA7FB8C63044}"/>
    <hyperlink ref="AY605" r:id="rId201" xr:uid="{3E37EC72-3495-4BBB-800F-D40620F1F97B}"/>
    <hyperlink ref="AY606" r:id="rId202" xr:uid="{07CA686B-E74E-4B81-9A95-16ADE0F2C560}"/>
    <hyperlink ref="AY607" r:id="rId203" xr:uid="{38A1327C-F2D6-4434-AF1D-DF58E8C920D7}"/>
    <hyperlink ref="AY608" r:id="rId204" xr:uid="{0EC9B193-8BD5-4944-A37A-D809D05D071C}"/>
    <hyperlink ref="AY609" r:id="rId205" xr:uid="{4C2B2854-9014-4772-ABFF-FC4DE5F206CB}"/>
    <hyperlink ref="AY610" r:id="rId206" xr:uid="{343D2A6F-DD0E-459B-B92E-D6140B283D9F}"/>
    <hyperlink ref="AY611" r:id="rId207" xr:uid="{360483B2-4D9B-4D26-A39D-1A5231B2B345}"/>
    <hyperlink ref="AY612" r:id="rId208" xr:uid="{AD817ACF-D9EB-42FD-83C6-31CEA1522CF9}"/>
    <hyperlink ref="AY613" r:id="rId209" xr:uid="{6528684E-D034-41F6-81C7-64FED79D6291}"/>
    <hyperlink ref="AY657" r:id="rId210" xr:uid="{C981E3A3-2A3E-492F-BBD3-550275A14FA1}"/>
    <hyperlink ref="AZ657" r:id="rId211" xr:uid="{EF8F2DB5-3C9B-44FB-BC6B-9A856B0375EF}"/>
    <hyperlink ref="BA657" r:id="rId212" xr:uid="{CF21BC43-32B3-4BA2-861A-ED1B9F424A63}"/>
    <hyperlink ref="BA658" r:id="rId213" xr:uid="{68C5F740-AE90-4DEF-9D77-A424B162BF24}"/>
    <hyperlink ref="AY659" r:id="rId214" xr:uid="{DD0A452F-4460-42F3-91CB-F6BA33F1F112}"/>
    <hyperlink ref="AZ659" r:id="rId215" xr:uid="{4A2B4254-FF14-47BD-880C-588C8C74A300}"/>
    <hyperlink ref="AZ660" r:id="rId216" xr:uid="{DD29F4B1-8744-48BC-AA76-B5E88FB09F30}"/>
    <hyperlink ref="AY661" r:id="rId217" xr:uid="{E1CC7085-CAD7-48E4-82D1-0E0188511B6B}"/>
    <hyperlink ref="AZ662" r:id="rId218" xr:uid="{84E722AF-B21D-4A51-A0F9-66F448ED0569}"/>
    <hyperlink ref="BA662" r:id="rId219" xr:uid="{CC231DD3-06D0-40EF-92D7-9D18976F4293}"/>
    <hyperlink ref="AY663" r:id="rId220" xr:uid="{73003008-6A09-4C51-83AF-E476E46919FE}"/>
    <hyperlink ref="AY665" r:id="rId221" xr:uid="{AE888F1F-AE20-4447-9E70-862530ED77FC}"/>
    <hyperlink ref="AY668" r:id="rId222" xr:uid="{69F360A3-9CE0-4C87-BD22-CA17E5BB8649}"/>
    <hyperlink ref="AY687" r:id="rId223" xr:uid="{390728B3-2D42-4CB3-8C96-BF3A9599B6B6}"/>
    <hyperlink ref="AY688" r:id="rId224" xr:uid="{991D93D5-5B0F-4BF6-9D24-ACE16A32DF9B}"/>
    <hyperlink ref="AY692" r:id="rId225" xr:uid="{67777975-6C40-4A52-A273-AF29D9B218C0}"/>
    <hyperlink ref="AZ692" r:id="rId226" xr:uid="{AA2C9659-F6A3-49E2-91D0-43633F30CB5D}"/>
    <hyperlink ref="BA692" r:id="rId227" xr:uid="{FA1330DE-1268-4E87-844F-1A9A8096B997}"/>
    <hyperlink ref="AY700" r:id="rId228" xr:uid="{6731E0BD-9EA7-4D8D-8F86-3E3244F195E0}"/>
    <hyperlink ref="AY723" r:id="rId229" xr:uid="{4C0F12D9-0816-4F7B-ACBF-0699E4CE09B7}"/>
    <hyperlink ref="AZ736" r:id="rId230" xr:uid="{E1D4FE5C-25B1-48E1-A278-84254C9037F1}"/>
    <hyperlink ref="AY768" r:id="rId231" xr:uid="{9F23EF49-91E9-4189-89C3-05F9B009D4DF}"/>
    <hyperlink ref="AY714" r:id="rId232" xr:uid="{1716203B-BC14-4022-BC41-32E30CA20322}"/>
    <hyperlink ref="AZ714" r:id="rId233" xr:uid="{B413F56D-76F5-4610-B699-90E3C3F20CDD}"/>
    <hyperlink ref="AY725" r:id="rId234" xr:uid="{CD6723B8-6AEA-4E1B-BD69-7D600A0300F5}"/>
    <hyperlink ref="AY713" r:id="rId235" xr:uid="{EA03A5AF-7333-474F-ABEB-CBB5A37A173B}"/>
    <hyperlink ref="AZ713" r:id="rId236" xr:uid="{C6EF955F-31A1-4C0B-9581-F4F260A3EF4A}"/>
    <hyperlink ref="BA713" r:id="rId237" xr:uid="{A47180A4-E432-423D-BEB8-22012B46B611}"/>
    <hyperlink ref="AY724" r:id="rId238" xr:uid="{BDACDED2-BC20-42FD-9D20-8C44C21EE97D}"/>
    <hyperlink ref="AY726" r:id="rId239" xr:uid="{390BB9B3-FB0C-4072-9202-86771EFBC51D}"/>
    <hyperlink ref="AY772" r:id="rId240" xr:uid="{67AEE225-4C5E-48D8-981D-DAA778A9FC94}"/>
    <hyperlink ref="AY733" r:id="rId241" xr:uid="{56846C3B-7291-4CE6-9453-1BC42CC0E36C}"/>
    <hyperlink ref="AY763" r:id="rId242" xr:uid="{221B877A-07D2-4CAC-8F56-16D2EC9C958A}"/>
    <hyperlink ref="AY745" r:id="rId243" xr:uid="{2A24148E-F2FC-4ABB-AD88-B306CD8CD3E4}"/>
    <hyperlink ref="AY737" r:id="rId244" xr:uid="{C6FB4C22-8DC8-48BC-8B4C-11071109FA4B}"/>
    <hyperlink ref="AY748" r:id="rId245" xr:uid="{30AFE7DF-7E85-4056-8C7F-7377C58C18A5}"/>
    <hyperlink ref="AY799" r:id="rId246" xr:uid="{7FD3EF52-9C24-4D8F-B072-E29B9CA30255}"/>
    <hyperlink ref="AZ799" r:id="rId247" xr:uid="{159450C4-84EE-4520-917B-8B06B5B2DE9C}"/>
    <hyperlink ref="AY800" r:id="rId248" xr:uid="{0554A3C8-89E4-4F37-B620-8C89321A23ED}"/>
    <hyperlink ref="AZ800" r:id="rId249" xr:uid="{1780024A-008F-4ED3-BD94-AAD0033E6039}"/>
    <hyperlink ref="AY801" r:id="rId250" xr:uid="{A48F2266-5D7B-4621-8850-48ABDBD2F6A5}"/>
    <hyperlink ref="AZ801" r:id="rId251" xr:uid="{D3BEC6DD-0A4A-48EF-B3A8-E58AD0342C94}"/>
    <hyperlink ref="AY802" r:id="rId252" xr:uid="{423CCA40-D844-4517-8EFB-96550ECE31AB}"/>
    <hyperlink ref="AZ802" r:id="rId253" xr:uid="{48961B5D-13C4-4C44-9714-376832DD1899}"/>
    <hyperlink ref="AY803" r:id="rId254" xr:uid="{DE9B28B4-C12C-4F55-81A4-25FA41955CEB}"/>
    <hyperlink ref="AZ803" r:id="rId255" xr:uid="{12660CB1-0C5B-4A58-B709-9CC5BC5F014D}"/>
    <hyperlink ref="AY804" r:id="rId256" xr:uid="{28CF54C8-D8F9-4FFB-8F09-CBE93AC297C7}"/>
    <hyperlink ref="AZ804" r:id="rId257" xr:uid="{2A9D6985-D905-4629-B8C6-0AB2A7422713}"/>
    <hyperlink ref="AY805" r:id="rId258" xr:uid="{C47B0C0A-DC99-41FD-A52E-CA6280AF867F}"/>
    <hyperlink ref="AY806" r:id="rId259" xr:uid="{B98AC2AF-C47D-4AD1-8901-A84848065BE9}"/>
    <hyperlink ref="AY807" r:id="rId260" xr:uid="{5629BEC1-54DC-44DE-B20A-E0A0828BBFA6}"/>
    <hyperlink ref="AZ807" r:id="rId261" xr:uid="{D2F9663A-EFC8-4B39-A40F-C38B8C5714AF}"/>
    <hyperlink ref="BA807" r:id="rId262" xr:uid="{525685A5-0815-4EED-A465-F9DF727E2788}"/>
    <hyperlink ref="AY808" r:id="rId263" xr:uid="{27B42B16-0FEB-4FC7-8D68-792FBD0E4E8B}"/>
    <hyperlink ref="AZ808" r:id="rId264" xr:uid="{2420DC3A-DFA0-41F0-AD7E-0B2AE7AC7DD0}"/>
    <hyperlink ref="AY809" r:id="rId265" xr:uid="{2523C50D-5E87-4018-96EA-18C690CB6A70}"/>
    <hyperlink ref="AY810" r:id="rId266" xr:uid="{5CBD4D92-5E50-42ED-BD55-1798422475B7}"/>
    <hyperlink ref="AZ810" r:id="rId267" xr:uid="{86807FB9-36C3-4520-9CB1-FD32F7F24074}"/>
    <hyperlink ref="BA810" r:id="rId268" xr:uid="{7549B321-A8C9-422D-9719-67C35F9A0B81}"/>
    <hyperlink ref="AY811" r:id="rId269" xr:uid="{9BEE1EDE-7678-49AE-B329-08EFB167A792}"/>
    <hyperlink ref="AZ811" r:id="rId270" xr:uid="{E3B253DD-C89A-475A-8378-D9B4860CC068}"/>
    <hyperlink ref="BA811" r:id="rId271" xr:uid="{4BC340F8-AB21-49E9-9EE7-77EABB6BF225}"/>
    <hyperlink ref="AY812" r:id="rId272" xr:uid="{A9E2D4C2-14C7-4A7A-B27D-31F621E7C9B1}"/>
    <hyperlink ref="AZ812" r:id="rId273" xr:uid="{3C4F1B73-8ADE-431F-8038-B33E45D21E56}"/>
    <hyperlink ref="AY813" r:id="rId274" xr:uid="{AECB190B-E605-418A-8256-5D62792FABEF}"/>
    <hyperlink ref="AY814" r:id="rId275" xr:uid="{413B3F7A-9E9E-41CA-A13E-AFACCE3AD321}"/>
    <hyperlink ref="AY815" r:id="rId276" xr:uid="{EE90078C-DC7E-4574-9992-A7A1659041CA}"/>
    <hyperlink ref="AZ815" r:id="rId277" xr:uid="{C8077EA6-E55B-4E13-A650-D6B206ACFB9C}"/>
    <hyperlink ref="AY816" r:id="rId278" xr:uid="{C95C313E-A1F5-40AC-84EF-EDAF0E8D9F4B}"/>
    <hyperlink ref="AY817" r:id="rId279" xr:uid="{F1AC14C9-E34F-4B3F-91D7-91838FAEE5C1}"/>
    <hyperlink ref="AY818" r:id="rId280" xr:uid="{9B41B1FC-1C75-4CB2-B3FD-3B4F1A3DC7EB}"/>
    <hyperlink ref="AZ818" r:id="rId281" xr:uid="{085989E7-BBDC-44D2-B87D-18C1B4FAE7DC}"/>
    <hyperlink ref="AY819" r:id="rId282" xr:uid="{AFF488C5-8158-4341-86BA-705E577171D1}"/>
    <hyperlink ref="AZ819" r:id="rId283" xr:uid="{BB4CC4C4-71DB-4752-9C64-B2C7C700268F}"/>
    <hyperlink ref="AY820" r:id="rId284" xr:uid="{B7AA56C1-889F-48FD-B3B2-245F1F2DA1E7}"/>
    <hyperlink ref="AY821" r:id="rId285" xr:uid="{10B2EBD6-3F34-44BD-BF2F-5EA2DC56CC76}"/>
    <hyperlink ref="AY822" r:id="rId286" xr:uid="{B62B2B48-FB33-4E60-86DB-50A8E8F7A6DA}"/>
    <hyperlink ref="AY823" r:id="rId287" xr:uid="{CC7C57A8-D940-42B9-B50D-5CD87506B233}"/>
    <hyperlink ref="AZ823" r:id="rId288" xr:uid="{08A1158A-8AEA-4A7D-9353-9666EFB31E0C}"/>
    <hyperlink ref="BA823" r:id="rId289" xr:uid="{74AF09EA-3D5D-4866-B21F-996AFBE6354F}"/>
    <hyperlink ref="AY824" r:id="rId290" xr:uid="{2B15C0F3-A0F4-4949-A304-202627A84321}"/>
    <hyperlink ref="AZ824" r:id="rId291" xr:uid="{572C1508-0053-4FE6-ACB0-6A4C2B8B49C2}"/>
    <hyperlink ref="BA824" r:id="rId292" xr:uid="{9B88C68D-296E-47CF-AC88-72FE060B4086}"/>
    <hyperlink ref="AY825" r:id="rId293" xr:uid="{3D1753B3-E881-4E4F-AB9D-2A9525EAECAE}"/>
    <hyperlink ref="AZ825" r:id="rId294" xr:uid="{8DEBED6D-2AAA-4364-81C6-6706B4F5DC01}"/>
    <hyperlink ref="BA825" r:id="rId295" xr:uid="{2D66EDD3-2142-4129-8379-78F3839DE0FE}"/>
    <hyperlink ref="AY826" r:id="rId296" xr:uid="{88D5C683-8839-4589-80FD-FB6EC9BFCDCC}"/>
    <hyperlink ref="AZ826" r:id="rId297" xr:uid="{A8595D99-5E94-46F8-AE36-3EEE3B1EBFD5}"/>
    <hyperlink ref="BA826" r:id="rId298" xr:uid="{1136728E-23D5-46A1-BB2D-689E4F759C06}"/>
    <hyperlink ref="AY827" r:id="rId299" xr:uid="{06637119-AE62-457E-B986-27C8AE7CFA51}"/>
    <hyperlink ref="AY828" r:id="rId300" xr:uid="{2439CBD3-3D2A-47B4-AA14-6EB5CB46D1EA}"/>
    <hyperlink ref="AY829" r:id="rId301" xr:uid="{07FB693B-D75B-4752-BEBF-E02F08317AC1}"/>
    <hyperlink ref="AY830" r:id="rId302" xr:uid="{6C59EB96-184E-48D2-A6E0-8BA59A984146}"/>
    <hyperlink ref="AY831" r:id="rId303" xr:uid="{6A012F51-5C5C-4295-BAD5-15C8E65143F4}"/>
    <hyperlink ref="AY832" r:id="rId304" xr:uid="{046CE53D-6A86-46BF-A8C2-929E2AC1B970}"/>
    <hyperlink ref="AY833" r:id="rId305" xr:uid="{3D3B5E24-557C-4226-84D2-579F1426B8DE}"/>
    <hyperlink ref="AY834" r:id="rId306" xr:uid="{ABE17E21-5BF7-4D58-9927-F0F015B6A1B0}"/>
    <hyperlink ref="AZ834" r:id="rId307" xr:uid="{F6D5A12C-C1F1-4EDE-8639-8A2EC44253B1}"/>
    <hyperlink ref="AY835" r:id="rId308" xr:uid="{30BAC547-FD1E-46ED-A251-476A70A1C93F}"/>
    <hyperlink ref="AZ845" r:id="rId309" display="https://dicod.hosting.augure.com/Augure_Dicod/r/ContenuEnLigne/Download?id=90F4C2B0-BC1E-433E-9BDD-FE7F0F53B281&amp;filename=Communiqu%C3%A9_%20La%20Direction%20g%C3%A9n%C3%A9rale%20de%20l%E2%80%99armement%20a%20command%C3%A9%20109%20Canons%20Caesar%20de%20nouvelle%20g%C3%A9n%C3%A9ration%20%28Mk%20II%29.pdf" xr:uid="{22A84FF6-612D-40C4-BF25-B8F327217E2C}"/>
    <hyperlink ref="AZ847" r:id="rId310" xr:uid="{D8C88EBC-A622-48E0-AC02-C18A5A008BBB}"/>
    <hyperlink ref="AY5" r:id="rId311" xr:uid="{CAA6BB56-3AE3-45DA-A567-3303CD3A380F}"/>
    <hyperlink ref="AZ5" r:id="rId312" xr:uid="{D71D13C9-AE83-4B23-A44D-0D258869DCE7}"/>
    <hyperlink ref="AY7" r:id="rId313" xr:uid="{7FBCA702-CD71-4D95-A880-7717887A3FFC}"/>
    <hyperlink ref="AZ7" r:id="rId314" xr:uid="{DBBD5FA7-C1B3-48BE-B395-842491563184}"/>
    <hyperlink ref="AY139" r:id="rId315" xr:uid="{AF86D128-A8E2-4BFB-9981-05C669813A3D}"/>
    <hyperlink ref="AZ139" r:id="rId316" xr:uid="{4128548F-ED44-41C1-88BA-B4B144305FC4}"/>
    <hyperlink ref="BA139" r:id="rId317" xr:uid="{87E83AF2-7CA7-4CF8-A9B4-8A3B4380F234}"/>
    <hyperlink ref="AY240" r:id="rId318" xr:uid="{07264DD6-1945-4DDE-824A-97204E95C3C3}"/>
    <hyperlink ref="AY241" r:id="rId319" xr:uid="{E942F9F7-ED63-4A2F-88C7-836EA96A377C}"/>
    <hyperlink ref="AZ241" r:id="rId320" xr:uid="{1DB95581-553B-4526-A86B-21C37F1DE27A}"/>
    <hyperlink ref="BA241" r:id="rId321" xr:uid="{8AD43F79-14D0-4D0E-90AB-8CE2E5DBB394}"/>
    <hyperlink ref="AY244" r:id="rId322" xr:uid="{0192E814-87B0-48CB-929A-C3BD693A0A3E}"/>
    <hyperlink ref="AZ244" r:id="rId323" xr:uid="{A96E1287-5356-4930-8D27-CE6E0999D519}"/>
    <hyperlink ref="AY248" r:id="rId324" xr:uid="{9295128C-9C65-4512-88F1-050A706B26CC}"/>
    <hyperlink ref="AZ248" r:id="rId325" xr:uid="{030BAD08-BF09-4F33-9A54-A42DC8035F23}"/>
    <hyperlink ref="AY257" r:id="rId326" xr:uid="{601E868C-3B98-4989-8A6D-AA682CBA02CE}"/>
    <hyperlink ref="AY261" r:id="rId327" xr:uid="{433BDE5A-1F82-48F1-8BB5-013FFC27FCA8}"/>
    <hyperlink ref="AY264" r:id="rId328" xr:uid="{AE33DEAE-939A-48C2-89C2-EE1861E0D787}"/>
    <hyperlink ref="AZ273" r:id="rId329" xr:uid="{6ED56DBB-2ABF-43F1-8E78-75069260EFDA}"/>
    <hyperlink ref="AY303" r:id="rId330" xr:uid="{1D85A34D-BDFE-45FB-9E76-EDF281346433}"/>
    <hyperlink ref="AZ304" r:id="rId331" xr:uid="{378B4C93-5510-438E-9332-A129E712907F}"/>
    <hyperlink ref="AY306" r:id="rId332" xr:uid="{8968F118-8D5D-47B4-B050-6415C92EAC21}"/>
    <hyperlink ref="AY755" r:id="rId333" xr:uid="{5D464342-372C-48EE-B13D-5D24951143D5}"/>
    <hyperlink ref="AY769" r:id="rId334" xr:uid="{7787C921-6BBD-48EF-9DEB-E06449C4C819}"/>
    <hyperlink ref="AY727" r:id="rId335" xr:uid="{4FBD86AB-1BF8-41C3-9026-6204F0712D53}"/>
    <hyperlink ref="AZ836" r:id="rId336" xr:uid="{310BDC81-D578-4F29-90AC-CE3033644866}"/>
    <hyperlink ref="AY836" r:id="rId337" display="https://www.budget.gouv.fr/documentation/file-download/18462" xr:uid="{54E8BB49-E4DE-4C71-83E7-7ADE454164D4}"/>
    <hyperlink ref="AY837:AY844" r:id="rId338" display="https://www.budget.gouv.fr/documentation/file-download/18462" xr:uid="{2487887B-9CF6-48E8-ACFC-EE73EBB08C55}"/>
    <hyperlink ref="AY845" r:id="rId339" xr:uid="{F35A32C0-62CE-4164-A142-7AFCFA578B9B}"/>
    <hyperlink ref="AZ837" r:id="rId340" xr:uid="{794111AD-0E2B-4542-9817-312AB59203AA}"/>
    <hyperlink ref="BA845" r:id="rId341" xr:uid="{2F8D582B-2F4C-4CC6-A6FA-B4CA0900B43D}"/>
    <hyperlink ref="AZ838" r:id="rId342" xr:uid="{D281A60E-582A-481A-9D22-028DAEE92246}"/>
    <hyperlink ref="BA839" r:id="rId343" xr:uid="{EC73B214-DB4A-4285-A565-80F17A6320D2}"/>
    <hyperlink ref="AZ840" r:id="rId344" xr:uid="{C9E48041-2D3B-4675-ACAA-3860D92F9190}"/>
    <hyperlink ref="BA840" r:id="rId345" xr:uid="{A5EB43E6-1D89-44BF-B09C-835F4A18F1B6}"/>
    <hyperlink ref="BA836" r:id="rId346" xr:uid="{594FE4BE-4B7F-47BA-B200-19172741EE38}"/>
    <hyperlink ref="AZ839" r:id="rId347" display="https://dicod.hosting.augure.com/Augure_Dicod/r/ContenuEnLigne/Download?id=6EE66B0F-C115-4A69-8F24-4A450DF7480D&amp;filename=Communiqu%C3%A9_La%20Direction%20g%C3%A9n%C3%A9rale%20de%20l%E2%80%99armement%20commande%20la%20modernisation%20du%20porte-avions%20Charles%20de%20Gaulle.pdf" xr:uid="{160764D8-0591-4710-B12C-A319D43FDFD6}"/>
    <hyperlink ref="AY846" r:id="rId348" display="https://www.budget.gouv.fr/documentation/file-download/18462" xr:uid="{97040F34-7135-4328-9F8F-38065C7A6FAF}"/>
    <hyperlink ref="AZ854" r:id="rId349" xr:uid="{A004EE70-60F5-49A1-A319-02DA270D8477}"/>
    <hyperlink ref="BA854" r:id="rId350" xr:uid="{A2D6B8B7-4D41-499D-A2E4-BB2308E1A066}"/>
    <hyperlink ref="AZ866" r:id="rId351" xr:uid="{0265C65B-D38C-441D-9734-C790F779AEBC}"/>
    <hyperlink ref="AY2" r:id="rId352" xr:uid="{A06AF32B-F59A-4CA6-948D-4C9E9CCE70A4}"/>
    <hyperlink ref="AZ2" r:id="rId353" xr:uid="{C9C20C27-0A2B-45C6-857E-F4B0057BA833}"/>
    <hyperlink ref="AY3" r:id="rId354" xr:uid="{7AAE0FC4-0D93-4D3B-9CE5-5A4E64AF21D4}"/>
    <hyperlink ref="AZ3" r:id="rId355" xr:uid="{C9A26BCC-5D55-4973-925F-CE0EB520FD58}"/>
    <hyperlink ref="BA3" r:id="rId356" xr:uid="{8B0EFE1A-5149-4E8D-AE7C-0F09B4AA51C3}"/>
    <hyperlink ref="AY4" r:id="rId357" xr:uid="{8161516D-5457-4762-8C6B-C316105706C3}"/>
    <hyperlink ref="AZ4" r:id="rId358" xr:uid="{96A005D6-9D3F-4C09-A9D3-E15C1AD2DAA0}"/>
    <hyperlink ref="AY6" r:id="rId359" xr:uid="{752876F1-DE8A-4671-B78C-F42D98D7EE37}"/>
    <hyperlink ref="AZ6" r:id="rId360" xr:uid="{9AE6D0DE-CA8C-4723-87B4-9BBC4B4DB7F6}"/>
    <hyperlink ref="BA6" r:id="rId361" xr:uid="{EA4E8016-8E8F-45AA-B4E0-D375F203100C}"/>
    <hyperlink ref="AY232" r:id="rId362" xr:uid="{80CEB912-986B-4369-BA11-4D4DA992486C}"/>
    <hyperlink ref="AZ232" r:id="rId363" xr:uid="{DA9843EE-9AA9-4657-B382-6E4605C6251D}"/>
    <hyperlink ref="AZ240" r:id="rId364" xr:uid="{8412866B-FA99-4B4B-BE60-EF53517BB493}"/>
    <hyperlink ref="AY256" r:id="rId365" xr:uid="{B754B46E-73EB-4035-87A3-B3394FAFC448}"/>
    <hyperlink ref="AZ256" r:id="rId366" xr:uid="{C0B89CE0-463B-4E7C-B756-22FB28BE8433}"/>
    <hyperlink ref="AZ261" r:id="rId367" xr:uid="{16011755-91E5-4D03-8AE0-D1951A2FDAD2}"/>
    <hyperlink ref="AZ265" r:id="rId368" xr:uid="{EF61CFB9-7474-4D71-A9BB-D7842059E975}"/>
    <hyperlink ref="AZ268" r:id="rId369" xr:uid="{AAE04501-610B-437B-ABA0-713EABD6C78E}"/>
    <hyperlink ref="AZ303" r:id="rId370" xr:uid="{0307DD40-814E-4CAE-A1FF-461B410B92CF}"/>
    <hyperlink ref="AY304" r:id="rId371" xr:uid="{8E6AEA22-B9D5-4FCF-B68C-229DEBBB933A}"/>
    <hyperlink ref="AY305" r:id="rId372" xr:uid="{B4D33DD4-A813-4F49-B3C2-B9BE227B6196}"/>
    <hyperlink ref="AZ305" r:id="rId373" xr:uid="{8FF5869F-9FB8-4C68-ABBE-40F11FE9124E}"/>
    <hyperlink ref="BA268" r:id="rId374" xr:uid="{D9505E4D-1145-40B0-9D14-33AAA8E96694}"/>
    <hyperlink ref="AZ269" r:id="rId375" xr:uid="{9E7E2487-2670-43E3-99D9-3D7E4F8F00BB}"/>
    <hyperlink ref="AZ270" r:id="rId376" xr:uid="{A9B4DE3A-71BE-46BB-9CA3-15ACCFA01BBA}"/>
    <hyperlink ref="AZ271" r:id="rId377" xr:uid="{C4FD91D3-2FBF-4BDE-A90D-9C45D022ACE9}"/>
    <hyperlink ref="AZ272" r:id="rId378" xr:uid="{03A86B78-1405-4606-9073-06F2B329B72D}"/>
    <hyperlink ref="AZ274" r:id="rId379" xr:uid="{780DABB0-2B75-4390-8B7A-A92EB6B5EE19}"/>
    <hyperlink ref="AZ275" r:id="rId380" xr:uid="{FE59EE7A-4447-445E-99B5-C4DB11CF8027}"/>
    <hyperlink ref="AZ276" r:id="rId381" xr:uid="{5758C43E-3A38-44CD-84C3-D4F4803FFB75}"/>
    <hyperlink ref="AZ282" r:id="rId382" xr:uid="{54B9BC14-9E96-475B-A512-A2B64C4EB4DA}"/>
    <hyperlink ref="AZ283" r:id="rId383" xr:uid="{3DC816D0-E6E2-4598-B9CA-0EE9C9AE56CA}"/>
    <hyperlink ref="AZ284" r:id="rId384" xr:uid="{144DEE14-AB43-4D04-B5AE-40AFE50A0D24}"/>
    <hyperlink ref="AZ285" r:id="rId385" xr:uid="{290D7267-CC6F-4B66-B5FF-9D993F560B97}"/>
    <hyperlink ref="AZ286" r:id="rId386" xr:uid="{C61F4125-BB19-40A1-A191-1D7E7D47FE97}"/>
    <hyperlink ref="AZ289" r:id="rId387" xr:uid="{65895250-7DD6-4B65-9534-9CA6313AF31A}"/>
    <hyperlink ref="AZ287" r:id="rId388" xr:uid="{42F87D2A-8043-4CF9-A697-C9DE7FF32B25}"/>
    <hyperlink ref="AZ288" r:id="rId389" xr:uid="{760BFF6A-63F6-4FCB-AE08-FCD0A0BBAF76}"/>
    <hyperlink ref="AZ290" r:id="rId390" xr:uid="{B249C9D8-C6B5-457D-97DB-942F18955033}"/>
    <hyperlink ref="AZ291" r:id="rId391" xr:uid="{45A04616-5BD7-46C0-B6A8-A9BDBA94ED92}"/>
    <hyperlink ref="AZ292" r:id="rId392" xr:uid="{73E4C987-0257-492A-BEF0-6E23B9326447}"/>
    <hyperlink ref="AZ293" r:id="rId393" xr:uid="{0D5519AE-786E-4329-9B05-49E332184A54}"/>
    <hyperlink ref="AZ294" r:id="rId394" xr:uid="{8F82920C-E734-462D-8FE1-6ED9C82BB5FA}"/>
    <hyperlink ref="AZ295" r:id="rId395" xr:uid="{FF5F2C47-D85C-4267-8C4E-6AA10DA4D4C1}"/>
    <hyperlink ref="AZ296" r:id="rId396" xr:uid="{B778180B-E481-450A-8097-4DC1EA81A1C7}"/>
    <hyperlink ref="AZ297" r:id="rId397" xr:uid="{AB8009DB-6331-4206-BF40-D16F9D006109}"/>
    <hyperlink ref="AZ298" r:id="rId398" xr:uid="{9D574E11-94FF-4830-B7F7-08C7266AEBAB}"/>
    <hyperlink ref="AZ299" r:id="rId399" xr:uid="{D9DACC48-89B0-4489-A0B0-FE2E42AAE1D8}"/>
    <hyperlink ref="AZ300" r:id="rId400" xr:uid="{A4A45A7E-F7B1-4522-8AC9-29EA2B0ECAA2}"/>
    <hyperlink ref="AZ301" r:id="rId401" xr:uid="{AD458B22-D46C-48D8-8714-3A0488343133}"/>
    <hyperlink ref="AZ302" r:id="rId402" xr:uid="{30FD04EE-4C68-45BE-8FF9-83F3279A6FEE}"/>
    <hyperlink ref="BA303" r:id="rId403" xr:uid="{01EDDFEA-339F-42A9-85EB-700EBE430E69}"/>
    <hyperlink ref="BA304" r:id="rId404" xr:uid="{019195C6-F0C1-4CB5-B288-6AA907E590DC}"/>
    <hyperlink ref="AY307" r:id="rId405" xr:uid="{8A7C77B8-BF7B-4A8B-A031-19755CA1896A}"/>
    <hyperlink ref="AZ307" r:id="rId406" xr:uid="{288B43BC-A4D7-4D56-92B0-AF0F6C0D72DA}"/>
    <hyperlink ref="BA308" r:id="rId407" xr:uid="{7EFD7DB4-0BB8-40B4-974B-87EF812F44D5}"/>
    <hyperlink ref="AY658" r:id="rId408" xr:uid="{F092C056-2019-4776-80A4-8E92F9237F4C}"/>
    <hyperlink ref="AZ658" r:id="rId409" xr:uid="{C769CEDF-3FCD-4723-AAB4-50E04D62B4F4}"/>
    <hyperlink ref="AY660" r:id="rId410" xr:uid="{B5A7E64E-B95E-4DE7-A0FC-C56B3724775E}"/>
    <hyperlink ref="AY662" r:id="rId411" xr:uid="{ADF4E248-C989-4706-B014-6125F0BC735C}"/>
    <hyperlink ref="AY664" r:id="rId412" xr:uid="{1572706F-53F1-466A-B6F0-FE0D3C9FB6CF}"/>
    <hyperlink ref="AY666" r:id="rId413" xr:uid="{AC301C70-3EAE-4D66-8613-1891887AC5B6}"/>
    <hyperlink ref="AY667" r:id="rId414" xr:uid="{FE6D34BA-969C-46BD-B464-5E0B1FE86789}"/>
    <hyperlink ref="AY669" r:id="rId415" xr:uid="{AA476841-B114-4384-B44E-5689705CC7C4}"/>
    <hyperlink ref="AY670" r:id="rId416" xr:uid="{1281FED5-B74E-4F66-AFE9-C026872AAA5F}"/>
    <hyperlink ref="AY673" r:id="rId417" xr:uid="{224B4425-2CE7-4F99-9575-3CA24BD2AD06}"/>
    <hyperlink ref="AY676" r:id="rId418" xr:uid="{8C775B47-2479-4598-89FC-121DFFEF0ACB}"/>
    <hyperlink ref="AY677" r:id="rId419" xr:uid="{FB5EE8E4-79DA-4BCC-B72C-C0D86049B947}"/>
    <hyperlink ref="AY678" r:id="rId420" xr:uid="{BD86330F-EA90-4E56-A93F-55E55865557F}"/>
    <hyperlink ref="AY679" r:id="rId421" xr:uid="{AB2420CD-B2F9-415F-8130-8B1FC6F588D9}"/>
    <hyperlink ref="AY682" r:id="rId422" xr:uid="{94C61231-B9D0-405F-B411-5918C05E22F9}"/>
    <hyperlink ref="AY683" r:id="rId423" xr:uid="{2CF5C5CD-EB13-4DAB-92F8-5021D3C319D9}"/>
    <hyperlink ref="AY8" r:id="rId424" xr:uid="{691973FD-37BC-442C-98C8-9CEDE4873B28}"/>
    <hyperlink ref="AZ8" r:id="rId425" xr:uid="{38992AB9-DA67-47D6-AB65-6FC3C174B337}"/>
    <hyperlink ref="BA8" r:id="rId426" xr:uid="{36CFD3FA-44BC-4529-8572-B7AEA1D0C8E7}"/>
    <hyperlink ref="AY9" r:id="rId427" xr:uid="{F22CB823-6D21-40E0-B3CC-5F3F7AC99F4A}"/>
    <hyperlink ref="AZ9" r:id="rId428" xr:uid="{1FE87AD6-5FF9-4662-8574-14B23DB6E3F5}"/>
    <hyperlink ref="BA9" r:id="rId429" xr:uid="{5C66E308-54AD-41CD-A300-FE64F3F7487A}"/>
    <hyperlink ref="BA10" r:id="rId430" xr:uid="{8D56383A-234B-43DB-9B5B-7CB944C88142}"/>
    <hyperlink ref="AZ10" r:id="rId431" xr:uid="{2958FE34-4FEF-4DF0-9EA1-20C4BAF9DCF3}"/>
    <hyperlink ref="AY10" r:id="rId432" xr:uid="{D0C04FBD-2C76-48FF-9460-02F16F13E0D5}"/>
    <hyperlink ref="AY11" r:id="rId433" xr:uid="{A5C886BB-6566-42CF-8323-23AC968CD77E}"/>
    <hyperlink ref="AZ11" r:id="rId434" xr:uid="{7C2760E8-FCB5-4C48-8345-06D162B3F020}"/>
    <hyperlink ref="BA11" r:id="rId435" xr:uid="{57169AC4-AE40-466C-8428-609109388AD0}"/>
    <hyperlink ref="BA12" r:id="rId436" xr:uid="{57D9CBD7-6385-4FA8-96B2-C32017137FE9}"/>
    <hyperlink ref="AZ12" r:id="rId437" xr:uid="{7E8FA7F1-6E77-4A0D-BFA4-0253F28737F0}"/>
    <hyperlink ref="AY12" r:id="rId438" xr:uid="{1FAC80BA-4D9F-4D0A-BA94-C2600C6903A3}"/>
    <hyperlink ref="AY13" r:id="rId439" xr:uid="{6D6A29A0-01A5-4269-931A-907A8C1F849F}"/>
    <hyperlink ref="AZ13" r:id="rId440" xr:uid="{B799DE0E-D4EB-4C4D-AF46-85A7643588DF}"/>
    <hyperlink ref="BA13" r:id="rId441" xr:uid="{820B510D-8A34-4394-A6F3-EBD18D91FD14}"/>
    <hyperlink ref="AY14" r:id="rId442" xr:uid="{0A7BAE1B-918C-4F55-9E01-1A1C5996399E}"/>
    <hyperlink ref="AY15" r:id="rId443" xr:uid="{BE43169A-F41A-4F0E-AB2E-D7F8273D52AF}"/>
    <hyperlink ref="AZ15" r:id="rId444" xr:uid="{927388F6-A292-4C98-830A-AFE3C446020B}"/>
    <hyperlink ref="AY16" r:id="rId445" xr:uid="{BEAEACD6-600B-4DE4-8D44-3E86B9667D0A}"/>
    <hyperlink ref="AZ16" r:id="rId446" xr:uid="{6488D477-D111-4690-B208-09CAB1F78AE8}"/>
    <hyperlink ref="BA16" r:id="rId447" xr:uid="{2E2AE0C7-BDDC-40C0-8096-7717A75B306F}"/>
    <hyperlink ref="BA17" r:id="rId448" xr:uid="{6275DAED-986D-457F-9C14-8A1BF3FF8DBD}"/>
    <hyperlink ref="AZ17" r:id="rId449" xr:uid="{35E3DAD0-8B34-44D7-BCF5-0EBA3410736C}"/>
    <hyperlink ref="AY17" r:id="rId450" xr:uid="{AE1719D7-0C61-4DAC-A8A3-8C247EC09CB4}"/>
    <hyperlink ref="AY18" r:id="rId451" xr:uid="{44452BBE-A095-4E8B-8DDF-703498CEF6BB}"/>
    <hyperlink ref="AZ18" r:id="rId452" xr:uid="{F2CF1A37-7D65-443E-B38F-990A3F112675}"/>
    <hyperlink ref="BA18" r:id="rId453" xr:uid="{51839AD8-0348-42EA-980C-B17A8CE350AB}"/>
    <hyperlink ref="AZ19" r:id="rId454" xr:uid="{BAFB2138-3857-4F7E-B847-2C46A50D442F}"/>
    <hyperlink ref="AY19" r:id="rId455" xr:uid="{2CB00C08-61F5-4E82-A7EA-831B89194035}"/>
    <hyperlink ref="AY20" r:id="rId456" xr:uid="{CB7B22B1-1A02-4DDD-B264-1898D45ED8E9}"/>
    <hyperlink ref="AZ20" r:id="rId457" xr:uid="{D59FDAEB-AC1E-4893-B727-062C5BBAE46A}"/>
    <hyperlink ref="BA20" r:id="rId458" xr:uid="{BB9BD793-76A8-4DBE-AAB7-B75A08CA75BA}"/>
    <hyperlink ref="AZ21" r:id="rId459" xr:uid="{9F669566-45FC-4D4C-8578-E61C29A9E4DB}"/>
    <hyperlink ref="AY21" r:id="rId460" xr:uid="{97597CC4-C965-43A9-B59E-F8D555F3A1BA}"/>
    <hyperlink ref="AY22" r:id="rId461" xr:uid="{B8D59B57-F9C3-48C0-AA86-9604E4C498E6}"/>
    <hyperlink ref="AZ22" r:id="rId462" xr:uid="{1F844902-6ECB-41B2-BD8B-090AAF8026AB}"/>
    <hyperlink ref="AZ23" r:id="rId463" xr:uid="{519B9003-9D48-425D-AB66-D2ACC0B4DB5C}"/>
    <hyperlink ref="AY23" r:id="rId464" xr:uid="{680781AA-BD11-43F9-9416-C4D349E5CF32}"/>
    <hyperlink ref="AY24" r:id="rId465" xr:uid="{A63FAE9D-5A5C-4B4C-8C70-86A2FBA507F0}"/>
    <hyperlink ref="AZ24" r:id="rId466" xr:uid="{D298B9E7-F655-435D-B789-71BBBC11C593}"/>
    <hyperlink ref="BA24" r:id="rId467" xr:uid="{558099EA-55D1-4FFC-BA4D-AC8BCBF4BD24}"/>
    <hyperlink ref="BA25" r:id="rId468" xr:uid="{BC0169DD-2BA6-4586-8E39-C41EB7AE8919}"/>
    <hyperlink ref="AZ25" r:id="rId469" xr:uid="{E7BC8CFD-0FBD-43D0-9B35-005037AC3566}"/>
    <hyperlink ref="AY25" r:id="rId470" xr:uid="{60DC56ED-8AAA-4A18-A4A3-4E83409B82E0}"/>
    <hyperlink ref="AY26" r:id="rId471" xr:uid="{C045F1A5-58D0-4354-AC29-513FCA42BF86}"/>
    <hyperlink ref="AZ26" r:id="rId472" xr:uid="{C42EE232-D3B7-48A3-803B-479446536215}"/>
    <hyperlink ref="BA26" r:id="rId473" xr:uid="{EF58131F-8119-44E2-A5DC-C6CFA59054EC}"/>
    <hyperlink ref="BA27" r:id="rId474" xr:uid="{D4E510E8-CF10-46B1-8919-B91A4144E507}"/>
    <hyperlink ref="AZ27" r:id="rId475" xr:uid="{D8B0FE30-AFF9-43E7-B6E2-2E19AABC14B6}"/>
    <hyperlink ref="AY27" r:id="rId476" xr:uid="{7B67916D-6789-4BEB-8D09-16029EA9C097}"/>
    <hyperlink ref="AY28" r:id="rId477" xr:uid="{4207430C-1693-49A7-AD0F-7AA5D7C26D39}"/>
    <hyperlink ref="AZ28" r:id="rId478" xr:uid="{E579C65A-10AD-4770-9D05-F454DB41B5C7}"/>
    <hyperlink ref="BA28" r:id="rId479" xr:uid="{36866674-5512-431E-B710-9AB9DF77D991}"/>
    <hyperlink ref="BA29" r:id="rId480" xr:uid="{D1DEE0A6-256F-4132-AB43-A6B0C5CE709A}"/>
    <hyperlink ref="AZ29" r:id="rId481" xr:uid="{BF19606F-ED6C-4143-8C06-032A07E0BE7B}"/>
    <hyperlink ref="AY29" r:id="rId482" xr:uid="{09CDD220-40FF-4AC0-AE6E-A86B75A1239A}"/>
    <hyperlink ref="AY30" r:id="rId483" xr:uid="{44CD4FD4-0202-4E92-B5FA-FECC89BE35A0}"/>
    <hyperlink ref="AZ30" r:id="rId484" xr:uid="{13EF500B-9230-432E-9500-F56275C1CE83}"/>
    <hyperlink ref="BA30" r:id="rId485" xr:uid="{44729B74-C257-4C92-8435-C48183E386DA}"/>
    <hyperlink ref="BA31" r:id="rId486" xr:uid="{5839C377-4FF0-4257-BBF5-8A4CFA531D84}"/>
    <hyperlink ref="AZ31" r:id="rId487" xr:uid="{9D7215B2-4EF3-482D-851A-1414DCC09D1F}"/>
    <hyperlink ref="AY31" r:id="rId488" xr:uid="{BC761D53-4CCB-43BC-9E92-7F3E66A88C13}"/>
    <hyperlink ref="AY32" r:id="rId489" xr:uid="{42F546AB-D680-41CC-A3FA-EA7CBC3733D7}"/>
    <hyperlink ref="AZ32" r:id="rId490" xr:uid="{8FBCAFF2-90AC-45E5-BF7D-72FC4A770236}"/>
    <hyperlink ref="AZ33" r:id="rId491" xr:uid="{D2444614-D7F8-42C0-B8BA-62325A1462BE}"/>
    <hyperlink ref="AY33" r:id="rId492" xr:uid="{7E000A71-B258-43CB-9628-90526E2C9643}"/>
    <hyperlink ref="AY34" r:id="rId493" xr:uid="{784F316B-582B-484C-9ECF-6103392211E9}"/>
    <hyperlink ref="AZ34" r:id="rId494" xr:uid="{4B2EC1BE-B444-4096-A95A-37E23E6A648B}"/>
    <hyperlink ref="AZ35" r:id="rId495" xr:uid="{BEBA5381-7A17-4574-9ECF-7DDEE98FCDFA}"/>
    <hyperlink ref="AY35" r:id="rId496" xr:uid="{D250C948-E3F7-4516-9AD2-D75D44AEADB3}"/>
    <hyperlink ref="AY36" r:id="rId497" xr:uid="{E59FF952-10E6-4EA4-8B2B-8B0717ADF52F}"/>
    <hyperlink ref="AZ36" r:id="rId498" xr:uid="{211AE8E0-C96C-4366-B086-3D3EBB8E32FE}"/>
    <hyperlink ref="AZ37" r:id="rId499" xr:uid="{54B18E78-D7E7-4066-8B71-DAFF1AF91D75}"/>
    <hyperlink ref="AY37" r:id="rId500" xr:uid="{BF80EE25-B51C-45D8-A3BD-9D279F8C6A26}"/>
    <hyperlink ref="AY38" r:id="rId501" xr:uid="{AC6F7173-C6F6-41B0-B372-B76A16E4FB67}"/>
    <hyperlink ref="AZ38" r:id="rId502" xr:uid="{AA99112B-6FEA-4E44-8FFE-D68B5D114825}"/>
    <hyperlink ref="AZ39" r:id="rId503" xr:uid="{D2477CC7-F52A-45C2-B598-5EB01D8CE4F8}"/>
    <hyperlink ref="AY39" r:id="rId504" xr:uid="{8CE46620-9316-44BC-8149-FAB4D7C1BD1C}"/>
    <hyperlink ref="AY40" r:id="rId505" xr:uid="{20A9468E-727C-40B9-93D5-A07B18BF47E6}"/>
    <hyperlink ref="AY41" r:id="rId506" xr:uid="{2957A4AB-DDD2-487D-B017-B37814D33083}"/>
    <hyperlink ref="AZ41" r:id="rId507" xr:uid="{4E5FA744-609E-4496-8F26-49C26F3504D2}"/>
    <hyperlink ref="BA41" r:id="rId508" xr:uid="{B826CB71-313D-4888-B44C-B2EE807EDED7}"/>
    <hyperlink ref="BA42" r:id="rId509" xr:uid="{F73CDC53-9A2C-4CAD-85B9-74F31D2A2C52}"/>
    <hyperlink ref="AZ42" r:id="rId510" xr:uid="{996B229F-3821-4467-B92B-3C38AB788B83}"/>
    <hyperlink ref="AY42" r:id="rId511" xr:uid="{5CE22D53-1AC6-4361-A964-A9B28F963AFB}"/>
    <hyperlink ref="AY43" r:id="rId512" xr:uid="{F7B1976E-6F50-44EE-AAD5-6E3B6240A703}"/>
    <hyperlink ref="AZ43" r:id="rId513" xr:uid="{D953628C-E788-451B-8C4C-1FB2105E4913}"/>
    <hyperlink ref="BA43" r:id="rId514" xr:uid="{C14A2914-1546-458C-B677-2ADE8FB9CFCE}"/>
    <hyperlink ref="AZ44" r:id="rId515" xr:uid="{B293BC76-99D7-4C0B-8C48-83CC88BE29F7}"/>
    <hyperlink ref="AY44" r:id="rId516" xr:uid="{6B8369F7-B96C-4612-998E-57AB080030A6}"/>
    <hyperlink ref="AY45" r:id="rId517" xr:uid="{CA1C9DBD-E4ED-49FB-BAE3-025D91990431}"/>
    <hyperlink ref="AZ45" r:id="rId518" xr:uid="{32AB880A-6D31-442E-8A43-D06E2CACBD2E}"/>
    <hyperlink ref="AZ46" r:id="rId519" xr:uid="{3D359276-76D1-40EB-A3F6-5DA827BD9FBE}"/>
    <hyperlink ref="AY46" r:id="rId520" xr:uid="{27F0F29B-D1E6-4F1B-91E5-E7E8883327D9}"/>
    <hyperlink ref="AY47" r:id="rId521" xr:uid="{35D6C211-B8D3-4B4D-8FE8-7DA79CE2D032}"/>
    <hyperlink ref="AZ47" r:id="rId522" xr:uid="{B44C9D72-85AF-4CF3-B48E-7E03ADF75FF0}"/>
    <hyperlink ref="BA47" r:id="rId523" xr:uid="{78DE06AF-5DB4-45AE-BFC7-BD6A1F8C9B6E}"/>
    <hyperlink ref="BA48" r:id="rId524" xr:uid="{454E2C95-6C08-463B-A1BD-A62C6FA2EB39}"/>
    <hyperlink ref="AZ48" r:id="rId525" xr:uid="{29F0DE07-9816-4863-BF9F-5815A48A7099}"/>
    <hyperlink ref="AY48" r:id="rId526" xr:uid="{A28C5CB3-195F-43F0-89E6-0BBB6C88FCE8}"/>
    <hyperlink ref="AY49" r:id="rId527" xr:uid="{61AF2B20-C146-485A-B1DF-41EE6269FE26}"/>
    <hyperlink ref="AZ49" r:id="rId528" xr:uid="{ADB702A4-7C9D-49C2-A865-161A4E62FA0B}"/>
    <hyperlink ref="BA49" r:id="rId529" xr:uid="{78E3792C-B887-4A0F-9A09-7B6AE9F98889}"/>
    <hyperlink ref="AZ50" r:id="rId530" xr:uid="{D1540F75-C9B9-400A-BE8E-225B79888BCC}"/>
    <hyperlink ref="AY50" r:id="rId531" xr:uid="{8A45E3FC-6E30-4F4F-9E62-D50F303CD61B}"/>
    <hyperlink ref="AY51" r:id="rId532" xr:uid="{C41382E9-4F30-4566-9278-6B615D222478}"/>
    <hyperlink ref="AZ51" r:id="rId533" xr:uid="{2A477EC4-D93F-4FE9-806E-6F909F473784}"/>
    <hyperlink ref="BA51" r:id="rId534" xr:uid="{C8B854D7-D970-43FD-B26A-7AA947320EBA}"/>
    <hyperlink ref="BA52" r:id="rId535" xr:uid="{12DEDAD5-386C-4804-BA80-B85A50A779C8}"/>
    <hyperlink ref="AZ52" r:id="rId536" xr:uid="{7AF46C36-9ECA-4EF2-8FAB-9E39E63477F9}"/>
    <hyperlink ref="AY52" r:id="rId537" xr:uid="{8FF382E4-B9CC-438E-84C2-34DCA4313AD3}"/>
    <hyperlink ref="AY53" r:id="rId538" xr:uid="{B48FC0DD-5F35-4E33-ACB1-A9BCA3C6A66B}"/>
    <hyperlink ref="AZ53" r:id="rId539" xr:uid="{5E7A7CD3-FB13-4F62-BE9F-80EDCFF94D19}"/>
    <hyperlink ref="BA53" r:id="rId540" xr:uid="{FE795D9E-4A63-4E68-8E8B-EE900FEC8EFE}"/>
    <hyperlink ref="BA54" r:id="rId541" xr:uid="{DA6108DC-B065-493F-BFFC-35ECA08ED8B2}"/>
    <hyperlink ref="AZ54" r:id="rId542" xr:uid="{C3201BF4-AC2D-44A6-8CB2-0B85AA7AC51A}"/>
    <hyperlink ref="AY54" r:id="rId543" xr:uid="{9BFBFCDB-EF85-4F09-9F53-FE0B5D6F96C3}"/>
    <hyperlink ref="AY55" r:id="rId544" xr:uid="{3D6510F9-6ECE-4DE0-B9E3-AD7B824289FD}"/>
    <hyperlink ref="AZ55" r:id="rId545" xr:uid="{E9F28F3F-D3E0-4D3B-A0A0-347F47A41357}"/>
    <hyperlink ref="BA55" r:id="rId546" xr:uid="{9083B7D4-F9B6-4C4E-8236-B0D750FC2D37}"/>
    <hyperlink ref="BA56" r:id="rId547" xr:uid="{4F16CD25-39B4-4010-B9D8-BAF5F9E0F0FC}"/>
    <hyperlink ref="AZ56" r:id="rId548" xr:uid="{99999447-0F17-4B94-B5F5-7400375B7A5F}"/>
    <hyperlink ref="AY56" r:id="rId549" xr:uid="{76F4524D-4577-40F6-B56E-E33F595B3670}"/>
    <hyperlink ref="AY57" r:id="rId550" xr:uid="{9BAB5A18-730F-403C-9A5C-90042EF3BCCA}"/>
    <hyperlink ref="AZ57" r:id="rId551" xr:uid="{3CF7E4F6-FBA7-4582-B781-BB86CFCF5EAF}"/>
    <hyperlink ref="BA57" r:id="rId552" xr:uid="{61C47F6E-6253-4EE0-A345-7851012D1E47}"/>
    <hyperlink ref="AY58" r:id="rId553" xr:uid="{477892A5-2C64-4696-986D-B1CD65FEC09E}"/>
    <hyperlink ref="AY59" r:id="rId554" xr:uid="{2A8B1215-7C7E-439D-AD01-177B0B7A2A60}"/>
    <hyperlink ref="AZ59" r:id="rId555" xr:uid="{51AF6B87-6402-4F21-97C5-3EE904D8EBC1}"/>
    <hyperlink ref="AY60" r:id="rId556" xr:uid="{DBBC9CA8-8E26-4339-8F22-162795140610}"/>
    <hyperlink ref="AZ60" r:id="rId557" xr:uid="{CC9B0311-9F1F-4990-8AB2-21F72AA0A68A}"/>
    <hyperlink ref="BA60" r:id="rId558" xr:uid="{DA66B075-95E9-41AC-B03E-B2C1ECE6C3B9}"/>
    <hyperlink ref="AY61" r:id="rId559" xr:uid="{149046E8-7C3B-4CB8-9917-13365F2DF7B3}"/>
    <hyperlink ref="AZ61" r:id="rId560" xr:uid="{B0A61263-A095-4A2A-944D-388959ACD2E1}"/>
    <hyperlink ref="BA61" r:id="rId561" xr:uid="{D44F228F-63D3-400E-8756-CD64F91E2676}"/>
    <hyperlink ref="AY62" r:id="rId562" xr:uid="{D4905A86-A8A8-4786-BE60-46B4C4361504}"/>
    <hyperlink ref="AZ62" r:id="rId563" xr:uid="{05D479D6-893A-4E51-95FE-CDADF1587DDF}"/>
    <hyperlink ref="BA62" r:id="rId564" xr:uid="{7112A034-6389-470E-AC81-220C56CB52FE}"/>
    <hyperlink ref="AY63" r:id="rId565" xr:uid="{6BFD410A-4A6D-4EC0-9F03-069908BBB83E}"/>
    <hyperlink ref="AZ63" r:id="rId566" xr:uid="{4A2700E0-7506-4E87-ADD3-C56B742CDFB0}"/>
    <hyperlink ref="BA63" r:id="rId567" xr:uid="{1F3865FC-AFF3-4669-8344-286A0568CF32}"/>
    <hyperlink ref="AY64" r:id="rId568" xr:uid="{30BA81C6-5068-43C6-A82A-9FDDF8FE781F}"/>
    <hyperlink ref="AZ64" r:id="rId569" xr:uid="{3DE5965F-870C-4EAA-BAAC-E71958569725}"/>
    <hyperlink ref="BA64" r:id="rId570" xr:uid="{E52EE187-6E80-4C12-B0EE-610DE46059EC}"/>
    <hyperlink ref="AY65" r:id="rId571" xr:uid="{321AD843-D9C1-4232-AD86-437A754657FA}"/>
    <hyperlink ref="AZ65" r:id="rId572" xr:uid="{6AF84A9C-C51E-4900-9ECA-1737BFC7D1A9}"/>
    <hyperlink ref="BA65" r:id="rId573" xr:uid="{958A9325-BA0F-465F-8674-6C870AA693C7}"/>
    <hyperlink ref="AY66" r:id="rId574" xr:uid="{3CB7C5FF-1FA3-40EE-95B7-436EF451D90B}"/>
    <hyperlink ref="AZ66" r:id="rId575" xr:uid="{7129BB57-316A-4C9E-A1F4-B977171520D2}"/>
    <hyperlink ref="BA66" r:id="rId576" xr:uid="{A7CFC732-247E-4FD2-869C-AE5001C17CEF}"/>
    <hyperlink ref="AY67" r:id="rId577" xr:uid="{0EB36FF2-BD55-4F31-93C9-E43E3A2829CB}"/>
    <hyperlink ref="AZ67" r:id="rId578" xr:uid="{15BA3AAD-BC9E-4591-9A3A-C016EC747848}"/>
    <hyperlink ref="AY68" r:id="rId579" xr:uid="{FA5BAC11-600C-4F93-957B-4CE07ED89E03}"/>
    <hyperlink ref="AZ68" r:id="rId580" xr:uid="{EA29322F-4494-42D6-A058-D4FAE4DBE9EE}"/>
    <hyperlink ref="BA68" r:id="rId581" xr:uid="{8AC47F1F-78C8-487F-92CC-59E0027CCC1E}"/>
    <hyperlink ref="AY69" r:id="rId582" xr:uid="{41A42792-76AC-46E2-8B3F-EFEE070EA5BF}"/>
    <hyperlink ref="AZ69" r:id="rId583" xr:uid="{A8BE118D-536A-40FB-8E17-0E4522CDCAC7}"/>
    <hyperlink ref="BA69" r:id="rId584" xr:uid="{F2AD74B1-4A47-49B3-BC3E-D18B8E59C972}"/>
    <hyperlink ref="AY70" r:id="rId585" xr:uid="{BD0E181E-D63B-4515-A5C6-CFC71492C133}"/>
    <hyperlink ref="AZ70" r:id="rId586" xr:uid="{2FB0D0A5-0EED-4ED4-85DD-BFD756A073CA}"/>
    <hyperlink ref="BA70" r:id="rId587" xr:uid="{39D9A538-450A-4F80-9770-F6ED0639C5D2}"/>
    <hyperlink ref="AY71" r:id="rId588" xr:uid="{91F3CEB5-0C73-428C-A97F-088A62BF2E8C}"/>
    <hyperlink ref="AZ71" r:id="rId589" xr:uid="{CB793E16-47F4-4479-97AB-E381A6790CDC}"/>
    <hyperlink ref="BA71" r:id="rId590" xr:uid="{F610EC87-A4A7-4616-9E05-7FFE6308081A}"/>
    <hyperlink ref="AY72" r:id="rId591" xr:uid="{8C50C9DE-777A-4482-8D76-B4A716DED32F}"/>
    <hyperlink ref="AZ72" r:id="rId592" xr:uid="{78A8B8C5-5D33-4CEE-B25A-D2CDEAA793BE}"/>
    <hyperlink ref="BA72" r:id="rId593" xr:uid="{CBC84BDA-F734-4FEF-9D30-0BE72F0B8A35}"/>
    <hyperlink ref="AY73" r:id="rId594" xr:uid="{C1FA4CC2-36FB-494D-90D0-AC13E49C493C}"/>
    <hyperlink ref="AZ73" r:id="rId595" xr:uid="{1EB973E5-5B52-4851-83D7-9CFC28C9104B}"/>
    <hyperlink ref="BA73" r:id="rId596" xr:uid="{060129B3-C3BE-474C-A2A1-944FAFE3B4AD}"/>
    <hyperlink ref="AY74" r:id="rId597" xr:uid="{3B4ADAC3-7B09-40CE-9EAF-024CECAEEF90}"/>
    <hyperlink ref="AZ74" r:id="rId598" xr:uid="{5173F7BA-864D-4A0B-B188-DEE1297204FA}"/>
    <hyperlink ref="BA74" r:id="rId599" xr:uid="{9E702302-E5BE-4BD3-A0F3-4ADA7DE4E2CF}"/>
    <hyperlink ref="AY75" r:id="rId600" xr:uid="{5E884EA7-8A1B-4A3D-8FFD-3F2C4B800FA9}"/>
    <hyperlink ref="AZ75" r:id="rId601" xr:uid="{9320C8A5-CC48-4C3A-9BB8-FE2246E3DEBD}"/>
    <hyperlink ref="BA75" r:id="rId602" xr:uid="{D150A7AC-02C9-4D80-8881-00D01BE3CBDD}"/>
    <hyperlink ref="AY76" r:id="rId603" xr:uid="{D32EF899-DCEE-4634-B76E-2D82A5F4134C}"/>
    <hyperlink ref="AZ76" r:id="rId604" xr:uid="{2F8841CF-FB3C-4319-A9FE-D205331E49FD}"/>
    <hyperlink ref="BA76" r:id="rId605" xr:uid="{00E35821-40C5-4486-AB75-89002773293D}"/>
    <hyperlink ref="AY77" r:id="rId606" xr:uid="{6AEF9F14-BB21-4FA7-AD61-339D65BAA758}"/>
    <hyperlink ref="AZ77" r:id="rId607" xr:uid="{F99E5A98-179F-4426-B1EA-02460E328F98}"/>
    <hyperlink ref="BA77" r:id="rId608" xr:uid="{775DB65A-60C5-4FE1-AD6A-F6123461A365}"/>
    <hyperlink ref="AY78" r:id="rId609" xr:uid="{1142C8CC-3F12-4E5C-BECA-104EB12E72CD}"/>
    <hyperlink ref="AZ78" r:id="rId610" xr:uid="{AC6F371F-76A0-478F-B88B-6F61A7560AC0}"/>
    <hyperlink ref="BA78" r:id="rId611" xr:uid="{8B9A56AD-A4CD-4535-8053-56D77E06985E}"/>
    <hyperlink ref="AY79" r:id="rId612" xr:uid="{7CFBEB58-F575-4C9F-9772-9E0AF3074C24}"/>
    <hyperlink ref="AZ79" r:id="rId613" xr:uid="{E46DBB6E-CF22-4530-AABD-7F9463DDAEED}"/>
    <hyperlink ref="BA79" r:id="rId614" xr:uid="{BD2BB603-4AB3-47A2-B70E-1E0FE438EF60}"/>
    <hyperlink ref="AY80" r:id="rId615" xr:uid="{9E520A84-8854-4A7B-9997-2F5719EA6574}"/>
    <hyperlink ref="AZ80" r:id="rId616" xr:uid="{6C7B688C-4F21-4760-BE5B-8A7230CED3F5}"/>
    <hyperlink ref="BA80" r:id="rId617" xr:uid="{D877D7EE-9240-42AB-B798-39F6127CDC8E}"/>
    <hyperlink ref="AY81" r:id="rId618" xr:uid="{C9BDCE1F-DFA3-459E-BFEA-39C916A2F1CB}"/>
    <hyperlink ref="AZ81" r:id="rId619" xr:uid="{0808421B-9632-4551-A792-93527B45F62E}"/>
    <hyperlink ref="BA81" r:id="rId620" xr:uid="{A6A82F1B-9C7D-4EE0-9084-8957346AD47E}"/>
    <hyperlink ref="AY82" r:id="rId621" xr:uid="{41D3DCA0-18B6-40D2-980C-4345FD886A8D}"/>
    <hyperlink ref="AZ82" r:id="rId622" xr:uid="{6FEEDBB1-8EFA-4841-B625-E4010186660C}"/>
    <hyperlink ref="BA82" r:id="rId623" xr:uid="{7118F48B-2B19-4F7D-9027-B85362A10263}"/>
    <hyperlink ref="AY83" r:id="rId624" xr:uid="{FFC284B1-1B55-4ACC-9339-6A21F9C9937F}"/>
    <hyperlink ref="AZ83" r:id="rId625" xr:uid="{E73E41D4-62CE-454E-ADE3-2054977D454F}"/>
    <hyperlink ref="BA83" r:id="rId626" xr:uid="{C1AF7B26-A193-4DD5-9D34-C27ADB2063F3}"/>
    <hyperlink ref="AY84" r:id="rId627" xr:uid="{374D1A30-DB58-4748-AF14-60D6E898FBAF}"/>
    <hyperlink ref="AZ84" r:id="rId628" xr:uid="{2F7D3847-C253-48BD-94E8-D57F7059D96F}"/>
    <hyperlink ref="BA84" r:id="rId629" xr:uid="{A6A9C494-52C6-4DB2-A8B8-A8F4362D639D}"/>
    <hyperlink ref="AY85" r:id="rId630" xr:uid="{F2E70BF3-6022-40FA-9FA4-30E44AA75AD0}"/>
    <hyperlink ref="AZ85" r:id="rId631" xr:uid="{2BBD2A40-E8DB-4768-A7E5-E965E5AFCC77}"/>
    <hyperlink ref="BA85" r:id="rId632" xr:uid="{13834870-0DB6-493E-A311-AD4E8A53970C}"/>
    <hyperlink ref="AY86" r:id="rId633" xr:uid="{81BD83D0-4861-4B2C-BDDF-5F5D868A9727}"/>
    <hyperlink ref="AZ86" r:id="rId634" xr:uid="{7FC676EA-A1F3-406B-BC28-82D8A44A89F9}"/>
    <hyperlink ref="BA86" r:id="rId635" xr:uid="{63010E4F-4DA0-4774-9656-64D76BC7E464}"/>
    <hyperlink ref="AY87" r:id="rId636" xr:uid="{3C79C069-CF28-4CE9-842F-D0BF88CA6F4D}"/>
    <hyperlink ref="AZ87" r:id="rId637" xr:uid="{2DC871E6-C012-4E0B-976F-D4CAD0B0F914}"/>
    <hyperlink ref="BA87" r:id="rId638" xr:uid="{1718A118-9939-408F-8655-4B0FF2A7F1DA}"/>
    <hyperlink ref="AY88" r:id="rId639" xr:uid="{88011212-C347-4349-96C0-7C241813DA59}"/>
    <hyperlink ref="AZ88" r:id="rId640" xr:uid="{241F16EE-E4A0-43C6-98E7-857C259949C8}"/>
    <hyperlink ref="BA88" r:id="rId641" xr:uid="{BE094C46-82B7-4789-9F14-405B3F366632}"/>
    <hyperlink ref="AY89" r:id="rId642" xr:uid="{C6406F93-F814-4434-B6D0-693A825F5D23}"/>
    <hyperlink ref="AZ89" r:id="rId643" xr:uid="{58FD822D-75C2-440F-BFA0-32DB519BC5DC}"/>
    <hyperlink ref="BA89" r:id="rId644" xr:uid="{B7316B88-9CF9-4003-B2C3-F55E60235829}"/>
    <hyperlink ref="AY90" r:id="rId645" xr:uid="{410A962A-8CD7-4A3D-9E72-230BC768C7EB}"/>
    <hyperlink ref="AZ90" r:id="rId646" xr:uid="{EBFD7295-8415-4763-9C78-1B7F22AD049A}"/>
    <hyperlink ref="AY91" r:id="rId647" xr:uid="{D9F73DC2-FBF9-430A-AB2A-D953F25C704A}"/>
    <hyperlink ref="AZ91" r:id="rId648" xr:uid="{84DFBA70-D677-4C2E-8287-DB6093DBCC44}"/>
    <hyperlink ref="AY92" r:id="rId649" xr:uid="{601BDB4E-DCA7-4AA4-A113-180EE23862AB}"/>
    <hyperlink ref="AZ92" r:id="rId650" xr:uid="{1D59F58F-D7C8-46EE-8949-D1DFD2CEA4FF}"/>
    <hyperlink ref="BA92" r:id="rId651" xr:uid="{BB08031C-B9EF-407D-A144-2EC941927F7C}"/>
    <hyperlink ref="AY93" r:id="rId652" xr:uid="{017C8441-84F8-4623-9262-07FB2B2EA385}"/>
    <hyperlink ref="AZ93" r:id="rId653" xr:uid="{BD074585-FB39-40B9-AAAB-FE81EEF9BD1E}"/>
    <hyperlink ref="AY94" r:id="rId654" xr:uid="{D83FD48E-65F0-43FE-AAE7-34C7E9BD8FFB}"/>
    <hyperlink ref="AY95" r:id="rId655" xr:uid="{8BC4AA59-BA79-434B-9762-4CBFD8D4AC0B}"/>
    <hyperlink ref="AY96" r:id="rId656" xr:uid="{72A7FFAC-B742-4563-9C17-CE099428ED92}"/>
    <hyperlink ref="AZ96" r:id="rId657" xr:uid="{09AA0964-5010-4FE1-9AEC-B8C860C7E43B}"/>
    <hyperlink ref="BA96" r:id="rId658" xr:uid="{89E7D2C8-EA6C-4370-81B5-892499787146}"/>
    <hyperlink ref="AY97" r:id="rId659" xr:uid="{07F35CB1-CD02-46EE-BDD1-AD6F1C3ED053}"/>
    <hyperlink ref="AZ97" r:id="rId660" xr:uid="{BC0ED0A5-E87E-4BAC-BAC4-C9C3060EC3E3}"/>
    <hyperlink ref="AY98" r:id="rId661" xr:uid="{CD6FAA42-CFE9-4021-9205-DB16D4AC8FD2}"/>
    <hyperlink ref="AZ98" r:id="rId662" xr:uid="{4766B5BA-F96D-40E3-995B-28189FFDFAE9}"/>
    <hyperlink ref="AY99" r:id="rId663" xr:uid="{73996C70-5022-43E0-B538-0E8B4B6BE820}"/>
    <hyperlink ref="AY100" r:id="rId664" xr:uid="{4BD6481F-7BC8-4AA2-A80A-DD52C34051DF}"/>
    <hyperlink ref="AZ100" r:id="rId665" xr:uid="{9E7DFF71-9856-4962-A20B-BE6E8A089D06}"/>
    <hyperlink ref="AY101" r:id="rId666" xr:uid="{D08F242D-A9F2-4DF4-B3CA-82989B36A864}"/>
    <hyperlink ref="AZ101" r:id="rId667" xr:uid="{CA04D9D6-8B14-411C-9DF1-5C4C8041DB67}"/>
    <hyperlink ref="AY102" r:id="rId668" xr:uid="{DD39B3F3-98A9-44E4-8DD0-B0325B21B38B}"/>
    <hyperlink ref="AZ102" r:id="rId669" xr:uid="{FE64C8FC-15F0-433A-9757-1A45841A1513}"/>
    <hyperlink ref="BA102" r:id="rId670" xr:uid="{452EE9EC-59F3-44B7-8602-47304FBF5898}"/>
    <hyperlink ref="AY103" r:id="rId671" xr:uid="{2C739924-2D38-426E-8099-40DB11AEDBCB}"/>
    <hyperlink ref="AY104" r:id="rId672" xr:uid="{EC5C486D-C1F4-43CC-B52B-98431D8EF993}"/>
    <hyperlink ref="AY105" r:id="rId673" xr:uid="{CD3BC0AE-D6FF-49B2-A3EE-05A2678C7460}"/>
    <hyperlink ref="AZ105" r:id="rId674" xr:uid="{D1D52E71-AC1C-4635-BC84-C92AD5B631F4}"/>
    <hyperlink ref="BA105" r:id="rId675" xr:uid="{144D88B8-99C0-4EDE-A5BA-F327433B3F5E}"/>
    <hyperlink ref="AY106" r:id="rId676" xr:uid="{81285B50-B875-485A-98F2-D6582E4159D4}"/>
    <hyperlink ref="AZ106" r:id="rId677" xr:uid="{41AA9761-B78F-470E-98C5-5E782128118B}"/>
    <hyperlink ref="BA106" r:id="rId678" xr:uid="{1BE2AB79-1150-4E0E-9CBE-15AD835F77E8}"/>
    <hyperlink ref="AY107" r:id="rId679" xr:uid="{C8DF2916-6B8C-4E6F-9B9B-E917B9CC94AE}"/>
    <hyperlink ref="AZ107" r:id="rId680" xr:uid="{1264E093-E788-426A-9145-1128ACCC3E77}"/>
    <hyperlink ref="BA107" r:id="rId681" xr:uid="{E397C4E6-94CD-4D2D-8D83-CE832D1AF1F4}"/>
    <hyperlink ref="AY108" r:id="rId682" xr:uid="{8EC6BCB2-12F8-46A2-9F26-95168AC4C106}"/>
    <hyperlink ref="AZ108" r:id="rId683" xr:uid="{FF3B2512-5CCF-4DA0-B59A-1D750EAC4620}"/>
    <hyperlink ref="BA108" r:id="rId684" xr:uid="{643781A3-C430-49D4-96DA-E13991C3CB95}"/>
    <hyperlink ref="AY109" r:id="rId685" xr:uid="{9B1E7AB4-D921-449E-A98C-BF292EDAEA48}"/>
    <hyperlink ref="AZ109" r:id="rId686" xr:uid="{C2120A7A-124C-43C7-A5EC-4BBA39E562C4}"/>
    <hyperlink ref="BA109" r:id="rId687" xr:uid="{BDB8C29A-A7B3-408B-8A3E-786F0487C488}"/>
    <hyperlink ref="AY110" r:id="rId688" xr:uid="{F51DAB15-1328-4CA2-8106-8DDA23356E9A}"/>
    <hyperlink ref="AY111" r:id="rId689" xr:uid="{0000592F-4B6F-4EA6-B357-3C51E7C7CF0C}"/>
    <hyperlink ref="AZ111" r:id="rId690" xr:uid="{7CBBC7D2-8FDF-4C1A-9D62-80111390B534}"/>
    <hyperlink ref="BA111" r:id="rId691" xr:uid="{F904D5D4-CB56-4BB7-910A-A35A52359807}"/>
    <hyperlink ref="AY112" r:id="rId692" xr:uid="{0CDAC35B-3FB6-4839-B412-856627D0FF52}"/>
    <hyperlink ref="AZ112" r:id="rId693" xr:uid="{69C3B6EA-2FB7-4B9A-8414-697046F4F001}"/>
    <hyperlink ref="AY113" r:id="rId694" xr:uid="{F3E3143A-CB69-4005-88EE-CD540785B1F0}"/>
    <hyperlink ref="AZ113" r:id="rId695" xr:uid="{F7ADFC0B-073A-4922-A2E2-25FF8CB27EBB}"/>
    <hyperlink ref="BA113" r:id="rId696" xr:uid="{D4B6B572-74C0-46CC-8E74-7D6BEADADAF1}"/>
    <hyperlink ref="AY114" r:id="rId697" xr:uid="{B861ABFA-A8BB-4073-B6FE-2729CED9B9E3}"/>
    <hyperlink ref="AZ114" r:id="rId698" xr:uid="{56555170-CD1F-4D2E-89F7-85A15FFDE0BD}"/>
    <hyperlink ref="BA114" r:id="rId699" xr:uid="{87086A1C-6C86-4172-91C9-71057F2C10A0}"/>
    <hyperlink ref="AY115" r:id="rId700" xr:uid="{E21B6EF7-A55C-4CB3-A1AD-C9B6598D9CA5}"/>
    <hyperlink ref="AZ115" r:id="rId701" xr:uid="{029B9273-3215-4706-882E-D3899DA30882}"/>
    <hyperlink ref="BA115" r:id="rId702" xr:uid="{22B2747C-8FEA-496F-BDF8-E73DBFC9F96B}"/>
    <hyperlink ref="AY116" r:id="rId703" xr:uid="{00D7EA79-6F89-495F-B98B-EEB827A48250}"/>
    <hyperlink ref="AZ116" r:id="rId704" xr:uid="{EE59FFF6-1996-481F-B7D1-11D1E37DB278}"/>
    <hyperlink ref="BA116" r:id="rId705" xr:uid="{94869EF9-4223-4CC2-8DD3-41DF1A6EF3A2}"/>
    <hyperlink ref="AY117" r:id="rId706" xr:uid="{0B484A3D-1842-4C36-B80C-7683C1ACF3AA}"/>
    <hyperlink ref="AZ117" r:id="rId707" xr:uid="{D2F0F2DF-DAD6-4169-9AB0-C9BB35E02A0F}"/>
    <hyperlink ref="AY118" r:id="rId708" xr:uid="{6351C989-601B-4A91-A1BA-4B8767C0A013}"/>
    <hyperlink ref="AZ118" r:id="rId709" xr:uid="{9779698B-0BB9-411B-B3CA-593CFB520C5E}"/>
    <hyperlink ref="BA118" r:id="rId710" xr:uid="{76C02DE1-2A14-40D4-89E3-679623307078}"/>
    <hyperlink ref="AY119" r:id="rId711" xr:uid="{7EF6F5A7-9958-41FE-9C77-13CB988AEDA9}"/>
    <hyperlink ref="AZ119" r:id="rId712" xr:uid="{052E7DA2-3B28-4BDB-96F8-E5EA6618BEC1}"/>
    <hyperlink ref="BA119" r:id="rId713" xr:uid="{8AA43BC2-48CF-4264-9D89-5B9C30FFB03F}"/>
    <hyperlink ref="AY120" r:id="rId714" xr:uid="{98624B4B-B9EF-4C3D-9873-8691FB3FD9B3}"/>
    <hyperlink ref="AZ120" r:id="rId715" xr:uid="{F083EF13-46F9-4793-ACF2-55B6FF547E2B}"/>
    <hyperlink ref="BA120" r:id="rId716" xr:uid="{A1AA13D3-C559-463E-AD69-0F0F56537EC0}"/>
    <hyperlink ref="AY121" r:id="rId717" xr:uid="{4E4FBB8E-B228-4531-8212-0D2D85B918E7}"/>
    <hyperlink ref="AZ121" r:id="rId718" xr:uid="{6A5C1615-0931-4B8D-A748-2F8306BD1BF9}"/>
    <hyperlink ref="AY122" r:id="rId719" xr:uid="{5C96092C-F906-4B88-B41F-6ABC82CE31D3}"/>
    <hyperlink ref="AZ122" r:id="rId720" xr:uid="{BA5EB105-7435-403F-B5B4-AA44AE941A9B}"/>
    <hyperlink ref="AY123" r:id="rId721" xr:uid="{FFEC9C4B-B47C-4EEF-A51B-9D74A785D8F1}"/>
    <hyperlink ref="AZ123" r:id="rId722" xr:uid="{E0CACB87-47AE-499E-961D-04036BDD8BB9}"/>
    <hyperlink ref="AY124" r:id="rId723" xr:uid="{A94B54A4-CD0A-4297-9EA4-9488DD450EB1}"/>
    <hyperlink ref="AZ124" r:id="rId724" xr:uid="{08CAD087-7660-44D6-AB24-6FE6DC156EA1}"/>
    <hyperlink ref="AY125" r:id="rId725" xr:uid="{8A97621A-309F-49DC-B3A2-607CC1E4CF77}"/>
    <hyperlink ref="AZ125" r:id="rId726" xr:uid="{53E50A4D-B263-4A6B-8C5D-25111EF0DFE9}"/>
    <hyperlink ref="AY126" r:id="rId727" xr:uid="{1D444EB8-E096-47B5-AE4C-B90E4B480AF3}"/>
    <hyperlink ref="AZ126" r:id="rId728" xr:uid="{26F8F6A3-3145-4F72-8D1F-6FB4F8CFCA88}"/>
    <hyperlink ref="AY127" r:id="rId729" xr:uid="{A3122325-6A88-4E47-BA4D-D684C42A34B5}"/>
    <hyperlink ref="AZ127" r:id="rId730" xr:uid="{8536D9E4-C0E2-447D-A857-F1582E9EE1CD}"/>
    <hyperlink ref="AY128" r:id="rId731" xr:uid="{909B73ED-88EA-4E21-BF41-6E408C6AB61B}"/>
    <hyperlink ref="AZ128" r:id="rId732" xr:uid="{CA78683C-A0E2-497E-A610-8757698A58FB}"/>
    <hyperlink ref="AY129" r:id="rId733" xr:uid="{8AC9D193-7155-492F-9CA8-9D90990C0AEB}"/>
    <hyperlink ref="AZ129" r:id="rId734" xr:uid="{60AB3445-75F1-47CE-AF30-1B2BD16569C5}"/>
    <hyperlink ref="AY130" r:id="rId735" xr:uid="{60A1A0E5-66E5-477C-B8AE-F6304FFCF9C0}"/>
    <hyperlink ref="AZ130" r:id="rId736" xr:uid="{9F383163-86FF-46FC-9FAB-7A280B13DFCC}"/>
    <hyperlink ref="AY131" r:id="rId737" xr:uid="{22DC332B-678F-4D8F-8DD3-57AACC0E8A43}"/>
    <hyperlink ref="AZ131" r:id="rId738" xr:uid="{C7752F21-67D8-43C3-BF95-C11B7B4D0DC1}"/>
    <hyperlink ref="AY132" r:id="rId739" xr:uid="{EB451E36-93A3-441B-A5EE-64B04021E739}"/>
    <hyperlink ref="AZ132" r:id="rId740" xr:uid="{C840CD93-E5BF-47BD-A1B6-F0D5F22E0B6C}"/>
    <hyperlink ref="AY133" r:id="rId741" xr:uid="{A18CC8A2-947A-4663-8E18-5DEA2540B80C}"/>
    <hyperlink ref="AZ133" r:id="rId742" xr:uid="{C28BE04C-446C-4BBA-B1CC-BE250FEA6A83}"/>
    <hyperlink ref="AY134" r:id="rId743" xr:uid="{715CDED7-2790-444B-AF0F-5E20A1AC80BC}"/>
    <hyperlink ref="AZ134" r:id="rId744" xr:uid="{C952B187-DC0A-4626-80D2-A2F24DDE90C1}"/>
    <hyperlink ref="AY135" r:id="rId745" xr:uid="{E7D0315E-6157-45F1-93CB-358F54B54B09}"/>
    <hyperlink ref="AZ135" r:id="rId746" xr:uid="{E28DAACF-EE7C-4562-9A2F-3BA16A816AEB}"/>
    <hyperlink ref="AY136" r:id="rId747" xr:uid="{BBC1D183-B69B-4393-84A4-AD34CBB7DDA1}"/>
    <hyperlink ref="AY137" r:id="rId748" xr:uid="{E3D244E0-6C63-4EB2-899C-D0EC7170C89F}"/>
    <hyperlink ref="AZ137" r:id="rId749" xr:uid="{1E0159BB-FB22-4CDB-BAAC-315CA1EC218D}"/>
    <hyperlink ref="BA137" r:id="rId750" xr:uid="{8DF1DF5C-0A36-4B4A-8FFF-59FA0E230C9A}"/>
    <hyperlink ref="AY138" r:id="rId751" xr:uid="{A190D876-092A-491F-A601-9CB06C077D09}"/>
    <hyperlink ref="AY140" r:id="rId752" xr:uid="{F2928B91-6299-413B-97C6-9E241AA9D7ED}"/>
    <hyperlink ref="AZ140" r:id="rId753" xr:uid="{8ED6D29E-7C86-454F-980A-1F24DB2723B8}"/>
    <hyperlink ref="BA140" r:id="rId754" xr:uid="{259744FB-0771-450A-83E2-348D31E6F62B}"/>
    <hyperlink ref="AY141" r:id="rId755" xr:uid="{CF0F0E6B-AB05-4259-A0A7-50719B0443A1}"/>
    <hyperlink ref="AZ141" r:id="rId756" xr:uid="{650F165F-861B-4DF0-A19D-C81ED36EE965}"/>
    <hyperlink ref="BA141" r:id="rId757" xr:uid="{99999E30-DD4A-497C-B379-EFE36601F1EF}"/>
    <hyperlink ref="AY142" r:id="rId758" xr:uid="{18FEE04B-5470-4704-99FE-E658D84AB33B}"/>
    <hyperlink ref="AZ142" r:id="rId759" xr:uid="{8C6CF75F-9D3C-41CB-93C5-F4D6E4C3BBAB}"/>
    <hyperlink ref="BA142" r:id="rId760" xr:uid="{DF1FCB7C-1F1A-4B2D-9532-6304C3817FB1}"/>
    <hyperlink ref="AY143" r:id="rId761" xr:uid="{BF194C8D-78D6-45FB-A4DF-E03CD73D04B1}"/>
    <hyperlink ref="AZ143" r:id="rId762" xr:uid="{DCE2F799-9D13-4DAA-83F9-28961D084218}"/>
    <hyperlink ref="BA143" r:id="rId763" xr:uid="{2AC71059-76D8-445B-870A-57EA07C6364D}"/>
    <hyperlink ref="AY144" r:id="rId764" xr:uid="{6C01DCD5-BF0E-4FA2-882E-F66452D6B365}"/>
    <hyperlink ref="AZ144" r:id="rId765" xr:uid="{01CCD334-CEA6-4052-A519-EEFBE02AA127}"/>
    <hyperlink ref="BA144" r:id="rId766" xr:uid="{93105B35-AFB1-4EE8-AF27-95F9C4BDBBF4}"/>
    <hyperlink ref="AY145" r:id="rId767" xr:uid="{85738DEF-DB9D-49CB-BF7B-2913BFC86C7D}"/>
    <hyperlink ref="AZ145" r:id="rId768" xr:uid="{3E8DB0F7-7C17-4EED-BA19-A81E676C5824}"/>
    <hyperlink ref="BA145" r:id="rId769" xr:uid="{D04BB31F-07A4-4457-A111-F00CAFCE3642}"/>
    <hyperlink ref="AY146" r:id="rId770" xr:uid="{8EC7E18C-57E6-4C0B-BA6B-A4E35E8924C7}"/>
    <hyperlink ref="AZ146" r:id="rId771" xr:uid="{5BFCD84B-4BA2-4C53-8658-FAF16B35174F}"/>
    <hyperlink ref="BA146" r:id="rId772" xr:uid="{2A9310FA-2981-4B8E-A052-5EF8D88C4226}"/>
    <hyperlink ref="AY147" r:id="rId773" xr:uid="{1C6DF8C7-FDA4-469A-8DA0-156618126B1C}"/>
    <hyperlink ref="AZ147" r:id="rId774" xr:uid="{4E8F8BC1-7804-429C-AEE0-53DD7AE8B034}"/>
    <hyperlink ref="AY148" r:id="rId775" xr:uid="{3C918D67-A18D-430E-8F06-E1C2E395C8ED}"/>
    <hyperlink ref="AZ148" r:id="rId776" xr:uid="{BE0442B3-5FCD-4BF4-9847-49B9E4F41727}"/>
    <hyperlink ref="BA148" r:id="rId777" xr:uid="{B03CB46A-D91D-419E-89DB-776E7CD6280E}"/>
    <hyperlink ref="AY149" r:id="rId778" xr:uid="{C31CEB16-DFB6-4CB2-BCFB-4AC8B645E9AE}"/>
    <hyperlink ref="AZ149" r:id="rId779" xr:uid="{D9F9A1C7-E2E0-4C1D-A5A1-A3D79C3DCB2B}"/>
    <hyperlink ref="BA149" r:id="rId780" xr:uid="{7824012C-D915-4DFD-A4BB-519ACA1AC1CE}"/>
    <hyperlink ref="AY150" r:id="rId781" xr:uid="{7497A9F8-2819-4E41-8E48-A448C8497AA0}"/>
    <hyperlink ref="AZ150" r:id="rId782" xr:uid="{63036AD9-3026-4BA0-A599-D139E32F8A03}"/>
    <hyperlink ref="BA150" r:id="rId783" xr:uid="{CC270D3B-D71C-44F1-9246-CFA3F3EDC1CF}"/>
    <hyperlink ref="AY151" r:id="rId784" xr:uid="{A2BF5C18-3512-437D-B4EC-EA0906B07A26}"/>
    <hyperlink ref="AZ151" r:id="rId785" xr:uid="{0C589FCF-F352-4599-B952-713E236B73E5}"/>
    <hyperlink ref="BA151" r:id="rId786" xr:uid="{7DA4610C-A97F-487D-8CCC-54DF07DC5C5B}"/>
    <hyperlink ref="AY152" r:id="rId787" xr:uid="{2721BAF5-B12F-4018-A60B-8B420C6B844B}"/>
    <hyperlink ref="AZ152" r:id="rId788" xr:uid="{A1B26D47-18FE-4C6C-B824-38356581AC17}"/>
    <hyperlink ref="BA152" r:id="rId789" xr:uid="{8AE067C2-902A-4B96-BE81-89A613779FDE}"/>
    <hyperlink ref="AY153" r:id="rId790" xr:uid="{10022FAF-FE1E-4840-8FED-778154A4BF54}"/>
    <hyperlink ref="AZ153" r:id="rId791" xr:uid="{BBCC9E9D-26FD-4E28-BD1D-1B8D1247E426}"/>
    <hyperlink ref="BA153" r:id="rId792" xr:uid="{726132C1-283C-49FD-8EE1-D340B135970F}"/>
    <hyperlink ref="AY154" r:id="rId793" xr:uid="{CEA7A9F6-8C4E-498A-9E6B-D41F05B812D6}"/>
    <hyperlink ref="AZ154" r:id="rId794" xr:uid="{A3F7279B-574C-496C-961F-6E3AEB496D50}"/>
    <hyperlink ref="BA154" r:id="rId795" xr:uid="{9A138231-6F98-4DDC-BC01-F506AA47148E}"/>
    <hyperlink ref="AY155" r:id="rId796" xr:uid="{171F5F1D-A7BB-4B60-BEE3-EB13481BC35F}"/>
    <hyperlink ref="AZ155" r:id="rId797" xr:uid="{6F72967B-9253-4D22-BA97-B2BE3D484D90}"/>
    <hyperlink ref="AY156" r:id="rId798" xr:uid="{0223D481-232F-400E-9607-3BD80D0057DB}"/>
    <hyperlink ref="AZ156" r:id="rId799" xr:uid="{9B7004BC-20F2-43BE-B7C6-3CD96182DAEB}"/>
    <hyperlink ref="BA156" r:id="rId800" xr:uid="{7560F74E-5D30-4341-AC89-AD4C1F9E7D3C}"/>
    <hyperlink ref="AY157" r:id="rId801" xr:uid="{126D7624-A140-40A1-A3B1-BABB9AE13DF2}"/>
    <hyperlink ref="AZ157" r:id="rId802" xr:uid="{A85A6F60-138B-4145-B133-D73E8B1E6B9D}"/>
    <hyperlink ref="BA157" r:id="rId803" xr:uid="{44EE5252-54B3-43F0-9719-CD4F38DE1984}"/>
    <hyperlink ref="AY158" r:id="rId804" xr:uid="{74D0F7C2-3746-47B9-90D5-4DA6E70AD71F}"/>
    <hyperlink ref="AZ158" r:id="rId805" xr:uid="{4F2B8705-5E80-4035-92A1-7F422F76BABC}"/>
    <hyperlink ref="BA158" r:id="rId806" xr:uid="{4A51011E-1AC1-47D8-9CB7-807A92432530}"/>
    <hyperlink ref="AY159" r:id="rId807" xr:uid="{93BD9A2F-D15A-489F-BEC1-FBF5F0082FE9}"/>
    <hyperlink ref="AZ159" r:id="rId808" xr:uid="{EB81DFAB-2055-4335-BE30-D38247C92FB3}"/>
    <hyperlink ref="AY160" r:id="rId809" xr:uid="{3B1739DA-E01D-486F-B7CE-AC0B318EE8B8}"/>
    <hyperlink ref="AZ160" r:id="rId810" xr:uid="{BDEBA98F-CEC4-4348-ADC0-EFE9C26F8F3B}"/>
    <hyperlink ref="AY161" r:id="rId811" xr:uid="{0A4A4E25-9429-4B18-AEFF-049C40738B28}"/>
    <hyperlink ref="AZ161" r:id="rId812" xr:uid="{A408FB8E-4ADE-4EE0-A366-8EEB4A6FB35C}"/>
    <hyperlink ref="BA161" r:id="rId813" xr:uid="{4B6AF7FE-038A-4FD6-B87A-2BA100BEEDBE}"/>
    <hyperlink ref="AY162" r:id="rId814" xr:uid="{8B11DABB-3AB1-4FAA-A6F7-F6D6837312FB}"/>
    <hyperlink ref="AZ162" r:id="rId815" xr:uid="{BCE47CEC-E591-4EEA-A738-8036D06F43A8}"/>
    <hyperlink ref="AY163" r:id="rId816" xr:uid="{9014EC38-1865-4E47-B849-C611ADB10BF1}"/>
    <hyperlink ref="AZ163" r:id="rId817" xr:uid="{FDA9D026-DA69-4281-BF07-8DA09E64D4E4}"/>
    <hyperlink ref="BA163" r:id="rId818" xr:uid="{7441ED23-1587-4067-95D6-CE20E179CD9A}"/>
    <hyperlink ref="AY164" r:id="rId819" xr:uid="{EFFE59F4-D689-4292-B7E9-1D1CD2C1DAA3}"/>
    <hyperlink ref="AY165" r:id="rId820" xr:uid="{17CECA5A-0852-41A9-8D7B-8F3787A3FF4A}"/>
    <hyperlink ref="AZ165" r:id="rId821" xr:uid="{CC3147BF-EF68-4F1A-ACAA-D707EB126F9C}"/>
    <hyperlink ref="BA165" r:id="rId822" xr:uid="{940C5C26-7663-40CD-99C7-8D027A3698AA}"/>
    <hyperlink ref="AY166" r:id="rId823" xr:uid="{F20B4780-508B-49B1-8502-99E510761938}"/>
    <hyperlink ref="AZ166" r:id="rId824" xr:uid="{242ACA50-B7D0-4C8F-8895-353E2D8579E9}"/>
    <hyperlink ref="AY167" r:id="rId825" xr:uid="{20A0C90B-59A0-4525-9AB7-04773B90CC8C}"/>
    <hyperlink ref="AY168" r:id="rId826" xr:uid="{49FF11DB-3A27-47A2-BC7D-6F3B436FD019}"/>
    <hyperlink ref="AY169" r:id="rId827" xr:uid="{863F8F9C-4853-48C0-9D34-845651A42E9C}"/>
    <hyperlink ref="AY170" r:id="rId828" xr:uid="{3D0CE710-4BF1-479D-94E5-37923FAF1819}"/>
    <hyperlink ref="AZ170" r:id="rId829" xr:uid="{97FBAE0C-7BE2-4E49-961C-FE49BA18B90D}"/>
    <hyperlink ref="AY171" r:id="rId830" xr:uid="{DF255CF2-87AB-41D8-8AD5-A2C23A4AA265}"/>
    <hyperlink ref="AY172" r:id="rId831" xr:uid="{C2B478DD-2E6F-4C7D-BC43-80FBD7CB8B0C}"/>
    <hyperlink ref="AZ172" r:id="rId832" xr:uid="{B7594331-88AE-42A1-815E-CF59C6A16247}"/>
    <hyperlink ref="BA172" r:id="rId833" xr:uid="{AAB1894B-0199-45F4-ACE5-9B2CCCAF183A}"/>
    <hyperlink ref="AY173" r:id="rId834" xr:uid="{B47B0B3A-1A06-46EA-BE0B-F30C9BF26847}"/>
    <hyperlink ref="AZ173" r:id="rId835" xr:uid="{5D6ADF7E-D8FD-4AF5-A503-933567C25F76}"/>
    <hyperlink ref="BA173" r:id="rId836" xr:uid="{4F9D20B9-6B5B-497F-A47B-7E65451CDFA3}"/>
    <hyperlink ref="AY174" r:id="rId837" xr:uid="{B81491E6-4F74-4903-8AE3-78D9FF2D90D1}"/>
    <hyperlink ref="AZ174" r:id="rId838" xr:uid="{5A35BBFA-2DAA-44F3-82FB-746C835C2275}"/>
    <hyperlink ref="BA174" r:id="rId839" xr:uid="{3FEDFA3A-91CD-432A-A06A-0838961CBAB9}"/>
    <hyperlink ref="AY175" r:id="rId840" xr:uid="{EFAC4295-2254-425C-AAA4-B6EBD1581E18}"/>
    <hyperlink ref="AZ175" r:id="rId841" xr:uid="{ED784813-A901-4B8E-9E5D-DC1975E76DA0}"/>
    <hyperlink ref="AY176" r:id="rId842" xr:uid="{B67374FE-5C26-4972-A1A6-076C9719D03A}"/>
    <hyperlink ref="AZ176" r:id="rId843" xr:uid="{D99098FA-91B7-41D6-AD89-923731541E63}"/>
    <hyperlink ref="AY177" r:id="rId844" xr:uid="{C24B92C4-018C-4B83-8F2E-6A4EAE9D723C}"/>
    <hyperlink ref="AZ177" r:id="rId845" xr:uid="{9137FEBE-1E09-4F65-8DF8-02EACABABF56}"/>
    <hyperlink ref="AY178" r:id="rId846" xr:uid="{F363EE56-F1CB-4FFE-8A12-8B93AA5A2234}"/>
    <hyperlink ref="AZ178" r:id="rId847" xr:uid="{6105B499-AF1E-42FF-A324-7DE7F1D85DFE}"/>
    <hyperlink ref="BA178" r:id="rId848" xr:uid="{8DEFC64F-A1AE-41F6-82E4-41F47B6D5E0C}"/>
    <hyperlink ref="AY179" r:id="rId849" xr:uid="{9E77170A-521C-4E36-A3A4-53124BAA4E30}"/>
    <hyperlink ref="AZ179" r:id="rId850" xr:uid="{C257A14E-5BE0-40AC-A793-BD440BED6894}"/>
    <hyperlink ref="BA179" r:id="rId851" xr:uid="{7990F74A-9BA3-4A89-8226-7DE7A106742D}"/>
    <hyperlink ref="AY180" r:id="rId852" xr:uid="{9337460B-5A4B-4B74-8EB4-6D02C5F2FB92}"/>
    <hyperlink ref="AZ180" r:id="rId853" xr:uid="{E60D9470-02B8-46A0-9987-6E7737F639AB}"/>
    <hyperlink ref="BA180" r:id="rId854" xr:uid="{4018789E-C1AC-464E-B70C-765F7844A89E}"/>
    <hyperlink ref="AY181" r:id="rId855" xr:uid="{DD3CA213-BA25-417D-9D13-644F088C6A43}"/>
    <hyperlink ref="AZ181" r:id="rId856" xr:uid="{65AD3315-F541-48A9-8795-5773EF5922D4}"/>
    <hyperlink ref="BA181" r:id="rId857" xr:uid="{086B0031-ACC4-41ED-8968-D3A38C739663}"/>
    <hyperlink ref="AY182" r:id="rId858" xr:uid="{47689F8F-08AA-4255-8D8F-CEBEDBE0837E}"/>
    <hyperlink ref="AZ182" r:id="rId859" xr:uid="{0581D30E-3625-470F-A622-079048BAFDF1}"/>
    <hyperlink ref="AY183" r:id="rId860" xr:uid="{EF28BBF0-FF13-4743-B23F-035305D0669A}"/>
    <hyperlink ref="AZ183" r:id="rId861" xr:uid="{69A7FECF-11F4-4DC3-8119-10164448D0FE}"/>
    <hyperlink ref="BA183" r:id="rId862" xr:uid="{946CE39D-F530-41F5-B297-CE0C5E0BC655}"/>
    <hyperlink ref="AY184" r:id="rId863" xr:uid="{44608907-31DA-463F-8400-6DEFB2A782A9}"/>
    <hyperlink ref="AZ184" r:id="rId864" xr:uid="{8523B695-8CC3-4103-8B24-26D8547D3454}"/>
    <hyperlink ref="BA184" r:id="rId865" xr:uid="{0A8A64BA-18E5-470E-B96C-4791640CCFDB}"/>
    <hyperlink ref="AY185" r:id="rId866" xr:uid="{934F0890-6632-48A6-BBAD-8F3744731ACC}"/>
    <hyperlink ref="AZ185" r:id="rId867" xr:uid="{1CC76967-6923-4880-A1BD-D8F66071FA24}"/>
    <hyperlink ref="BA185" r:id="rId868" xr:uid="{E0B3092A-5FF6-4F95-9339-DDC30865BF59}"/>
    <hyperlink ref="AY186" r:id="rId869" xr:uid="{B72B5B15-EF78-4165-B19F-5FDFD1F6F5CB}"/>
    <hyperlink ref="AZ186" r:id="rId870" xr:uid="{378B0909-7C85-4F9E-B10B-83336E25738A}"/>
    <hyperlink ref="BA186" r:id="rId871" xr:uid="{97DE8842-C423-4CE4-B01F-D2F93AD08552}"/>
    <hyperlink ref="AY187" r:id="rId872" xr:uid="{04A4BC33-1E9B-4FA6-A7DE-DC289129B53A}"/>
    <hyperlink ref="AZ187" r:id="rId873" xr:uid="{CC31A0C3-5CC9-47E3-A457-C0C50D4698AD}"/>
    <hyperlink ref="BA187" r:id="rId874" xr:uid="{C66317FB-51BC-431D-BF5F-D3BB96E2C952}"/>
    <hyperlink ref="AY188" r:id="rId875" xr:uid="{ABC769BA-945C-4BE1-B79A-EC958E0DB8E9}"/>
    <hyperlink ref="AY189" r:id="rId876" xr:uid="{EA3C26A3-37E3-4BD5-B44E-9675813A24A2}"/>
    <hyperlink ref="AZ189" r:id="rId877" xr:uid="{65753E1B-E117-4BBD-952B-C6B155A366C3}"/>
    <hyperlink ref="BA189" r:id="rId878" xr:uid="{6A6A7242-7882-4B39-9BC7-569880A3533A}"/>
    <hyperlink ref="AY190" r:id="rId879" xr:uid="{DD764CC8-D497-449C-BB87-D47E54383CD0}"/>
    <hyperlink ref="AZ190" r:id="rId880" xr:uid="{390E3F7A-4CEA-434B-AB11-AF533A9D8889}"/>
    <hyperlink ref="BA190" r:id="rId881" xr:uid="{E61DED34-A658-466B-A734-A3E8743688D6}"/>
    <hyperlink ref="AY191" r:id="rId882" xr:uid="{7A2C2C39-3787-4C09-BB4E-8A641BFB3C20}"/>
    <hyperlink ref="AZ191" r:id="rId883" xr:uid="{B2E5132B-27E3-4FEE-B109-97A5C952ECE4}"/>
    <hyperlink ref="BA191" r:id="rId884" xr:uid="{F6886CC0-A09F-4EC1-97B2-077C27DABB6E}"/>
    <hyperlink ref="AY192" r:id="rId885" xr:uid="{07FFD89E-C360-4C35-AEA3-A939693E2AD0}"/>
    <hyperlink ref="AZ192" r:id="rId886" xr:uid="{2E32631F-D756-45EF-B5AA-044D424BC99A}"/>
    <hyperlink ref="BA192" r:id="rId887" xr:uid="{5ADC54A7-0EBF-4835-BED1-91BA9B9C5A6A}"/>
    <hyperlink ref="AY193" r:id="rId888" xr:uid="{74D94912-B70D-462B-AA2A-802982DC5DC3}"/>
    <hyperlink ref="AY194" r:id="rId889" xr:uid="{58E39276-6290-481A-95C9-8B91A5E82FB3}"/>
    <hyperlink ref="AZ194" r:id="rId890" xr:uid="{1C4B480B-4A99-400D-97A1-62D270E1648A}"/>
    <hyperlink ref="AY195" r:id="rId891" xr:uid="{A8C438C4-F6DC-4351-8D1D-B4EFAA38D99F}"/>
    <hyperlink ref="AZ195" r:id="rId892" xr:uid="{3A9F4A52-A825-4FB4-B6EF-26D9085EE5C6}"/>
    <hyperlink ref="AY196" r:id="rId893" xr:uid="{BC0B3557-5146-46EC-8604-609D19FD83B3}"/>
    <hyperlink ref="AZ196" r:id="rId894" xr:uid="{19E489FA-1B32-4F45-A7BE-1C29AC1A5EE3}"/>
    <hyperlink ref="BA196" r:id="rId895" xr:uid="{8C006621-A13F-4718-97B6-50261BF52C8E}"/>
    <hyperlink ref="AY197" r:id="rId896" xr:uid="{B6E66E12-AC84-4368-96D2-F3DDDB865140}"/>
    <hyperlink ref="AZ197" r:id="rId897" xr:uid="{B2B42A5D-F3DB-4240-A0E6-89E5536E4098}"/>
    <hyperlink ref="AY198" r:id="rId898" xr:uid="{A6266049-BCFF-4C71-91D1-B50090A6806A}"/>
    <hyperlink ref="AY199" r:id="rId899" xr:uid="{6B234C4B-20E1-4CFE-BB4C-4B5F5B3F2D9F}"/>
    <hyperlink ref="AZ199" r:id="rId900" xr:uid="{F87D7150-E6CD-4579-8BB6-37A0F4C283BD}"/>
    <hyperlink ref="AY200" r:id="rId901" xr:uid="{6C5E8E86-66C5-4CFC-824D-F195B9C8D89B}"/>
    <hyperlink ref="AZ200" r:id="rId902" xr:uid="{A9C209AA-6144-45A8-BBFF-154F19913DF5}"/>
    <hyperlink ref="BA200" r:id="rId903" xr:uid="{2AD26047-5B17-4830-B7E6-E7A002A97159}"/>
    <hyperlink ref="AY201" r:id="rId904" xr:uid="{2F735246-D747-465B-A3D5-F43A1BEF148B}"/>
    <hyperlink ref="AZ201" r:id="rId905" xr:uid="{D768C638-722F-449D-927A-C84299AB8698}"/>
    <hyperlink ref="BA201" r:id="rId906" xr:uid="{0D01FD23-8A93-451D-BD02-01A473AA3598}"/>
    <hyperlink ref="AY202" r:id="rId907" xr:uid="{F2C7BFFC-FD07-4E9F-B75F-BF7814E1A1E3}"/>
    <hyperlink ref="AZ202" r:id="rId908" xr:uid="{8DD7C372-ABE6-4B5B-808F-BFC2AEF8F0A8}"/>
    <hyperlink ref="BA202" r:id="rId909" xr:uid="{B99D87D2-5530-4820-AAE9-C7069B00015F}"/>
    <hyperlink ref="AY203" r:id="rId910" xr:uid="{3AABB395-E912-439D-9869-6B85D5CCDDD7}"/>
    <hyperlink ref="AZ203" r:id="rId911" xr:uid="{E1980083-375B-446F-BF48-856B6D1C52CE}"/>
    <hyperlink ref="BA203" r:id="rId912" xr:uid="{0DFC7E28-207C-4302-A01C-EE56E60F4A70}"/>
    <hyperlink ref="AY204" r:id="rId913" xr:uid="{FDAA68D1-B335-4D2A-A58F-1755ACB41D67}"/>
    <hyperlink ref="AZ204" r:id="rId914" xr:uid="{68049925-6C1B-4193-91A6-1EBBC62919DF}"/>
    <hyperlink ref="BA204" r:id="rId915" xr:uid="{63E8B2E8-C762-4F2D-A20B-5AF553809782}"/>
    <hyperlink ref="AY205" r:id="rId916" xr:uid="{34631D7B-40D4-41D2-83D9-6C11DE727755}"/>
    <hyperlink ref="AZ205" r:id="rId917" xr:uid="{14F91559-E4DA-46E8-B3D8-6DD9A78EC380}"/>
    <hyperlink ref="AY206" r:id="rId918" xr:uid="{0701BE64-3231-4E3A-BCE5-32B6DC0175B1}"/>
    <hyperlink ref="AZ206" r:id="rId919" xr:uid="{16D6A740-B66B-48E8-9BF2-BBEF12420DBE}"/>
    <hyperlink ref="BA206" r:id="rId920" xr:uid="{2383A386-F099-4FE9-8A1D-F51611274EC8}"/>
    <hyperlink ref="AY207" r:id="rId921" xr:uid="{F5E0C0B8-752A-4BAA-A853-CD21231A4CA0}"/>
    <hyperlink ref="AZ207" r:id="rId922" xr:uid="{720F8FD7-3C3B-43FC-B375-0C1C173305A2}"/>
    <hyperlink ref="AY208" r:id="rId923" xr:uid="{6529258C-F9E7-4607-9DFB-51BA03E00DAE}"/>
    <hyperlink ref="AZ208" r:id="rId924" xr:uid="{3C6B4AA3-A562-40B2-93E9-EB21813EFAD6}"/>
    <hyperlink ref="AY209" r:id="rId925" xr:uid="{FBCE8339-FE1C-48A2-AC80-D365C944C893}"/>
    <hyperlink ref="AY210" r:id="rId926" xr:uid="{F7F5862E-FE20-464C-9DE4-5F3EE5A96DC3}"/>
    <hyperlink ref="AY211" r:id="rId927" xr:uid="{8AD6F0E1-6ADB-4BDB-8ED1-99E2D58D5A29}"/>
    <hyperlink ref="AZ211" r:id="rId928" xr:uid="{7D726F8D-9219-473C-A44F-6FA40DA3D6E6}"/>
    <hyperlink ref="BA211" r:id="rId929" xr:uid="{7FF5F285-4C23-4242-94E0-016A99314599}"/>
    <hyperlink ref="AY212" r:id="rId930" xr:uid="{8CC9B580-519F-454B-A094-6DE391FEA1F9}"/>
    <hyperlink ref="AZ212" r:id="rId931" xr:uid="{054B574B-ADD2-4EE1-86F5-1F9D4B56864E}"/>
    <hyperlink ref="BA212" r:id="rId932" xr:uid="{1A79B49D-3488-45F4-B849-8619B940D4EA}"/>
    <hyperlink ref="AY213" r:id="rId933" xr:uid="{7078B12F-0B2C-478A-B4EA-15A77A46267E}"/>
    <hyperlink ref="AZ213" r:id="rId934" xr:uid="{E6B224EA-F041-4CE2-A6CC-00B5549B015A}"/>
    <hyperlink ref="BA213" r:id="rId935" xr:uid="{6AF84CD7-913F-47EA-ADCB-EB6C2FB2A549}"/>
    <hyperlink ref="AY214" r:id="rId936" xr:uid="{24CE64C9-9BB1-486C-8FF1-BB57B333B9CC}"/>
    <hyperlink ref="AZ214" r:id="rId937" xr:uid="{32D6C18B-8425-4832-B6C7-BB2984DDF3EE}"/>
    <hyperlink ref="BA214" r:id="rId938" xr:uid="{ADB1F2BC-1757-474A-A119-60DCD364EB2C}"/>
    <hyperlink ref="AY215" r:id="rId939" xr:uid="{25DA781F-DCE8-423B-89A3-A853868AAF59}"/>
    <hyperlink ref="AZ215" r:id="rId940" xr:uid="{39FFDB7A-8C77-426C-9B30-3768E690ABDE}"/>
    <hyperlink ref="BA215" r:id="rId941" xr:uid="{305C8C45-7B88-4DE3-9E73-8B6FA78D1C52}"/>
    <hyperlink ref="AY216" r:id="rId942" xr:uid="{484C45D9-ECD7-481E-AFF5-E3605F887A00}"/>
    <hyperlink ref="AZ216" r:id="rId943" xr:uid="{D5C1E59C-0484-4702-BE2F-0F1DD49C0C26}"/>
    <hyperlink ref="BA216" r:id="rId944" xr:uid="{11915762-7C10-49C9-9024-46B6778178C4}"/>
    <hyperlink ref="AY217" r:id="rId945" xr:uid="{F23D000E-F536-4D09-91F5-87CD4F11D5DC}"/>
    <hyperlink ref="AZ217" r:id="rId946" xr:uid="{4169C866-5ED6-4C90-81DE-150F487F77CA}"/>
    <hyperlink ref="AY218" r:id="rId947" xr:uid="{A0DC83E7-181D-4189-B87A-43D33DC2EF5F}"/>
    <hyperlink ref="AZ218" r:id="rId948" xr:uid="{C3AC196F-BDE8-4BFB-9311-DCD97C5E0F5A}"/>
    <hyperlink ref="BA218" r:id="rId949" xr:uid="{76A6C5D2-7AC3-409A-B86D-C8B2022850E3}"/>
    <hyperlink ref="AY219" r:id="rId950" xr:uid="{D0840051-FE85-49E9-B612-4E0400CC1F22}"/>
    <hyperlink ref="AZ219" r:id="rId951" xr:uid="{85F5A94B-CE22-4131-ACFE-40BB2141F171}"/>
    <hyperlink ref="BA219" r:id="rId952" xr:uid="{06BD8FD2-F0E9-4B7E-A0DC-EE35E4EB0A82}"/>
    <hyperlink ref="AY220" r:id="rId953" xr:uid="{7D7E373A-9962-487B-A07C-9697BD5540F1}"/>
    <hyperlink ref="AZ220" r:id="rId954" xr:uid="{078417B6-E2F6-4032-8D03-EAAD0071A2CD}"/>
    <hyperlink ref="BA220" r:id="rId955" xr:uid="{644F73BF-8B5A-4DC1-9CAA-B2F7BB89293E}"/>
    <hyperlink ref="AY221" r:id="rId956" xr:uid="{747DC157-6022-471F-9B1C-76714A17CA6B}"/>
    <hyperlink ref="AY222" r:id="rId957" xr:uid="{4704E98F-B055-4B9A-90DB-1DD0E6409561}"/>
    <hyperlink ref="AY223" r:id="rId958" xr:uid="{1D8F796B-520D-465B-A3AE-D0B3228D27EE}"/>
    <hyperlink ref="AY224" r:id="rId959" xr:uid="{522C9F32-3658-4D78-9330-93B2291BFD8C}"/>
    <hyperlink ref="AZ224" r:id="rId960" xr:uid="{9F8C499B-B769-4892-9029-778088EDF6D2}"/>
    <hyperlink ref="AY225" r:id="rId961" xr:uid="{5E03890B-1834-4ED8-B11A-2DDD6CC1C651}"/>
    <hyperlink ref="AZ225" r:id="rId962" xr:uid="{8ECF4715-ADCC-494F-BE00-4096969CA7C9}"/>
    <hyperlink ref="BA225" r:id="rId963" xr:uid="{437DD5E6-F84B-44B1-82F5-86CCCE65AAA7}"/>
    <hyperlink ref="AY226" r:id="rId964" xr:uid="{921869B7-A55F-4EF8-BC06-90500C7E4155}"/>
    <hyperlink ref="AZ226" r:id="rId965" xr:uid="{D72E16BC-2293-45AC-A1BE-30C27E648D8F}"/>
    <hyperlink ref="BA226" r:id="rId966" xr:uid="{A9FDF54A-8283-4EA1-AB3F-4128A1D56AC8}"/>
    <hyperlink ref="AY227" r:id="rId967" xr:uid="{6B9A5AED-F0A4-4705-8828-2D6C91B98BAB}"/>
    <hyperlink ref="AZ227" r:id="rId968" xr:uid="{A9FB4623-F2C9-462F-A32F-67E9EDF364C5}"/>
    <hyperlink ref="AY228" r:id="rId969" xr:uid="{DFB531FA-24CC-4446-B283-A2CBE2EDE658}"/>
    <hyperlink ref="AZ228" r:id="rId970" xr:uid="{AD4BE65D-F21B-4ECB-B0E7-E7462EC3C6AE}"/>
    <hyperlink ref="AY229" r:id="rId971" xr:uid="{1346A1A8-2045-44C0-A82A-D6F97035FBA9}"/>
    <hyperlink ref="AZ229" r:id="rId972" xr:uid="{0B0E8E50-0035-4E12-A5E2-3AB769EE6996}"/>
    <hyperlink ref="BA229" r:id="rId973" xr:uid="{7E3A1219-6E17-4A55-B7E4-4672E91D7E78}"/>
    <hyperlink ref="AY230" r:id="rId974" xr:uid="{AE3A5458-10D1-4348-B42F-A1A1D8F2420B}"/>
    <hyperlink ref="AZ230" r:id="rId975" xr:uid="{C6D26F67-3E62-4871-8477-DEB7E02B8B92}"/>
    <hyperlink ref="BA230" r:id="rId976" xr:uid="{98EB0AD9-89B7-4129-9AD0-0992C3C5B402}"/>
    <hyperlink ref="AY231" r:id="rId977" xr:uid="{BF12E61B-D09D-4AFA-B33A-ED7C42373B52}"/>
    <hyperlink ref="AZ231" r:id="rId978" xr:uid="{8F1EA403-5F14-4F27-BAFE-76DB236A16E1}"/>
    <hyperlink ref="BA231" r:id="rId979" xr:uid="{11ECA46F-27E9-41FE-A4EB-10424443376D}"/>
    <hyperlink ref="AY233" r:id="rId980" xr:uid="{CE2FA25B-1010-4B95-A177-2720403AA12C}"/>
    <hyperlink ref="AZ233" r:id="rId981" xr:uid="{60F036D0-A56B-4713-A244-BBB86C06644D}"/>
    <hyperlink ref="AY234" r:id="rId982" xr:uid="{0AD37728-8704-468C-922D-2C4C2CDE57AB}"/>
    <hyperlink ref="AZ234" r:id="rId983" xr:uid="{732C460B-5D11-4A27-B6B5-4BB63DD9EA50}"/>
    <hyperlink ref="BA234" r:id="rId984" xr:uid="{B1110A99-18A3-4D1A-8DBF-63C8DB47E929}"/>
    <hyperlink ref="AY235" r:id="rId985" xr:uid="{3626BBFB-B4C8-426F-BDDB-AB158587F42D}"/>
    <hyperlink ref="AY236" r:id="rId986" xr:uid="{B56AF30C-AD4F-4F17-9674-1119ED323094}"/>
    <hyperlink ref="AY237" r:id="rId987" xr:uid="{799D93F1-79DE-4433-8D6B-F30BB3D0789B}"/>
    <hyperlink ref="AZ237" r:id="rId988" xr:uid="{5994D250-54D6-49FD-BF93-BABB943FB80F}"/>
    <hyperlink ref="BA237" r:id="rId989" xr:uid="{DA374831-AA53-41F4-98C1-12AF857377EB}"/>
    <hyperlink ref="AY238" r:id="rId990" xr:uid="{2710DF40-C10D-48F8-A368-AF97DF9926FF}"/>
    <hyperlink ref="AZ238" r:id="rId991" xr:uid="{8FDE48A5-3948-4209-97FA-63473ED31DD6}"/>
    <hyperlink ref="AY239" r:id="rId992" xr:uid="{1A0B67E6-52F0-4D2F-BFCB-9163780C87DA}"/>
    <hyperlink ref="AZ239" r:id="rId993" xr:uid="{B6D82753-3977-4604-820F-45D85EE97FB5}"/>
    <hyperlink ref="BA240" r:id="rId994" xr:uid="{42ADB13B-101E-4C63-B43E-2C71CD6F225B}"/>
    <hyperlink ref="AY242" r:id="rId995" xr:uid="{C8A4F07A-D9FF-47C6-B60A-4F4B1D781017}"/>
    <hyperlink ref="AY243" r:id="rId996" xr:uid="{6E58330F-DE0C-4BD6-B8F0-472CDB208BE4}"/>
    <hyperlink ref="AZ243" r:id="rId997" xr:uid="{FBAC08C9-0471-4DBC-949B-63DEA5F4F1DC}"/>
    <hyperlink ref="AY245" r:id="rId998" xr:uid="{A30B391A-41CD-4297-B070-6F268EFF565F}"/>
    <hyperlink ref="AZ245" r:id="rId999" xr:uid="{B4335D27-1F31-41C3-B720-5180EE8491A8}"/>
    <hyperlink ref="AY246" r:id="rId1000" xr:uid="{B3743B58-6585-4DFF-91D7-325437CAA0B7}"/>
    <hyperlink ref="AZ246" r:id="rId1001" xr:uid="{F3E5F5B8-EE89-436C-A501-3B659CF49C61}"/>
    <hyperlink ref="AY247" r:id="rId1002" xr:uid="{5367FEDE-E3E3-47EE-A014-3CB31C38A852}"/>
    <hyperlink ref="AZ247" r:id="rId1003" xr:uid="{CB1E9C26-0A0E-4692-9795-9F84B5993E8F}"/>
    <hyperlink ref="AY249" r:id="rId1004" xr:uid="{57C5F474-158B-4619-9035-DCD1D1093B7F}"/>
    <hyperlink ref="AZ249" r:id="rId1005" xr:uid="{AB957622-8B82-4841-8632-0CF3527AC68A}"/>
    <hyperlink ref="AY250" r:id="rId1006" xr:uid="{0BA5647B-8135-4C7B-8B87-9676D8A78EDF}"/>
    <hyperlink ref="AZ250" r:id="rId1007" xr:uid="{2B12658F-6312-4421-97C8-4CFA48953A00}"/>
    <hyperlink ref="AY251" r:id="rId1008" xr:uid="{7483D907-8AC8-4D56-8F8E-DF75963A7A8B}"/>
    <hyperlink ref="AZ251" r:id="rId1009" xr:uid="{98C7F322-A286-45DD-9019-8030AD9B7309}"/>
    <hyperlink ref="AZ252" r:id="rId1010" xr:uid="{F1CCC55F-9C37-4A4E-B6ED-1BC07F8BBD38}"/>
    <hyperlink ref="AY252" r:id="rId1011" xr:uid="{74AB7DE0-6333-43D4-906E-FD7885784D36}"/>
    <hyperlink ref="AY253" r:id="rId1012" xr:uid="{F30BDEE1-F8A8-410D-9C0D-97EF9CF6F2B6}"/>
    <hyperlink ref="AZ253" r:id="rId1013" xr:uid="{0043B542-762A-43E1-8AFD-01BA4D39DAA7}"/>
    <hyperlink ref="AZ254" r:id="rId1014" xr:uid="{FA3AA8AB-C67D-4299-BF19-A9704BE9E629}"/>
    <hyperlink ref="AY254" r:id="rId1015" xr:uid="{A99839A9-3A02-48B8-99FD-C984DE2DDFC9}"/>
    <hyperlink ref="AY255" r:id="rId1016" xr:uid="{EFF12EE2-AE8B-4CCD-97C6-AF1A9304685C}"/>
    <hyperlink ref="AZ255" r:id="rId1017" xr:uid="{1F889823-1899-41AD-9AAA-AED87C7F3505}"/>
    <hyperlink ref="AZ257" r:id="rId1018" xr:uid="{0CAE3401-B490-40A3-989D-50CB8A6E4456}"/>
    <hyperlink ref="AZ258" r:id="rId1019" xr:uid="{B0D79FE9-7B62-4288-BB25-1D3903451F85}"/>
    <hyperlink ref="AY258" r:id="rId1020" xr:uid="{E277CBCD-F7BD-4CBC-A7C0-E5F9E3D58193}"/>
    <hyperlink ref="AY259" r:id="rId1021" xr:uid="{A288E6B1-ED47-4C30-868D-836D3A445B3E}"/>
    <hyperlink ref="AZ259" r:id="rId1022" xr:uid="{DD8449EB-E51E-4F02-B6EB-A079A428A890}"/>
    <hyperlink ref="AZ260" r:id="rId1023" xr:uid="{E581E132-C808-484F-872A-07C60E773B28}"/>
    <hyperlink ref="AY260" r:id="rId1024" xr:uid="{00854E7B-D8F6-42AF-8C13-30141622ED0F}"/>
    <hyperlink ref="AY262" r:id="rId1025" xr:uid="{B87E3B0E-3F4F-4F11-831E-1D569D6F628B}"/>
    <hyperlink ref="AZ262" r:id="rId1026" xr:uid="{7CA68772-0955-425F-9379-EE22AB252A90}"/>
    <hyperlink ref="AZ263" r:id="rId1027" xr:uid="{0007432E-A495-4D4E-B050-1C597A988C52}"/>
    <hyperlink ref="AY263" r:id="rId1028" xr:uid="{41B2167C-B21B-431E-A9CE-3EA504CCD00E}"/>
    <hyperlink ref="AZ264" r:id="rId1029" xr:uid="{3351BA4A-452F-47E2-9EE3-8ABFD1D890F1}"/>
    <hyperlink ref="AY265" r:id="rId1030" xr:uid="{9CEE9DE2-AC36-4FDE-A57F-77965A125B26}"/>
    <hyperlink ref="AY266" r:id="rId1031" xr:uid="{48763CC8-99E7-45D7-979A-4785D76B3D49}"/>
    <hyperlink ref="AZ266" r:id="rId1032" xr:uid="{95A4119E-FAEC-48B9-B3AA-0E8FEAB2B8EB}"/>
    <hyperlink ref="AZ267" r:id="rId1033" xr:uid="{13EFB5F0-A368-4F1E-BB1C-992D868837A8}"/>
    <hyperlink ref="AY267" r:id="rId1034" xr:uid="{3761EF40-EE0A-4F5A-92CC-0879F9505BA3}"/>
    <hyperlink ref="AY268" r:id="rId1035" xr:uid="{BD38EE7A-D5CD-47E1-AFFD-F9976F9E1DEB}"/>
    <hyperlink ref="AY269" r:id="rId1036" xr:uid="{FC91D3ED-2844-41C7-9E59-10E7049EEC10}"/>
    <hyperlink ref="AY270" r:id="rId1037" xr:uid="{BD9DC67F-3156-44B5-8B85-76A86A22A16C}"/>
    <hyperlink ref="AY271" r:id="rId1038" xr:uid="{DF108A3D-13AB-4A6C-8AD7-30D5DAA24E46}"/>
    <hyperlink ref="AY272" r:id="rId1039" xr:uid="{E6409A57-54E2-41AE-AE09-F9875849237F}"/>
    <hyperlink ref="AY273" r:id="rId1040" xr:uid="{26EFC9D5-EFA6-4BDC-88E7-118CD6675BAB}"/>
    <hyperlink ref="AY274" r:id="rId1041" xr:uid="{7CD4F750-809D-469F-A899-0A433AABEA77}"/>
    <hyperlink ref="AY275" r:id="rId1042" xr:uid="{CB502432-763E-400B-A212-990199EA08EB}"/>
    <hyperlink ref="AY276" r:id="rId1043" xr:uid="{17AB3B49-2409-4B94-B635-E75331173EA2}"/>
    <hyperlink ref="AY277" r:id="rId1044" xr:uid="{24DCF2D2-03D7-436F-8C12-915E296B412A}"/>
    <hyperlink ref="AZ277" r:id="rId1045" xr:uid="{EF435CA4-7FFE-4629-A45C-5C9F21245E6D}"/>
    <hyperlink ref="AZ278" r:id="rId1046" xr:uid="{343E185C-E993-4C2B-820E-95E2EC2E6080}"/>
    <hyperlink ref="AY278" r:id="rId1047" xr:uid="{CBB028FB-8BF6-417B-88DD-2CC0B152897F}"/>
    <hyperlink ref="AY279" r:id="rId1048" xr:uid="{92ABF5A4-42E2-4423-9D73-C67CD6680C81}"/>
    <hyperlink ref="AZ279" r:id="rId1049" xr:uid="{11496AB2-4AEA-49D6-87B3-1A26BCF55901}"/>
    <hyperlink ref="AZ280" r:id="rId1050" xr:uid="{380E7516-EE4E-4DCF-8238-9762EDC8F216}"/>
    <hyperlink ref="AY280" r:id="rId1051" xr:uid="{DDF73EEA-3EC3-4533-B018-F78C2671474B}"/>
    <hyperlink ref="AY281" r:id="rId1052" xr:uid="{95879024-2B5F-4CFE-8B81-AD287DE1F583}"/>
    <hyperlink ref="AZ281" r:id="rId1053" xr:uid="{BEC3CEE0-6CBC-4DD0-8BD4-C08637B719FE}"/>
    <hyperlink ref="AY282" r:id="rId1054" xr:uid="{A8259DB4-C9AE-4F40-897C-EF90DDEB8E98}"/>
    <hyperlink ref="AY283" r:id="rId1055" xr:uid="{DC5C32F3-8BAB-4C2A-AD66-E9191A44E5D2}"/>
    <hyperlink ref="AY284" r:id="rId1056" xr:uid="{93DFB7CE-9C1B-49D0-B346-695018DB2E70}"/>
    <hyperlink ref="AY285" r:id="rId1057" xr:uid="{132620A2-6C89-44EC-8635-89B8A8DDAA12}"/>
    <hyperlink ref="AY286" r:id="rId1058" xr:uid="{4F50E32C-3CF8-4BE1-8263-BC5E7E46D092}"/>
    <hyperlink ref="AY287" r:id="rId1059" xr:uid="{585C8E0D-1248-4919-83ED-E53FAC311933}"/>
    <hyperlink ref="AY288" r:id="rId1060" xr:uid="{7206AD09-61F5-4D18-A0F8-727BE5C5CD93}"/>
    <hyperlink ref="AY289" r:id="rId1061" xr:uid="{DF4EEA70-EFC8-458B-B4F8-CB3CB1427075}"/>
    <hyperlink ref="AY290" r:id="rId1062" xr:uid="{1ADDF783-0846-41C5-B4FD-E24F612F2716}"/>
    <hyperlink ref="AY291" r:id="rId1063" xr:uid="{76C524F2-B8F7-49F3-B0C1-60BEEA79D8EA}"/>
    <hyperlink ref="AY292" r:id="rId1064" xr:uid="{A8277391-DE07-4D60-87D1-91ECCEFB5878}"/>
    <hyperlink ref="AY293" r:id="rId1065" xr:uid="{B252D4A6-41E9-4AA8-91B3-5FFF72AA3DF2}"/>
    <hyperlink ref="AY294" r:id="rId1066" xr:uid="{3D6892D3-14BF-46D8-9B25-51608FC84741}"/>
    <hyperlink ref="AY295" r:id="rId1067" xr:uid="{2E50DA32-D507-409C-A5DF-EFADD853CD3F}"/>
    <hyperlink ref="AY296" r:id="rId1068" xr:uid="{1F893A59-674A-4B77-8C11-BB0AC3A59961}"/>
    <hyperlink ref="AY297" r:id="rId1069" xr:uid="{C6DC2577-43EE-40FE-A714-3C0DBBCF4AC9}"/>
    <hyperlink ref="AY298" r:id="rId1070" xr:uid="{D77EB7A8-7459-4F0D-BB92-C5354AF91C27}"/>
    <hyperlink ref="AY299" r:id="rId1071" xr:uid="{A4A95543-E3EA-40EA-8A96-6FB71608E830}"/>
    <hyperlink ref="AY300" r:id="rId1072" xr:uid="{9467F30B-76A8-4719-8BE1-34276F8BEAF7}"/>
    <hyperlink ref="AY301" r:id="rId1073" xr:uid="{1415B8DC-F124-4A55-B12F-99AA09AEFE4F}"/>
    <hyperlink ref="AY302" r:id="rId1074" xr:uid="{1CF89F42-80B2-4400-9AD5-DC81B6D864BC}"/>
    <hyperlink ref="AZ306" r:id="rId1075" xr:uid="{0D4F623B-81E1-4610-B405-447F6066FB51}"/>
    <hyperlink ref="AY308" r:id="rId1076" xr:uid="{573C1DB1-4BD8-489C-B836-AB39BB516116}"/>
    <hyperlink ref="AZ308" r:id="rId1077" xr:uid="{76D956EF-1131-45C5-AEF5-169DB6A1F773}"/>
    <hyperlink ref="AY309" r:id="rId1078" xr:uid="{7191DB84-2A73-403A-AB90-1D25C4DB50D2}"/>
    <hyperlink ref="AZ309" r:id="rId1079" xr:uid="{E19B0A9C-840C-431A-9C14-3631C03795EB}"/>
    <hyperlink ref="BA309" r:id="rId1080" xr:uid="{2718D768-E8D4-4A65-862A-04B2920748DE}"/>
    <hyperlink ref="BA310" r:id="rId1081" xr:uid="{3D7330A4-6562-4341-B939-8A02DEFC47EE}"/>
    <hyperlink ref="AZ310" r:id="rId1082" xr:uid="{7B5B6DB2-86B7-4849-A159-9757BF1A4A93}"/>
    <hyperlink ref="AY310" r:id="rId1083" xr:uid="{04507551-3FE5-4A4E-803C-FE23945FFA3D}"/>
    <hyperlink ref="AY311" r:id="rId1084" xr:uid="{B5403A56-C3D0-4192-A636-192E5279A472}"/>
    <hyperlink ref="AZ311" r:id="rId1085" xr:uid="{133A16C2-6464-4ACF-8C28-7E440583BF98}"/>
    <hyperlink ref="AZ312" r:id="rId1086" xr:uid="{79300FCE-ED7B-4F3B-B473-318372A7853F}"/>
    <hyperlink ref="AY312" r:id="rId1087" xr:uid="{DB4A308E-59FD-4683-8D8A-386C32F2D431}"/>
    <hyperlink ref="AY313" r:id="rId1088" xr:uid="{1901EE29-870A-4BDD-9DD6-5BB0102C8260}"/>
    <hyperlink ref="AZ313" r:id="rId1089" xr:uid="{4FFE6F23-4832-4578-B678-E8C2B3B3B7F4}"/>
    <hyperlink ref="AZ314" r:id="rId1090" xr:uid="{EDC96641-5A8A-4F4F-A6F9-36032251F5EC}"/>
    <hyperlink ref="AY314" r:id="rId1091" xr:uid="{C490F22F-B086-4540-818C-B6DF239E717B}"/>
    <hyperlink ref="AY315" r:id="rId1092" xr:uid="{3B8AA910-FB05-4E18-902F-50C50DE20D64}"/>
    <hyperlink ref="AZ315" r:id="rId1093" xr:uid="{04A9FC5C-1CAF-4BE6-8E56-FD07CDBF6FC1}"/>
    <hyperlink ref="BA316" r:id="rId1094" xr:uid="{DD5CFE60-5636-47C9-ABF5-30409B55F5FD}"/>
    <hyperlink ref="AZ316" r:id="rId1095" xr:uid="{D017D931-EAB8-4FAC-820A-45ACD4BF37FE}"/>
    <hyperlink ref="AY316" r:id="rId1096" xr:uid="{5BD2FFC8-2B5C-40AF-8058-491DC06CBD38}"/>
    <hyperlink ref="AZ691" r:id="rId1097" xr:uid="{26EBE770-D92D-4DA9-9861-F1B78C9BE1AD}"/>
    <hyperlink ref="AZ698" r:id="rId1098" xr:uid="{57D70701-9678-4CFF-ABFF-D6FB729ACCCD}"/>
    <hyperlink ref="AY704" r:id="rId1099" xr:uid="{B6107A5D-F85D-4C27-931D-DD7A071F06E3}"/>
    <hyperlink ref="AY703" r:id="rId1100" xr:uid="{760EAD39-E4D0-4DAC-9DB0-176BFEF96839}"/>
    <hyperlink ref="AZ703" r:id="rId1101" xr:uid="{407D3113-E03A-4462-8233-3CD5A022DD85}"/>
    <hyperlink ref="AZ712" r:id="rId1102" xr:uid="{38BFCFD2-F5B9-4A04-8213-276913FB5103}"/>
    <hyperlink ref="BA714" r:id="rId1103" xr:uid="{906D5B23-187B-4D3A-9AF4-37CFB0C057AB}"/>
    <hyperlink ref="AZ722" r:id="rId1104" xr:uid="{28331CD6-C504-400A-B3A3-20C46DF737EC}"/>
    <hyperlink ref="AZ723" r:id="rId1105" xr:uid="{4AE8B4E1-B872-42C6-86EB-3D57BDECA8B4}"/>
    <hyperlink ref="AZ726" r:id="rId1106" xr:uid="{04B618D6-4E26-4B68-8230-D932BFDBE481}"/>
    <hyperlink ref="AZ733" r:id="rId1107" xr:uid="{44EA593B-8C22-47D1-B77A-D5509C26B504}"/>
    <hyperlink ref="BA733" r:id="rId1108" xr:uid="{FF57C677-213D-460C-BAD0-69F073A3E399}"/>
    <hyperlink ref="BA736" r:id="rId1109" xr:uid="{DE2DE01A-C283-4207-8963-A3E11D6A7BA1}"/>
    <hyperlink ref="AZ737" r:id="rId1110" xr:uid="{81A06B0A-C184-4037-BD55-6BBD9BF89D07}"/>
    <hyperlink ref="AZ748" r:id="rId1111" xr:uid="{452DB2BF-1E3F-479B-BBAD-7E1B5676FDD8}"/>
    <hyperlink ref="AZ738" r:id="rId1112" xr:uid="{C413E2DA-A03F-4C53-A5FE-DD39255A9C69}"/>
    <hyperlink ref="AZ745" r:id="rId1113" xr:uid="{000CA372-EF61-4F9C-93D7-71A85697D927}"/>
    <hyperlink ref="AY684" r:id="rId1114" xr:uid="{EB296E4D-2708-4A0D-A313-C1AE1D3F7582}"/>
    <hyperlink ref="AY685" r:id="rId1115" xr:uid="{BA29636D-4FFF-40D4-9D8C-793CBDCF74E5}"/>
    <hyperlink ref="AY686" r:id="rId1116" xr:uid="{D819BBE5-E231-4E1A-963A-056269B35395}"/>
    <hyperlink ref="AY689" r:id="rId1117" xr:uid="{2A308CFD-94F5-49B5-B1A6-8C8A64A36D75}"/>
    <hyperlink ref="AY690" r:id="rId1118" xr:uid="{5BED3A90-D7BB-40C6-BD0E-6323F2D30E06}"/>
    <hyperlink ref="AY691" r:id="rId1119" xr:uid="{2125487E-6BB2-48D8-A68E-46D5E1185BD5}"/>
    <hyperlink ref="AY680" r:id="rId1120" xr:uid="{DD5B4832-81E6-493F-AC02-FA74D97722AF}"/>
    <hyperlink ref="AY681" r:id="rId1121" xr:uid="{24C16C1A-509C-4E3A-9FAE-3E215BF4BD82}"/>
    <hyperlink ref="AY693" r:id="rId1122" xr:uid="{61780081-E831-413B-A208-283DFAFE2228}"/>
    <hyperlink ref="AY694" r:id="rId1123" xr:uid="{93F61737-9DC4-44AB-8CF0-A94C5FAA37E8}"/>
    <hyperlink ref="AY695" r:id="rId1124" xr:uid="{A49B439F-F784-40D9-B738-1BCB8032C39E}"/>
    <hyperlink ref="AY696" r:id="rId1125" xr:uid="{280DFDEF-781D-4910-A9AE-9C799019839E}"/>
    <hyperlink ref="AY698" r:id="rId1126" xr:uid="{AD8D06D6-D052-436D-BCE3-D31F9E09978F}"/>
    <hyperlink ref="AZ697" r:id="rId1127" xr:uid="{2C690D88-2A50-4123-824C-F38C67D2113F}"/>
    <hyperlink ref="AY697" r:id="rId1128" xr:uid="{8B5FD37F-F682-4327-99A0-60C51A6A2E0D}"/>
    <hyperlink ref="AZ699" r:id="rId1129" xr:uid="{AE750109-A1DF-43D5-8E8F-29083FFE809D}"/>
    <hyperlink ref="AY699" r:id="rId1130" xr:uid="{E5598D58-03EC-42E8-BD49-C04F5A368F89}"/>
    <hyperlink ref="AZ700" r:id="rId1131" xr:uid="{67BAED7E-83E9-4C00-ABC9-13B2EC41B33E}"/>
    <hyperlink ref="AY701" r:id="rId1132" xr:uid="{A602DC6C-B0B3-40DF-892B-34B574CDF00E}"/>
    <hyperlink ref="AY702" r:id="rId1133" xr:uid="{5FDB6DE9-90E6-49DF-88BF-7AB40022CE9C}"/>
    <hyperlink ref="AY705" r:id="rId1134" xr:uid="{3A2152BB-CCD1-43A9-9182-8078D8B2FBD4}"/>
    <hyperlink ref="AY712" r:id="rId1135" xr:uid="{752B4EFF-E441-43EB-A513-E26A0DDF7FC1}"/>
    <hyperlink ref="AY715" r:id="rId1136" xr:uid="{1307AAEB-360F-4044-979B-C429D5F937B9}"/>
    <hyperlink ref="AY716" r:id="rId1137" xr:uid="{9DACA104-FB42-4736-BDB7-B455EBD922E5}"/>
    <hyperlink ref="AY717" r:id="rId1138" xr:uid="{8D546BB9-02F3-4D0A-ADB8-D39A1295FC85}"/>
    <hyperlink ref="AY718" r:id="rId1139" xr:uid="{E32023AA-32EA-45FA-B54F-B11A8F2D6CA5}"/>
    <hyperlink ref="AY719" r:id="rId1140" xr:uid="{ED458DE5-479C-4142-A3D9-09965D4EB4C5}"/>
    <hyperlink ref="AY720" r:id="rId1141" xr:uid="{AABF343C-9143-40B8-A6C4-7C834DAA908C}"/>
    <hyperlink ref="AY721" r:id="rId1142" xr:uid="{099321F8-7C2C-43D1-969B-0E0D92F90BC1}"/>
    <hyperlink ref="AY722" r:id="rId1143" xr:uid="{5FA435DC-C10A-4BF4-9D63-5CE2BB95CD2B}"/>
    <hyperlink ref="AY734" r:id="rId1144" xr:uid="{AD0156C8-3D76-4E94-B995-FD2E6E82D03E}"/>
    <hyperlink ref="AY735" r:id="rId1145" xr:uid="{2415902A-1235-43E6-8187-A4704E32D656}"/>
    <hyperlink ref="AY736" r:id="rId1146" xr:uid="{C95BD556-E15A-47CC-871D-69FF5159BFDD}"/>
    <hyperlink ref="AY750" r:id="rId1147" xr:uid="{194B0CC4-1DE8-4BF6-9CA1-423BE187B76E}"/>
    <hyperlink ref="BA737" r:id="rId1148" xr:uid="{AEE4D345-3800-496B-84FC-F96C2289FE3C}"/>
    <hyperlink ref="BA748" r:id="rId1149" xr:uid="{2F6F1A4F-3635-441A-92D9-C73C6631753B}"/>
    <hyperlink ref="AZ750" r:id="rId1150" xr:uid="{F9C1C532-1711-4E3C-A23D-BB5AAB8C8458}"/>
    <hyperlink ref="AY738" r:id="rId1151" xr:uid="{3E933779-A944-48D3-AD24-4C6A885BE509}"/>
    <hyperlink ref="AY739" r:id="rId1152" xr:uid="{6B21E744-522D-4774-93A1-E6DD939B3AB3}"/>
    <hyperlink ref="AY740" r:id="rId1153" xr:uid="{34219628-0F17-4435-A609-42CF0F97D4F0}"/>
    <hyperlink ref="AY741" r:id="rId1154" xr:uid="{D3E86DB6-6386-4A48-9AB0-C069FF7F1736}"/>
    <hyperlink ref="AY742" r:id="rId1155" xr:uid="{8BDB3C74-BD98-45B5-8D9C-327096E046A9}"/>
    <hyperlink ref="AY743" r:id="rId1156" xr:uid="{8FA811FF-8FB5-4385-AAC3-B44F71D145B6}"/>
    <hyperlink ref="AY744" r:id="rId1157" xr:uid="{A5C49901-3776-48EE-BDF2-EA4DB0FB71F7}"/>
    <hyperlink ref="AY746" r:id="rId1158" xr:uid="{E6D81788-551F-4B57-8C11-62A58316271B}"/>
    <hyperlink ref="AZ746" r:id="rId1159" xr:uid="{0717AB36-B2E1-4BCB-A51E-119CED77F326}"/>
    <hyperlink ref="AY747" r:id="rId1160" xr:uid="{97B09820-E760-4261-A090-F98E8A8A7B33}"/>
    <hyperlink ref="AY749" r:id="rId1161" xr:uid="{C13D7A6E-3C43-40B5-84DE-19E035D69FA1}"/>
    <hyperlink ref="AY751" r:id="rId1162" xr:uid="{412E34B2-1282-45C8-B6AD-1623AC0EF0F2}"/>
    <hyperlink ref="AZ751" r:id="rId1163" xr:uid="{E69B1A98-85D1-49F9-B4EF-C6F80B1079F5}"/>
    <hyperlink ref="AY752" r:id="rId1164" xr:uid="{3831AD44-9A9E-43BA-A7DF-EA6287C00950}"/>
    <hyperlink ref="AY753" r:id="rId1165" xr:uid="{426461A5-D137-4649-8B4A-1115CD6C93FF}"/>
    <hyperlink ref="AY754" r:id="rId1166" xr:uid="{1C88F9A9-9D00-4FFA-9C39-2B8FD9609885}"/>
    <hyperlink ref="AZ755" r:id="rId1167" xr:uid="{137DD13B-3C14-4BFB-8B64-2DBE79674F1D}"/>
    <hyperlink ref="AY756" r:id="rId1168" xr:uid="{F2910169-B4AC-422B-9F60-733752CFB781}"/>
    <hyperlink ref="AY760" r:id="rId1169" xr:uid="{1CE1584C-33D1-44A9-A739-EBD457668D6C}"/>
    <hyperlink ref="AY761" r:id="rId1170" xr:uid="{8A16484E-D4D3-4077-BFE7-861212BB7E28}"/>
    <hyperlink ref="AY764" r:id="rId1171" xr:uid="{FD86FB4F-9C49-4DE4-9134-B45C6BB63A2A}"/>
    <hyperlink ref="AY762" r:id="rId1172" xr:uid="{82D089E8-D4DF-4749-98C9-94FDAF0E2114}"/>
    <hyperlink ref="AY765" r:id="rId1173" xr:uid="{35AC837E-80CC-41D6-958E-2E4B1DF9CEA2}"/>
    <hyperlink ref="AY766" r:id="rId1174" xr:uid="{F7BCEDAF-4594-4301-8F0D-82C3D44B09FC}"/>
    <hyperlink ref="AY767" r:id="rId1175" xr:uid="{162DB536-0E33-44CB-8495-1A19FF4275AB}"/>
    <hyperlink ref="AY770" r:id="rId1176" xr:uid="{E72B8233-8A99-4D67-8D1B-7660E2B6BAA3}"/>
    <hyperlink ref="AY771" r:id="rId1177" xr:uid="{76FB16E3-B4EE-42BC-9221-02FA7E6EF6DF}"/>
    <hyperlink ref="AY614" r:id="rId1178" xr:uid="{D5BE070A-039F-42FE-A58F-EBE917E7379F}"/>
    <hyperlink ref="AY615" r:id="rId1179" xr:uid="{791FAC48-41B5-4371-9465-F9DF967CFD3E}"/>
    <hyperlink ref="AY618" r:id="rId1180" xr:uid="{243B19AF-B6E7-4D18-B65A-80AD6B78B1D6}"/>
    <hyperlink ref="AZ618" r:id="rId1181" xr:uid="{5E8381BA-9EDE-4354-81D1-5DADF9D75F46}"/>
    <hyperlink ref="AY619" r:id="rId1182" xr:uid="{B88E13D9-6385-4937-A558-32C778CBE964}"/>
    <hyperlink ref="AZ624" r:id="rId1183" xr:uid="{E33AC854-F4E9-4B8E-AD77-812FCD75D097}"/>
    <hyperlink ref="AY625" r:id="rId1184" xr:uid="{7469E2D8-968C-45BC-9B80-3B6E7784C493}"/>
    <hyperlink ref="AY627" r:id="rId1185" xr:uid="{5CE96C26-ED90-4E12-BD16-A760507CB23B}"/>
    <hyperlink ref="AY630" r:id="rId1186" xr:uid="{393E700A-C629-49A0-914B-5E1CE9D0ED52}"/>
    <hyperlink ref="AY631" r:id="rId1187" xr:uid="{5AEE3BA8-1A11-4393-9364-7E35DAC9A131}"/>
    <hyperlink ref="AZ631" r:id="rId1188" xr:uid="{97A3EBDE-96B8-4108-8323-73EFDDF1B395}"/>
    <hyperlink ref="AY639" r:id="rId1189" xr:uid="{774AEFB1-0DA6-4C11-B64F-F1D99102C3AF}"/>
    <hyperlink ref="AZ641" r:id="rId1190" xr:uid="{8E68643F-DB87-48BA-A7C3-85D56DA2262E}"/>
    <hyperlink ref="AY643" r:id="rId1191" xr:uid="{BE5FBDD4-E1D8-46B4-A3DE-181488C2889A}"/>
    <hyperlink ref="AZ643" r:id="rId1192" xr:uid="{6F01205C-5B1E-440B-8E9C-AFF7BD44CA1D}"/>
    <hyperlink ref="AZ644" r:id="rId1193" xr:uid="{B36B68F0-4A06-439D-AE21-3DAAEEC9FAB5}"/>
    <hyperlink ref="AY646" r:id="rId1194" xr:uid="{D2563560-E404-4626-AFEB-A6503EF1F80B}"/>
    <hyperlink ref="AY649" r:id="rId1195" xr:uid="{81CD6851-F0CB-4435-83A3-0C0E1B6510C5}"/>
    <hyperlink ref="AZ650" r:id="rId1196" xr:uid="{C40F5B64-378E-4287-82BE-700FF9330713}"/>
    <hyperlink ref="AY653" r:id="rId1197" xr:uid="{5442AF3D-8948-4224-A907-DE54A58EA9A3}"/>
    <hyperlink ref="AY654" r:id="rId1198" xr:uid="{3409BC67-6019-464A-8971-B58F55861076}"/>
    <hyperlink ref="AZ654" r:id="rId1199" xr:uid="{F94A7E79-2C53-4410-A882-E5D8BF3A80FC}"/>
    <hyperlink ref="AZ615" r:id="rId1200" xr:uid="{464C7B6E-9832-4126-980D-4AB6108899BB}"/>
    <hyperlink ref="AY621" r:id="rId1201" xr:uid="{471409F6-C2E9-4302-923A-F13E10E92122}"/>
    <hyperlink ref="AY620" r:id="rId1202" xr:uid="{818DBCF5-8BD1-4378-AB1A-D34E12A323DA}"/>
    <hyperlink ref="AZ620" r:id="rId1203" xr:uid="{8FED221A-FDD7-439C-BA60-50C2691C9DE6}"/>
    <hyperlink ref="AY622" r:id="rId1204" xr:uid="{8A3502FC-0B10-442D-B226-6135565802E2}"/>
    <hyperlink ref="AY623" r:id="rId1205" xr:uid="{E7324547-D575-40D7-A660-E7B54DAE38C9}"/>
    <hyperlink ref="AY624" r:id="rId1206" xr:uid="{F69DCF16-5CD7-4D5F-934E-6B571C128A50}"/>
    <hyperlink ref="BA624" r:id="rId1207" xr:uid="{97190D77-64AF-49B2-934B-1FB2A0AE002C}"/>
    <hyperlink ref="AZ627" r:id="rId1208" xr:uid="{2D8931B6-C635-4036-A737-CD7005FF1BED}"/>
    <hyperlink ref="AY628" r:id="rId1209" xr:uid="{E2E47BC1-81CE-40BA-97B2-9D973E24BE9B}"/>
    <hyperlink ref="AY629" r:id="rId1210" xr:uid="{149BAE74-E1E6-43D1-8FB3-9C9CFCDA50C0}"/>
    <hyperlink ref="AZ629" r:id="rId1211" xr:uid="{8EE05517-DDA8-4B3C-B01F-2D4BD18BE683}"/>
    <hyperlink ref="AY632" r:id="rId1212" xr:uid="{0631A98A-811C-4C73-B304-31845ECF9ECA}"/>
    <hyperlink ref="AZ632" r:id="rId1213" xr:uid="{360B839C-75C7-44ED-BBAD-5DFC9CDB498E}"/>
    <hyperlink ref="AY633" r:id="rId1214" xr:uid="{7243DA64-E683-4B6B-916E-92C2E47A02D6}"/>
    <hyperlink ref="AZ633" r:id="rId1215" xr:uid="{652A69FB-317F-4D0B-8753-81FBA9D6E587}"/>
    <hyperlink ref="AY634" r:id="rId1216" xr:uid="{E84D8607-F98D-4BC4-AF18-7556EEDFA072}"/>
    <hyperlink ref="AZ634" r:id="rId1217" xr:uid="{6B3E012B-32B3-4EE6-93E7-3B0456047725}"/>
    <hyperlink ref="AY635" r:id="rId1218" xr:uid="{65C60657-17CF-4EFF-BBF1-BA276F0436B3}"/>
    <hyperlink ref="AZ635" r:id="rId1219" xr:uid="{8B5B871C-27F9-444F-ADEE-A46FC965AFB6}"/>
    <hyperlink ref="AY636" r:id="rId1220" xr:uid="{BF946AD9-10D5-4C6D-BF4C-EE5D734E6445}"/>
    <hyperlink ref="AZ636" r:id="rId1221" xr:uid="{DF9E79E7-C12F-4E60-9238-983353CD8BCC}"/>
    <hyperlink ref="AY637" r:id="rId1222" xr:uid="{1A142C77-935E-4E3B-9A16-4944FF6E123B}"/>
    <hyperlink ref="AY638" r:id="rId1223" xr:uid="{1DA0E56A-55C3-4B14-B805-CAFD4DDC8F90}"/>
    <hyperlink ref="AZ638" r:id="rId1224" xr:uid="{417E9168-B2BE-4D77-BAFF-9F38A1C5AEA3}"/>
    <hyperlink ref="AY640" r:id="rId1225" xr:uid="{68C3DEFA-62AC-4EAA-AD7D-1EEF8C92F0EB}"/>
    <hyperlink ref="AY641" r:id="rId1226" xr:uid="{9F962ECE-419E-4F7E-BAC3-D8701FB262A0}"/>
    <hyperlink ref="AY642" r:id="rId1227" xr:uid="{F1893242-33DC-4C46-9451-F9004BC7BDC7}"/>
    <hyperlink ref="AY644" r:id="rId1228" xr:uid="{6F7B2B3F-410A-4CB4-9434-DFDFB19609B5}"/>
    <hyperlink ref="AY645" r:id="rId1229" xr:uid="{33EB825E-1277-471B-BB65-AA7775E02939}"/>
    <hyperlink ref="AY647" r:id="rId1230" xr:uid="{42FA7A09-2090-4ACE-8109-CB54FF1C7EAC}"/>
    <hyperlink ref="AY648" r:id="rId1231" xr:uid="{D4CE4BEF-E7B2-43AA-B627-64199D380CCB}"/>
    <hyperlink ref="AY650" r:id="rId1232" xr:uid="{2B92B43B-9AB8-4807-A848-416B7421E8E5}"/>
    <hyperlink ref="AY651" r:id="rId1233" xr:uid="{0C99FE9A-0D74-4EAB-ABC0-4DF2D229BA0E}"/>
    <hyperlink ref="AY652" r:id="rId1234" xr:uid="{134960DE-88B0-4220-A730-7947579F4EF2}"/>
    <hyperlink ref="AY655" r:id="rId1235" xr:uid="{2067F820-D427-4958-AA59-CF88A74E8A7A}"/>
    <hyperlink ref="AZ655" r:id="rId1236" xr:uid="{55F621BA-1059-4370-BD68-D30684FC3E1A}"/>
    <hyperlink ref="AY656" r:id="rId1237" xr:uid="{54931F53-C2C2-45C1-BAFE-DC74F501E014}"/>
    <hyperlink ref="AY317" r:id="rId1238" xr:uid="{A37C40E6-9D47-46A7-B878-3B59DFA136D1}"/>
    <hyperlink ref="AZ317" r:id="rId1239" xr:uid="{B10E145E-EECD-4359-8D82-D95466B08B84}"/>
    <hyperlink ref="BA317" r:id="rId1240" xr:uid="{8C15CB15-5670-49A8-9B3D-5760299E6D59}"/>
    <hyperlink ref="AY318" r:id="rId1241" xr:uid="{CABB0DD7-9024-419A-A078-3CD397318D32}"/>
    <hyperlink ref="AZ318" r:id="rId1242" xr:uid="{20E3AA5D-63AF-4BB0-B2B7-402DD4E3B786}"/>
    <hyperlink ref="AY319" r:id="rId1243" xr:uid="{C102C7EF-8542-4075-A60B-A0DA5F3B3106}"/>
    <hyperlink ref="AZ319" r:id="rId1244" xr:uid="{DDAA9A6E-B537-4E7D-A1AD-8B3C039214B2}"/>
    <hyperlink ref="BA319" r:id="rId1245" xr:uid="{D2D4E229-83E7-41E7-A716-A2283A8D6E34}"/>
    <hyperlink ref="AY320" r:id="rId1246" xr:uid="{C2EA0299-FEE9-496F-97CF-05DBBC4E2CE2}"/>
    <hyperlink ref="AY321" r:id="rId1247" xr:uid="{0CC52E77-06A9-4F7D-B048-1C24FB75188D}"/>
    <hyperlink ref="AZ321" r:id="rId1248" xr:uid="{639B7D36-686D-4538-AC81-A5810C49BD09}"/>
    <hyperlink ref="AY322" r:id="rId1249" xr:uid="{2E3F1945-D03D-4119-8425-C2EE36250811}"/>
    <hyperlink ref="AY323" r:id="rId1250" xr:uid="{3A0EBEC0-2FAF-4F9C-BD50-DE9D0712CE34}"/>
    <hyperlink ref="AY324" r:id="rId1251" xr:uid="{2429CD56-F5F5-46C3-A7C4-3BCDB8A0617F}"/>
    <hyperlink ref="AY325" r:id="rId1252" xr:uid="{8F6EFDE6-1757-4F56-BBD4-94054786EC8B}"/>
    <hyperlink ref="AZ325" r:id="rId1253" xr:uid="{845FF3D6-F44E-4EFD-A8D9-48A5A5142F8A}"/>
    <hyperlink ref="AY326" r:id="rId1254" xr:uid="{E325639F-8AA9-41D1-9E76-94F04BCE719D}"/>
    <hyperlink ref="AY327" r:id="rId1255" xr:uid="{C15C9E28-F961-4588-818E-201E4C0FEE75}"/>
    <hyperlink ref="AZ327" r:id="rId1256" xr:uid="{BA6BEFA1-1D9D-4624-9589-2508D4C3B9E8}"/>
    <hyperlink ref="AY328" r:id="rId1257" xr:uid="{B2E2B702-1457-4C54-8D9E-90B6328BF678}"/>
    <hyperlink ref="AY329" r:id="rId1258" xr:uid="{82EB8962-C1B8-4BE4-8D77-9542CEA56047}"/>
    <hyperlink ref="AY330" r:id="rId1259" xr:uid="{22B61428-36FB-4096-9C5F-0E905A5312A7}"/>
    <hyperlink ref="AY331" r:id="rId1260" xr:uid="{E9583731-F0C8-40B2-8556-ED8B4F9EEDCB}"/>
    <hyperlink ref="AY332" r:id="rId1261" xr:uid="{4D217C18-60E3-48BC-99DC-A43FA9772AF9}"/>
    <hyperlink ref="AY333" r:id="rId1262" xr:uid="{51BB3FE3-1F58-420B-A5B8-83C87065CB7D}"/>
    <hyperlink ref="AZ333" r:id="rId1263" xr:uid="{64220945-23E8-4D21-8E6F-E7E106E3047D}"/>
    <hyperlink ref="BA333" r:id="rId1264" xr:uid="{2275F94B-3AD2-449C-BA96-1460EC0B711E}"/>
    <hyperlink ref="AY334" r:id="rId1265" xr:uid="{ED542C92-6CB8-4DCD-AE3E-765317766AA6}"/>
    <hyperlink ref="BA334" r:id="rId1266" xr:uid="{937BFD36-B06A-416D-B334-796E1D8A891E}"/>
    <hyperlink ref="AY335" r:id="rId1267" xr:uid="{8E759317-4B1F-4DC8-A6E1-565CC87470EF}"/>
    <hyperlink ref="BA335" r:id="rId1268" xr:uid="{CC18BA9A-938C-4BB6-8F5B-27580F3F86D7}"/>
    <hyperlink ref="AY336" r:id="rId1269" xr:uid="{B415500B-836C-4A84-B95C-2DBB2401A5A1}"/>
    <hyperlink ref="AY337" r:id="rId1270" xr:uid="{1B14FA01-738E-454A-8AD9-5813F7FCCF95}"/>
    <hyperlink ref="AY338" r:id="rId1271" xr:uid="{D69B140B-5C45-4177-8907-F713BC24FB29}"/>
    <hyperlink ref="AY339" r:id="rId1272" xr:uid="{E5CED851-C6D9-43E2-8AB5-3CDB0A516B7F}"/>
    <hyperlink ref="AZ339" r:id="rId1273" xr:uid="{B9AE1461-5FFD-4191-AC71-1FF3EAD6BCD4}"/>
    <hyperlink ref="AY340" r:id="rId1274" xr:uid="{790AD65C-EF47-49E2-A805-4D0D4AE713A8}"/>
    <hyperlink ref="BA342" r:id="rId1275" location="Ausrüstung" xr:uid="{7C31A52C-315E-4883-BA71-A16FA1E6E3F8}"/>
    <hyperlink ref="BA343" r:id="rId1276" xr:uid="{AC20C31C-CF48-4184-89D3-BB8A811EBC78}"/>
    <hyperlink ref="AZ345" r:id="rId1277" xr:uid="{081B7E73-11E5-4185-B645-F9C57B3C853E}"/>
    <hyperlink ref="BA345" r:id="rId1278" xr:uid="{CDBAD00A-D64F-4D9C-9C6B-019AEC9B95E8}"/>
    <hyperlink ref="AY350" r:id="rId1279" xr:uid="{FE4082BC-1849-4397-B932-CD8F4A452D59}"/>
    <hyperlink ref="AY351" r:id="rId1280" xr:uid="{0B006A06-E9F4-4CC6-841C-FC19F809972E}"/>
    <hyperlink ref="AY352" r:id="rId1281" xr:uid="{A9B17E22-2EF3-4CEB-9EA6-05F65292AC4F}"/>
    <hyperlink ref="AY353" r:id="rId1282" xr:uid="{1AAA36DD-8A70-49AC-A17B-CCD05CA2E053}"/>
    <hyperlink ref="AZ353" r:id="rId1283" location="anchor-fap-munition" xr:uid="{79089576-055C-4CF5-9BCD-3E5F79C66626}"/>
    <hyperlink ref="AY354" r:id="rId1284" xr:uid="{AE800794-F9A1-4153-B83D-E3A76D241E3E}"/>
    <hyperlink ref="AZ354" r:id="rId1285" xr:uid="{EA7C8C97-4C0A-481F-BE7B-DDF50AB2F463}"/>
    <hyperlink ref="AY355" r:id="rId1286" xr:uid="{AEC69689-A24D-449F-8243-C0462AFE8388}"/>
    <hyperlink ref="AY356" r:id="rId1287" xr:uid="{636A0A6E-C935-4442-AF4C-B04A0CCF97BE}"/>
    <hyperlink ref="AY357" r:id="rId1288" xr:uid="{A7EFB7F1-09BF-4373-BD84-E78652C064DE}"/>
    <hyperlink ref="BA357" r:id="rId1289" xr:uid="{81A609EF-5C6C-412F-B2E9-6A810ACA11E9}"/>
    <hyperlink ref="AY358" r:id="rId1290" xr:uid="{742754C8-AF00-4CA0-9577-24DCB283DDB4}"/>
    <hyperlink ref="AY359" r:id="rId1291" xr:uid="{1888FF2A-CD51-4B15-BC2F-188B948FC4F9}"/>
    <hyperlink ref="AZ359" r:id="rId1292" xr:uid="{D88AA2BD-F228-4032-9E5C-5EEE58949CA7}"/>
    <hyperlink ref="BA359" r:id="rId1293" display="https://en.wikipedia.org/wiki/Oerlikon_KBA " xr:uid="{C6DF7ABC-2679-43D5-8F25-289A2ED287C1}"/>
    <hyperlink ref="AY360" r:id="rId1294" xr:uid="{20F9DD92-5266-421A-9236-13003C78CFAA}"/>
    <hyperlink ref="BA360" r:id="rId1295" xr:uid="{F0E0A555-A2D4-407A-A515-66BD9E6103E1}"/>
    <hyperlink ref="AY361" r:id="rId1296" xr:uid="{24457C6D-B4E9-4779-9254-A5144F124F5C}"/>
    <hyperlink ref="BA361" r:id="rId1297" xr:uid="{9BE87C2A-4E96-4253-B342-1B6AAE4BAE4C}"/>
    <hyperlink ref="AY362" r:id="rId1298" xr:uid="{C543EFCE-01BF-4ADA-B47E-8E29DE6ED230}"/>
    <hyperlink ref="BA362" r:id="rId1299" xr:uid="{9F222D71-55E3-4A14-B223-E16CF01698B1}"/>
    <hyperlink ref="AY363" r:id="rId1300" xr:uid="{F53CE1E3-9A2F-453A-80C0-C881CE8C80BB}"/>
    <hyperlink ref="AY344" r:id="rId1301" xr:uid="{181A1F87-356A-4E68-A9D5-8C942DB8B7D6}"/>
    <hyperlink ref="AZ344" r:id="rId1302" xr:uid="{60633620-CAED-413B-90AF-AD6A3C84676A}"/>
    <hyperlink ref="AY366" r:id="rId1303" xr:uid="{36DF9C3B-9994-47B5-A9CA-668E8C141ADA}"/>
    <hyperlink ref="AY367" r:id="rId1304" xr:uid="{83416929-C0EF-46A6-9856-26F43DB61E4B}"/>
    <hyperlink ref="AY375" r:id="rId1305" xr:uid="{961BE1E4-C851-433F-9811-FE0EA62816FD}"/>
    <hyperlink ref="AZ366" r:id="rId1306" xr:uid="{D9FEAC04-7E4C-4C4B-970F-15079C40E64D}"/>
    <hyperlink ref="AZ367" r:id="rId1307" xr:uid="{B9EBDC31-42E2-4EC3-B3AF-FBE55156986F}"/>
    <hyperlink ref="AZ375" r:id="rId1308" xr:uid="{7FB469ED-63A5-47F8-82DF-909DE9195E34}"/>
    <hyperlink ref="AY372" r:id="rId1309" xr:uid="{F1B1670D-593B-4639-837F-C55B92D6DDBB}"/>
    <hyperlink ref="AY368" r:id="rId1310" xr:uid="{66F3AD1F-8592-4134-BF6A-697F9044FE32}"/>
    <hyperlink ref="AZ368" r:id="rId1311" xr:uid="{D56998A4-C337-4B1E-9D69-3969A1A7A113}"/>
    <hyperlink ref="AY369" r:id="rId1312" xr:uid="{B98F9BC5-DD33-4008-AFAA-E578953FB6B1}"/>
    <hyperlink ref="AY371" r:id="rId1313" xr:uid="{DACE3E1D-0520-43F0-B402-19B59ED3FBDF}"/>
    <hyperlink ref="AZ371" r:id="rId1314" xr:uid="{6D4F3023-3406-492E-A559-A525ADA495EF}"/>
    <hyperlink ref="AY370" r:id="rId1315" xr:uid="{00F68222-262E-49FA-B87D-CDD638736BF5}"/>
    <hyperlink ref="AZ370" r:id="rId1316" xr:uid="{45C0CF95-A826-4F63-AFCD-8213CCBC5848}"/>
    <hyperlink ref="AZ376" r:id="rId1317" xr:uid="{B40971A7-B01C-40A0-9C2D-9C4EAE8F5FB5}"/>
    <hyperlink ref="AZ377" r:id="rId1318" xr:uid="{ECDF168B-3B05-4F88-8B9F-115B954B58CF}"/>
    <hyperlink ref="AZ378" r:id="rId1319" xr:uid="{EECA1340-D29C-4681-BBC1-8F3A5954A367}"/>
    <hyperlink ref="AZ379" r:id="rId1320" xr:uid="{0F64BF3C-2F36-400F-BE4F-53A68AF817BA}"/>
    <hyperlink ref="BA379" r:id="rId1321" xr:uid="{3A1C7D1C-395E-4072-9FD5-342A6097AE07}"/>
    <hyperlink ref="AZ380" r:id="rId1322" xr:uid="{04A02E95-DB75-4DF9-A52D-9D87E1F22784}"/>
    <hyperlink ref="BA380" r:id="rId1323" xr:uid="{588FC178-75E8-45E6-AE18-A2D41FDA498F}"/>
    <hyperlink ref="AZ381" r:id="rId1324" xr:uid="{238C2FB6-A438-4110-AA14-0F47ADBA3214}"/>
    <hyperlink ref="AZ382" r:id="rId1325" xr:uid="{9607DE57-907B-44ED-872A-F614DF80F4C1}"/>
    <hyperlink ref="AZ383" r:id="rId1326" xr:uid="{95949B1F-64AE-430F-8A20-AA967A42A56C}"/>
    <hyperlink ref="AZ384" r:id="rId1327" xr:uid="{6CDF2568-FA93-4D17-8496-B0825B47F81A}"/>
    <hyperlink ref="AZ385" r:id="rId1328" xr:uid="{91C904FB-D624-4C42-9F1A-D07E8A76C436}"/>
    <hyperlink ref="AZ386" r:id="rId1329" xr:uid="{129C901D-3E63-42A6-BE1E-55EED1A2BE7D}"/>
    <hyperlink ref="AZ392" r:id="rId1330" xr:uid="{1A8D7523-9549-4751-9ABF-B6F5FEDE081A}"/>
    <hyperlink ref="BA392" r:id="rId1331" xr:uid="{D8847A25-ACF9-4F93-A933-3F0B71A123F7}"/>
    <hyperlink ref="AZ393" r:id="rId1332" xr:uid="{379984E9-DC96-4FB2-92A1-78A22969E6A8}"/>
    <hyperlink ref="AZ394" r:id="rId1333" xr:uid="{2283B2C9-F381-43DB-BFDC-0F74A6B10E1E}"/>
    <hyperlink ref="AZ395" r:id="rId1334" xr:uid="{BFE8608C-3790-4A66-A85D-454B84DDD0C1}"/>
    <hyperlink ref="AZ396" r:id="rId1335" xr:uid="{16E969E6-FB00-4641-BA0D-04B491895F70}"/>
    <hyperlink ref="BA396" r:id="rId1336" xr:uid="{5CDBD942-CC12-42A0-AE74-F70ABF82A388}"/>
    <hyperlink ref="AZ397" r:id="rId1337" xr:uid="{B02B0CDD-496B-41B7-AF5E-135C5340CF38}"/>
    <hyperlink ref="AZ411" r:id="rId1338" xr:uid="{AE350374-C554-4657-A0F6-61B340393B6E}"/>
    <hyperlink ref="AZ412" r:id="rId1339" xr:uid="{3932DA7A-E34A-44CA-A6E7-83CB5D97819A}"/>
    <hyperlink ref="AZ398" r:id="rId1340" xr:uid="{600B6FFD-BE2E-4493-B7B7-05C88C232CC7}"/>
    <hyperlink ref="AZ399" r:id="rId1341" xr:uid="{DECA6279-1F62-49C1-AC96-7A51F482C4B8}"/>
    <hyperlink ref="BA414" r:id="rId1342" xr:uid="{28B3D238-1E00-4C9D-A1BE-3FE662A3011B}"/>
    <hyperlink ref="AZ400" r:id="rId1343" xr:uid="{722E9D2F-0836-4391-8B2E-1F6FFB242582}"/>
    <hyperlink ref="BA403" r:id="rId1344" xr:uid="{A1B76C42-F754-4138-8A82-0785D51AE820}"/>
    <hyperlink ref="BA402" r:id="rId1345" xr:uid="{74315829-AF95-4979-B59D-3C7C48763734}"/>
    <hyperlink ref="AZ402" r:id="rId1346" xr:uid="{39B33424-981C-48A8-9081-BC45906FC089}"/>
    <hyperlink ref="AZ403" r:id="rId1347" xr:uid="{B73D233D-00B3-485D-AAD3-619DE0C62214}"/>
    <hyperlink ref="BA400" r:id="rId1348" xr:uid="{C80BBC5C-5544-41F5-B972-B1C2CEF8631D}"/>
    <hyperlink ref="BA399" r:id="rId1349" xr:uid="{060437F7-B50C-40B2-8DAC-58673643342F}"/>
    <hyperlink ref="AZ404" r:id="rId1350" xr:uid="{EF65C529-A1FD-4141-800A-DA3ACF84DED4}"/>
    <hyperlink ref="AZ405" r:id="rId1351" xr:uid="{1BEE9673-884A-47B0-BD30-28D1758068C6}"/>
    <hyperlink ref="AZ406" r:id="rId1352" xr:uid="{48655A93-E22F-46EB-9742-671335B48DC8}"/>
    <hyperlink ref="AZ407" r:id="rId1353" xr:uid="{B4CC9150-A80B-4606-895B-40DB34E55469}"/>
    <hyperlink ref="AZ418" r:id="rId1354" xr:uid="{397D1B0A-6D11-4469-BA37-5022599BE330}"/>
    <hyperlink ref="BA418" r:id="rId1355" xr:uid="{405D51D2-1AE2-46BA-AF92-0DDA17B81824}"/>
    <hyperlink ref="AZ422" r:id="rId1356" xr:uid="{172C378E-7033-45DB-B6C7-BE58C9AF1152}"/>
    <hyperlink ref="AZ421" r:id="rId1357" xr:uid="{05B23255-984E-4AD4-9213-16CF0401D33E}"/>
    <hyperlink ref="AZ419:AZ420" r:id="rId1358" display="https://esut.de/2025/12/meldungen/66362/haushalt-bundeswehr-grossvorhaben/" xr:uid="{697ADC97-6EC3-4755-9172-EAF1C752562F}"/>
    <hyperlink ref="AZ408" r:id="rId1359" xr:uid="{C8041370-5D79-4D04-BD21-883752C92EDF}"/>
    <hyperlink ref="BA408" r:id="rId1360" xr:uid="{30250740-D848-4726-BE0E-50CE1D1CD30F}"/>
    <hyperlink ref="BA410" r:id="rId1361" xr:uid="{0FADD81B-8F6D-46FD-A78A-5E19DA50626D}"/>
    <hyperlink ref="AZ410" r:id="rId1362" xr:uid="{767CB94D-D0B2-4E6D-B2D9-A88E21EED058}"/>
    <hyperlink ref="AZ424" r:id="rId1363" xr:uid="{A39B3A9E-6119-4E2F-979B-68FDC43D57DD}"/>
    <hyperlink ref="AZ423" r:id="rId1364" xr:uid="{12B9882B-A69A-47EC-914C-A513A2152BE1}"/>
    <hyperlink ref="AY365" r:id="rId1365" xr:uid="{FF3E71D5-07FE-40D4-BC1E-7DC60DF2393D}"/>
    <hyperlink ref="AZ365" r:id="rId1366" xr:uid="{CC4958E8-000B-4044-B50C-E9E46CB95C0C}"/>
    <hyperlink ref="AY364" r:id="rId1367" xr:uid="{672438E0-CE3E-4F8D-8FD7-2FFD331237D7}"/>
    <hyperlink ref="AZ364" r:id="rId1368" xr:uid="{FE17A6E4-2539-4D34-AE30-F4896F4B89BD}"/>
    <hyperlink ref="AY616" r:id="rId1369" xr:uid="{33544A0B-7EE2-4462-B6F0-0FC7BDA4AF0F}"/>
    <hyperlink ref="AY617" r:id="rId1370" xr:uid="{0EEC23B3-BC02-45FE-8002-4559B12F0BA7}"/>
    <hyperlink ref="AZ798" r:id="rId1371" xr:uid="{AACD1C67-8B65-4C12-AA89-D100D1D784BB}"/>
    <hyperlink ref="AZ791" r:id="rId1372" xr:uid="{89B18EBF-FE43-4EFC-B74D-C5D8D080DA77}"/>
    <hyperlink ref="AZ787" r:id="rId1373" xr:uid="{EBEDCA94-44A3-4525-AB6E-44D260860B6F}"/>
    <hyperlink ref="AZ784" r:id="rId1374" xr:uid="{E707AF56-6E88-41CA-AA26-A091F90321FB}"/>
    <hyperlink ref="AZ783" r:id="rId1375" xr:uid="{FC5389F1-6379-4CC9-9D9C-8BB6F27C6FB6}"/>
    <hyperlink ref="AZ782" r:id="rId1376" xr:uid="{184E5358-3609-4D92-A43C-41332EE25C4E}"/>
    <hyperlink ref="AZ781" r:id="rId1377" xr:uid="{D15E9150-15EA-407B-AC2B-BA02D0890B8E}"/>
    <hyperlink ref="AZ780" r:id="rId1378" xr:uid="{1EC9291F-59E0-447E-8E55-710343D6496A}"/>
    <hyperlink ref="AZ779" r:id="rId1379" xr:uid="{8925D6C2-AB91-4A8D-B37E-3EC6A9A84A81}"/>
    <hyperlink ref="AZ778" r:id="rId1380" xr:uid="{4E05C97D-E90E-46B6-999C-FD41EBC3621F}"/>
    <hyperlink ref="AY788" r:id="rId1381" xr:uid="{8B3CA419-528B-4EBC-8BAE-5AEC7EECD0A2}"/>
    <hyperlink ref="AY786" r:id="rId1382" xr:uid="{2EDD699B-9F9F-47A7-A56A-DBCC328B5672}"/>
    <hyperlink ref="AZ786" r:id="rId1383" xr:uid="{F20CE6E8-03C3-4697-9F3C-C0C89A756416}"/>
    <hyperlink ref="AY798" r:id="rId1384" xr:uid="{C76648EC-A531-411F-B83E-D1E21E3107C8}"/>
    <hyperlink ref="AY796" r:id="rId1385" xr:uid="{4D380FD7-B9F2-4E7D-AE80-40AEBA7C0013}"/>
    <hyperlink ref="AY795" r:id="rId1386" xr:uid="{7030E187-E658-422A-B4ED-E43C51BBD7C8}"/>
    <hyperlink ref="AY787" r:id="rId1387" xr:uid="{0ABF813B-299C-4E48-9A1C-AB7A4B793BBA}"/>
    <hyperlink ref="AY784" r:id="rId1388" xr:uid="{7AC676A9-8CA9-4041-8461-96153CD001A0}"/>
    <hyperlink ref="AY783" r:id="rId1389" xr:uid="{7B0F33F3-B1A8-4E4F-9C66-342B57BF3971}"/>
    <hyperlink ref="AY782" r:id="rId1390" xr:uid="{0338B9E5-1E97-4908-9409-33E8740A463A}"/>
    <hyperlink ref="AY781" r:id="rId1391" xr:uid="{EE3FF714-FEE7-4621-8649-4F6A8004580A}"/>
    <hyperlink ref="AY780" r:id="rId1392" xr:uid="{CD1EF96C-4BBD-4337-99EF-B3AE9AB9BC49}"/>
    <hyperlink ref="AY779" r:id="rId1393" xr:uid="{753B6E86-63A7-4EF7-AAA3-271451BA0A09}"/>
    <hyperlink ref="AY775" r:id="rId1394" xr:uid="{03A02466-EAD5-4255-9BDD-333690E5A53B}"/>
    <hyperlink ref="AY797" r:id="rId1395" xr:uid="{600BAE63-1982-427B-ACD6-C8A75878E050}"/>
    <hyperlink ref="AY794" r:id="rId1396" xr:uid="{F4866958-257F-4286-AA30-96F1CB8B0B65}"/>
    <hyperlink ref="AY793" r:id="rId1397" xr:uid="{A6655F6B-C61D-40B8-B088-18DA285A46E1}"/>
    <hyperlink ref="AY791" r:id="rId1398" xr:uid="{4BE9D978-F21D-400C-B0A8-B8B6C44533F7}"/>
    <hyperlink ref="AY790" r:id="rId1399" xr:uid="{D788F36D-C908-4B7F-9601-C7BC1522ADD6}"/>
    <hyperlink ref="AY789" r:id="rId1400" xr:uid="{4B96A7DF-54FF-420F-A714-97F18A11EC6B}"/>
    <hyperlink ref="AY785" r:id="rId1401" xr:uid="{93A6D23C-3074-465D-A7A8-CEC98D5133DB}"/>
    <hyperlink ref="AY778" r:id="rId1402" xr:uid="{277B18B4-2518-4E99-9E17-35A9078851AB}"/>
    <hyperlink ref="AY777" r:id="rId1403" xr:uid="{935A48C1-39FA-440B-8D1E-C243FE84BE32}"/>
    <hyperlink ref="AY776" r:id="rId1404" xr:uid="{892049C5-F917-4FFF-AA1A-CBF7CE6029B8}"/>
    <hyperlink ref="AY774" r:id="rId1405" xr:uid="{3D637397-A4E0-445A-BA5A-359AD215F843}"/>
    <hyperlink ref="AY773" r:id="rId1406" xr:uid="{2C24FE13-3585-4DEA-8DEA-1FC5AED64C03}"/>
    <hyperlink ref="AY626" r:id="rId1407" xr:uid="{F3ADD5CA-1586-4782-AE28-CF20A1D302F5}"/>
    <hyperlink ref="AZ626" r:id="rId1408" xr:uid="{91ABD828-B221-4D94-A0A4-C6B59EC33E25}"/>
    <hyperlink ref="AY792" r:id="rId1409" xr:uid="{967BBD79-9D2D-4489-ACBC-F079CB626699}"/>
    <hyperlink ref="AZ792" r:id="rId1410" xr:uid="{4C907A07-72E9-4DC2-986E-392E60D6F86D}"/>
    <hyperlink ref="AZ797" r:id="rId1411" xr:uid="{8C908512-B630-47E6-AC16-CBAD338C3466}"/>
    <hyperlink ref="AZ320" r:id="rId1412" xr:uid="{3112DB0D-27D4-4D60-BA60-B979E1DBD578}"/>
    <hyperlink ref="AZ324" r:id="rId1413" xr:uid="{8FAA5865-7517-43B2-8811-BD927D109B40}"/>
    <hyperlink ref="BA324" r:id="rId1414" xr:uid="{53B2835D-5060-4E27-A666-7050C8430336}"/>
    <hyperlink ref="AZ326" r:id="rId1415" xr:uid="{4535017C-1A5B-472F-A57F-053905EF4E4E}"/>
    <hyperlink ref="AZ329" r:id="rId1416" xr:uid="{BA92A57F-A439-4CC6-A8DA-C745D6AAF0C7}"/>
    <hyperlink ref="AZ330" r:id="rId1417" xr:uid="{810E23A6-F575-416B-AB74-89969ADC234D}"/>
    <hyperlink ref="AZ332" r:id="rId1418" xr:uid="{C898AA05-320B-4B36-893B-DF96FF4DF629}"/>
    <hyperlink ref="AZ337" r:id="rId1419" xr:uid="{7B954FA4-23FE-4782-A581-02DAAA248469}"/>
    <hyperlink ref="AY346" r:id="rId1420" xr:uid="{81EA7A01-2A79-4551-9875-10A683FDE8CD}"/>
    <hyperlink ref="AZ346" r:id="rId1421" xr:uid="{2F654E34-387D-48A9-8D13-484FBD258974}"/>
    <hyperlink ref="BA320" r:id="rId1422" xr:uid="{B316227F-2188-4571-B496-5AE15BEB5FA9}"/>
  </hyperlinks>
  <pageMargins left="0.7" right="0.7" top="0.75" bottom="0.75" header="0.3" footer="0.3"/>
  <pageSetup orientation="portrait" r:id="rId142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BB3B0-FC45-4DE2-B363-A1AEB6AD033E}">
  <sheetPr codeName="Sheet24">
    <tabColor theme="8" tint="0.59999389629810485"/>
  </sheetPr>
  <dimension ref="A2:S93"/>
  <sheetViews>
    <sheetView zoomScaleNormal="100" workbookViewId="0"/>
  </sheetViews>
  <sheetFormatPr baseColWidth="10" defaultColWidth="8.75" defaultRowHeight="15.5" x14ac:dyDescent="0.35"/>
  <cols>
    <col min="1" max="1" width="8.75" style="1"/>
    <col min="2" max="2" width="13.5" style="208" customWidth="1"/>
    <col min="3" max="6" width="14.75" style="1" customWidth="1"/>
    <col min="7" max="16384" width="8.75" style="1"/>
  </cols>
  <sheetData>
    <row r="2" spans="1:19" ht="25.9" customHeight="1" x14ac:dyDescent="0.7">
      <c r="B2" s="202" t="s">
        <v>5686</v>
      </c>
    </row>
    <row r="3" spans="1:19" ht="15.65" customHeight="1" x14ac:dyDescent="0.4">
      <c r="B3" s="203"/>
    </row>
    <row r="4" spans="1:19" ht="130.15" customHeight="1" x14ac:dyDescent="0.35">
      <c r="B4" s="237" t="s">
        <v>5632</v>
      </c>
      <c r="C4" s="237"/>
      <c r="D4" s="237"/>
      <c r="E4" s="237"/>
      <c r="F4" s="237"/>
      <c r="G4" s="237"/>
      <c r="H4" s="237"/>
      <c r="I4" s="237"/>
      <c r="J4" s="237"/>
      <c r="N4" s="237"/>
      <c r="O4" s="237"/>
      <c r="P4" s="237"/>
      <c r="Q4" s="237"/>
      <c r="R4" s="237"/>
      <c r="S4" s="237"/>
    </row>
    <row r="6" spans="1:19" ht="21" customHeight="1" x14ac:dyDescent="0.35">
      <c r="B6" s="211" t="s">
        <v>4197</v>
      </c>
      <c r="C6" s="132" t="s">
        <v>5199</v>
      </c>
      <c r="D6" s="132" t="s">
        <v>5200</v>
      </c>
      <c r="E6" s="132" t="s">
        <v>5201</v>
      </c>
      <c r="F6" s="132" t="s">
        <v>287</v>
      </c>
      <c r="G6" s="2"/>
    </row>
    <row r="7" spans="1:19" x14ac:dyDescent="0.35">
      <c r="A7" s="133">
        <v>201901</v>
      </c>
      <c r="B7" s="212">
        <v>43466</v>
      </c>
      <c r="C7" s="134" cm="1">
        <f t="array" ref="C7">SUM(SUMIFS('MAIN DATA, Orders'!$U:$U,'MAIN DATA, Orders'!$D:$D,"Poland",'MAIN DATA, Orders'!$I:$I,{"Aircraft","Development - Aircraft","Missile (Air)","Development - Missile (Air)"},'MAIN DATA, Orders'!$Y:$Y,A7)/1000000000)</f>
        <v>0</v>
      </c>
      <c r="D7" s="134" cm="1">
        <f t="array" ref="D7">SUM(SUMIFS('MAIN DATA, Orders'!$U:$U,'MAIN DATA, Orders'!$D:$D,"Poland",'MAIN DATA, Orders'!$I:$I,{"Naval","Development - Naval","Missile (Naval)","Development - Missile (Naval)"},'MAIN DATA, Orders'!$Y:$Y,A7)/1000000000)</f>
        <v>0</v>
      </c>
      <c r="E7" s="134" cm="1">
        <f t="array" ref="E7">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Orders'!$Y:$Y,A7)/1000000000)</f>
        <v>0.15901898734177214</v>
      </c>
      <c r="F7" s="134" cm="1">
        <f t="array" ref="F7">SUM(SUMIFS('MAIN DATA, Orders'!$U:$U,'MAIN DATA, Orders'!$D:$D,"Poland",'MAIN DATA, Orders'!$I:$I,{"Maintenance","Development - Maintenance","Modernisation","Development - Modernisation","Other","Development - Other"},'MAIN DATA, Orders'!$Y:$Y,A7)/1000000000)</f>
        <v>0</v>
      </c>
      <c r="G7" s="3"/>
    </row>
    <row r="8" spans="1:19" x14ac:dyDescent="0.35">
      <c r="A8" s="133">
        <v>201902</v>
      </c>
      <c r="B8" s="212">
        <v>43497</v>
      </c>
      <c r="C8" s="134" cm="1">
        <f t="array" ref="C8">SUM(SUMIFS('MAIN DATA, Orders'!$U:$U,'MAIN DATA, Orders'!$D:$D,"Poland",'MAIN DATA, Orders'!$I:$I,{"Aircraft","Development - Aircraft","Missile (Air)","Development - Missile (Air)"},'MAIN DATA, Orders'!$Y:$Y,A8)/1000000000)</f>
        <v>0</v>
      </c>
      <c r="D8" s="134" cm="1">
        <f t="array" ref="D8">SUM(SUMIFS('MAIN DATA, Orders'!$U:$U,'MAIN DATA, Orders'!$D:$D,"Poland",'MAIN DATA, Orders'!$I:$I,{"Naval","Development - Naval","Missile (Naval)","Development - Missile (Naval)"},'MAIN DATA, Orders'!$Y:$Y,A8)/1000000000)</f>
        <v>0</v>
      </c>
      <c r="E8" s="134" cm="1">
        <f t="array" ref="E8">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Orders'!$Y:$Y,A8)/1000000000)</f>
        <v>0.36980794997766864</v>
      </c>
      <c r="F8" s="134" cm="1">
        <f t="array" ref="F8">SUM(SUMIFS('MAIN DATA, Orders'!$U:$U,'MAIN DATA, Orders'!$D:$D,"Poland",'MAIN DATA, Orders'!$I:$I,{"Maintenance","Development - Maintenance","Modernisation","Development - Modernisation","Other","Development - Other"},'MAIN DATA, Orders'!$Y:$Y,A8)/1000000000)</f>
        <v>0.69806403574087861</v>
      </c>
      <c r="G8" s="3"/>
    </row>
    <row r="9" spans="1:19" x14ac:dyDescent="0.35">
      <c r="A9" s="133">
        <v>201903</v>
      </c>
      <c r="B9" s="212">
        <v>43525</v>
      </c>
      <c r="C9" s="134" cm="1">
        <f t="array" ref="C9">SUM(SUMIFS('MAIN DATA, Orders'!$U:$U,'MAIN DATA, Orders'!$D:$D,"Poland",'MAIN DATA, Orders'!$I:$I,{"Aircraft","Development - Aircraft","Missile (Air)","Development - Missile (Air)"},'MAIN DATA, Orders'!$Y:$Y,A9)/1000000000)</f>
        <v>0</v>
      </c>
      <c r="D9" s="134" cm="1">
        <f t="array" ref="D9">SUM(SUMIFS('MAIN DATA, Orders'!$U:$U,'MAIN DATA, Orders'!$D:$D,"Poland",'MAIN DATA, Orders'!$I:$I,{"Naval","Development - Naval","Missile (Naval)","Development - Missile (Naval)"},'MAIN DATA, Orders'!$Y:$Y,A9)/1000000000)</f>
        <v>0</v>
      </c>
      <c r="E9" s="134" cm="1">
        <f t="array" ref="E9">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Orders'!$Y:$Y,A9)/1000000000)</f>
        <v>0.16864389426656737</v>
      </c>
      <c r="F9" s="134" cm="1">
        <f t="array" ref="F9">SUM(SUMIFS('MAIN DATA, Orders'!$U:$U,'MAIN DATA, Orders'!$D:$D,"Poland",'MAIN DATA, Orders'!$I:$I,{"Maintenance","Development - Maintenance","Modernisation","Development - Modernisation","Other","Development - Other"},'MAIN DATA, Orders'!$Y:$Y,A9)/1000000000)</f>
        <v>0</v>
      </c>
      <c r="G9" s="3"/>
    </row>
    <row r="10" spans="1:19" x14ac:dyDescent="0.35">
      <c r="A10" s="133">
        <v>201904</v>
      </c>
      <c r="B10" s="212">
        <v>43556</v>
      </c>
      <c r="C10" s="134" cm="1">
        <f t="array" ref="C10">SUM(SUMIFS('MAIN DATA, Orders'!$U:$U,'MAIN DATA, Orders'!$D:$D,"Poland",'MAIN DATA, Orders'!$I:$I,{"Aircraft","Development - Aircraft","Missile (Air)","Development - Missile (Air)"},'MAIN DATA, Orders'!$Y:$Y,A10)/1000000000)</f>
        <v>0</v>
      </c>
      <c r="D10" s="134" cm="1">
        <f t="array" ref="D10">SUM(SUMIFS('MAIN DATA, Orders'!$U:$U,'MAIN DATA, Orders'!$D:$D,"Poland",'MAIN DATA, Orders'!$I:$I,{"Naval","Development - Naval","Missile (Naval)","Development - Missile (Naval)"},'MAIN DATA, Orders'!$Y:$Y,A10)/1000000000)</f>
        <v>0.4760523899385703</v>
      </c>
      <c r="E10" s="134" cm="1">
        <f t="array" ref="E10">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Orders'!$Y:$Y,A10)/1000000000)</f>
        <v>0</v>
      </c>
      <c r="F10" s="134" cm="1">
        <f t="array" ref="F10">SUM(SUMIFS('MAIN DATA, Orders'!$U:$U,'MAIN DATA, Orders'!$D:$D,"Poland",'MAIN DATA, Orders'!$I:$I,{"Maintenance","Development - Maintenance","Modernisation","Development - Modernisation","Other","Development - Other"},'MAIN DATA, Orders'!$Y:$Y,A10)/1000000000)</f>
        <v>0</v>
      </c>
      <c r="G10" s="3"/>
    </row>
    <row r="11" spans="1:19" x14ac:dyDescent="0.35">
      <c r="A11" s="133">
        <v>201905</v>
      </c>
      <c r="B11" s="212">
        <v>43586</v>
      </c>
      <c r="C11" s="134" cm="1">
        <f t="array" ref="C11">SUM(SUMIFS('MAIN DATA, Orders'!$U:$U,'MAIN DATA, Orders'!$D:$D,"Poland",'MAIN DATA, Orders'!$I:$I,{"Aircraft","Development - Aircraft","Missile (Air)","Development - Missile (Air)"},'MAIN DATA, Orders'!$Y:$Y,A11)/1000000000)</f>
        <v>0</v>
      </c>
      <c r="D11" s="134" cm="1">
        <f t="array" ref="D11">SUM(SUMIFS('MAIN DATA, Orders'!$U:$U,'MAIN DATA, Orders'!$D:$D,"Poland",'MAIN DATA, Orders'!$I:$I,{"Naval","Development - Naval","Missile (Naval)","Development - Missile (Naval)"},'MAIN DATA, Orders'!$Y:$Y,A11)/1000000000)</f>
        <v>0</v>
      </c>
      <c r="E11" s="134" cm="1">
        <f t="array" ref="E11">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Orders'!$Y:$Y,A11)/1000000000)</f>
        <v>3.9768344657483246E-2</v>
      </c>
      <c r="F11" s="134" cm="1">
        <f t="array" ref="F11">SUM(SUMIFS('MAIN DATA, Orders'!$U:$U,'MAIN DATA, Orders'!$D:$D,"Poland",'MAIN DATA, Orders'!$I:$I,{"Maintenance","Development - Maintenance","Modernisation","Development - Modernisation","Other","Development - Other"},'MAIN DATA, Orders'!$Y:$Y,A11)/1000000000)</f>
        <v>0</v>
      </c>
      <c r="G11" s="3"/>
    </row>
    <row r="12" spans="1:19" x14ac:dyDescent="0.35">
      <c r="A12" s="133">
        <v>201906</v>
      </c>
      <c r="B12" s="212">
        <v>43617</v>
      </c>
      <c r="C12" s="134" cm="1">
        <f t="array" ref="C12">SUM(SUMIFS('MAIN DATA, Orders'!$U:$U,'MAIN DATA, Orders'!$D:$D,"Poland",'MAIN DATA, Orders'!$I:$I,{"Aircraft","Development - Aircraft","Missile (Air)","Development - Missile (Air)"},'MAIN DATA, Orders'!$Y:$Y,A12)/1000000000)</f>
        <v>0</v>
      </c>
      <c r="D12" s="134" cm="1">
        <f t="array" ref="D12">SUM(SUMIFS('MAIN DATA, Orders'!$U:$U,'MAIN DATA, Orders'!$D:$D,"Poland",'MAIN DATA, Orders'!$I:$I,{"Naval","Development - Naval","Missile (Naval)","Development - Missile (Naval)"},'MAIN DATA, Orders'!$Y:$Y,A12)/1000000000)</f>
        <v>0</v>
      </c>
      <c r="E12" s="134" cm="1">
        <f t="array" ref="E12">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Orders'!$Y:$Y,A12)/1000000000)</f>
        <v>0</v>
      </c>
      <c r="F12" s="134" cm="1">
        <f t="array" ref="F12">SUM(SUMIFS('MAIN DATA, Orders'!$U:$U,'MAIN DATA, Orders'!$D:$D,"Poland",'MAIN DATA, Orders'!$I:$I,{"Maintenance","Development - Maintenance","Modernisation","Development - Modernisation","Other","Development - Other"},'MAIN DATA, Orders'!$Y:$Y,A12)/1000000000)</f>
        <v>0</v>
      </c>
      <c r="G12" s="3"/>
    </row>
    <row r="13" spans="1:19" x14ac:dyDescent="0.35">
      <c r="A13" s="133">
        <v>201907</v>
      </c>
      <c r="B13" s="212">
        <v>43647</v>
      </c>
      <c r="C13" s="134" cm="1">
        <f t="array" ref="C13">SUM(SUMIFS('MAIN DATA, Orders'!$U:$U,'MAIN DATA, Orders'!$D:$D,"Poland",'MAIN DATA, Orders'!$I:$I,{"Aircraft","Development - Aircraft","Missile (Air)","Development - Missile (Air)"},'MAIN DATA, Orders'!$Y:$Y,A13)/1000000000)</f>
        <v>0</v>
      </c>
      <c r="D13" s="134" cm="1">
        <f t="array" ref="D13">SUM(SUMIFS('MAIN DATA, Orders'!$U:$U,'MAIN DATA, Orders'!$D:$D,"Poland",'MAIN DATA, Orders'!$I:$I,{"Naval","Development - Naval","Missile (Naval)","Development - Missile (Naval)"},'MAIN DATA, Orders'!$Y:$Y,A13)/1000000000)</f>
        <v>0</v>
      </c>
      <c r="E13" s="134" cm="1">
        <f t="array" ref="E13">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Orders'!$Y:$Y,A13)/1000000000)</f>
        <v>0.40720402084884583</v>
      </c>
      <c r="F13" s="134" cm="1">
        <f t="array" ref="F13">SUM(SUMIFS('MAIN DATA, Orders'!$U:$U,'MAIN DATA, Orders'!$D:$D,"Poland",'MAIN DATA, Orders'!$I:$I,{"Maintenance","Development - Maintenance","Modernisation","Development - Modernisation","Other","Development - Other"},'MAIN DATA, Orders'!$Y:$Y,A13)/1000000000)</f>
        <v>1.3223659717051377E-2</v>
      </c>
      <c r="G13" s="3"/>
    </row>
    <row r="14" spans="1:19" x14ac:dyDescent="0.35">
      <c r="A14" s="133">
        <v>201908</v>
      </c>
      <c r="B14" s="212">
        <v>43678</v>
      </c>
      <c r="C14" s="134" cm="1">
        <f t="array" ref="C14">SUM(SUMIFS('MAIN DATA, Orders'!$U:$U,'MAIN DATA, Orders'!$D:$D,"Poland",'MAIN DATA, Orders'!$I:$I,{"Aircraft","Development - Aircraft","Missile (Air)","Development - Missile (Air)"},'MAIN DATA, Orders'!$Y:$Y,A14)/1000000000)</f>
        <v>0</v>
      </c>
      <c r="D14" s="134" cm="1">
        <f t="array" ref="D14">SUM(SUMIFS('MAIN DATA, Orders'!$U:$U,'MAIN DATA, Orders'!$D:$D,"Poland",'MAIN DATA, Orders'!$I:$I,{"Naval","Development - Naval","Missile (Naval)","Development - Missile (Naval)"},'MAIN DATA, Orders'!$Y:$Y,A14)/1000000000)</f>
        <v>0</v>
      </c>
      <c r="E14" s="134" cm="1">
        <f t="array" ref="E14">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Orders'!$Y:$Y,A14)/1000000000)</f>
        <v>0</v>
      </c>
      <c r="F14" s="134" cm="1">
        <f t="array" ref="F14">SUM(SUMIFS('MAIN DATA, Orders'!$U:$U,'MAIN DATA, Orders'!$D:$D,"Poland",'MAIN DATA, Orders'!$I:$I,{"Maintenance","Development - Maintenance","Modernisation","Development - Modernisation","Other","Development - Other"},'MAIN DATA, Orders'!$Y:$Y,A14)/1000000000)</f>
        <v>0</v>
      </c>
      <c r="G14" s="3"/>
    </row>
    <row r="15" spans="1:19" x14ac:dyDescent="0.35">
      <c r="A15" s="133">
        <v>201909</v>
      </c>
      <c r="B15" s="212">
        <v>43709</v>
      </c>
      <c r="C15" s="134" cm="1">
        <f t="array" ref="C15">SUM(SUMIFS('MAIN DATA, Orders'!$U:$U,'MAIN DATA, Orders'!$D:$D,"Poland",'MAIN DATA, Orders'!$I:$I,{"Aircraft","Development - Aircraft","Missile (Air)","Development - Missile (Air)"},'MAIN DATA, Orders'!$Y:$Y,A15)/1000000000)</f>
        <v>0</v>
      </c>
      <c r="D15" s="134" cm="1">
        <f t="array" ref="D15">SUM(SUMIFS('MAIN DATA, Orders'!$U:$U,'MAIN DATA, Orders'!$D:$D,"Poland",'MAIN DATA, Orders'!$I:$I,{"Naval","Development - Naval","Missile (Naval)","Development - Missile (Naval)"},'MAIN DATA, Orders'!$Y:$Y,A15)/1000000000)</f>
        <v>0</v>
      </c>
      <c r="E15" s="134" cm="1">
        <f t="array" ref="E15">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Orders'!$Y:$Y,A15)/1000000000)</f>
        <v>2.896965748324646E-2</v>
      </c>
      <c r="F15" s="134" cm="1">
        <f t="array" ref="F15">SUM(SUMIFS('MAIN DATA, Orders'!$U:$U,'MAIN DATA, Orders'!$D:$D,"Poland",'MAIN DATA, Orders'!$I:$I,{"Maintenance","Development - Maintenance","Modernisation","Development - Modernisation","Other","Development - Other"},'MAIN DATA, Orders'!$Y:$Y,A15)/1000000000)</f>
        <v>0</v>
      </c>
      <c r="G15" s="3"/>
    </row>
    <row r="16" spans="1:19" x14ac:dyDescent="0.35">
      <c r="A16" s="133">
        <v>201910</v>
      </c>
      <c r="B16" s="212">
        <v>43739</v>
      </c>
      <c r="C16" s="134" cm="1">
        <f t="array" ref="C16">SUM(SUMIFS('MAIN DATA, Orders'!$U:$U,'MAIN DATA, Orders'!$D:$D,"Poland",'MAIN DATA, Orders'!$I:$I,{"Aircraft","Development - Aircraft","Missile (Air)","Development - Missile (Air)"},'MAIN DATA, Orders'!$Y:$Y,A16)/1000000000)</f>
        <v>0</v>
      </c>
      <c r="D16" s="134" cm="1">
        <f t="array" ref="D16">SUM(SUMIFS('MAIN DATA, Orders'!$U:$U,'MAIN DATA, Orders'!$D:$D,"Poland",'MAIN DATA, Orders'!$I:$I,{"Naval","Development - Naval","Missile (Naval)","Development - Missile (Naval)"},'MAIN DATA, Orders'!$Y:$Y,A16)/1000000000)</f>
        <v>0</v>
      </c>
      <c r="E16" s="134" cm="1">
        <f t="array" ref="E16">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Orders'!$Y:$Y,A16)/1000000000)</f>
        <v>6.4105547282204023E-2</v>
      </c>
      <c r="F16" s="134" cm="1">
        <f t="array" ref="F16">SUM(SUMIFS('MAIN DATA, Orders'!$U:$U,'MAIN DATA, Orders'!$D:$D,"Poland",'MAIN DATA, Orders'!$I:$I,{"Maintenance","Development - Maintenance","Modernisation","Development - Modernisation","Other","Development - Other"},'MAIN DATA, Orders'!$Y:$Y,A16)/1000000000)</f>
        <v>0</v>
      </c>
      <c r="G16" s="3"/>
    </row>
    <row r="17" spans="1:7" x14ac:dyDescent="0.35">
      <c r="A17" s="133">
        <v>201911</v>
      </c>
      <c r="B17" s="212">
        <v>43770</v>
      </c>
      <c r="C17" s="134" cm="1">
        <f t="array" ref="C17">SUM(SUMIFS('MAIN DATA, Orders'!$U:$U,'MAIN DATA, Orders'!$D:$D,"Poland",'MAIN DATA, Orders'!$I:$I,{"Aircraft","Development - Aircraft","Missile (Air)","Development - Missile (Air)"},'MAIN DATA, Orders'!$Y:$Y,A17)/1000000000)</f>
        <v>0</v>
      </c>
      <c r="D17" s="134" cm="1">
        <f t="array" ref="D17">SUM(SUMIFS('MAIN DATA, Orders'!$U:$U,'MAIN DATA, Orders'!$D:$D,"Poland",'MAIN DATA, Orders'!$I:$I,{"Naval","Development - Naval","Missile (Naval)","Development - Missile (Naval)"},'MAIN DATA, Orders'!$Y:$Y,A17)/1000000000)</f>
        <v>0</v>
      </c>
      <c r="E17" s="134" cm="1">
        <f t="array" ref="E17">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Orders'!$Y:$Y,A17)/1000000000)</f>
        <v>0.10005584512285927</v>
      </c>
      <c r="F17" s="134" cm="1">
        <f t="array" ref="F17">SUM(SUMIFS('MAIN DATA, Orders'!$U:$U,'MAIN DATA, Orders'!$D:$D,"Poland",'MAIN DATA, Orders'!$I:$I,{"Maintenance","Development - Maintenance","Modernisation","Development - Modernisation","Other","Development - Other"},'MAIN DATA, Orders'!$Y:$Y,A17)/1000000000)</f>
        <v>0</v>
      </c>
      <c r="G17" s="3"/>
    </row>
    <row r="18" spans="1:7" x14ac:dyDescent="0.35">
      <c r="A18" s="133">
        <v>201912</v>
      </c>
      <c r="B18" s="212">
        <v>43800</v>
      </c>
      <c r="C18" s="134" cm="1">
        <f t="array" ref="C18">SUM(SUMIFS('MAIN DATA, Orders'!$U:$U,'MAIN DATA, Orders'!$D:$D,"Poland",'MAIN DATA, Orders'!$I:$I,{"Aircraft","Development - Aircraft","Missile (Air)","Development - Missile (Air)"},'MAIN DATA, Orders'!$Y:$Y,A18)/1000000000)</f>
        <v>0</v>
      </c>
      <c r="D18" s="134" cm="1">
        <f t="array" ref="D18">SUM(SUMIFS('MAIN DATA, Orders'!$U:$U,'MAIN DATA, Orders'!$D:$D,"Poland",'MAIN DATA, Orders'!$I:$I,{"Naval","Development - Naval","Missile (Naval)","Development - Missile (Naval)"},'MAIN DATA, Orders'!$Y:$Y,A18)/1000000000)</f>
        <v>0</v>
      </c>
      <c r="E18" s="134" cm="1">
        <f t="array" ref="E18">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Orders'!$Y:$Y,A18)/1000000000)</f>
        <v>0</v>
      </c>
      <c r="F18" s="134" cm="1">
        <f t="array" ref="F18">SUM(SUMIFS('MAIN DATA, Orders'!$U:$U,'MAIN DATA, Orders'!$D:$D,"Poland",'MAIN DATA, Orders'!$I:$I,{"Maintenance","Development - Maintenance","Modernisation","Development - Modernisation","Other","Development - Other"},'MAIN DATA, Orders'!$Y:$Y,A18)/1000000000)</f>
        <v>0</v>
      </c>
      <c r="G18" s="3"/>
    </row>
    <row r="19" spans="1:7" x14ac:dyDescent="0.35">
      <c r="A19" s="133">
        <v>202001</v>
      </c>
      <c r="B19" s="212">
        <v>43831</v>
      </c>
      <c r="C19" s="134" cm="1">
        <f t="array" ref="C19">SUM(SUMIFS('MAIN DATA, Orders'!$U:$U,'MAIN DATA, Orders'!$D:$D,"Poland",'MAIN DATA, Orders'!$I:$I,{"Aircraft","Development - Aircraft","Missile (Air)","Development - Missile (Air)"},'MAIN DATA, Orders'!$Y:$Y,A19)/1000000000)</f>
        <v>4.0273157065312555</v>
      </c>
      <c r="D19" s="134" cm="1">
        <f t="array" ref="D19">SUM(SUMIFS('MAIN DATA, Orders'!$U:$U,'MAIN DATA, Orders'!$D:$D,"Poland",'MAIN DATA, Orders'!$I:$I,{"Naval","Development - Naval","Missile (Naval)","Development - Missile (Naval)"},'MAIN DATA, Orders'!$Y:$Y,A19)/1000000000)</f>
        <v>0</v>
      </c>
      <c r="E19" s="134" cm="1">
        <f t="array" ref="E19">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Orders'!$Y:$Y,A19)/1000000000)</f>
        <v>0</v>
      </c>
      <c r="F19" s="134" cm="1">
        <f t="array" ref="F19">SUM(SUMIFS('MAIN DATA, Orders'!$U:$U,'MAIN DATA, Orders'!$D:$D,"Poland",'MAIN DATA, Orders'!$I:$I,{"Maintenance","Development - Maintenance","Modernisation","Development - Modernisation","Other","Development - Other"},'MAIN DATA, Orders'!$Y:$Y,A19)/1000000000)</f>
        <v>0</v>
      </c>
      <c r="G19" s="3"/>
    </row>
    <row r="20" spans="1:7" x14ac:dyDescent="0.35">
      <c r="A20" s="133">
        <v>202002</v>
      </c>
      <c r="B20" s="212">
        <v>43862</v>
      </c>
      <c r="C20" s="134" cm="1">
        <f t="array" ref="C20">SUM(SUMIFS('MAIN DATA, Orders'!$U:$U,'MAIN DATA, Orders'!$D:$D,"Poland",'MAIN DATA, Orders'!$I:$I,{"Aircraft","Development - Aircraft","Missile (Air)","Development - Missile (Air)"},'MAIN DATA, Orders'!$Y:$Y,A20)/1000000000)</f>
        <v>0</v>
      </c>
      <c r="D20" s="134" cm="1">
        <f t="array" ref="D20">SUM(SUMIFS('MAIN DATA, Orders'!$U:$U,'MAIN DATA, Orders'!$D:$D,"Poland",'MAIN DATA, Orders'!$I:$I,{"Naval","Development - Naval","Missile (Naval)","Development - Missile (Naval)"},'MAIN DATA, Orders'!$Y:$Y,A20)/1000000000)</f>
        <v>0</v>
      </c>
      <c r="E20" s="134" cm="1">
        <f t="array" ref="E20">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Orders'!$Y:$Y,A20)/1000000000)</f>
        <v>0</v>
      </c>
      <c r="F20" s="134" cm="1">
        <f t="array" ref="F20">SUM(SUMIFS('MAIN DATA, Orders'!$U:$U,'MAIN DATA, Orders'!$D:$D,"Poland",'MAIN DATA, Orders'!$I:$I,{"Maintenance","Development - Maintenance","Modernisation","Development - Modernisation","Other","Development - Other"},'MAIN DATA, Orders'!$Y:$Y,A20)/1000000000)</f>
        <v>0</v>
      </c>
      <c r="G20" s="3"/>
    </row>
    <row r="21" spans="1:7" x14ac:dyDescent="0.35">
      <c r="A21" s="133">
        <v>202003</v>
      </c>
      <c r="B21" s="212">
        <v>43891</v>
      </c>
      <c r="C21" s="134" cm="1">
        <f t="array" ref="C21">SUM(SUMIFS('MAIN DATA, Orders'!$U:$U,'MAIN DATA, Orders'!$D:$D,"Poland",'MAIN DATA, Orders'!$I:$I,{"Aircraft","Development - Aircraft","Missile (Air)","Development - Missile (Air)"},'MAIN DATA, Orders'!$Y:$Y,A21)/1000000000)</f>
        <v>0</v>
      </c>
      <c r="D21" s="134" cm="1">
        <f t="array" ref="D21">SUM(SUMIFS('MAIN DATA, Orders'!$U:$U,'MAIN DATA, Orders'!$D:$D,"Poland",'MAIN DATA, Orders'!$I:$I,{"Naval","Development - Naval","Missile (Naval)","Development - Missile (Naval)"},'MAIN DATA, Orders'!$Y:$Y,A21)/1000000000)</f>
        <v>0</v>
      </c>
      <c r="E21" s="134" cm="1">
        <f t="array" ref="E21">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Orders'!$Y:$Y,A21)/1000000000)</f>
        <v>0</v>
      </c>
      <c r="F21" s="134" cm="1">
        <f t="array" ref="F21">SUM(SUMIFS('MAIN DATA, Orders'!$U:$U,'MAIN DATA, Orders'!$D:$D,"Poland",'MAIN DATA, Orders'!$I:$I,{"Maintenance","Development - Maintenance","Modernisation","Development - Modernisation","Other","Development - Other"},'MAIN DATA, Orders'!$Y:$Y,A21)/1000000000)</f>
        <v>0</v>
      </c>
      <c r="G21" s="3"/>
    </row>
    <row r="22" spans="1:7" x14ac:dyDescent="0.35">
      <c r="A22" s="133">
        <v>202004</v>
      </c>
      <c r="B22" s="212">
        <v>43922</v>
      </c>
      <c r="C22" s="134" cm="1">
        <f t="array" ref="C22">SUM(SUMIFS('MAIN DATA, Orders'!$U:$U,'MAIN DATA, Orders'!$D:$D,"Poland",'MAIN DATA, Orders'!$I:$I,{"Aircraft","Development - Aircraft","Missile (Air)","Development - Missile (Air)"},'MAIN DATA, Orders'!$Y:$Y,A22)/1000000000)</f>
        <v>0</v>
      </c>
      <c r="D22" s="134" cm="1">
        <f t="array" ref="D22">SUM(SUMIFS('MAIN DATA, Orders'!$U:$U,'MAIN DATA, Orders'!$D:$D,"Poland",'MAIN DATA, Orders'!$I:$I,{"Naval","Development - Naval","Missile (Naval)","Development - Missile (Naval)"},'MAIN DATA, Orders'!$Y:$Y,A22)/1000000000)</f>
        <v>0</v>
      </c>
      <c r="E22" s="134" cm="1">
        <f t="array" ref="E22">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Orders'!$Y:$Y,A22)/1000000000)</f>
        <v>0</v>
      </c>
      <c r="F22" s="134" cm="1">
        <f t="array" ref="F22">SUM(SUMIFS('MAIN DATA, Orders'!$U:$U,'MAIN DATA, Orders'!$D:$D,"Poland",'MAIN DATA, Orders'!$I:$I,{"Maintenance","Development - Maintenance","Modernisation","Development - Modernisation","Other","Development - Other"},'MAIN DATA, Orders'!$Y:$Y,A22)/1000000000)</f>
        <v>0</v>
      </c>
      <c r="G22" s="3"/>
    </row>
    <row r="23" spans="1:7" x14ac:dyDescent="0.35">
      <c r="A23" s="133">
        <v>202005</v>
      </c>
      <c r="B23" s="212">
        <v>43952</v>
      </c>
      <c r="C23" s="134" cm="1">
        <f t="array" ref="C23">SUM(SUMIFS('MAIN DATA, Orders'!$U:$U,'MAIN DATA, Orders'!$D:$D,"Poland",'MAIN DATA, Orders'!$I:$I,{"Aircraft","Development - Aircraft","Missile (Air)","Development - Missile (Air)"},'MAIN DATA, Orders'!$Y:$Y,A23)/1000000000)</f>
        <v>0</v>
      </c>
      <c r="D23" s="134" cm="1">
        <f t="array" ref="D23">SUM(SUMIFS('MAIN DATA, Orders'!$U:$U,'MAIN DATA, Orders'!$D:$D,"Poland",'MAIN DATA, Orders'!$I:$I,{"Naval","Development - Naval","Missile (Naval)","Development - Missile (Naval)"},'MAIN DATA, Orders'!$Y:$Y,A23)/1000000000)</f>
        <v>0</v>
      </c>
      <c r="E23" s="134" cm="1">
        <f t="array" ref="E23">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Orders'!$Y:$Y,A23)/1000000000)</f>
        <v>0.15824893090254333</v>
      </c>
      <c r="F23" s="134" cm="1">
        <f t="array" ref="F23">SUM(SUMIFS('MAIN DATA, Orders'!$U:$U,'MAIN DATA, Orders'!$D:$D,"Poland",'MAIN DATA, Orders'!$I:$I,{"Maintenance","Development - Maintenance","Modernisation","Development - Modernisation","Other","Development - Other"},'MAIN DATA, Orders'!$Y:$Y,A23)/1000000000)</f>
        <v>0</v>
      </c>
      <c r="G23" s="3"/>
    </row>
    <row r="24" spans="1:7" x14ac:dyDescent="0.35">
      <c r="A24" s="133">
        <v>202006</v>
      </c>
      <c r="B24" s="212">
        <v>43983</v>
      </c>
      <c r="C24" s="134" cm="1">
        <f t="array" ref="C24">SUM(SUMIFS('MAIN DATA, Orders'!$U:$U,'MAIN DATA, Orders'!$D:$D,"Poland",'MAIN DATA, Orders'!$I:$I,{"Aircraft","Development - Aircraft","Missile (Air)","Development - Missile (Air)"},'MAIN DATA, Orders'!$Y:$Y,A24)/1000000000)</f>
        <v>0</v>
      </c>
      <c r="D24" s="134" cm="1">
        <f t="array" ref="D24">SUM(SUMIFS('MAIN DATA, Orders'!$U:$U,'MAIN DATA, Orders'!$D:$D,"Poland",'MAIN DATA, Orders'!$I:$I,{"Naval","Development - Naval","Missile (Naval)","Development - Missile (Naval)"},'MAIN DATA, Orders'!$Y:$Y,A24)/1000000000)</f>
        <v>0</v>
      </c>
      <c r="E24" s="134" cm="1">
        <f t="array" ref="E24">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Orders'!$Y:$Y,A24)/1000000000)</f>
        <v>0</v>
      </c>
      <c r="F24" s="134" cm="1">
        <f t="array" ref="F24">SUM(SUMIFS('MAIN DATA, Orders'!$U:$U,'MAIN DATA, Orders'!$D:$D,"Poland",'MAIN DATA, Orders'!$I:$I,{"Maintenance","Development - Maintenance","Modernisation","Development - Modernisation","Other","Development - Other"},'MAIN DATA, Orders'!$Y:$Y,A24)/1000000000)</f>
        <v>0</v>
      </c>
      <c r="G24" s="3"/>
    </row>
    <row r="25" spans="1:7" x14ac:dyDescent="0.35">
      <c r="A25" s="133">
        <v>202007</v>
      </c>
      <c r="B25" s="212">
        <v>44013</v>
      </c>
      <c r="C25" s="134" cm="1">
        <f t="array" ref="C25">SUM(SUMIFS('MAIN DATA, Orders'!$U:$U,'MAIN DATA, Orders'!$D:$D,"Poland",'MAIN DATA, Orders'!$I:$I,{"Aircraft","Development - Aircraft","Missile (Air)","Development - Missile (Air)"},'MAIN DATA, Orders'!$Y:$Y,A25)/1000000000)</f>
        <v>0</v>
      </c>
      <c r="D25" s="134" cm="1">
        <f t="array" ref="D25">SUM(SUMIFS('MAIN DATA, Orders'!$U:$U,'MAIN DATA, Orders'!$D:$D,"Poland",'MAIN DATA, Orders'!$I:$I,{"Naval","Development - Naval","Missile (Naval)","Development - Missile (Naval)"},'MAIN DATA, Orders'!$Y:$Y,A25)/1000000000)</f>
        <v>0</v>
      </c>
      <c r="E25" s="134" cm="1">
        <f t="array" ref="E25">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Orders'!$Y:$Y,A25)/1000000000)</f>
        <v>3.9837947332883192E-2</v>
      </c>
      <c r="F25" s="134" cm="1">
        <f t="array" ref="F25">SUM(SUMIFS('MAIN DATA, Orders'!$U:$U,'MAIN DATA, Orders'!$D:$D,"Poland",'MAIN DATA, Orders'!$I:$I,{"Maintenance","Development - Maintenance","Modernisation","Development - Modernisation","Other","Development - Other"},'MAIN DATA, Orders'!$Y:$Y,A25)/1000000000)</f>
        <v>0</v>
      </c>
      <c r="G25" s="3"/>
    </row>
    <row r="26" spans="1:7" x14ac:dyDescent="0.35">
      <c r="A26" s="133">
        <v>202008</v>
      </c>
      <c r="B26" s="212">
        <v>44044</v>
      </c>
      <c r="C26" s="134" cm="1">
        <f t="array" ref="C26">SUM(SUMIFS('MAIN DATA, Orders'!$U:$U,'MAIN DATA, Orders'!$D:$D,"Poland",'MAIN DATA, Orders'!$I:$I,{"Aircraft","Development - Aircraft","Missile (Air)","Development - Missile (Air)"},'MAIN DATA, Orders'!$Y:$Y,A26)/1000000000)</f>
        <v>0</v>
      </c>
      <c r="D26" s="134" cm="1">
        <f t="array" ref="D26">SUM(SUMIFS('MAIN DATA, Orders'!$U:$U,'MAIN DATA, Orders'!$D:$D,"Poland",'MAIN DATA, Orders'!$I:$I,{"Naval","Development - Naval","Missile (Naval)","Development - Missile (Naval)"},'MAIN DATA, Orders'!$Y:$Y,A26)/1000000000)</f>
        <v>0</v>
      </c>
      <c r="E26" s="134" cm="1">
        <f t="array" ref="E26">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Orders'!$Y:$Y,A26)/1000000000)</f>
        <v>0</v>
      </c>
      <c r="F26" s="134" cm="1">
        <f t="array" ref="F26">SUM(SUMIFS('MAIN DATA, Orders'!$U:$U,'MAIN DATA, Orders'!$D:$D,"Poland",'MAIN DATA, Orders'!$I:$I,{"Maintenance","Development - Maintenance","Modernisation","Development - Modernisation","Other","Development - Other"},'MAIN DATA, Orders'!$Y:$Y,A26)/1000000000)</f>
        <v>0</v>
      </c>
      <c r="G26" s="3"/>
    </row>
    <row r="27" spans="1:7" x14ac:dyDescent="0.35">
      <c r="A27" s="133">
        <v>202009</v>
      </c>
      <c r="B27" s="212">
        <v>44075</v>
      </c>
      <c r="C27" s="134" cm="1">
        <f t="array" ref="C27">SUM(SUMIFS('MAIN DATA, Orders'!$U:$U,'MAIN DATA, Orders'!$D:$D,"Poland",'MAIN DATA, Orders'!$I:$I,{"Aircraft","Development - Aircraft","Missile (Air)","Development - Missile (Air)"},'MAIN DATA, Orders'!$Y:$Y,A27)/1000000000)</f>
        <v>0</v>
      </c>
      <c r="D27" s="134" cm="1">
        <f t="array" ref="D27">SUM(SUMIFS('MAIN DATA, Orders'!$U:$U,'MAIN DATA, Orders'!$D:$D,"Poland",'MAIN DATA, Orders'!$I:$I,{"Naval","Development - Naval","Missile (Naval)","Development - Missile (Naval)"},'MAIN DATA, Orders'!$Y:$Y,A27)/1000000000)</f>
        <v>0</v>
      </c>
      <c r="E27" s="134" cm="1">
        <f t="array" ref="E27">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Orders'!$Y:$Y,A27)/1000000000)</f>
        <v>0</v>
      </c>
      <c r="F27" s="134" cm="1">
        <f t="array" ref="F27">SUM(SUMIFS('MAIN DATA, Orders'!$U:$U,'MAIN DATA, Orders'!$D:$D,"Poland",'MAIN DATA, Orders'!$I:$I,{"Maintenance","Development - Maintenance","Modernisation","Development - Modernisation","Other","Development - Other"},'MAIN DATA, Orders'!$Y:$Y,A27)/1000000000)</f>
        <v>0</v>
      </c>
      <c r="G27" s="3"/>
    </row>
    <row r="28" spans="1:7" x14ac:dyDescent="0.35">
      <c r="A28" s="133">
        <v>202010</v>
      </c>
      <c r="B28" s="212">
        <v>44105</v>
      </c>
      <c r="C28" s="134" cm="1">
        <f t="array" ref="C28">SUM(SUMIFS('MAIN DATA, Orders'!$U:$U,'MAIN DATA, Orders'!$D:$D,"Poland",'MAIN DATA, Orders'!$I:$I,{"Aircraft","Development - Aircraft","Missile (Air)","Development - Missile (Air)"},'MAIN DATA, Orders'!$Y:$Y,A28)/1000000000)</f>
        <v>0</v>
      </c>
      <c r="D28" s="134" cm="1">
        <f t="array" ref="D28">SUM(SUMIFS('MAIN DATA, Orders'!$U:$U,'MAIN DATA, Orders'!$D:$D,"Poland",'MAIN DATA, Orders'!$I:$I,{"Naval","Development - Naval","Missile (Naval)","Development - Missile (Naval)"},'MAIN DATA, Orders'!$Y:$Y,A28)/1000000000)</f>
        <v>0</v>
      </c>
      <c r="E28" s="134" cm="1">
        <f t="array" ref="E28">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Orders'!$Y:$Y,A28)/1000000000)</f>
        <v>0</v>
      </c>
      <c r="F28" s="134" cm="1">
        <f t="array" ref="F28">SUM(SUMIFS('MAIN DATA, Orders'!$U:$U,'MAIN DATA, Orders'!$D:$D,"Poland",'MAIN DATA, Orders'!$I:$I,{"Maintenance","Development - Maintenance","Modernisation","Development - Modernisation","Other","Development - Other"},'MAIN DATA, Orders'!$Y:$Y,A28)/1000000000)</f>
        <v>3.7362142696376326E-2</v>
      </c>
      <c r="G28" s="3"/>
    </row>
    <row r="29" spans="1:7" x14ac:dyDescent="0.35">
      <c r="A29" s="133">
        <v>202011</v>
      </c>
      <c r="B29" s="212">
        <v>44136</v>
      </c>
      <c r="C29" s="134" cm="1">
        <f t="array" ref="C29">SUM(SUMIFS('MAIN DATA, Orders'!$U:$U,'MAIN DATA, Orders'!$D:$D,"Poland",'MAIN DATA, Orders'!$I:$I,{"Aircraft","Development - Aircraft","Missile (Air)","Development - Missile (Air)"},'MAIN DATA, Orders'!$Y:$Y,A29)/1000000000)</f>
        <v>0</v>
      </c>
      <c r="D29" s="134" cm="1">
        <f t="array" ref="D29">SUM(SUMIFS('MAIN DATA, Orders'!$U:$U,'MAIN DATA, Orders'!$D:$D,"Poland",'MAIN DATA, Orders'!$I:$I,{"Naval","Development - Naval","Missile (Naval)","Development - Missile (Naval)"},'MAIN DATA, Orders'!$Y:$Y,A29)/1000000000)</f>
        <v>0</v>
      </c>
      <c r="E29" s="134" cm="1">
        <f t="array" ref="E29">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Orders'!$Y:$Y,A29)/1000000000)</f>
        <v>0</v>
      </c>
      <c r="F29" s="134" cm="1">
        <f t="array" ref="F29">SUM(SUMIFS('MAIN DATA, Orders'!$U:$U,'MAIN DATA, Orders'!$D:$D,"Poland",'MAIN DATA, Orders'!$I:$I,{"Maintenance","Development - Maintenance","Modernisation","Development - Modernisation","Other","Development - Other"},'MAIN DATA, Orders'!$Y:$Y,A29)/1000000000)</f>
        <v>0</v>
      </c>
    </row>
    <row r="30" spans="1:7" x14ac:dyDescent="0.35">
      <c r="A30" s="133">
        <v>202012</v>
      </c>
      <c r="B30" s="212">
        <v>44166</v>
      </c>
      <c r="C30" s="134" cm="1">
        <f t="array" ref="C30">SUM(SUMIFS('MAIN DATA, Orders'!$U:$U,'MAIN DATA, Orders'!$D:$D,"Poland",'MAIN DATA, Orders'!$I:$I,{"Aircraft","Development - Aircraft","Missile (Air)","Development - Missile (Air)"},'MAIN DATA, Orders'!$Y:$Y,A30)/1000000000)</f>
        <v>0</v>
      </c>
      <c r="D30" s="134" cm="1">
        <f t="array" ref="D30">SUM(SUMIFS('MAIN DATA, Orders'!$U:$U,'MAIN DATA, Orders'!$D:$D,"Poland",'MAIN DATA, Orders'!$I:$I,{"Naval","Development - Naval","Missile (Naval)","Development - Missile (Naval)"},'MAIN DATA, Orders'!$Y:$Y,A30)/1000000000)</f>
        <v>0</v>
      </c>
      <c r="E30" s="134" cm="1">
        <f t="array" ref="E30">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Orders'!$Y:$Y,A30)/1000000000)</f>
        <v>0</v>
      </c>
      <c r="F30" s="134" cm="1">
        <f t="array" ref="F30">SUM(SUMIFS('MAIN DATA, Orders'!$U:$U,'MAIN DATA, Orders'!$D:$D,"Poland",'MAIN DATA, Orders'!$I:$I,{"Maintenance","Development - Maintenance","Modernisation","Development - Modernisation","Other","Development - Other"},'MAIN DATA, Orders'!$Y:$Y,A30)/1000000000)</f>
        <v>0</v>
      </c>
    </row>
    <row r="31" spans="1:7" x14ac:dyDescent="0.35">
      <c r="A31" s="133">
        <v>202101</v>
      </c>
      <c r="B31" s="212">
        <v>44197</v>
      </c>
      <c r="C31" s="134" cm="1">
        <f t="array" ref="C31">SUM(SUMIFS('MAIN DATA, Orders'!$U:$U,'MAIN DATA, Orders'!$D:$D,"Poland",'MAIN DATA, Orders'!$I:$I,{"Aircraft","Development - Aircraft","Missile (Air)","Development - Missile (Air)"},'MAIN DATA, Orders'!$Y:$Y,A31)/1000000000)</f>
        <v>0</v>
      </c>
      <c r="D31" s="134" cm="1">
        <f t="array" ref="D31">SUM(SUMIFS('MAIN DATA, Orders'!$U:$U,'MAIN DATA, Orders'!$D:$D,"Poland",'MAIN DATA, Orders'!$I:$I,{"Naval","Development - Naval","Missile (Naval)","Development - Missile (Naval)"},'MAIN DATA, Orders'!$Y:$Y,A31)/1000000000)</f>
        <v>0</v>
      </c>
      <c r="E31" s="134" cm="1">
        <f t="array" ref="E31">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Orders'!$Y:$Y,A31)/1000000000)</f>
        <v>0</v>
      </c>
      <c r="F31" s="134" cm="1">
        <f t="array" ref="F31">SUM(SUMIFS('MAIN DATA, Orders'!$U:$U,'MAIN DATA, Orders'!$D:$D,"Poland",'MAIN DATA, Orders'!$I:$I,{"Maintenance","Development - Maintenance","Modernisation","Development - Modernisation","Other","Development - Other"},'MAIN DATA, Orders'!$Y:$Y,A31)/1000000000)</f>
        <v>0</v>
      </c>
    </row>
    <row r="32" spans="1:7" x14ac:dyDescent="0.35">
      <c r="A32" s="133">
        <v>202102</v>
      </c>
      <c r="B32" s="212">
        <v>44228</v>
      </c>
      <c r="C32" s="134" cm="1">
        <f t="array" ref="C32">SUM(SUMIFS('MAIN DATA, Orders'!$U:$U,'MAIN DATA, Orders'!$D:$D,"Poland",'MAIN DATA, Orders'!$I:$I,{"Aircraft","Development - Aircraft","Missile (Air)","Development - Missile (Air)"},'MAIN DATA, Orders'!$Y:$Y,A32)/1000000000)</f>
        <v>0</v>
      </c>
      <c r="D32" s="134" cm="1">
        <f t="array" ref="D32">SUM(SUMIFS('MAIN DATA, Orders'!$U:$U,'MAIN DATA, Orders'!$D:$D,"Poland",'MAIN DATA, Orders'!$I:$I,{"Naval","Development - Naval","Missile (Naval)","Development - Missile (Naval)"},'MAIN DATA, Orders'!$Y:$Y,A32)/1000000000)</f>
        <v>0</v>
      </c>
      <c r="E32" s="134" cm="1">
        <f t="array" ref="E32">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Orders'!$Y:$Y,A32)/1000000000)</f>
        <v>0</v>
      </c>
      <c r="F32" s="134" cm="1">
        <f t="array" ref="F32">SUM(SUMIFS('MAIN DATA, Orders'!$U:$U,'MAIN DATA, Orders'!$D:$D,"Poland",'MAIN DATA, Orders'!$I:$I,{"Maintenance","Development - Maintenance","Modernisation","Development - Modernisation","Other","Development - Other"},'MAIN DATA, Orders'!$Y:$Y,A32)/1000000000)</f>
        <v>0</v>
      </c>
    </row>
    <row r="33" spans="1:6" x14ac:dyDescent="0.35">
      <c r="A33" s="133">
        <v>202103</v>
      </c>
      <c r="B33" s="212">
        <v>44256</v>
      </c>
      <c r="C33" s="134" cm="1">
        <f t="array" ref="C33">SUM(SUMIFS('MAIN DATA, Orders'!$U:$U,'MAIN DATA, Orders'!$D:$D,"Poland",'MAIN DATA, Orders'!$I:$I,{"Aircraft","Development - Aircraft","Missile (Air)","Development - Missile (Air)"},'MAIN DATA, Orders'!$Y:$Y,A33)/1000000000)</f>
        <v>0</v>
      </c>
      <c r="D33" s="134" cm="1">
        <f t="array" ref="D33">SUM(SUMIFS('MAIN DATA, Orders'!$U:$U,'MAIN DATA, Orders'!$D:$D,"Poland",'MAIN DATA, Orders'!$I:$I,{"Naval","Development - Naval","Missile (Naval)","Development - Missile (Naval)"},'MAIN DATA, Orders'!$Y:$Y,A33)/1000000000)</f>
        <v>0</v>
      </c>
      <c r="E33" s="134" cm="1">
        <f t="array" ref="E33">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Orders'!$Y:$Y,A33)/1000000000)</f>
        <v>0</v>
      </c>
      <c r="F33" s="134" cm="1">
        <f t="array" ref="F33">SUM(SUMIFS('MAIN DATA, Orders'!$U:$U,'MAIN DATA, Orders'!$D:$D,"Poland",'MAIN DATA, Orders'!$I:$I,{"Maintenance","Development - Maintenance","Modernisation","Development - Modernisation","Other","Development - Other"},'MAIN DATA, Orders'!$Y:$Y,A33)/1000000000)</f>
        <v>0</v>
      </c>
    </row>
    <row r="34" spans="1:6" x14ac:dyDescent="0.35">
      <c r="A34" s="133">
        <v>202104</v>
      </c>
      <c r="B34" s="212">
        <v>44287</v>
      </c>
      <c r="C34" s="134" cm="1">
        <f t="array" ref="C34">SUM(SUMIFS('MAIN DATA, Orders'!$U:$U,'MAIN DATA, Orders'!$D:$D,"Poland",'MAIN DATA, Orders'!$I:$I,{"Aircraft","Development - Aircraft","Missile (Air)","Development - Missile (Air)"},'MAIN DATA, Orders'!$Y:$Y,A34)/1000000000)</f>
        <v>0</v>
      </c>
      <c r="D34" s="134" cm="1">
        <f t="array" ref="D34">SUM(SUMIFS('MAIN DATA, Orders'!$U:$U,'MAIN DATA, Orders'!$D:$D,"Poland",'MAIN DATA, Orders'!$I:$I,{"Naval","Development - Naval","Missile (Naval)","Development - Missile (Naval)"},'MAIN DATA, Orders'!$Y:$Y,A34)/1000000000)</f>
        <v>0</v>
      </c>
      <c r="E34" s="134" cm="1">
        <f t="array" ref="E34">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Orders'!$Y:$Y,A34)/1000000000)</f>
        <v>7.7105055638307191E-2</v>
      </c>
      <c r="F34" s="134" cm="1">
        <f t="array" ref="F34">SUM(SUMIFS('MAIN DATA, Orders'!$U:$U,'MAIN DATA, Orders'!$D:$D,"Poland",'MAIN DATA, Orders'!$I:$I,{"Maintenance","Development - Maintenance","Modernisation","Development - Modernisation","Other","Development - Other"},'MAIN DATA, Orders'!$Y:$Y,A34)/1000000000)</f>
        <v>0</v>
      </c>
    </row>
    <row r="35" spans="1:6" x14ac:dyDescent="0.35">
      <c r="A35" s="133">
        <v>202105</v>
      </c>
      <c r="B35" s="212">
        <v>44317</v>
      </c>
      <c r="C35" s="134" cm="1">
        <f t="array" ref="C35">SUM(SUMIFS('MAIN DATA, Orders'!$U:$U,'MAIN DATA, Orders'!$D:$D,"Poland",'MAIN DATA, Orders'!$I:$I,{"Aircraft","Development - Aircraft","Missile (Air)","Development - Missile (Air)"},'MAIN DATA, Orders'!$Y:$Y,A35)/1000000000)</f>
        <v>0</v>
      </c>
      <c r="D35" s="134" cm="1">
        <f t="array" ref="D35">SUM(SUMIFS('MAIN DATA, Orders'!$U:$U,'MAIN DATA, Orders'!$D:$D,"Poland",'MAIN DATA, Orders'!$I:$I,{"Naval","Development - Naval","Missile (Naval)","Development - Missile (Naval)"},'MAIN DATA, Orders'!$Y:$Y,A35)/1000000000)</f>
        <v>0</v>
      </c>
      <c r="E35" s="134" cm="1">
        <f t="array" ref="E35">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Orders'!$Y:$Y,A35)/1000000000)</f>
        <v>0.22660015219413207</v>
      </c>
      <c r="F35" s="134" cm="1">
        <f t="array" ref="F35">SUM(SUMIFS('MAIN DATA, Orders'!$U:$U,'MAIN DATA, Orders'!$D:$D,"Poland",'MAIN DATA, Orders'!$I:$I,{"Maintenance","Development - Maintenance","Modernisation","Development - Modernisation","Other","Development - Other"},'MAIN DATA, Orders'!$Y:$Y,A35)/1000000000)</f>
        <v>4.074301235433278E-2</v>
      </c>
    </row>
    <row r="36" spans="1:6" x14ac:dyDescent="0.35">
      <c r="A36" s="133">
        <v>202106</v>
      </c>
      <c r="B36" s="212">
        <v>44348</v>
      </c>
      <c r="C36" s="134" cm="1">
        <f t="array" ref="C36">SUM(SUMIFS('MAIN DATA, Orders'!$U:$U,'MAIN DATA, Orders'!$D:$D,"Poland",'MAIN DATA, Orders'!$I:$I,{"Aircraft","Development - Aircraft","Missile (Air)","Development - Missile (Air)"},'MAIN DATA, Orders'!$Y:$Y,A36)/1000000000)</f>
        <v>0</v>
      </c>
      <c r="D36" s="134" cm="1">
        <f t="array" ref="D36">SUM(SUMIFS('MAIN DATA, Orders'!$U:$U,'MAIN DATA, Orders'!$D:$D,"Poland",'MAIN DATA, Orders'!$I:$I,{"Naval","Development - Naval","Missile (Naval)","Development - Missile (Naval)"},'MAIN DATA, Orders'!$Y:$Y,A36)/1000000000)</f>
        <v>0</v>
      </c>
      <c r="E36" s="134" cm="1">
        <f t="array" ref="E36">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Orders'!$Y:$Y,A36)/1000000000)</f>
        <v>0</v>
      </c>
      <c r="F36" s="134" cm="1">
        <f t="array" ref="F36">SUM(SUMIFS('MAIN DATA, Orders'!$U:$U,'MAIN DATA, Orders'!$D:$D,"Poland",'MAIN DATA, Orders'!$I:$I,{"Maintenance","Development - Maintenance","Modernisation","Development - Modernisation","Other","Development - Other"},'MAIN DATA, Orders'!$Y:$Y,A36)/1000000000)</f>
        <v>0</v>
      </c>
    </row>
    <row r="37" spans="1:6" x14ac:dyDescent="0.35">
      <c r="A37" s="133">
        <v>202107</v>
      </c>
      <c r="B37" s="212">
        <v>44378</v>
      </c>
      <c r="C37" s="134" cm="1">
        <f t="array" ref="C37">SUM(SUMIFS('MAIN DATA, Orders'!$U:$U,'MAIN DATA, Orders'!$D:$D,"Poland",'MAIN DATA, Orders'!$I:$I,{"Aircraft","Development - Aircraft","Missile (Air)","Development - Missile (Air)"},'MAIN DATA, Orders'!$Y:$Y,A37)/1000000000)</f>
        <v>0</v>
      </c>
      <c r="D37" s="134" cm="1">
        <f t="array" ref="D37">SUM(SUMIFS('MAIN DATA, Orders'!$U:$U,'MAIN DATA, Orders'!$D:$D,"Poland",'MAIN DATA, Orders'!$I:$I,{"Naval","Development - Naval","Missile (Naval)","Development - Missile (Naval)"},'MAIN DATA, Orders'!$Y:$Y,A37)/1000000000)</f>
        <v>1.7523876281433453</v>
      </c>
      <c r="E37" s="134" cm="1">
        <f t="array" ref="E37">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Orders'!$Y:$Y,A37)/1000000000)</f>
        <v>4.0162340407542061</v>
      </c>
      <c r="F37" s="134" cm="1">
        <f t="array" ref="F37">SUM(SUMIFS('MAIN DATA, Orders'!$U:$U,'MAIN DATA, Orders'!$D:$D,"Poland",'MAIN DATA, Orders'!$I:$I,{"Maintenance","Development - Maintenance","Modernisation","Development - Modernisation","Other","Development - Other"},'MAIN DATA, Orders'!$Y:$Y,A37)/1000000000)</f>
        <v>0</v>
      </c>
    </row>
    <row r="38" spans="1:6" x14ac:dyDescent="0.35">
      <c r="A38" s="133">
        <v>202108</v>
      </c>
      <c r="B38" s="212">
        <v>44409</v>
      </c>
      <c r="C38" s="134" cm="1">
        <f t="array" ref="C38">SUM(SUMIFS('MAIN DATA, Orders'!$U:$U,'MAIN DATA, Orders'!$D:$D,"Poland",'MAIN DATA, Orders'!$I:$I,{"Aircraft","Development - Aircraft","Missile (Air)","Development - Missile (Air)"},'MAIN DATA, Orders'!$Y:$Y,A38)/1000000000)</f>
        <v>0</v>
      </c>
      <c r="D38" s="134" cm="1">
        <f t="array" ref="D38">SUM(SUMIFS('MAIN DATA, Orders'!$U:$U,'MAIN DATA, Orders'!$D:$D,"Poland",'MAIN DATA, Orders'!$I:$I,{"Naval","Development - Naval","Missile (Naval)","Development - Missile (Naval)"},'MAIN DATA, Orders'!$Y:$Y,A38)/1000000000)</f>
        <v>0</v>
      </c>
      <c r="E38" s="134" cm="1">
        <f t="array" ref="E38">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Orders'!$Y:$Y,A38)/1000000000)</f>
        <v>0</v>
      </c>
      <c r="F38" s="134" cm="1">
        <f t="array" ref="F38">SUM(SUMIFS('MAIN DATA, Orders'!$U:$U,'MAIN DATA, Orders'!$D:$D,"Poland",'MAIN DATA, Orders'!$I:$I,{"Maintenance","Development - Maintenance","Modernisation","Development - Modernisation","Other","Development - Other"},'MAIN DATA, Orders'!$Y:$Y,A38)/1000000000)</f>
        <v>0</v>
      </c>
    </row>
    <row r="39" spans="1:6" x14ac:dyDescent="0.35">
      <c r="A39" s="133">
        <v>202109</v>
      </c>
      <c r="B39" s="212">
        <v>44440</v>
      </c>
      <c r="C39" s="134" cm="1">
        <f t="array" ref="C39">SUM(SUMIFS('MAIN DATA, Orders'!$U:$U,'MAIN DATA, Orders'!$D:$D,"Poland",'MAIN DATA, Orders'!$I:$I,{"Aircraft","Development - Aircraft","Missile (Air)","Development - Missile (Air)"},'MAIN DATA, Orders'!$Y:$Y,A39)/1000000000)</f>
        <v>0</v>
      </c>
      <c r="D39" s="134" cm="1">
        <f t="array" ref="D39">SUM(SUMIFS('MAIN DATA, Orders'!$U:$U,'MAIN DATA, Orders'!$D:$D,"Poland",'MAIN DATA, Orders'!$I:$I,{"Naval","Development - Naval","Missile (Naval)","Development - Missile (Naval)"},'MAIN DATA, Orders'!$Y:$Y,A39)/1000000000)</f>
        <v>0</v>
      </c>
      <c r="E39" s="134" cm="1">
        <f t="array" ref="E39">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Orders'!$Y:$Y,A39)/1000000000)</f>
        <v>0</v>
      </c>
      <c r="F39" s="134" cm="1">
        <f t="array" ref="F39">SUM(SUMIFS('MAIN DATA, Orders'!$U:$U,'MAIN DATA, Orders'!$D:$D,"Poland",'MAIN DATA, Orders'!$I:$I,{"Maintenance","Development - Maintenance","Modernisation","Development - Modernisation","Other","Development - Other"},'MAIN DATA, Orders'!$Y:$Y,A39)/1000000000)</f>
        <v>0</v>
      </c>
    </row>
    <row r="40" spans="1:6" x14ac:dyDescent="0.35">
      <c r="A40" s="133">
        <v>202110</v>
      </c>
      <c r="B40" s="212">
        <v>44470</v>
      </c>
      <c r="C40" s="134" cm="1">
        <f t="array" ref="C40">SUM(SUMIFS('MAIN DATA, Orders'!$U:$U,'MAIN DATA, Orders'!$D:$D,"Poland",'MAIN DATA, Orders'!$I:$I,{"Aircraft","Development - Aircraft","Missile (Air)","Development - Missile (Air)"},'MAIN DATA, Orders'!$Y:$Y,A40)/1000000000)</f>
        <v>0</v>
      </c>
      <c r="D40" s="134" cm="1">
        <f t="array" ref="D40">SUM(SUMIFS('MAIN DATA, Orders'!$U:$U,'MAIN DATA, Orders'!$D:$D,"Poland",'MAIN DATA, Orders'!$I:$I,{"Naval","Development - Naval","Missile (Naval)","Development - Missile (Naval)"},'MAIN DATA, Orders'!$Y:$Y,A40)/1000000000)</f>
        <v>0</v>
      </c>
      <c r="E40" s="134" cm="1">
        <f t="array" ref="E40">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Orders'!$Y:$Y,A40)/1000000000)</f>
        <v>0</v>
      </c>
      <c r="F40" s="134" cm="1">
        <f t="array" ref="F40">SUM(SUMIFS('MAIN DATA, Orders'!$U:$U,'MAIN DATA, Orders'!$D:$D,"Poland",'MAIN DATA, Orders'!$I:$I,{"Maintenance","Development - Maintenance","Modernisation","Development - Modernisation","Other","Development - Other"},'MAIN DATA, Orders'!$Y:$Y,A40)/1000000000)</f>
        <v>0</v>
      </c>
    </row>
    <row r="41" spans="1:6" x14ac:dyDescent="0.35">
      <c r="A41" s="133">
        <v>202111</v>
      </c>
      <c r="B41" s="212">
        <v>44501</v>
      </c>
      <c r="C41" s="134" cm="1">
        <f t="array" ref="C41">SUM(SUMIFS('MAIN DATA, Orders'!$U:$U,'MAIN DATA, Orders'!$D:$D,"Poland",'MAIN DATA, Orders'!$I:$I,{"Aircraft","Development - Aircraft","Missile (Air)","Development - Missile (Air)"},'MAIN DATA, Orders'!$Y:$Y,A41)/1000000000)</f>
        <v>0</v>
      </c>
      <c r="D41" s="134" cm="1">
        <f t="array" ref="D41">SUM(SUMIFS('MAIN DATA, Orders'!$U:$U,'MAIN DATA, Orders'!$D:$D,"Poland",'MAIN DATA, Orders'!$I:$I,{"Naval","Development - Naval","Missile (Naval)","Development - Missile (Naval)"},'MAIN DATA, Orders'!$Y:$Y,A41)/1000000000)</f>
        <v>0</v>
      </c>
      <c r="E41" s="134" cm="1">
        <f t="array" ref="E41">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Orders'!$Y:$Y,A41)/1000000000)</f>
        <v>0</v>
      </c>
      <c r="F41" s="134" cm="1">
        <f t="array" ref="F41">SUM(SUMIFS('MAIN DATA, Orders'!$U:$U,'MAIN DATA, Orders'!$D:$D,"Poland",'MAIN DATA, Orders'!$I:$I,{"Maintenance","Development - Maintenance","Modernisation","Development - Modernisation","Other","Development - Other"},'MAIN DATA, Orders'!$Y:$Y,A41)/1000000000)</f>
        <v>0</v>
      </c>
    </row>
    <row r="42" spans="1:6" x14ac:dyDescent="0.35">
      <c r="A42" s="133">
        <v>202112</v>
      </c>
      <c r="B42" s="212">
        <v>44531</v>
      </c>
      <c r="C42" s="134" cm="1">
        <f t="array" ref="C42">SUM(SUMIFS('MAIN DATA, Orders'!$U:$U,'MAIN DATA, Orders'!$D:$D,"Poland",'MAIN DATA, Orders'!$I:$I,{"Aircraft","Development - Aircraft","Missile (Air)","Development - Missile (Air)"},'MAIN DATA, Orders'!$Y:$Y,A42)/1000000000)</f>
        <v>0</v>
      </c>
      <c r="D42" s="134" cm="1">
        <f t="array" ref="D42">SUM(SUMIFS('MAIN DATA, Orders'!$U:$U,'MAIN DATA, Orders'!$D:$D,"Poland",'MAIN DATA, Orders'!$I:$I,{"Naval","Development - Naval","Missile (Naval)","Development - Missile (Naval)"},'MAIN DATA, Orders'!$Y:$Y,A42)/1000000000)</f>
        <v>0</v>
      </c>
      <c r="E42" s="134" cm="1">
        <f t="array" ref="E42">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Orders'!$Y:$Y,A42)/1000000000)</f>
        <v>3.8114430912117761E-2</v>
      </c>
      <c r="F42" s="134" cm="1">
        <f t="array" ref="F42">SUM(SUMIFS('MAIN DATA, Orders'!$U:$U,'MAIN DATA, Orders'!$D:$D,"Poland",'MAIN DATA, Orders'!$I:$I,{"Maintenance","Development - Maintenance","Modernisation","Development - Modernisation","Other","Development - Other"},'MAIN DATA, Orders'!$Y:$Y,A42)/1000000000)</f>
        <v>0</v>
      </c>
    </row>
    <row r="43" spans="1:6" x14ac:dyDescent="0.35">
      <c r="A43" s="133">
        <v>202201</v>
      </c>
      <c r="B43" s="212">
        <v>44562</v>
      </c>
      <c r="C43" s="134" cm="1">
        <f t="array" ref="C43">SUM(SUMIFS('MAIN DATA, Orders'!$U:$U,'MAIN DATA, Orders'!$D:$D,"Poland",'MAIN DATA, Orders'!$I:$I,{"Aircraft","Development - Aircraft","Missile (Air)","Development - Missile (Air)"},'MAIN DATA, Orders'!$Y:$Y,A43)/1000000000)</f>
        <v>0</v>
      </c>
      <c r="D43" s="134" cm="1">
        <f t="array" ref="D43">SUM(SUMIFS('MAIN DATA, Orders'!$U:$U,'MAIN DATA, Orders'!$D:$D,"Poland",'MAIN DATA, Orders'!$I:$I,{"Naval","Development - Naval","Missile (Naval)","Development - Missile (Naval)"},'MAIN DATA, Orders'!$Y:$Y,A43)/1000000000)</f>
        <v>0</v>
      </c>
      <c r="E43" s="134" cm="1">
        <f t="array" ref="E43">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Orders'!$Y:$Y,A43)/1000000000)</f>
        <v>0</v>
      </c>
      <c r="F43" s="134" cm="1">
        <f t="array" ref="F43">SUM(SUMIFS('MAIN DATA, Orders'!$U:$U,'MAIN DATA, Orders'!$D:$D,"Poland",'MAIN DATA, Orders'!$I:$I,{"Maintenance","Development - Maintenance","Modernisation","Development - Modernisation","Other","Development - Other"},'MAIN DATA, Orders'!$Y:$Y,A43)/1000000000)</f>
        <v>0</v>
      </c>
    </row>
    <row r="44" spans="1:6" x14ac:dyDescent="0.35">
      <c r="A44" s="133">
        <v>202202</v>
      </c>
      <c r="B44" s="212">
        <v>44593</v>
      </c>
      <c r="C44" s="134" cm="1">
        <f t="array" ref="C44">SUM(SUMIFS('MAIN DATA, Orders'!$U:$U,'MAIN DATA, Orders'!$D:$D,"Poland",'MAIN DATA, Orders'!$I:$I,{"Aircraft","Development - Aircraft","Missile (Air)","Development - Missile (Air)"},'MAIN DATA, Orders'!$Y:$Y,A44)/1000000000)</f>
        <v>0</v>
      </c>
      <c r="D44" s="134" cm="1">
        <f t="array" ref="D44">SUM(SUMIFS('MAIN DATA, Orders'!$U:$U,'MAIN DATA, Orders'!$D:$D,"Poland",'MAIN DATA, Orders'!$I:$I,{"Naval","Development - Naval","Missile (Naval)","Development - Missile (Naval)"},'MAIN DATA, Orders'!$Y:$Y,A44)/1000000000)</f>
        <v>0</v>
      </c>
      <c r="E44" s="134" cm="1">
        <f t="array" ref="E44">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Orders'!$Y:$Y,A44)/1000000000)</f>
        <v>0</v>
      </c>
      <c r="F44" s="134" cm="1">
        <f t="array" ref="F44">SUM(SUMIFS('MAIN DATA, Orders'!$U:$U,'MAIN DATA, Orders'!$D:$D,"Poland",'MAIN DATA, Orders'!$I:$I,{"Maintenance","Development - Maintenance","Modernisation","Development - Modernisation","Other","Development - Other"},'MAIN DATA, Orders'!$Y:$Y,A44)/1000000000)</f>
        <v>0</v>
      </c>
    </row>
    <row r="45" spans="1:6" x14ac:dyDescent="0.35">
      <c r="A45" s="133">
        <v>202203</v>
      </c>
      <c r="B45" s="212">
        <v>44621</v>
      </c>
      <c r="C45" s="134" cm="1">
        <f t="array" ref="C45">SUM(SUMIFS('MAIN DATA, Orders'!$U:$U,'MAIN DATA, Orders'!$D:$D,"Poland",'MAIN DATA, Orders'!$I:$I,{"Aircraft","Development - Aircraft","Missile (Air)","Development - Missile (Air)"},'MAIN DATA, Orders'!$Y:$Y,A45)/1000000000)</f>
        <v>0</v>
      </c>
      <c r="D45" s="134" cm="1">
        <f t="array" ref="D45">SUM(SUMIFS('MAIN DATA, Orders'!$U:$U,'MAIN DATA, Orders'!$D:$D,"Poland",'MAIN DATA, Orders'!$I:$I,{"Naval","Development - Naval","Missile (Naval)","Development - Missile (Naval)"},'MAIN DATA, Orders'!$Y:$Y,A45)/1000000000)</f>
        <v>0</v>
      </c>
      <c r="E45" s="134" cm="1">
        <f t="array" ref="E45">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Orders'!$Y:$Y,A45)/1000000000)</f>
        <v>0</v>
      </c>
      <c r="F45" s="134" cm="1">
        <f t="array" ref="F45">SUM(SUMIFS('MAIN DATA, Orders'!$U:$U,'MAIN DATA, Orders'!$D:$D,"Poland",'MAIN DATA, Orders'!$I:$I,{"Maintenance","Development - Maintenance","Modernisation","Development - Modernisation","Other","Development - Other"},'MAIN DATA, Orders'!$Y:$Y,A45)/1000000000)</f>
        <v>0</v>
      </c>
    </row>
    <row r="46" spans="1:6" x14ac:dyDescent="0.35">
      <c r="A46" s="133">
        <v>202204</v>
      </c>
      <c r="B46" s="212">
        <v>44652</v>
      </c>
      <c r="C46" s="134" cm="1">
        <f t="array" ref="C46">SUM(SUMIFS('MAIN DATA, Orders'!$U:$U,'MAIN DATA, Orders'!$D:$D,"Poland",'MAIN DATA, Orders'!$I:$I,{"Aircraft","Development - Aircraft","Missile (Air)","Development - Missile (Air)"},'MAIN DATA, Orders'!$Y:$Y,A46)/1000000000)</f>
        <v>0</v>
      </c>
      <c r="D46" s="134" cm="1">
        <f t="array" ref="D46">SUM(SUMIFS('MAIN DATA, Orders'!$U:$U,'MAIN DATA, Orders'!$D:$D,"Poland",'MAIN DATA, Orders'!$I:$I,{"Naval","Development - Naval","Missile (Naval)","Development - Missile (Naval)"},'MAIN DATA, Orders'!$Y:$Y,A46)/1000000000)</f>
        <v>0</v>
      </c>
      <c r="E46" s="134" cm="1">
        <f t="array" ref="E46">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Orders'!$Y:$Y,A46)/1000000000)</f>
        <v>0</v>
      </c>
      <c r="F46" s="134" cm="1">
        <f t="array" ref="F46">SUM(SUMIFS('MAIN DATA, Orders'!$U:$U,'MAIN DATA, Orders'!$D:$D,"Poland",'MAIN DATA, Orders'!$I:$I,{"Maintenance","Development - Maintenance","Modernisation","Development - Modernisation","Other","Development - Other"},'MAIN DATA, Orders'!$Y:$Y,A46)/1000000000)</f>
        <v>0</v>
      </c>
    </row>
    <row r="47" spans="1:6" x14ac:dyDescent="0.35">
      <c r="A47" s="133">
        <v>202205</v>
      </c>
      <c r="B47" s="212">
        <v>44682</v>
      </c>
      <c r="C47" s="134" cm="1">
        <f t="array" ref="C47">SUM(SUMIFS('MAIN DATA, Orders'!$U:$U,'MAIN DATA, Orders'!$D:$D,"Poland",'MAIN DATA, Orders'!$I:$I,{"Aircraft","Development - Aircraft","Missile (Air)","Development - Missile (Air)"},'MAIN DATA, Orders'!$Y:$Y,A47)/1000000000)</f>
        <v>0</v>
      </c>
      <c r="D47" s="134" cm="1">
        <f t="array" ref="D47">SUM(SUMIFS('MAIN DATA, Orders'!$U:$U,'MAIN DATA, Orders'!$D:$D,"Poland",'MAIN DATA, Orders'!$I:$I,{"Naval","Development - Naval","Missile (Naval)","Development - Missile (Naval)"},'MAIN DATA, Orders'!$Y:$Y,A47)/1000000000)</f>
        <v>0</v>
      </c>
      <c r="E47" s="134" cm="1">
        <f t="array" ref="E47">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Orders'!$Y:$Y,A47)/1000000000)</f>
        <v>0</v>
      </c>
      <c r="F47" s="134" cm="1">
        <f t="array" ref="F47">SUM(SUMIFS('MAIN DATA, Orders'!$U:$U,'MAIN DATA, Orders'!$D:$D,"Poland",'MAIN DATA, Orders'!$I:$I,{"Maintenance","Development - Maintenance","Modernisation","Development - Modernisation","Other","Development - Other"},'MAIN DATA, Orders'!$Y:$Y,A47)/1000000000)</f>
        <v>0</v>
      </c>
    </row>
    <row r="48" spans="1:6" x14ac:dyDescent="0.35">
      <c r="A48" s="133">
        <v>202206</v>
      </c>
      <c r="B48" s="212">
        <v>44713</v>
      </c>
      <c r="C48" s="134" cm="1">
        <f t="array" ref="C48">SUM(SUMIFS('MAIN DATA, Orders'!$U:$U,'MAIN DATA, Orders'!$D:$D,"Poland",'MAIN DATA, Orders'!$I:$I,{"Aircraft","Development - Aircraft","Missile (Air)","Development - Missile (Air)"},'MAIN DATA, Orders'!$Y:$Y,A48)/1000000000)</f>
        <v>0</v>
      </c>
      <c r="D48" s="134" cm="1">
        <f t="array" ref="D48">SUM(SUMIFS('MAIN DATA, Orders'!$U:$U,'MAIN DATA, Orders'!$D:$D,"Poland",'MAIN DATA, Orders'!$I:$I,{"Naval","Development - Naval","Missile (Naval)","Development - Missile (Naval)"},'MAIN DATA, Orders'!$Y:$Y,A48)/1000000000)</f>
        <v>0.53349266981071686</v>
      </c>
      <c r="E48" s="134" cm="1">
        <f t="array" ref="E48">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Orders'!$Y:$Y,A48)/1000000000)</f>
        <v>0.74688973773500356</v>
      </c>
      <c r="F48" s="134" cm="1">
        <f t="array" ref="F48">SUM(SUMIFS('MAIN DATA, Orders'!$U:$U,'MAIN DATA, Orders'!$D:$D,"Poland",'MAIN DATA, Orders'!$I:$I,{"Maintenance","Development - Maintenance","Modernisation","Development - Modernisation","Other","Development - Other"},'MAIN DATA, Orders'!$Y:$Y,A48)/1000000000)</f>
        <v>0</v>
      </c>
    </row>
    <row r="49" spans="1:6" x14ac:dyDescent="0.35">
      <c r="A49" s="133">
        <v>202207</v>
      </c>
      <c r="B49" s="212">
        <v>44743</v>
      </c>
      <c r="C49" s="134" cm="1">
        <f t="array" ref="C49">SUM(SUMIFS('MAIN DATA, Orders'!$U:$U,'MAIN DATA, Orders'!$D:$D,"Poland",'MAIN DATA, Orders'!$I:$I,{"Aircraft","Development - Aircraft","Missile (Air)","Development - Missile (Air)"},'MAIN DATA, Orders'!$Y:$Y,A49)/1000000000)</f>
        <v>0</v>
      </c>
      <c r="D49" s="134" cm="1">
        <f t="array" ref="D49">SUM(SUMIFS('MAIN DATA, Orders'!$U:$U,'MAIN DATA, Orders'!$D:$D,"Poland",'MAIN DATA, Orders'!$I:$I,{"Naval","Development - Naval","Missile (Naval)","Development - Missile (Naval)"},'MAIN DATA, Orders'!$Y:$Y,A49)/1000000000)</f>
        <v>0</v>
      </c>
      <c r="E49" s="134" cm="1">
        <f t="array" ref="E49">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Orders'!$Y:$Y,A49)/1000000000)</f>
        <v>4.4025031050489325</v>
      </c>
      <c r="F49" s="134" cm="1">
        <f t="array" ref="F49">SUM(SUMIFS('MAIN DATA, Orders'!$U:$U,'MAIN DATA, Orders'!$D:$D,"Poland",'MAIN DATA, Orders'!$I:$I,{"Maintenance","Development - Maintenance","Modernisation","Development - Modernisation","Other","Development - Other"},'MAIN DATA, Orders'!$Y:$Y,A49)/1000000000)</f>
        <v>0</v>
      </c>
    </row>
    <row r="50" spans="1:6" x14ac:dyDescent="0.35">
      <c r="A50" s="133">
        <v>202208</v>
      </c>
      <c r="B50" s="212">
        <v>44774</v>
      </c>
      <c r="C50" s="134" cm="1">
        <f t="array" ref="C50">SUM(SUMIFS('MAIN DATA, Orders'!$U:$U,'MAIN DATA, Orders'!$D:$D,"Poland",'MAIN DATA, Orders'!$I:$I,{"Aircraft","Development - Aircraft","Missile (Air)","Development - Missile (Air)"},'MAIN DATA, Orders'!$Y:$Y,A50)/1000000000)</f>
        <v>0</v>
      </c>
      <c r="D50" s="134" cm="1">
        <f t="array" ref="D50">SUM(SUMIFS('MAIN DATA, Orders'!$U:$U,'MAIN DATA, Orders'!$D:$D,"Poland",'MAIN DATA, Orders'!$I:$I,{"Naval","Development - Naval","Missile (Naval)","Development - Missile (Naval)"},'MAIN DATA, Orders'!$Y:$Y,A50)/1000000000)</f>
        <v>0</v>
      </c>
      <c r="E50" s="134" cm="1">
        <f t="array" ref="E50">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Orders'!$Y:$Y,A50)/1000000000)</f>
        <v>0</v>
      </c>
      <c r="F50" s="134" cm="1">
        <f t="array" ref="F50">SUM(SUMIFS('MAIN DATA, Orders'!$U:$U,'MAIN DATA, Orders'!$D:$D,"Poland",'MAIN DATA, Orders'!$I:$I,{"Maintenance","Development - Maintenance","Modernisation","Development - Modernisation","Other","Development - Other"},'MAIN DATA, Orders'!$Y:$Y,A50)/1000000000)</f>
        <v>0</v>
      </c>
    </row>
    <row r="51" spans="1:6" x14ac:dyDescent="0.35">
      <c r="A51" s="133">
        <v>202209</v>
      </c>
      <c r="B51" s="212">
        <v>44805</v>
      </c>
      <c r="C51" s="134" cm="1">
        <f t="array" ref="C51">SUM(SUMIFS('MAIN DATA, Orders'!$U:$U,'MAIN DATA, Orders'!$D:$D,"Poland",'MAIN DATA, Orders'!$I:$I,{"Aircraft","Development - Aircraft","Missile (Air)","Development - Missile (Air)"},'MAIN DATA, Orders'!$Y:$Y,A51)/1000000000)</f>
        <v>2.8537511870845207</v>
      </c>
      <c r="D51" s="134" cm="1">
        <f t="array" ref="D51">SUM(SUMIFS('MAIN DATA, Orders'!$U:$U,'MAIN DATA, Orders'!$D:$D,"Poland",'MAIN DATA, Orders'!$I:$I,{"Naval","Development - Naval","Missile (Naval)","Development - Missile (Naval)"},'MAIN DATA, Orders'!$Y:$Y,A51)/1000000000)</f>
        <v>0</v>
      </c>
      <c r="E51" s="134" cm="1">
        <f t="array" ref="E51">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Orders'!$Y:$Y,A51)/1000000000)</f>
        <v>0.81090885811228952</v>
      </c>
      <c r="F51" s="134" cm="1">
        <f t="array" ref="F51">SUM(SUMIFS('MAIN DATA, Orders'!$U:$U,'MAIN DATA, Orders'!$D:$D,"Poland",'MAIN DATA, Orders'!$I:$I,{"Maintenance","Development - Maintenance","Modernisation","Development - Modernisation","Other","Development - Other"},'MAIN DATA, Orders'!$Y:$Y,A51)/1000000000)</f>
        <v>0.64019120377286021</v>
      </c>
    </row>
    <row r="52" spans="1:6" x14ac:dyDescent="0.35">
      <c r="A52" s="133">
        <v>202210</v>
      </c>
      <c r="B52" s="212">
        <v>44835</v>
      </c>
      <c r="C52" s="134" cm="1">
        <f t="array" ref="C52">SUM(SUMIFS('MAIN DATA, Orders'!$U:$U,'MAIN DATA, Orders'!$D:$D,"Poland",'MAIN DATA, Orders'!$I:$I,{"Aircraft","Development - Aircraft","Missile (Air)","Development - Missile (Air)"},'MAIN DATA, Orders'!$Y:$Y,A52)/1000000000)</f>
        <v>0</v>
      </c>
      <c r="D52" s="134" cm="1">
        <f t="array" ref="D52">SUM(SUMIFS('MAIN DATA, Orders'!$U:$U,'MAIN DATA, Orders'!$D:$D,"Poland",'MAIN DATA, Orders'!$I:$I,{"Naval","Development - Naval","Missile (Naval)","Development - Missile (Naval)"},'MAIN DATA, Orders'!$Y:$Y,A52)/1000000000)</f>
        <v>0</v>
      </c>
      <c r="E52" s="134" cm="1">
        <f t="array" ref="E52">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Orders'!$Y:$Y,A52)/1000000000)</f>
        <v>6.600189933523267</v>
      </c>
      <c r="F52" s="134" cm="1">
        <f t="array" ref="F52">SUM(SUMIFS('MAIN DATA, Orders'!$U:$U,'MAIN DATA, Orders'!$D:$D,"Poland",'MAIN DATA, Orders'!$I:$I,{"Maintenance","Development - Maintenance","Modernisation","Development - Modernisation","Other","Development - Other"},'MAIN DATA, Orders'!$Y:$Y,A52)/1000000000)</f>
        <v>0</v>
      </c>
    </row>
    <row r="53" spans="1:6" x14ac:dyDescent="0.35">
      <c r="A53" s="133">
        <v>202211</v>
      </c>
      <c r="B53" s="212">
        <v>44866</v>
      </c>
      <c r="C53" s="134" cm="1">
        <f t="array" ref="C53">SUM(SUMIFS('MAIN DATA, Orders'!$U:$U,'MAIN DATA, Orders'!$D:$D,"Poland",'MAIN DATA, Orders'!$I:$I,{"Aircraft","Development - Aircraft","Missile (Air)","Development - Missile (Air)"},'MAIN DATA, Orders'!$Y:$Y,A53)/1000000000)</f>
        <v>0</v>
      </c>
      <c r="D53" s="134" cm="1">
        <f t="array" ref="D53">SUM(SUMIFS('MAIN DATA, Orders'!$U:$U,'MAIN DATA, Orders'!$D:$D,"Poland",'MAIN DATA, Orders'!$I:$I,{"Naval","Development - Naval","Missile (Naval)","Development - Missile (Naval)"},'MAIN DATA, Orders'!$Y:$Y,A53)/1000000000)</f>
        <v>0</v>
      </c>
      <c r="E53" s="134" cm="1">
        <f t="array" ref="E53">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Orders'!$Y:$Y,A53)/1000000000)</f>
        <v>0</v>
      </c>
      <c r="F53" s="134" cm="1">
        <f t="array" ref="F53">SUM(SUMIFS('MAIN DATA, Orders'!$U:$U,'MAIN DATA, Orders'!$D:$D,"Poland",'MAIN DATA, Orders'!$I:$I,{"Maintenance","Development - Maintenance","Modernisation","Development - Modernisation","Other","Development - Other"},'MAIN DATA, Orders'!$Y:$Y,A53)/1000000000)</f>
        <v>0</v>
      </c>
    </row>
    <row r="54" spans="1:6" x14ac:dyDescent="0.35">
      <c r="A54" s="133">
        <v>202212</v>
      </c>
      <c r="B54" s="212">
        <v>44896</v>
      </c>
      <c r="C54" s="134" cm="1">
        <f t="array" ref="C54">SUM(SUMIFS('MAIN DATA, Orders'!$U:$U,'MAIN DATA, Orders'!$D:$D,"Poland",'MAIN DATA, Orders'!$I:$I,{"Aircraft","Development - Aircraft","Missile (Air)","Development - Missile (Air)"},'MAIN DATA, Orders'!$Y:$Y,A54)/1000000000)</f>
        <v>0</v>
      </c>
      <c r="D54" s="134" cm="1">
        <f t="array" ref="D54">SUM(SUMIFS('MAIN DATA, Orders'!$U:$U,'MAIN DATA, Orders'!$D:$D,"Poland",'MAIN DATA, Orders'!$I:$I,{"Naval","Development - Naval","Missile (Naval)","Development - Missile (Naval)"},'MAIN DATA, Orders'!$Y:$Y,A54)/1000000000)</f>
        <v>0</v>
      </c>
      <c r="E54" s="134" cm="1">
        <f t="array" ref="E54">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Orders'!$Y:$Y,A54)/1000000000)</f>
        <v>0</v>
      </c>
      <c r="F54" s="134" cm="1">
        <f t="array" ref="F54">SUM(SUMIFS('MAIN DATA, Orders'!$U:$U,'MAIN DATA, Orders'!$D:$D,"Poland",'MAIN DATA, Orders'!$I:$I,{"Maintenance","Development - Maintenance","Modernisation","Development - Modernisation","Other","Development - Other"},'MAIN DATA, Orders'!$Y:$Y,A54)/1000000000)</f>
        <v>0</v>
      </c>
    </row>
    <row r="55" spans="1:6" x14ac:dyDescent="0.35">
      <c r="A55" s="133">
        <v>202301</v>
      </c>
      <c r="B55" s="212">
        <v>44927</v>
      </c>
      <c r="C55" s="134" cm="1">
        <f t="array" ref="C55">SUM(SUMIFS('MAIN DATA, Orders'!$U:$U,'MAIN DATA, Orders'!$D:$D,"Poland",'MAIN DATA, Orders'!$I:$I,{"Aircraft","Development - Aircraft","Missile (Air)","Development - Missile (Air)"},'MAIN DATA, Orders'!$Y:$Y,A55)/1000000000)</f>
        <v>0</v>
      </c>
      <c r="D55" s="134" cm="1">
        <f t="array" ref="D55">SUM(SUMIFS('MAIN DATA, Orders'!$U:$U,'MAIN DATA, Orders'!$D:$D,"Poland",'MAIN DATA, Orders'!$I:$I,{"Naval","Development - Naval","Missile (Naval)","Development - Missile (Naval)"},'MAIN DATA, Orders'!$Y:$Y,A55)/1000000000)</f>
        <v>0</v>
      </c>
      <c r="E55" s="134" cm="1">
        <f t="array" ref="E55">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Orders'!$Y:$Y,A55)/1000000000)</f>
        <v>1.2947378155923426</v>
      </c>
      <c r="F55" s="134" cm="1">
        <f t="array" ref="F55">SUM(SUMIFS('MAIN DATA, Orders'!$U:$U,'MAIN DATA, Orders'!$D:$D,"Poland",'MAIN DATA, Orders'!$I:$I,{"Maintenance","Development - Maintenance","Modernisation","Development - Modernisation","Other","Development - Other"},'MAIN DATA, Orders'!$Y:$Y,A55)/1000000000)</f>
        <v>0</v>
      </c>
    </row>
    <row r="56" spans="1:6" x14ac:dyDescent="0.35">
      <c r="A56" s="133">
        <v>202302</v>
      </c>
      <c r="B56" s="212">
        <v>44958</v>
      </c>
      <c r="C56" s="134" cm="1">
        <f t="array" ref="C56">SUM(SUMIFS('MAIN DATA, Orders'!$U:$U,'MAIN DATA, Orders'!$D:$D,"Poland",'MAIN DATA, Orders'!$I:$I,{"Aircraft","Development - Aircraft","Missile (Air)","Development - Missile (Air)"},'MAIN DATA, Orders'!$Y:$Y,A56)/1000000000)</f>
        <v>0</v>
      </c>
      <c r="D56" s="134" cm="1">
        <f t="array" ref="D56">SUM(SUMIFS('MAIN DATA, Orders'!$U:$U,'MAIN DATA, Orders'!$D:$D,"Poland",'MAIN DATA, Orders'!$I:$I,{"Naval","Development - Naval","Missile (Naval)","Development - Missile (Naval)"},'MAIN DATA, Orders'!$Y:$Y,A56)/1000000000)</f>
        <v>0</v>
      </c>
      <c r="E56" s="134" cm="1">
        <f t="array" ref="E56">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Orders'!$Y:$Y,A56)/1000000000)</f>
        <v>0.46477322765301632</v>
      </c>
      <c r="F56" s="134" cm="1">
        <f t="array" ref="F56">SUM(SUMIFS('MAIN DATA, Orders'!$U:$U,'MAIN DATA, Orders'!$D:$D,"Poland",'MAIN DATA, Orders'!$I:$I,{"Maintenance","Development - Maintenance","Modernisation","Development - Modernisation","Other","Development - Other"},'MAIN DATA, Orders'!$Y:$Y,A56)/1000000000)</f>
        <v>0</v>
      </c>
    </row>
    <row r="57" spans="1:6" x14ac:dyDescent="0.35">
      <c r="A57" s="133">
        <v>202303</v>
      </c>
      <c r="B57" s="212">
        <v>44986</v>
      </c>
      <c r="C57" s="134" cm="1">
        <f t="array" ref="C57">SUM(SUMIFS('MAIN DATA, Orders'!$U:$U,'MAIN DATA, Orders'!$D:$D,"Poland",'MAIN DATA, Orders'!$I:$I,{"Aircraft","Development - Aircraft","Missile (Air)","Development - Missile (Air)"},'MAIN DATA, Orders'!$Y:$Y,A57)/1000000000)</f>
        <v>0</v>
      </c>
      <c r="D57" s="134" cm="1">
        <f t="array" ref="D57">SUM(SUMIFS('MAIN DATA, Orders'!$U:$U,'MAIN DATA, Orders'!$D:$D,"Poland",'MAIN DATA, Orders'!$I:$I,{"Naval","Development - Naval","Missile (Naval)","Development - Missile (Naval)"},'MAIN DATA, Orders'!$Y:$Y,A57)/1000000000)</f>
        <v>0</v>
      </c>
      <c r="E57" s="134" cm="1">
        <f t="array" ref="E57">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Orders'!$Y:$Y,A57)/1000000000)</f>
        <v>0.242184059885513</v>
      </c>
      <c r="F57" s="134" cm="1">
        <f t="array" ref="F57">SUM(SUMIFS('MAIN DATA, Orders'!$U:$U,'MAIN DATA, Orders'!$D:$D,"Poland",'MAIN DATA, Orders'!$I:$I,{"Maintenance","Development - Maintenance","Modernisation","Development - Modernisation","Other","Development - Other"},'MAIN DATA, Orders'!$Y:$Y,A57)/1000000000)</f>
        <v>0</v>
      </c>
    </row>
    <row r="58" spans="1:6" x14ac:dyDescent="0.35">
      <c r="A58" s="133">
        <v>202304</v>
      </c>
      <c r="B58" s="212">
        <v>45017</v>
      </c>
      <c r="C58" s="134" cm="1">
        <f t="array" ref="C58">SUM(SUMIFS('MAIN DATA, Orders'!$U:$U,'MAIN DATA, Orders'!$D:$D,"Poland",'MAIN DATA, Orders'!$I:$I,{"Aircraft","Development - Aircraft","Missile (Air)","Development - Missile (Air)"},'MAIN DATA, Orders'!$Y:$Y,A58)/1000000000)</f>
        <v>0</v>
      </c>
      <c r="D58" s="134" cm="1">
        <f t="array" ref="D58">SUM(SUMIFS('MAIN DATA, Orders'!$U:$U,'MAIN DATA, Orders'!$D:$D,"Poland",'MAIN DATA, Orders'!$I:$I,{"Naval","Development - Naval","Missile (Naval)","Development - Missile (Naval)"},'MAIN DATA, Orders'!$Y:$Y,A58)/1000000000)</f>
        <v>0</v>
      </c>
      <c r="E58" s="134" cm="1">
        <f t="array" ref="E58">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Orders'!$Y:$Y,A58)/1000000000)</f>
        <v>0</v>
      </c>
      <c r="F58" s="134" cm="1">
        <f t="array" ref="F58">SUM(SUMIFS('MAIN DATA, Orders'!$U:$U,'MAIN DATA, Orders'!$D:$D,"Poland",'MAIN DATA, Orders'!$I:$I,{"Maintenance","Development - Maintenance","Modernisation","Development - Modernisation","Other","Development - Other"},'MAIN DATA, Orders'!$Y:$Y,A58)/1000000000)</f>
        <v>0</v>
      </c>
    </row>
    <row r="59" spans="1:6" x14ac:dyDescent="0.35">
      <c r="A59" s="133">
        <v>202305</v>
      </c>
      <c r="B59" s="212">
        <v>45047</v>
      </c>
      <c r="C59" s="134" cm="1">
        <f t="array" ref="C59">SUM(SUMIFS('MAIN DATA, Orders'!$U:$U,'MAIN DATA, Orders'!$D:$D,"Poland",'MAIN DATA, Orders'!$I:$I,{"Aircraft","Development - Aircraft","Missile (Air)","Development - Missile (Air)"},'MAIN DATA, Orders'!$Y:$Y,A59)/1000000000)</f>
        <v>0</v>
      </c>
      <c r="D59" s="134" cm="1">
        <f t="array" ref="D59">SUM(SUMIFS('MAIN DATA, Orders'!$U:$U,'MAIN DATA, Orders'!$D:$D,"Poland",'MAIN DATA, Orders'!$I:$I,{"Naval","Development - Naval","Missile (Naval)","Development - Missile (Naval)"},'MAIN DATA, Orders'!$Y:$Y,A59)/1000000000)</f>
        <v>0</v>
      </c>
      <c r="E59" s="134" cm="1">
        <f t="array" ref="E59">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Orders'!$Y:$Y,A59)/1000000000)</f>
        <v>0</v>
      </c>
      <c r="F59" s="134" cm="1">
        <f t="array" ref="F59">SUM(SUMIFS('MAIN DATA, Orders'!$U:$U,'MAIN DATA, Orders'!$D:$D,"Poland",'MAIN DATA, Orders'!$I:$I,{"Maintenance","Development - Maintenance","Modernisation","Development - Modernisation","Other","Development - Other"},'MAIN DATA, Orders'!$Y:$Y,A59)/1000000000)</f>
        <v>0</v>
      </c>
    </row>
    <row r="60" spans="1:6" x14ac:dyDescent="0.35">
      <c r="A60" s="133">
        <v>202306</v>
      </c>
      <c r="B60" s="212">
        <v>45078</v>
      </c>
      <c r="C60" s="134" cm="1">
        <f t="array" ref="C60">SUM(SUMIFS('MAIN DATA, Orders'!$U:$U,'MAIN DATA, Orders'!$D:$D,"Poland",'MAIN DATA, Orders'!$I:$I,{"Aircraft","Development - Aircraft","Missile (Air)","Development - Missile (Air)"},'MAIN DATA, Orders'!$Y:$Y,A60)/1000000000)</f>
        <v>0</v>
      </c>
      <c r="D60" s="134" cm="1">
        <f t="array" ref="D60">SUM(SUMIFS('MAIN DATA, Orders'!$U:$U,'MAIN DATA, Orders'!$D:$D,"Poland",'MAIN DATA, Orders'!$I:$I,{"Naval","Development - Naval","Missile (Naval)","Development - Missile (Naval)"},'MAIN DATA, Orders'!$Y:$Y,A60)/1000000000)</f>
        <v>0</v>
      </c>
      <c r="E60" s="134" cm="1">
        <f t="array" ref="E60">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Orders'!$Y:$Y,A60)/1000000000)</f>
        <v>0.11228533685601057</v>
      </c>
      <c r="F60" s="134" cm="1">
        <f t="array" ref="F60">SUM(SUMIFS('MAIN DATA, Orders'!$U:$U,'MAIN DATA, Orders'!$D:$D,"Poland",'MAIN DATA, Orders'!$I:$I,{"Maintenance","Development - Maintenance","Modernisation","Development - Modernisation","Other","Development - Other"},'MAIN DATA, Orders'!$Y:$Y,A60)/1000000000)</f>
        <v>0</v>
      </c>
    </row>
    <row r="61" spans="1:6" x14ac:dyDescent="0.35">
      <c r="A61" s="133">
        <v>202307</v>
      </c>
      <c r="B61" s="212">
        <v>45108</v>
      </c>
      <c r="C61" s="134" cm="1">
        <f t="array" ref="C61">SUM(SUMIFS('MAIN DATA, Orders'!$U:$U,'MAIN DATA, Orders'!$D:$D,"Poland",'MAIN DATA, Orders'!$I:$I,{"Aircraft","Development - Aircraft","Missile (Air)","Development - Missile (Air)"},'MAIN DATA, Orders'!$Y:$Y,A61)/1000000000)</f>
        <v>5.3463423656709523E-2</v>
      </c>
      <c r="D61" s="134" cm="1">
        <f t="array" ref="D61">SUM(SUMIFS('MAIN DATA, Orders'!$U:$U,'MAIN DATA, Orders'!$D:$D,"Poland",'MAIN DATA, Orders'!$I:$I,{"Naval","Development - Naval","Missile (Naval)","Development - Missile (Naval)"},'MAIN DATA, Orders'!$Y:$Y,A61)/1000000000)</f>
        <v>0</v>
      </c>
      <c r="E61" s="134" cm="1">
        <f t="array" ref="E61">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Orders'!$Y:$Y,A61)/1000000000)</f>
        <v>0</v>
      </c>
      <c r="F61" s="134" cm="1">
        <f t="array" ref="F61">SUM(SUMIFS('MAIN DATA, Orders'!$U:$U,'MAIN DATA, Orders'!$D:$D,"Poland",'MAIN DATA, Orders'!$I:$I,{"Maintenance","Development - Maintenance","Modernisation","Development - Modernisation","Other","Development - Other"},'MAIN DATA, Orders'!$Y:$Y,A61)/1000000000)</f>
        <v>0</v>
      </c>
    </row>
    <row r="62" spans="1:6" x14ac:dyDescent="0.35">
      <c r="A62" s="133">
        <v>202308</v>
      </c>
      <c r="B62" s="212">
        <v>45139</v>
      </c>
      <c r="C62" s="134" cm="1">
        <f t="array" ref="C62">SUM(SUMIFS('MAIN DATA, Orders'!$U:$U,'MAIN DATA, Orders'!$D:$D,"Poland",'MAIN DATA, Orders'!$I:$I,{"Aircraft","Development - Aircraft","Missile (Air)","Development - Missile (Air)"},'MAIN DATA, Orders'!$Y:$Y,A62)/1000000000)</f>
        <v>0</v>
      </c>
      <c r="D62" s="134" cm="1">
        <f t="array" ref="D62">SUM(SUMIFS('MAIN DATA, Orders'!$U:$U,'MAIN DATA, Orders'!$D:$D,"Poland",'MAIN DATA, Orders'!$I:$I,{"Naval","Development - Naval","Missile (Naval)","Development - Missile (Naval)"},'MAIN DATA, Orders'!$Y:$Y,A62)/1000000000)</f>
        <v>0</v>
      </c>
      <c r="E62" s="134" cm="1">
        <f t="array" ref="E62">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Orders'!$Y:$Y,A62)/1000000000)</f>
        <v>0.48436811977102601</v>
      </c>
      <c r="F62" s="134" cm="1">
        <f t="array" ref="F62">SUM(SUMIFS('MAIN DATA, Orders'!$U:$U,'MAIN DATA, Orders'!$D:$D,"Poland",'MAIN DATA, Orders'!$I:$I,{"Maintenance","Development - Maintenance","Modernisation","Development - Modernisation","Other","Development - Other"},'MAIN DATA, Orders'!$Y:$Y,A62)/1000000000)</f>
        <v>0</v>
      </c>
    </row>
    <row r="63" spans="1:6" x14ac:dyDescent="0.35">
      <c r="A63" s="133">
        <v>202309</v>
      </c>
      <c r="B63" s="212">
        <v>45170</v>
      </c>
      <c r="C63" s="134" cm="1">
        <f t="array" ref="C63">SUM(SUMIFS('MAIN DATA, Orders'!$U:$U,'MAIN DATA, Orders'!$D:$D,"Poland",'MAIN DATA, Orders'!$I:$I,{"Aircraft","Development - Aircraft","Missile (Air)","Development - Missile (Air)"},'MAIN DATA, Orders'!$Y:$Y,A63)/1000000000)</f>
        <v>0</v>
      </c>
      <c r="D63" s="134" cm="1">
        <f t="array" ref="D63">SUM(SUMIFS('MAIN DATA, Orders'!$U:$U,'MAIN DATA, Orders'!$D:$D,"Poland",'MAIN DATA, Orders'!$I:$I,{"Naval","Development - Naval","Missile (Naval)","Development - Missile (Naval)"},'MAIN DATA, Orders'!$Y:$Y,A63)/1000000000)</f>
        <v>1.7613386173491854</v>
      </c>
      <c r="E63" s="134" cm="1">
        <f t="array" ref="E63">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Orders'!$Y:$Y,A63)/1000000000)</f>
        <v>6.6050198150594458E-2</v>
      </c>
      <c r="F63" s="134" cm="1">
        <f t="array" ref="F63">SUM(SUMIFS('MAIN DATA, Orders'!$U:$U,'MAIN DATA, Orders'!$D:$D,"Poland",'MAIN DATA, Orders'!$I:$I,{"Maintenance","Development - Maintenance","Modernisation","Development - Modernisation","Other","Development - Other"},'MAIN DATA, Orders'!$Y:$Y,A63)/1000000000)</f>
        <v>0</v>
      </c>
    </row>
    <row r="64" spans="1:6" x14ac:dyDescent="0.35">
      <c r="A64" s="133">
        <v>202310</v>
      </c>
      <c r="B64" s="212">
        <v>45200</v>
      </c>
      <c r="C64" s="134" cm="1">
        <f t="array" ref="C64">SUM(SUMIFS('MAIN DATA, Orders'!$U:$U,'MAIN DATA, Orders'!$D:$D,"Poland",'MAIN DATA, Orders'!$I:$I,{"Aircraft","Development - Aircraft","Missile (Air)","Development - Missile (Air)"},'MAIN DATA, Orders'!$Y:$Y,A64)/1000000000)</f>
        <v>0</v>
      </c>
      <c r="D64" s="134" cm="1">
        <f t="array" ref="D64">SUM(SUMIFS('MAIN DATA, Orders'!$U:$U,'MAIN DATA, Orders'!$D:$D,"Poland",'MAIN DATA, Orders'!$I:$I,{"Naval","Development - Naval","Missile (Naval)","Development - Missile (Naval)"},'MAIN DATA, Orders'!$Y:$Y,A64)/1000000000)</f>
        <v>0</v>
      </c>
      <c r="E64" s="134" cm="1">
        <f t="array" ref="E64">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Orders'!$Y:$Y,A64)/1000000000)</f>
        <v>0</v>
      </c>
      <c r="F64" s="134" cm="1">
        <f t="array" ref="F64">SUM(SUMIFS('MAIN DATA, Orders'!$U:$U,'MAIN DATA, Orders'!$D:$D,"Poland",'MAIN DATA, Orders'!$I:$I,{"Maintenance","Development - Maintenance","Modernisation","Development - Modernisation","Other","Development - Other"},'MAIN DATA, Orders'!$Y:$Y,A64)/1000000000)</f>
        <v>0</v>
      </c>
    </row>
    <row r="65" spans="1:6" x14ac:dyDescent="0.35">
      <c r="A65" s="133">
        <v>202311</v>
      </c>
      <c r="B65" s="212">
        <v>45231</v>
      </c>
      <c r="C65" s="134" cm="1">
        <f t="array" ref="C65">SUM(SUMIFS('MAIN DATA, Orders'!$U:$U,'MAIN DATA, Orders'!$D:$D,"Poland",'MAIN DATA, Orders'!$I:$I,{"Aircraft","Development - Aircraft","Missile (Air)","Development - Missile (Air)"},'MAIN DATA, Orders'!$Y:$Y,A65)/1000000000)</f>
        <v>0</v>
      </c>
      <c r="D65" s="134" cm="1">
        <f t="array" ref="D65">SUM(SUMIFS('MAIN DATA, Orders'!$U:$U,'MAIN DATA, Orders'!$D:$D,"Poland",'MAIN DATA, Orders'!$I:$I,{"Naval","Development - Naval","Missile (Naval)","Development - Missile (Naval)"},'MAIN DATA, Orders'!$Y:$Y,A65)/1000000000)</f>
        <v>0</v>
      </c>
      <c r="E65" s="134" cm="1">
        <f t="array" ref="E65">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Orders'!$Y:$Y,A65)/1000000000)</f>
        <v>0</v>
      </c>
      <c r="F65" s="134" cm="1">
        <f t="array" ref="F65">SUM(SUMIFS('MAIN DATA, Orders'!$U:$U,'MAIN DATA, Orders'!$D:$D,"Poland",'MAIN DATA, Orders'!$I:$I,{"Maintenance","Development - Maintenance","Modernisation","Development - Modernisation","Other","Development - Other"},'MAIN DATA, Orders'!$Y:$Y,A65)/1000000000)</f>
        <v>0</v>
      </c>
    </row>
    <row r="66" spans="1:6" x14ac:dyDescent="0.35">
      <c r="A66" s="133">
        <v>202312</v>
      </c>
      <c r="B66" s="212">
        <v>45261</v>
      </c>
      <c r="C66" s="134" cm="1">
        <f t="array" ref="C66">SUM(SUMIFS('MAIN DATA, Orders'!$U:$U,'MAIN DATA, Orders'!$D:$D,"Poland",'MAIN DATA, Orders'!$I:$I,{"Aircraft","Development - Aircraft","Missile (Air)","Development - Missile (Air)"},'MAIN DATA, Orders'!$Y:$Y,A66)/1000000000)</f>
        <v>0</v>
      </c>
      <c r="D66" s="134" cm="1">
        <f t="array" ref="D66">SUM(SUMIFS('MAIN DATA, Orders'!$U:$U,'MAIN DATA, Orders'!$D:$D,"Poland",'MAIN DATA, Orders'!$I:$I,{"Naval","Development - Naval","Missile (Naval)","Development - Missile (Naval)"},'MAIN DATA, Orders'!$Y:$Y,A66)/1000000000)</f>
        <v>0</v>
      </c>
      <c r="E66" s="134" cm="1">
        <f t="array" ref="E66">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Orders'!$Y:$Y,A66)/1000000000)</f>
        <v>2.2016732716864817</v>
      </c>
      <c r="F66" s="134" cm="1">
        <f t="array" ref="F66">SUM(SUMIFS('MAIN DATA, Orders'!$U:$U,'MAIN DATA, Orders'!$D:$D,"Poland",'MAIN DATA, Orders'!$I:$I,{"Maintenance","Development - Maintenance","Modernisation","Development - Modernisation","Other","Development - Other"},'MAIN DATA, Orders'!$Y:$Y,A66)/1000000000)</f>
        <v>0</v>
      </c>
    </row>
    <row r="67" spans="1:6" x14ac:dyDescent="0.35">
      <c r="A67" s="133">
        <v>202401</v>
      </c>
      <c r="B67" s="212">
        <v>45292</v>
      </c>
      <c r="C67" s="134" cm="1">
        <f t="array" ref="C67">SUM(SUMIFS('MAIN DATA, Orders'!$U:$U,'MAIN DATA, Orders'!$D:$D,"Poland",'MAIN DATA, Orders'!$I:$I,{"Aircraft","Development - Aircraft","Missile (Air)","Development - Missile (Air)"},'MAIN DATA, Orders'!$Y:$Y,A67)/1000000000)</f>
        <v>0</v>
      </c>
      <c r="D67" s="134" cm="1">
        <f t="array" ref="D67">SUM(SUMIFS('MAIN DATA, Orders'!$U:$U,'MAIN DATA, Orders'!$D:$D,"Poland",'MAIN DATA, Orders'!$I:$I,{"Naval","Development - Naval","Missile (Naval)","Development - Missile (Naval)"},'MAIN DATA, Orders'!$Y:$Y,A67)/1000000000)</f>
        <v>0</v>
      </c>
      <c r="E67" s="134" cm="1">
        <f t="array" ref="E67">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Orders'!$Y:$Y,A67)/1000000000)</f>
        <v>0</v>
      </c>
      <c r="F67" s="134" cm="1">
        <f t="array" ref="F67">SUM(SUMIFS('MAIN DATA, Orders'!$U:$U,'MAIN DATA, Orders'!$D:$D,"Poland",'MAIN DATA, Orders'!$I:$I,{"Maintenance","Development - Maintenance","Modernisation","Development - Modernisation","Other","Development - Other"},'MAIN DATA, Orders'!$Y:$Y,A67)/1000000000)</f>
        <v>0</v>
      </c>
    </row>
    <row r="68" spans="1:6" x14ac:dyDescent="0.35">
      <c r="A68" s="133">
        <v>202402</v>
      </c>
      <c r="B68" s="212">
        <v>45323</v>
      </c>
      <c r="C68" s="134" cm="1">
        <f t="array" ref="C68">SUM(SUMIFS('MAIN DATA, Orders'!$U:$U,'MAIN DATA, Orders'!$D:$D,"Poland",'MAIN DATA, Orders'!$I:$I,{"Aircraft","Development - Aircraft","Missile (Air)","Development - Missile (Air)"},'MAIN DATA, Orders'!$Y:$Y,A68)/1000000000)</f>
        <v>0</v>
      </c>
      <c r="D68" s="134" cm="1">
        <f t="array" ref="D68">SUM(SUMIFS('MAIN DATA, Orders'!$U:$U,'MAIN DATA, Orders'!$D:$D,"Poland",'MAIN DATA, Orders'!$I:$I,{"Naval","Development - Naval","Missile (Naval)","Development - Missile (Naval)"},'MAIN DATA, Orders'!$Y:$Y,A68)/1000000000)</f>
        <v>0</v>
      </c>
      <c r="E68" s="134" cm="1">
        <f t="array" ref="E68">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Orders'!$Y:$Y,A68)/1000000000)</f>
        <v>2.3373983739837398</v>
      </c>
      <c r="F68" s="134" cm="1">
        <f t="array" ref="F68">SUM(SUMIFS('MAIN DATA, Orders'!$U:$U,'MAIN DATA, Orders'!$D:$D,"Poland",'MAIN DATA, Orders'!$I:$I,{"Maintenance","Development - Maintenance","Modernisation","Development - Modernisation","Other","Development - Other"},'MAIN DATA, Orders'!$Y:$Y,A68)/1000000000)</f>
        <v>6.9673463700125407E-2</v>
      </c>
    </row>
    <row r="69" spans="1:6" x14ac:dyDescent="0.35">
      <c r="A69" s="133">
        <v>202403</v>
      </c>
      <c r="B69" s="212">
        <v>45352</v>
      </c>
      <c r="C69" s="134" cm="1">
        <f t="array" ref="C69">SUM(SUMIFS('MAIN DATA, Orders'!$U:$U,'MAIN DATA, Orders'!$D:$D,"Poland",'MAIN DATA, Orders'!$I:$I,{"Aircraft","Development - Aircraft","Missile (Air)","Development - Missile (Air)"},'MAIN DATA, Orders'!$Y:$Y,A69)/1000000000)</f>
        <v>0</v>
      </c>
      <c r="D69" s="134" cm="1">
        <f t="array" ref="D69">SUM(SUMIFS('MAIN DATA, Orders'!$U:$U,'MAIN DATA, Orders'!$D:$D,"Poland",'MAIN DATA, Orders'!$I:$I,{"Naval","Development - Naval","Missile (Naval)","Development - Missile (Naval)"},'MAIN DATA, Orders'!$Y:$Y,A69)/1000000000)</f>
        <v>0</v>
      </c>
      <c r="E69" s="134" cm="1">
        <f t="array" ref="E69">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Orders'!$Y:$Y,A69)/1000000000)</f>
        <v>1.5095917135027175</v>
      </c>
      <c r="F69" s="134" cm="1">
        <f t="array" ref="F69">SUM(SUMIFS('MAIN DATA, Orders'!$U:$U,'MAIN DATA, Orders'!$D:$D,"Poland",'MAIN DATA, Orders'!$I:$I,{"Maintenance","Development - Maintenance","Modernisation","Development - Modernisation","Other","Development - Other"},'MAIN DATA, Orders'!$Y:$Y,A69)/1000000000)</f>
        <v>0</v>
      </c>
    </row>
    <row r="70" spans="1:6" x14ac:dyDescent="0.35">
      <c r="A70" s="133">
        <v>202404</v>
      </c>
      <c r="B70" s="212">
        <v>45383</v>
      </c>
      <c r="C70" s="134" cm="1">
        <f t="array" ref="C70">SUM(SUMIFS('MAIN DATA, Orders'!$U:$U,'MAIN DATA, Orders'!$D:$D,"Poland",'MAIN DATA, Orders'!$I:$I,{"Aircraft","Development - Aircraft","Missile (Air)","Development - Missile (Air)"},'MAIN DATA, Orders'!$Y:$Y,A70)/1000000000)</f>
        <v>0</v>
      </c>
      <c r="D70" s="134" cm="1">
        <f t="array" ref="D70">SUM(SUMIFS('MAIN DATA, Orders'!$U:$U,'MAIN DATA, Orders'!$D:$D,"Poland",'MAIN DATA, Orders'!$I:$I,{"Naval","Development - Naval","Missile (Naval)","Development - Missile (Naval)"},'MAIN DATA, Orders'!$Y:$Y,A70)/1000000000)</f>
        <v>0</v>
      </c>
      <c r="E70" s="134" cm="1">
        <f t="array" ref="E70">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Orders'!$Y:$Y,A70)/1000000000)</f>
        <v>1.4915739051782435</v>
      </c>
      <c r="F70" s="134" cm="1">
        <f t="array" ref="F70">SUM(SUMIFS('MAIN DATA, Orders'!$U:$U,'MAIN DATA, Orders'!$D:$D,"Poland",'MAIN DATA, Orders'!$I:$I,{"Maintenance","Development - Maintenance","Modernisation","Development - Modernisation","Other","Development - Other"},'MAIN DATA, Orders'!$Y:$Y,A70)/1000000000)</f>
        <v>0</v>
      </c>
    </row>
    <row r="71" spans="1:6" x14ac:dyDescent="0.35">
      <c r="A71" s="133">
        <v>202405</v>
      </c>
      <c r="B71" s="212">
        <v>45413</v>
      </c>
      <c r="C71" s="134" cm="1">
        <f t="array" ref="C71">SUM(SUMIFS('MAIN DATA, Orders'!$U:$U,'MAIN DATA, Orders'!$D:$D,"Poland",'MAIN DATA, Orders'!$I:$I,{"Aircraft","Development - Aircraft","Missile (Air)","Development - Missile (Air)"},'MAIN DATA, Orders'!$Y:$Y,A71)/1000000000)</f>
        <v>0</v>
      </c>
      <c r="D71" s="134" cm="1">
        <f t="array" ref="D71">SUM(SUMIFS('MAIN DATA, Orders'!$U:$U,'MAIN DATA, Orders'!$D:$D,"Poland",'MAIN DATA, Orders'!$I:$I,{"Naval","Development - Naval","Missile (Naval)","Development - Missile (Naval)"},'MAIN DATA, Orders'!$Y:$Y,A71)/1000000000)</f>
        <v>0</v>
      </c>
      <c r="E71" s="134" cm="1">
        <f t="array" ref="E71">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Orders'!$Y:$Y,A71)/1000000000)</f>
        <v>1.5659645232815964</v>
      </c>
      <c r="F71" s="134" cm="1">
        <f t="array" ref="F71">SUM(SUMIFS('MAIN DATA, Orders'!$U:$U,'MAIN DATA, Orders'!$D:$D,"Poland",'MAIN DATA, Orders'!$I:$I,{"Maintenance","Development - Maintenance","Modernisation","Development - Modernisation","Other","Development - Other"},'MAIN DATA, Orders'!$Y:$Y,A71)/1000000000)</f>
        <v>0</v>
      </c>
    </row>
    <row r="72" spans="1:6" x14ac:dyDescent="0.35">
      <c r="A72" s="133">
        <v>202406</v>
      </c>
      <c r="B72" s="212">
        <v>45444</v>
      </c>
      <c r="C72" s="134" cm="1">
        <f t="array" ref="C72">SUM(SUMIFS('MAIN DATA, Orders'!$U:$U,'MAIN DATA, Orders'!$D:$D,"Poland",'MAIN DATA, Orders'!$I:$I,{"Aircraft","Development - Aircraft","Missile (Air)","Development - Missile (Air)"},'MAIN DATA, Orders'!$Y:$Y,A72)/1000000000)</f>
        <v>0</v>
      </c>
      <c r="D72" s="134" cm="1">
        <f t="array" ref="D72">SUM(SUMIFS('MAIN DATA, Orders'!$U:$U,'MAIN DATA, Orders'!$D:$D,"Poland",'MAIN DATA, Orders'!$I:$I,{"Naval","Development - Naval","Missile (Naval)","Development - Missile (Naval)"},'MAIN DATA, Orders'!$Y:$Y,A72)/1000000000)</f>
        <v>0</v>
      </c>
      <c r="E72" s="134" cm="1">
        <f t="array" ref="E72">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Orders'!$Y:$Y,A72)/1000000000)</f>
        <v>0</v>
      </c>
      <c r="F72" s="134" cm="1">
        <f t="array" ref="F72">SUM(SUMIFS('MAIN DATA, Orders'!$U:$U,'MAIN DATA, Orders'!$D:$D,"Poland",'MAIN DATA, Orders'!$I:$I,{"Maintenance","Development - Maintenance","Modernisation","Development - Modernisation","Other","Development - Other"},'MAIN DATA, Orders'!$Y:$Y,A72)/1000000000)</f>
        <v>0</v>
      </c>
    </row>
    <row r="73" spans="1:6" x14ac:dyDescent="0.35">
      <c r="A73" s="133">
        <v>202407</v>
      </c>
      <c r="B73" s="212">
        <v>45474</v>
      </c>
      <c r="C73" s="134" cm="1">
        <f t="array" ref="C73">SUM(SUMIFS('MAIN DATA, Orders'!$U:$U,'MAIN DATA, Orders'!$D:$D,"Poland",'MAIN DATA, Orders'!$I:$I,{"Aircraft","Development - Aircraft","Missile (Air)","Development - Missile (Air)"},'MAIN DATA, Orders'!$Y:$Y,A73)/1000000000)</f>
        <v>0</v>
      </c>
      <c r="D73" s="134" cm="1">
        <f t="array" ref="D73">SUM(SUMIFS('MAIN DATA, Orders'!$U:$U,'MAIN DATA, Orders'!$D:$D,"Poland",'MAIN DATA, Orders'!$I:$I,{"Naval","Development - Naval","Missile (Naval)","Development - Missile (Naval)"},'MAIN DATA, Orders'!$Y:$Y,A73)/1000000000)</f>
        <v>0</v>
      </c>
      <c r="E73" s="134" cm="1">
        <f t="array" ref="E73">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Orders'!$Y:$Y,A73)/1000000000)</f>
        <v>0.92897951600167228</v>
      </c>
      <c r="F73" s="134" cm="1">
        <f t="array" ref="F73">SUM(SUMIFS('MAIN DATA, Orders'!$U:$U,'MAIN DATA, Orders'!$D:$D,"Poland",'MAIN DATA, Orders'!$I:$I,{"Maintenance","Development - Maintenance","Modernisation","Development - Modernisation","Other","Development - Other"},'MAIN DATA, Orders'!$Y:$Y,A73)/1000000000)</f>
        <v>0</v>
      </c>
    </row>
    <row r="74" spans="1:6" x14ac:dyDescent="0.35">
      <c r="A74" s="133">
        <v>202408</v>
      </c>
      <c r="B74" s="212">
        <v>45505</v>
      </c>
      <c r="C74" s="134" cm="1">
        <f t="array" ref="C74">SUM(SUMIFS('MAIN DATA, Orders'!$U:$U,'MAIN DATA, Orders'!$D:$D,"Poland",'MAIN DATA, Orders'!$I:$I,{"Aircraft","Development - Aircraft","Missile (Air)","Development - Missile (Air)"},'MAIN DATA, Orders'!$Y:$Y,A74)/1000000000)</f>
        <v>0</v>
      </c>
      <c r="D74" s="134" cm="1">
        <f t="array" ref="D74">SUM(SUMIFS('MAIN DATA, Orders'!$U:$U,'MAIN DATA, Orders'!$D:$D,"Poland",'MAIN DATA, Orders'!$I:$I,{"Naval","Development - Naval","Missile (Naval)","Development - Missile (Naval)"},'MAIN DATA, Orders'!$Y:$Y,A74)/1000000000)</f>
        <v>0</v>
      </c>
      <c r="E74" s="134" cm="1">
        <f t="array" ref="E74">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Orders'!$Y:$Y,A74)/1000000000)</f>
        <v>10.608973537026339</v>
      </c>
      <c r="F74" s="134" cm="1">
        <f t="array" ref="F74">SUM(SUMIFS('MAIN DATA, Orders'!$U:$U,'MAIN DATA, Orders'!$D:$D,"Poland",'MAIN DATA, Orders'!$I:$I,{"Maintenance","Development - Maintenance","Modernisation","Development - Modernisation","Other","Development - Other"},'MAIN DATA, Orders'!$Y:$Y,A74)/1000000000)</f>
        <v>0.12308978587022157</v>
      </c>
    </row>
    <row r="75" spans="1:6" x14ac:dyDescent="0.35">
      <c r="A75" s="133">
        <v>202409</v>
      </c>
      <c r="B75" s="212">
        <v>45536</v>
      </c>
      <c r="C75" s="134" cm="1">
        <f t="array" ref="C75">SUM(SUMIFS('MAIN DATA, Orders'!$U:$U,'MAIN DATA, Orders'!$D:$D,"Poland",'MAIN DATA, Orders'!$I:$I,{"Aircraft","Development - Aircraft","Missile (Air)","Development - Missile (Air)"},'MAIN DATA, Orders'!$Y:$Y,A75)/1000000000)</f>
        <v>0</v>
      </c>
      <c r="D75" s="134" cm="1">
        <f t="array" ref="D75">SUM(SUMIFS('MAIN DATA, Orders'!$U:$U,'MAIN DATA, Orders'!$D:$D,"Poland",'MAIN DATA, Orders'!$I:$I,{"Naval","Development - Naval","Missile (Naval)","Development - Missile (Naval)"},'MAIN DATA, Orders'!$Y:$Y,A75)/1000000000)</f>
        <v>0</v>
      </c>
      <c r="E75" s="134" cm="1">
        <f t="array" ref="E75">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Orders'!$Y:$Y,A75)/1000000000)</f>
        <v>1.5490733429327885E-2</v>
      </c>
      <c r="F75" s="134" cm="1">
        <f t="array" ref="F75">SUM(SUMIFS('MAIN DATA, Orders'!$U:$U,'MAIN DATA, Orders'!$D:$D,"Poland",'MAIN DATA, Orders'!$I:$I,{"Maintenance","Development - Maintenance","Modernisation","Development - Modernisation","Other","Development - Other"},'MAIN DATA, Orders'!$Y:$Y,A75)/1000000000)</f>
        <v>0</v>
      </c>
    </row>
    <row r="76" spans="1:6" x14ac:dyDescent="0.35">
      <c r="A76" s="133">
        <v>202410</v>
      </c>
      <c r="B76" s="212">
        <v>45566</v>
      </c>
      <c r="C76" s="134" cm="1">
        <f t="array" ref="C76">SUM(SUMIFS('MAIN DATA, Orders'!$U:$U,'MAIN DATA, Orders'!$D:$D,"Poland",'MAIN DATA, Orders'!$I:$I,{"Aircraft","Development - Aircraft","Missile (Air)","Development - Missile (Air)"},'MAIN DATA, Orders'!$Y:$Y,A76)/1000000000)</f>
        <v>0</v>
      </c>
      <c r="D76" s="134" cm="1">
        <f t="array" ref="D76">SUM(SUMIFS('MAIN DATA, Orders'!$U:$U,'MAIN DATA, Orders'!$D:$D,"Poland",'MAIN DATA, Orders'!$I:$I,{"Naval","Development - Naval","Missile (Naval)","Development - Missile (Naval)"},'MAIN DATA, Orders'!$Y:$Y,A76)/1000000000)</f>
        <v>0</v>
      </c>
      <c r="E76" s="134" cm="1">
        <f t="array" ref="E76">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Orders'!$Y:$Y,A76)/1000000000)</f>
        <v>0</v>
      </c>
      <c r="F76" s="134" cm="1">
        <f t="array" ref="F76">SUM(SUMIFS('MAIN DATA, Orders'!$U:$U,'MAIN DATA, Orders'!$D:$D,"Poland",'MAIN DATA, Orders'!$I:$I,{"Maintenance","Development - Maintenance","Modernisation","Development - Modernisation","Other","Development - Other"},'MAIN DATA, Orders'!$Y:$Y,A76)/1000000000)</f>
        <v>0</v>
      </c>
    </row>
    <row r="77" spans="1:6" x14ac:dyDescent="0.35">
      <c r="A77" s="133">
        <v>202411</v>
      </c>
      <c r="B77" s="212">
        <v>45597</v>
      </c>
      <c r="C77" s="134" cm="1">
        <f t="array" ref="C77">SUM(SUMIFS('MAIN DATA, Orders'!$U:$U,'MAIN DATA, Orders'!$D:$D,"Poland",'MAIN DATA, Orders'!$I:$I,{"Aircraft","Development - Aircraft","Missile (Air)","Development - Missile (Air)"},'MAIN DATA, Orders'!$Y:$Y,A77)/1000000000)</f>
        <v>0.16167775314116775</v>
      </c>
      <c r="D77" s="134" cm="1">
        <f t="array" ref="D77">SUM(SUMIFS('MAIN DATA, Orders'!$U:$U,'MAIN DATA, Orders'!$D:$D,"Poland",'MAIN DATA, Orders'!$I:$I,{"Naval","Development - Naval","Missile (Naval)","Development - Missile (Naval)"},'MAIN DATA, Orders'!$Y:$Y,A77)/1000000000)</f>
        <v>0</v>
      </c>
      <c r="E77" s="134" cm="1">
        <f t="array" ref="E77">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Orders'!$Y:$Y,A77)/1000000000)</f>
        <v>0.32514283060058524</v>
      </c>
      <c r="F77" s="134" cm="1">
        <f t="array" ref="F77">SUM(SUMIFS('MAIN DATA, Orders'!$U:$U,'MAIN DATA, Orders'!$D:$D,"Poland",'MAIN DATA, Orders'!$I:$I,{"Maintenance","Development - Maintenance","Modernisation","Development - Modernisation","Other","Development - Other"},'MAIN DATA, Orders'!$Y:$Y,A77)/1000000000)</f>
        <v>0</v>
      </c>
    </row>
    <row r="78" spans="1:6" x14ac:dyDescent="0.35">
      <c r="A78" s="133">
        <v>202412</v>
      </c>
      <c r="B78" s="212">
        <v>45627</v>
      </c>
      <c r="C78" s="134" cm="1">
        <f t="array" ref="C78">SUM(SUMIFS('MAIN DATA, Orders'!$U:$U,'MAIN DATA, Orders'!$D:$D,"Poland",'MAIN DATA, Orders'!$I:$I,{"Aircraft","Development - Aircraft","Missile (Air)","Development - Missile (Air)"},'MAIN DATA, Orders'!$Y:$Y,A78)/1000000000)</f>
        <v>0.1027</v>
      </c>
      <c r="D78" s="134" cm="1">
        <f t="array" ref="D78">SUM(SUMIFS('MAIN DATA, Orders'!$U:$U,'MAIN DATA, Orders'!$D:$D,"Poland",'MAIN DATA, Orders'!$I:$I,{"Naval","Development - Naval","Missile (Naval)","Development - Missile (Naval)"},'MAIN DATA, Orders'!$Y:$Y,A78)/1000000000)</f>
        <v>0</v>
      </c>
      <c r="E78" s="134" cm="1">
        <f t="array" ref="E78">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Orders'!$Y:$Y,A78)/1000000000)</f>
        <v>5.573644851131033</v>
      </c>
      <c r="F78" s="134" cm="1">
        <f t="array" ref="F78">SUM(SUMIFS('MAIN DATA, Orders'!$U:$U,'MAIN DATA, Orders'!$D:$D,"Poland",'MAIN DATA, Orders'!$I:$I,{"Maintenance","Development - Maintenance","Modernisation","Development - Modernisation","Other","Development - Other"},'MAIN DATA, Orders'!$Y:$Y,A78)/1000000000)</f>
        <v>0.2903060987505226</v>
      </c>
    </row>
    <row r="79" spans="1:6" x14ac:dyDescent="0.35">
      <c r="A79" s="133">
        <v>202501</v>
      </c>
      <c r="B79" s="212">
        <v>45658</v>
      </c>
      <c r="C79" s="134" cm="1">
        <f t="array" ref="C79">SUM(SUMIFS('MAIN DATA, Orders'!$U:$U,'MAIN DATA, Orders'!$D:$D,"Poland",'MAIN DATA, Orders'!$I:$I,{"Aircraft","Development - Aircraft","Missile (Air)","Development - Missile (Air)"},'MAIN DATA, Orders'!$Y:$Y,A79)/1000000000)</f>
        <v>0</v>
      </c>
      <c r="D79" s="134" cm="1">
        <f t="array" ref="D79">SUM(SUMIFS('MAIN DATA, Orders'!$U:$U,'MAIN DATA, Orders'!$D:$D,"Poland",'MAIN DATA, Orders'!$I:$I,{"Naval","Development - Naval","Missile (Naval)","Development - Missile (Naval)"},'MAIN DATA, Orders'!$Y:$Y,A79)/1000000000)</f>
        <v>0</v>
      </c>
      <c r="E79" s="134" cm="1">
        <f t="array" ref="E79">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Orders'!$Y:$Y,A79)/1000000000)</f>
        <v>0.65929203539823023</v>
      </c>
      <c r="F79" s="134" cm="1">
        <f t="array" ref="F79">SUM(SUMIFS('MAIN DATA, Orders'!$U:$U,'MAIN DATA, Orders'!$D:$D,"Poland",'MAIN DATA, Orders'!$I:$I,{"Maintenance","Development - Maintenance","Modernisation","Development - Modernisation","Other","Development - Other"},'MAIN DATA, Orders'!$Y:$Y,A79)/1000000000)</f>
        <v>0</v>
      </c>
    </row>
    <row r="80" spans="1:6" x14ac:dyDescent="0.35">
      <c r="A80" s="133">
        <v>202502</v>
      </c>
      <c r="B80" s="212">
        <v>45689</v>
      </c>
      <c r="C80" s="134" cm="1">
        <f t="array" ref="C80">SUM(SUMIFS('MAIN DATA, Orders'!$U:$U,'MAIN DATA, Orders'!$D:$D,"Poland",'MAIN DATA, Orders'!$I:$I,{"Aircraft","Development - Aircraft","Missile (Air)","Development - Missile (Air)"},'MAIN DATA, Orders'!$Y:$Y,A80)/1000000000)</f>
        <v>0</v>
      </c>
      <c r="D80" s="134" cm="1">
        <f t="array" ref="D80">SUM(SUMIFS('MAIN DATA, Orders'!$U:$U,'MAIN DATA, Orders'!$D:$D,"Poland",'MAIN DATA, Orders'!$I:$I,{"Naval","Development - Naval","Missile (Naval)","Development - Missile (Naval)"},'MAIN DATA, Orders'!$Y:$Y,A80)/1000000000)</f>
        <v>0</v>
      </c>
      <c r="E80" s="134" cm="1">
        <f t="array" ref="E80">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Orders'!$Y:$Y,A80)/1000000000)</f>
        <v>0.26548672566371684</v>
      </c>
      <c r="F80" s="134" cm="1">
        <f t="array" ref="F80">SUM(SUMIFS('MAIN DATA, Orders'!$U:$U,'MAIN DATA, Orders'!$D:$D,"Poland",'MAIN DATA, Orders'!$I:$I,{"Maintenance","Development - Maintenance","Modernisation","Development - Modernisation","Other","Development - Other"},'MAIN DATA, Orders'!$Y:$Y,A80)/1000000000)</f>
        <v>0</v>
      </c>
    </row>
    <row r="81" spans="1:6" x14ac:dyDescent="0.35">
      <c r="A81" s="133">
        <v>202503</v>
      </c>
      <c r="B81" s="212">
        <v>45717</v>
      </c>
      <c r="C81" s="134" cm="1">
        <f t="array" ref="C81">SUM(SUMIFS('MAIN DATA, Orders'!$U:$U,'MAIN DATA, Orders'!$D:$D,"Poland",'MAIN DATA, Orders'!$I:$I,{"Aircraft","Development - Aircraft","Missile (Air)","Development - Missile (Air)"},'MAIN DATA, Orders'!$Y:$Y,A81)/1000000000)</f>
        <v>0</v>
      </c>
      <c r="D81" s="134" cm="1">
        <f t="array" ref="D81">SUM(SUMIFS('MAIN DATA, Orders'!$U:$U,'MAIN DATA, Orders'!$D:$D,"Poland",'MAIN DATA, Orders'!$I:$I,{"Naval","Development - Naval","Missile (Naval)","Development - Missile (Naval)"},'MAIN DATA, Orders'!$Y:$Y,A81)/1000000000)</f>
        <v>0</v>
      </c>
      <c r="E81" s="134" cm="1">
        <f t="array" ref="E81">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Orders'!$Y:$Y,A81)/1000000000)</f>
        <v>3.3313427377667604</v>
      </c>
      <c r="F81" s="134" cm="1">
        <f t="array" ref="F81">SUM(SUMIFS('MAIN DATA, Orders'!$U:$U,'MAIN DATA, Orders'!$D:$D,"Poland",'MAIN DATA, Orders'!$I:$I,{"Maintenance","Development - Maintenance","Modernisation","Development - Modernisation","Other","Development - Other"},'MAIN DATA, Orders'!$Y:$Y,A81)/1000000000)</f>
        <v>0</v>
      </c>
    </row>
    <row r="82" spans="1:6" x14ac:dyDescent="0.35">
      <c r="A82" s="133">
        <v>202504</v>
      </c>
      <c r="B82" s="212">
        <v>45748</v>
      </c>
      <c r="C82" s="134" cm="1">
        <f t="array" ref="C82">SUM(SUMIFS('MAIN DATA, Orders'!$U:$U,'MAIN DATA, Orders'!$D:$D,"Poland",'MAIN DATA, Orders'!$I:$I,{"Aircraft","Development - Aircraft","Missile (Air)","Development - Missile (Air)"},'MAIN DATA, Orders'!$Y:$Y,A82)/1000000000)</f>
        <v>0</v>
      </c>
      <c r="D82" s="134" cm="1">
        <f t="array" ref="D82">SUM(SUMIFS('MAIN DATA, Orders'!$U:$U,'MAIN DATA, Orders'!$D:$D,"Poland",'MAIN DATA, Orders'!$I:$I,{"Naval","Development - Naval","Missile (Naval)","Development - Missile (Naval)"},'MAIN DATA, Orders'!$Y:$Y,A82)/1000000000)</f>
        <v>0</v>
      </c>
      <c r="E82" s="134" cm="1">
        <f t="array" ref="E82">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Orders'!$Y:$Y,A82)/1000000000)</f>
        <v>0</v>
      </c>
      <c r="F82" s="134" cm="1">
        <f t="array" ref="F82">SUM(SUMIFS('MAIN DATA, Orders'!$U:$U,'MAIN DATA, Orders'!$D:$D,"Poland",'MAIN DATA, Orders'!$I:$I,{"Maintenance","Development - Maintenance","Modernisation","Development - Modernisation","Other","Development - Other"},'MAIN DATA, Orders'!$Y:$Y,A82)/1000000000)</f>
        <v>0</v>
      </c>
    </row>
    <row r="83" spans="1:6" x14ac:dyDescent="0.35">
      <c r="A83" s="133">
        <v>202505</v>
      </c>
      <c r="B83" s="212">
        <v>45778</v>
      </c>
      <c r="C83" s="134" cm="1">
        <f t="array" ref="C83">SUM(SUMIFS('MAIN DATA, Orders'!$U:$U,'MAIN DATA, Orders'!$D:$D,"Poland",'MAIN DATA, Orders'!$I:$I,{"Aircraft","Development - Aircraft","Missile (Air)","Development - Missile (Air)"},'MAIN DATA, Orders'!$Y:$Y,A83)/1000000000)</f>
        <v>0</v>
      </c>
      <c r="D83" s="134" cm="1">
        <f t="array" ref="D83">SUM(SUMIFS('MAIN DATA, Orders'!$U:$U,'MAIN DATA, Orders'!$D:$D,"Poland",'MAIN DATA, Orders'!$I:$I,{"Naval","Development - Naval","Missile (Naval)","Development - Missile (Naval)"},'MAIN DATA, Orders'!$Y:$Y,A83)/1000000000)</f>
        <v>0</v>
      </c>
      <c r="E83" s="134" cm="1">
        <f t="array" ref="E83">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Orders'!$Y:$Y,A83)/1000000000)</f>
        <v>0</v>
      </c>
      <c r="F83" s="134" cm="1">
        <f t="array" ref="F83">SUM(SUMIFS('MAIN DATA, Orders'!$U:$U,'MAIN DATA, Orders'!$D:$D,"Poland",'MAIN DATA, Orders'!$I:$I,{"Maintenance","Development - Maintenance","Modernisation","Development - Modernisation","Other","Development - Other"},'MAIN DATA, Orders'!$Y:$Y,A83)/1000000000)</f>
        <v>0.20284454088732692</v>
      </c>
    </row>
    <row r="84" spans="1:6" x14ac:dyDescent="0.35">
      <c r="A84" s="133">
        <v>202506</v>
      </c>
      <c r="B84" s="212">
        <v>45809</v>
      </c>
      <c r="C84" s="134" cm="1">
        <f t="array" ref="C84">SUM(SUMIFS('MAIN DATA, Orders'!$U:$U,'MAIN DATA, Orders'!$D:$D,"Poland",'MAIN DATA, Orders'!$I:$I,{"Aircraft","Development - Aircraft","Missile (Air)","Development - Missile (Air)"},'MAIN DATA, Orders'!$Y:$Y,A84)/1000000000)</f>
        <v>0</v>
      </c>
      <c r="D84" s="134" cm="1">
        <f t="array" ref="D84">SUM(SUMIFS('MAIN DATA, Orders'!$U:$U,'MAIN DATA, Orders'!$D:$D,"Poland",'MAIN DATA, Orders'!$I:$I,{"Naval","Development - Naval","Missile (Naval)","Development - Missile (Naval)"},'MAIN DATA, Orders'!$Y:$Y,A84)/1000000000)</f>
        <v>0</v>
      </c>
      <c r="E84" s="134" cm="1">
        <f t="array" ref="E84">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Orders'!$Y:$Y,A84)/1000000000)</f>
        <v>5.8966436304455506E-2</v>
      </c>
      <c r="F84" s="134" cm="1">
        <f t="array" ref="F84">SUM(SUMIFS('MAIN DATA, Orders'!$U:$U,'MAIN DATA, Orders'!$D:$D,"Poland",'MAIN DATA, Orders'!$I:$I,{"Maintenance","Development - Maintenance","Modernisation","Development - Modernisation","Other","Development - Other"},'MAIN DATA, Orders'!$Y:$Y,A84)/1000000000)</f>
        <v>0</v>
      </c>
    </row>
    <row r="85" spans="1:6" x14ac:dyDescent="0.35">
      <c r="A85" s="133">
        <v>202507</v>
      </c>
      <c r="B85" s="212">
        <v>45839</v>
      </c>
      <c r="C85" s="134" cm="1">
        <f t="array" ref="C85">SUM(SUMIFS('MAIN DATA, Orders'!$U:$U,'MAIN DATA, Orders'!$D:$D,"Poland",'MAIN DATA, Orders'!$I:$I,{"Aircraft","Development - Aircraft","Missile (Air)","Development - Missile (Air)"},'MAIN DATA, Orders'!$Y:$Y,A85)/1000000000)</f>
        <v>0</v>
      </c>
      <c r="D85" s="134" cm="1">
        <f t="array" ref="D85">SUM(SUMIFS('MAIN DATA, Orders'!$U:$U,'MAIN DATA, Orders'!$D:$D,"Poland",'MAIN DATA, Orders'!$I:$I,{"Naval","Development - Naval","Missile (Naval)","Development - Missile (Naval)"},'MAIN DATA, Orders'!$Y:$Y,A85)/1000000000)</f>
        <v>0</v>
      </c>
      <c r="E85" s="134" cm="1">
        <f t="array" ref="E85">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Orders'!$Y:$Y,A85)/1000000000)</f>
        <v>0.1017699115044248</v>
      </c>
      <c r="F85" s="134" cm="1">
        <f t="array" ref="F85">SUM(SUMIFS('MAIN DATA, Orders'!$U:$U,'MAIN DATA, Orders'!$D:$D,"Poland",'MAIN DATA, Orders'!$I:$I,{"Maintenance","Development - Maintenance","Modernisation","Development - Modernisation","Other","Development - Other"},'MAIN DATA, Orders'!$Y:$Y,A85)/1000000000)</f>
        <v>4.7173149043564407E-3</v>
      </c>
    </row>
    <row r="86" spans="1:6" x14ac:dyDescent="0.35">
      <c r="A86" s="133">
        <v>202508</v>
      </c>
      <c r="B86" s="212">
        <v>45870</v>
      </c>
      <c r="C86" s="134" cm="1">
        <f t="array" ref="C86">SUM(SUMIFS('MAIN DATA, Orders'!$U:$U,'MAIN DATA, Orders'!$D:$D,"Poland",'MAIN DATA, Orders'!$I:$I,{"Aircraft","Development - Aircraft","Missile (Air)","Development - Missile (Air)"},'MAIN DATA, Orders'!$Y:$Y,A86)/1000000000)</f>
        <v>3.36283185840708</v>
      </c>
      <c r="D86" s="134" cm="1">
        <f t="array" ref="D86">SUM(SUMIFS('MAIN DATA, Orders'!$U:$U,'MAIN DATA, Orders'!$D:$D,"Poland",'MAIN DATA, Orders'!$I:$I,{"Naval","Development - Naval","Missile (Naval)","Development - Missile (Naval)"},'MAIN DATA, Orders'!$Y:$Y,A86)/1000000000)</f>
        <v>0</v>
      </c>
      <c r="E86" s="134" cm="1">
        <f t="array" ref="E86">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Orders'!$Y:$Y,A86)/1000000000)</f>
        <v>5.7522123893805315</v>
      </c>
      <c r="F86" s="134" cm="1">
        <f t="array" ref="F86">SUM(SUMIFS('MAIN DATA, Orders'!$U:$U,'MAIN DATA, Orders'!$D:$D,"Poland",'MAIN DATA, Orders'!$I:$I,{"Maintenance","Development - Maintenance","Modernisation","Development - Modernisation","Other","Development - Other"},'MAIN DATA, Orders'!$Y:$Y,A86)/1000000000)</f>
        <v>0</v>
      </c>
    </row>
    <row r="87" spans="1:6" x14ac:dyDescent="0.35">
      <c r="A87" s="133">
        <v>202509</v>
      </c>
      <c r="B87" s="212">
        <v>45901</v>
      </c>
      <c r="C87" s="134" cm="1">
        <f t="array" ref="C87">SUM(SUMIFS('MAIN DATA, Orders'!$U:$U,'MAIN DATA, Orders'!$D:$D,"Poland",'MAIN DATA, Orders'!$I:$I,{"Aircraft","Development - Aircraft","Missile (Air)","Development - Missile (Air)"},'MAIN DATA, Orders'!$Y:$Y,A87)/1000000000)</f>
        <v>0</v>
      </c>
      <c r="D87" s="134" cm="1">
        <f t="array" ref="D87">SUM(SUMIFS('MAIN DATA, Orders'!$U:$U,'MAIN DATA, Orders'!$D:$D,"Poland",'MAIN DATA, Orders'!$I:$I,{"Naval","Development - Naval","Missile (Naval)","Development - Missile (Naval)"},'MAIN DATA, Orders'!$Y:$Y,A87)/1000000000)</f>
        <v>0</v>
      </c>
      <c r="E87" s="134" cm="1">
        <f t="array" ref="E87">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Orders'!$Y:$Y,A87)/1000000000)</f>
        <v>0</v>
      </c>
      <c r="F87" s="134" cm="1">
        <f t="array" ref="F87">SUM(SUMIFS('MAIN DATA, Orders'!$U:$U,'MAIN DATA, Orders'!$D:$D,"Poland",'MAIN DATA, Orders'!$I:$I,{"Maintenance","Development - Maintenance","Modernisation","Development - Modernisation","Other","Development - Other"},'MAIN DATA, Orders'!$Y:$Y,A87)/1000000000)</f>
        <v>1.4128358138547539</v>
      </c>
    </row>
    <row r="88" spans="1:6" x14ac:dyDescent="0.35">
      <c r="A88" s="133">
        <v>202510</v>
      </c>
      <c r="B88" s="212">
        <v>45931</v>
      </c>
      <c r="C88" s="134" cm="1">
        <f t="array" ref="C88">SUM(SUMIFS('MAIN DATA, Orders'!$U:$U,'MAIN DATA, Orders'!$D:$D,"Poland",'MAIN DATA, Orders'!$I:$I,{"Aircraft","Development - Aircraft","Missile (Air)","Development - Missile (Air)"},'MAIN DATA, Orders'!$Y:$Y,A88)/1000000000)</f>
        <v>0</v>
      </c>
      <c r="D88" s="134" cm="1">
        <f t="array" ref="D88">SUM(SUMIFS('MAIN DATA, Orders'!$U:$U,'MAIN DATA, Orders'!$D:$D,"Poland",'MAIN DATA, Orders'!$I:$I,{"Naval","Development - Naval","Missile (Naval)","Development - Missile (Naval)"},'MAIN DATA, Orders'!$Y:$Y,A88)/1000000000)</f>
        <v>0</v>
      </c>
      <c r="E88" s="134" cm="1">
        <f t="array" ref="E88">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Orders'!$Y:$Y,A88)/1000000000)</f>
        <v>0</v>
      </c>
      <c r="F88" s="134" cm="1">
        <f t="array" ref="F88">SUM(SUMIFS('MAIN DATA, Orders'!$U:$U,'MAIN DATA, Orders'!$D:$D,"Poland",'MAIN DATA, Orders'!$I:$I,{"Maintenance","Development - Maintenance","Modernisation","Development - Modernisation","Other","Development - Other"},'MAIN DATA, Orders'!$Y:$Y,A88)/1000000000)</f>
        <v>4.7173149043564404</v>
      </c>
    </row>
    <row r="89" spans="1:6" x14ac:dyDescent="0.35">
      <c r="A89" s="133">
        <v>202511</v>
      </c>
      <c r="B89" s="212">
        <v>45962</v>
      </c>
      <c r="C89" s="134" cm="1">
        <f t="array" ref="C89">SUM(SUMIFS('MAIN DATA, Orders'!$U:$U,'MAIN DATA, Orders'!$D:$D,"Poland",'MAIN DATA, Orders'!$I:$I,{"Aircraft","Development - Aircraft","Missile (Air)","Development - Missile (Air)"},'MAIN DATA, Orders'!$Y:$Y,A89)/1000000000)</f>
        <v>0.44247787610619471</v>
      </c>
      <c r="D89" s="134" cm="1">
        <f t="array" ref="D89">SUM(SUMIFS('MAIN DATA, Orders'!$U:$U,'MAIN DATA, Orders'!$D:$D,"Poland",'MAIN DATA, Orders'!$I:$I,{"Naval","Development - Naval","Missile (Naval)","Development - Missile (Naval)"},'MAIN DATA, Orders'!$Y:$Y,A89)/1000000000)</f>
        <v>2.3586574521782202</v>
      </c>
      <c r="E89" s="134" cm="1">
        <f t="array" ref="E89">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Orders'!$Y:$Y,A89)/1000000000)</f>
        <v>0</v>
      </c>
      <c r="F89" s="134" cm="1">
        <f t="array" ref="F89">SUM(SUMIFS('MAIN DATA, Orders'!$U:$U,'MAIN DATA, Orders'!$D:$D,"Poland",'MAIN DATA, Orders'!$I:$I,{"Maintenance","Development - Maintenance","Modernisation","Development - Modernisation","Other","Development - Other"},'MAIN DATA, Orders'!$Y:$Y,A89)/1000000000)</f>
        <v>0</v>
      </c>
    </row>
    <row r="90" spans="1:6" x14ac:dyDescent="0.35">
      <c r="A90" s="133">
        <v>202512</v>
      </c>
      <c r="B90" s="212">
        <v>45992</v>
      </c>
      <c r="C90" s="134" cm="1">
        <f t="array" ref="C90">SUM(SUMIFS('MAIN DATA, Orders'!$U:$U,'MAIN DATA, Orders'!$D:$D,"Poland",'MAIN DATA, Orders'!$I:$I,{"Aircraft","Development - Aircraft","Missile (Air)","Development - Missile (Air)"},'MAIN DATA, Orders'!$Y:$Y,A90)/1000000000)</f>
        <v>0</v>
      </c>
      <c r="D90" s="134" cm="1">
        <f t="array" ref="D90">SUM(SUMIFS('MAIN DATA, Orders'!$U:$U,'MAIN DATA, Orders'!$D:$D,"Poland",'MAIN DATA, Orders'!$I:$I,{"Naval","Development - Naval","Missile (Naval)","Development - Missile (Naval)"},'MAIN DATA, Orders'!$Y:$Y,A90)/1000000000)</f>
        <v>0</v>
      </c>
      <c r="E90" s="134" cm="1">
        <f t="array" ref="E90">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Orders'!$Y:$Y,A90)/1000000000)</f>
        <v>3.3021204330495082</v>
      </c>
      <c r="F90" s="134" cm="1">
        <f t="array" ref="F90">SUM(SUMIFS('MAIN DATA, Orders'!$U:$U,'MAIN DATA, Orders'!$D:$D,"Poland",'MAIN DATA, Orders'!$I:$I,{"Maintenance","Development - Maintenance","Modernisation","Development - Modernisation","Other","Development - Other"},'MAIN DATA, Orders'!$Y:$Y,A90)/1000000000)</f>
        <v>2.35865745217822E-2</v>
      </c>
    </row>
    <row r="91" spans="1:6" x14ac:dyDescent="0.35">
      <c r="A91" s="133">
        <v>202601</v>
      </c>
      <c r="B91" s="212">
        <v>46023</v>
      </c>
      <c r="C91" s="134" cm="1">
        <f t="array" ref="C91">SUM(SUMIFS('MAIN DATA, Orders'!$U:$U,'MAIN DATA, Orders'!$D:$D,"Poland",'MAIN DATA, Orders'!$I:$I,{"Aircraft","Development - Aircraft","Missile (Air)","Development - Missile (Air)"},'MAIN DATA, Orders'!$Y:$Y,A91)/1000000000)</f>
        <v>0</v>
      </c>
      <c r="D91" s="134" cm="1">
        <f t="array" ref="D91">SUM(SUMIFS('MAIN DATA, Orders'!$U:$U,'MAIN DATA, Orders'!$D:$D,"Poland",'MAIN DATA, Orders'!$I:$I,{"Naval","Development - Naval","Missile (Naval)","Development - Missile (Naval)"},'MAIN DATA, Orders'!$Y:$Y,A91)/1000000000)</f>
        <v>0</v>
      </c>
      <c r="E91" s="134" cm="1">
        <f t="array" ref="E91">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Orders'!$Y:$Y,A91)/1000000000)</f>
        <v>3.5606618083414441</v>
      </c>
      <c r="F91" s="134" cm="1">
        <f t="array" ref="F91">SUM(SUMIFS('MAIN DATA, Orders'!$U:$U,'MAIN DATA, Orders'!$D:$D,"Poland",'MAIN DATA, Orders'!$I:$I,{"Maintenance","Development - Maintenance","Modernisation","Development - Modernisation","Other","Development - Other"},'MAIN DATA, Orders'!$Y:$Y,A91)/1000000000)</f>
        <v>0</v>
      </c>
    </row>
    <row r="92" spans="1:6" x14ac:dyDescent="0.35">
      <c r="B92" s="213"/>
      <c r="C92" s="135"/>
      <c r="D92" s="135"/>
      <c r="E92" s="135"/>
      <c r="F92" s="135"/>
    </row>
    <row r="93" spans="1:6" x14ac:dyDescent="0.35">
      <c r="B93" s="214" t="s">
        <v>4219</v>
      </c>
      <c r="C93" s="136">
        <f>SUM(C7:C91)</f>
        <v>11.004217804926927</v>
      </c>
      <c r="D93" s="136">
        <f t="shared" ref="D93:F93" si="0">SUM(D7:D91)</f>
        <v>6.8819287574200381</v>
      </c>
      <c r="E93" s="136">
        <f t="shared" si="0"/>
        <v>64.708890930273654</v>
      </c>
      <c r="F93" s="136">
        <f t="shared" si="0"/>
        <v>8.273952551127028</v>
      </c>
    </row>
  </sheetData>
  <mergeCells count="2">
    <mergeCell ref="B4:J4"/>
    <mergeCell ref="N4:S4"/>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40391-A6CA-4683-BA34-9A68E9081C32}">
  <sheetPr>
    <tabColor theme="8" tint="0.59999389629810485"/>
  </sheetPr>
  <dimension ref="B2:H94"/>
  <sheetViews>
    <sheetView zoomScaleNormal="100" workbookViewId="0"/>
  </sheetViews>
  <sheetFormatPr baseColWidth="10" defaultColWidth="8.75" defaultRowHeight="15.5" x14ac:dyDescent="0.35"/>
  <cols>
    <col min="1" max="1" width="8.75" style="1"/>
    <col min="2" max="2" width="10.25" style="1" customWidth="1"/>
    <col min="3" max="3" width="14.08203125" style="1" bestFit="1" customWidth="1"/>
    <col min="4" max="4" width="32.83203125" style="1" bestFit="1" customWidth="1"/>
    <col min="5" max="5" width="24" style="1" bestFit="1" customWidth="1"/>
    <col min="6" max="6" width="19" style="1" bestFit="1" customWidth="1"/>
    <col min="7" max="7" width="8.83203125" style="1" bestFit="1" customWidth="1"/>
    <col min="8" max="8" width="8.75" style="1"/>
    <col min="9" max="14" width="8.75" style="1" customWidth="1"/>
    <col min="15" max="16384" width="8.75" style="1"/>
  </cols>
  <sheetData>
    <row r="2" spans="2:8" ht="25.9" customHeight="1" x14ac:dyDescent="0.7">
      <c r="B2" s="16" t="s">
        <v>5640</v>
      </c>
    </row>
    <row r="4" spans="2:8" ht="130.15" customHeight="1" x14ac:dyDescent="0.35">
      <c r="B4" s="232" t="s">
        <v>5685</v>
      </c>
      <c r="C4" s="232"/>
      <c r="D4" s="232"/>
      <c r="E4" s="232"/>
      <c r="F4" s="232"/>
    </row>
    <row r="6" spans="2:8" ht="21" customHeight="1" x14ac:dyDescent="0.35">
      <c r="B6" s="69" t="s">
        <v>5187</v>
      </c>
      <c r="C6" s="69" t="s">
        <v>5236</v>
      </c>
      <c r="D6" s="69" t="s">
        <v>5237</v>
      </c>
      <c r="E6" s="69" t="s">
        <v>5238</v>
      </c>
      <c r="F6" s="69" t="s">
        <v>5228</v>
      </c>
      <c r="G6" s="69" t="s">
        <v>4219</v>
      </c>
    </row>
    <row r="7" spans="2:8" x14ac:dyDescent="0.35">
      <c r="B7" s="83">
        <v>2020</v>
      </c>
      <c r="C7" s="15">
        <f>(SUMIFS('MAIN DATA, Orders'!$U:$U,'MAIN DATA, Orders'!$D:$D,"Poland",'MAIN DATA, Orders'!$F:$F,$B7,'MAIN DATA, Orders'!$AF:$AF,"0",'MAIN DATA, Orders'!$AH:$AH,"Poland")/1000000000)</f>
        <v>0.23544902093180287</v>
      </c>
      <c r="D7" s="15">
        <f>(SUMIFS('MAIN DATA, Orders'!$U:$U,'MAIN DATA, Orders'!$D:$D,"Poland",'MAIN DATA, Orders'!$F:$F,$B7,'MAIN DATA, Orders'!$AF:$AF,"1")/1000000000)</f>
        <v>0</v>
      </c>
      <c r="E7" s="15">
        <f>SUM(SUMIFS('MAIN DATA, Orders'!$U:$U,'MAIN DATA, Orders'!$D:$D,"Poland",'MAIN DATA, Orders'!$F:$F,$B7,'MAIN DATA, Orders'!$AC:$AC,"1",'MAIN DATA, Orders'!$AF:$AF,"0",'MAIN DATA, Orders'!$AH:$AH,"&lt;&gt;Poland")/1000000000)</f>
        <v>0</v>
      </c>
      <c r="F7" s="15">
        <f>SUM(SUMIFS('MAIN DATA, Orders'!$U:$U,'MAIN DATA, Orders'!$D:$D,"Poland",'MAIN DATA, Orders'!$F:$F,$B7,'MAIN DATA, Orders'!$AC:$AC,"0",'MAIN DATA, Orders'!$AF:$AF,"0")/1000000000)</f>
        <v>4.0273157065312555</v>
      </c>
      <c r="G7" s="15">
        <f>(SUMIFS('MAIN DATA, Orders'!$U:$U,'MAIN DATA, Orders'!$F:$F,$B7,'MAIN DATA, Orders'!$AH:$AH,"&lt;&gt;.",'MAIN DATA, Orders'!$D:$D,"Poland")/1000000000)</f>
        <v>4.2627647274630585</v>
      </c>
    </row>
    <row r="8" spans="2:8" x14ac:dyDescent="0.35">
      <c r="B8" s="83">
        <v>2021</v>
      </c>
      <c r="C8" s="15">
        <f>(SUMIFS('MAIN DATA, Orders'!$U:$U,'MAIN DATA, Orders'!$D:$D,"Poland",'MAIN DATA, Orders'!$F:$F,$B8,'MAIN DATA, Orders'!$AF:$AF,"0",'MAIN DATA, Orders'!$AH:$AH,"Poland")/1000000000)</f>
        <v>1.9083501270481031</v>
      </c>
      <c r="D8" s="15">
        <f>(SUMIFS('MAIN DATA, Orders'!$U:$U,'MAIN DATA, Orders'!$D:$D,"Poland",'MAIN DATA, Orders'!$F:$F,$B8,'MAIN DATA, Orders'!$AF:$AF,"1")/1000000000)</f>
        <v>0</v>
      </c>
      <c r="E8" s="15">
        <f>SUM(SUMIFS('MAIN DATA, Orders'!$U:$U,'MAIN DATA, Orders'!$D:$D,"Poland",'MAIN DATA, Orders'!$F:$F,$B8,'MAIN DATA, Orders'!$AC:$AC,"1",'MAIN DATA, Orders'!$AF:$AF,"0",'MAIN DATA, Orders'!$AH:$AH,"&lt;&gt;Poland")/1000000000)</f>
        <v>0</v>
      </c>
      <c r="F8" s="15">
        <f>SUM(SUMIFS('MAIN DATA, Orders'!$U:$U,'MAIN DATA, Orders'!$D:$D,"Poland",'MAIN DATA, Orders'!$F:$F,$B8,'MAIN DATA, Orders'!$AC:$AC,"0",'MAIN DATA, Orders'!$AF:$AF,"0")/1000000000)</f>
        <v>4.2428341929483384</v>
      </c>
      <c r="G8" s="15">
        <f>(SUMIFS('MAIN DATA, Orders'!$U:$U,'MAIN DATA, Orders'!$F:$F,$B8,'MAIN DATA, Orders'!$AH:$AH,"&lt;&gt;.",'MAIN DATA, Orders'!$D:$D,"Poland")/1000000000)</f>
        <v>6.1511843199964416</v>
      </c>
    </row>
    <row r="9" spans="2:8" x14ac:dyDescent="0.35">
      <c r="B9" s="83">
        <v>2022</v>
      </c>
      <c r="C9" s="15">
        <f>(SUMIFS('MAIN DATA, Orders'!$U:$U,'MAIN DATA, Orders'!$D:$D,"Poland",'MAIN DATA, Orders'!$F:$F,$B9,'MAIN DATA, Orders'!$AF:$AF,"0",'MAIN DATA, Orders'!$AH:$AH,"Poland")/1000000000)</f>
        <v>2.4540662811292973</v>
      </c>
      <c r="D9" s="15">
        <f>(SUMIFS('MAIN DATA, Orders'!$U:$U,'MAIN DATA, Orders'!$D:$D,"Poland",'MAIN DATA, Orders'!$F:$F,$B9,'MAIN DATA, Orders'!$AF:$AF,"1")/1000000000)</f>
        <v>1.7605258103753656</v>
      </c>
      <c r="E9" s="15">
        <f>SUM(SUMIFS('MAIN DATA, Orders'!$U:$U,'MAIN DATA, Orders'!$D:$D,"Poland",'MAIN DATA, Orders'!$F:$F,$B9,'MAIN DATA, Orders'!$AC:$AC,"1",'MAIN DATA, Orders'!$AF:$AF,"0",'MAIN DATA, Orders'!$AH:$AH,"&lt;&gt;Poland")/1000000000)</f>
        <v>0.64019120377286021</v>
      </c>
      <c r="F9" s="15">
        <f>SUM(SUMIFS('MAIN DATA, Orders'!$U:$U,'MAIN DATA, Orders'!$D:$D,"Poland",'MAIN DATA, Orders'!$F:$F,$B9,'MAIN DATA, Orders'!$AC:$AC,"0",'MAIN DATA, Orders'!$AF:$AF,"0")/1000000000)</f>
        <v>11.733143399810066</v>
      </c>
      <c r="G9" s="15">
        <f>(SUMIFS('MAIN DATA, Orders'!$U:$U,'MAIN DATA, Orders'!$F:$F,$B9,'MAIN DATA, Orders'!$AH:$AH,"&lt;&gt;.",'MAIN DATA, Orders'!$D:$D,"Poland")/1000000000)</f>
        <v>15.947735491314727</v>
      </c>
    </row>
    <row r="10" spans="2:8" x14ac:dyDescent="0.35">
      <c r="B10" s="83">
        <v>2023</v>
      </c>
      <c r="C10" s="15">
        <f>(SUMIFS('MAIN DATA, Orders'!$U:$U,'MAIN DATA, Orders'!$D:$D,"Poland",'MAIN DATA, Orders'!$F:$F,$B10,'MAIN DATA, Orders'!$AF:$AF,"0",'MAIN DATA, Orders'!$AH:$AH,"Poland")/1000000000)</f>
        <v>1.0834434169969178</v>
      </c>
      <c r="D10" s="15">
        <f>(SUMIFS('MAIN DATA, Orders'!$U:$U,'MAIN DATA, Orders'!$D:$D,"Poland",'MAIN DATA, Orders'!$F:$F,$B10,'MAIN DATA, Orders'!$AF:$AF,"1")/1000000000)</f>
        <v>2.2677234698370761</v>
      </c>
      <c r="E10" s="15">
        <f>SUM(SUMIFS('MAIN DATA, Orders'!$U:$U,'MAIN DATA, Orders'!$D:$D,"Poland",'MAIN DATA, Orders'!$F:$F,$B10,'MAIN DATA, Orders'!$AC:$AC,"1",'MAIN DATA, Orders'!$AF:$AF,"0",'MAIN DATA, Orders'!$AH:$AH,"&lt;&gt;Poland")/1000000000)</f>
        <v>1.8148020410058949</v>
      </c>
      <c r="F10" s="15">
        <f>SUM(SUMIFS('MAIN DATA, Orders'!$U:$U,'MAIN DATA, Orders'!$D:$D,"Poland",'MAIN DATA, Orders'!$F:$F,$B10,'MAIN DATA, Orders'!$AC:$AC,"0",'MAIN DATA, Orders'!$AF:$AF,"0")/1000000000)</f>
        <v>1.5149051427609908</v>
      </c>
      <c r="G10" s="15">
        <f>(SUMIFS('MAIN DATA, Orders'!$U:$U,'MAIN DATA, Orders'!$F:$F,$B10,'MAIN DATA, Orders'!$AH:$AH,"&lt;&gt;.",'MAIN DATA, Orders'!$D:$D,"Poland")/1000000000)</f>
        <v>6.68087407060088</v>
      </c>
    </row>
    <row r="11" spans="2:8" x14ac:dyDescent="0.35">
      <c r="B11" s="83">
        <v>2024</v>
      </c>
      <c r="C11" s="15">
        <f>(SUMIFS('MAIN DATA, Orders'!$U:$U,'MAIN DATA, Orders'!$D:$D,"Poland",'MAIN DATA, Orders'!$F:$F,$B11,'MAIN DATA, Orders'!$AF:$AF,"0",'MAIN DATA, Orders'!$AH:$AH,"Poland")/1000000000)</f>
        <v>7.054043383343398</v>
      </c>
      <c r="D11" s="15">
        <f>(SUMIFS('MAIN DATA, Orders'!$U:$U,'MAIN DATA, Orders'!$D:$D,"Poland",'MAIN DATA, Orders'!$F:$F,$B11,'MAIN DATA, Orders'!$AF:$AF,"1")/1000000000)</f>
        <v>15.712765328270153</v>
      </c>
      <c r="E11" s="15">
        <f>SUM(SUMIFS('MAIN DATA, Orders'!$U:$U,'MAIN DATA, Orders'!$D:$D,"Poland",'MAIN DATA, Orders'!$F:$F,$B11,'MAIN DATA, Orders'!$AC:$AC,"1",'MAIN DATA, Orders'!$AF:$AF,"0",'MAIN DATA, Orders'!$AH:$AH,"&lt;&gt;Poland")/1000000000)</f>
        <v>0</v>
      </c>
      <c r="F11" s="15">
        <f>SUM(SUMIFS('MAIN DATA, Orders'!$U:$U,'MAIN DATA, Orders'!$D:$D,"Poland",'MAIN DATA, Orders'!$F:$F,$B11,'MAIN DATA, Orders'!$AC:$AC,"0",'MAIN DATA, Orders'!$AF:$AF,"0")/1000000000)</f>
        <v>2.3373983739837398</v>
      </c>
      <c r="G11" s="15">
        <f>(SUMIFS('MAIN DATA, Orders'!$U:$U,'MAIN DATA, Orders'!$F:$F,$B11,'MAIN DATA, Orders'!$AH:$AH,"&lt;&gt;.",'MAIN DATA, Orders'!$D:$D,"Poland")/1000000000)</f>
        <v>25.104207085597295</v>
      </c>
    </row>
    <row r="12" spans="2:8" x14ac:dyDescent="0.35">
      <c r="B12" s="83">
        <v>2025</v>
      </c>
      <c r="C12" s="15">
        <f>(SUMIFS('MAIN DATA, Orders'!$U:$U,'MAIN DATA, Orders'!$D:$D,"Poland",'MAIN DATA, Orders'!$F:$F,$B12,'MAIN DATA, Orders'!$AF:$AF,"0",'MAIN DATA, Orders'!$AH:$AH,"Poland")/1000000000)</f>
        <v>7.7741349623794136</v>
      </c>
      <c r="D12" s="15">
        <f>(SUMIFS('MAIN DATA, Orders'!$U:$U,'MAIN DATA, Orders'!$D:$D,"Poland",'MAIN DATA, Orders'!$F:$F,$B12,'MAIN DATA, Orders'!$AF:$AF,"1")/1000000000)</f>
        <v>14.859490183497288</v>
      </c>
      <c r="E12" s="15">
        <f>SUM(SUMIFS('MAIN DATA, Orders'!$U:$U,'MAIN DATA, Orders'!$D:$D,"Poland",'MAIN DATA, Orders'!$F:$F,$B12,'MAIN DATA, Orders'!$AC:$AC,"1",'MAIN DATA, Orders'!$AF:$AF,"0",'MAIN DATA, Orders'!$AH:$AH,"&lt;&gt;Poland")/1000000000)</f>
        <v>0</v>
      </c>
      <c r="F12" s="15">
        <f>SUM(SUMIFS('MAIN DATA, Orders'!$U:$U,'MAIN DATA, Orders'!$D:$D,"Poland",'MAIN DATA, Orders'!$F:$F,$B12,'MAIN DATA, Orders'!$AC:$AC,"0",'MAIN DATA, Orders'!$AF:$AF,"0")/1000000000)</f>
        <v>4.7173149043564404</v>
      </c>
      <c r="G12" s="15">
        <f>(SUMIFS('MAIN DATA, Orders'!$U:$U,'MAIN DATA, Orders'!$F:$F,$B12,'MAIN DATA, Orders'!$AH:$AH,"&lt;&gt;.",'MAIN DATA, Orders'!$D:$D,"Poland")/1000000000)</f>
        <v>25.99645700428378</v>
      </c>
      <c r="H12" s="88"/>
    </row>
    <row r="13" spans="2:8" x14ac:dyDescent="0.35">
      <c r="B13" s="83">
        <v>2026</v>
      </c>
      <c r="C13" s="15">
        <f>(SUMIFS('MAIN DATA, Orders'!$U:$U,'MAIN DATA, Orders'!$D:$D,"Poland",'MAIN DATA, Orders'!$F:$F,$B13,'MAIN DATA, Orders'!$AF:$AF,"0",'MAIN DATA, Orders'!$AH:$AH,"Poland")/1000000000)</f>
        <v>0</v>
      </c>
      <c r="D13" s="15">
        <f>(SUMIFS('MAIN DATA, Orders'!$U:$U,'MAIN DATA, Orders'!$D:$D,"Poland",'MAIN DATA, Orders'!$F:$F,$B13,'MAIN DATA, Orders'!$AF:$AF,"1")/1000000000)</f>
        <v>3.5606618083414441</v>
      </c>
      <c r="E13" s="15">
        <f>SUM(SUMIFS('MAIN DATA, Orders'!$U:$U,'MAIN DATA, Orders'!$D:$D,"Poland",'MAIN DATA, Orders'!$F:$F,$B13,'MAIN DATA, Orders'!$AC:$AC,"1",'MAIN DATA, Orders'!$AF:$AF,"0",'MAIN DATA, Orders'!$AH:$AH,"&lt;&gt;Poland")/1000000000)</f>
        <v>0</v>
      </c>
      <c r="F13" s="15">
        <f>SUM(SUMIFS('MAIN DATA, Orders'!$U:$U,'MAIN DATA, Orders'!$D:$D,"Poland",'MAIN DATA, Orders'!$F:$F,$B13,'MAIN DATA, Orders'!$AC:$AC,"0",'MAIN DATA, Orders'!$AF:$AF,"0")/1000000000)</f>
        <v>0</v>
      </c>
      <c r="G13" s="15">
        <f>(SUMIFS('MAIN DATA, Orders'!$U:$U,'MAIN DATA, Orders'!$F:$F,$B13,'MAIN DATA, Orders'!$AH:$AH,"&lt;&gt;.",'MAIN DATA, Orders'!$D:$D,"Poland")/1000000000)</f>
        <v>3.5606618083414441</v>
      </c>
    </row>
    <row r="14" spans="2:8" x14ac:dyDescent="0.35">
      <c r="B14" s="85"/>
      <c r="C14" s="85"/>
      <c r="D14" s="85"/>
      <c r="E14" s="85"/>
      <c r="F14" s="85"/>
      <c r="G14" s="85"/>
    </row>
    <row r="15" spans="2:8" x14ac:dyDescent="0.35">
      <c r="B15" s="18" t="s">
        <v>4219</v>
      </c>
      <c r="C15" s="18">
        <f>SUM(C7:C13)</f>
        <v>20.509487191828931</v>
      </c>
      <c r="D15" s="18">
        <f>SUM(D7:D13)</f>
        <v>38.161166600321323</v>
      </c>
      <c r="E15" s="18">
        <f>SUM(E7:E13)</f>
        <v>2.454993244778755</v>
      </c>
      <c r="F15" s="18">
        <f>SUM(F7:F13)</f>
        <v>28.572911720390827</v>
      </c>
      <c r="G15" s="18">
        <f>SUM(G7:G13)</f>
        <v>87.703884507597635</v>
      </c>
    </row>
    <row r="16" spans="2:8" x14ac:dyDescent="0.35">
      <c r="B16" s="19"/>
      <c r="C16" s="19"/>
      <c r="D16" s="19"/>
      <c r="E16" s="19"/>
      <c r="F16" s="83"/>
      <c r="G16" s="83"/>
    </row>
    <row r="91" spans="2:7" x14ac:dyDescent="0.35">
      <c r="B91" s="17"/>
      <c r="C91" s="15"/>
      <c r="D91" s="15"/>
      <c r="E91" s="15"/>
      <c r="F91" s="15"/>
      <c r="G91" s="15"/>
    </row>
    <row r="92" spans="2:7" x14ac:dyDescent="0.35">
      <c r="B92" s="17"/>
      <c r="C92" s="15"/>
      <c r="D92" s="15"/>
      <c r="E92" s="15"/>
      <c r="F92" s="15"/>
      <c r="G92" s="15"/>
    </row>
    <row r="93" spans="2:7" x14ac:dyDescent="0.35">
      <c r="B93" s="85"/>
      <c r="C93" s="85"/>
      <c r="D93" s="85"/>
      <c r="E93" s="85"/>
      <c r="F93" s="85"/>
      <c r="G93" s="85"/>
    </row>
    <row r="94" spans="2:7" x14ac:dyDescent="0.35">
      <c r="B94" s="18"/>
      <c r="C94" s="18"/>
      <c r="D94" s="18"/>
      <c r="E94" s="18"/>
      <c r="F94" s="18"/>
      <c r="G94" s="18"/>
    </row>
  </sheetData>
  <mergeCells count="1">
    <mergeCell ref="B4:F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6211B-C600-4F4E-838B-BC6E1B48ABAF}">
  <sheetPr codeName="Sheet40">
    <tabColor theme="8" tint="0.59999389629810485"/>
  </sheetPr>
  <dimension ref="B2:O103"/>
  <sheetViews>
    <sheetView workbookViewId="0"/>
  </sheetViews>
  <sheetFormatPr baseColWidth="10" defaultColWidth="8.75" defaultRowHeight="15.5" x14ac:dyDescent="0.35"/>
  <cols>
    <col min="1" max="1" width="8.75" style="1" customWidth="1"/>
    <col min="2" max="2" width="9.75" style="1" customWidth="1"/>
    <col min="3" max="3" width="19.5" style="1" customWidth="1"/>
    <col min="4" max="4" width="13.25" style="1" customWidth="1"/>
    <col min="5" max="5" width="23.75" style="1" customWidth="1"/>
    <col min="6" max="6" width="21.25" style="1" customWidth="1"/>
    <col min="7" max="7" width="14.58203125" style="1" customWidth="1"/>
    <col min="8" max="8" width="12.83203125" style="1" customWidth="1"/>
    <col min="9" max="9" width="15.5" style="1" customWidth="1"/>
    <col min="10" max="11" width="9" style="1"/>
    <col min="12" max="12" width="12.75" style="208" customWidth="1"/>
    <col min="13" max="13" width="22.5" style="1" bestFit="1" customWidth="1"/>
    <col min="14" max="14" width="20.75" style="1" bestFit="1" customWidth="1"/>
    <col min="15" max="15" width="15.33203125" style="1" bestFit="1" customWidth="1"/>
    <col min="16" max="16384" width="8.75" style="1"/>
  </cols>
  <sheetData>
    <row r="2" spans="2:15" ht="25.9" customHeight="1" x14ac:dyDescent="0.7">
      <c r="B2" s="181" t="s">
        <v>5639</v>
      </c>
    </row>
    <row r="4" spans="2:15" ht="130.15" customHeight="1" x14ac:dyDescent="0.35">
      <c r="B4" s="232" t="s">
        <v>5636</v>
      </c>
      <c r="C4" s="232"/>
      <c r="D4" s="232"/>
      <c r="E4" s="232"/>
      <c r="F4" s="232"/>
      <c r="G4" s="232"/>
      <c r="H4" s="232"/>
      <c r="I4" s="232"/>
    </row>
    <row r="6" spans="2:15" ht="21" customHeight="1" x14ac:dyDescent="0.35">
      <c r="B6" s="68" t="s">
        <v>4226</v>
      </c>
      <c r="C6" s="72" t="s">
        <v>5240</v>
      </c>
      <c r="D6" s="68" t="s">
        <v>5241</v>
      </c>
      <c r="E6" s="73" t="s">
        <v>5242</v>
      </c>
      <c r="F6" s="73" t="s">
        <v>5243</v>
      </c>
      <c r="G6" s="68" t="s">
        <v>5244</v>
      </c>
      <c r="H6" s="68" t="s">
        <v>5245</v>
      </c>
      <c r="I6" s="68" t="s">
        <v>5246</v>
      </c>
      <c r="L6" s="204" t="s">
        <v>5231</v>
      </c>
      <c r="M6" s="68" t="s">
        <v>5247</v>
      </c>
      <c r="N6" s="68" t="s">
        <v>5248</v>
      </c>
      <c r="O6" s="68" t="s">
        <v>5246</v>
      </c>
    </row>
    <row r="7" spans="2:15" x14ac:dyDescent="0.35">
      <c r="B7" s="147" t="s">
        <v>3271</v>
      </c>
      <c r="C7" s="14">
        <f>VLOOKUP($B7,'MAIN DATA, Orders'!$B:$R,4,0)</f>
        <v>43490</v>
      </c>
      <c r="D7" s="83">
        <f>VLOOKUP($B7,'MAIN DATA, Orders'!$B:$R,5,0)</f>
        <v>2019</v>
      </c>
      <c r="E7" s="83">
        <f>VLOOKUP($B7,'MAIN DATA, Orders'!$B:$R,16,0)</f>
        <v>2019</v>
      </c>
      <c r="F7" s="83">
        <f>VLOOKUP($B7,'MAIN DATA, Orders'!$B:$R,17,0)</f>
        <v>2019</v>
      </c>
      <c r="G7" s="83">
        <f>E7-D7</f>
        <v>0</v>
      </c>
      <c r="H7" s="83">
        <f t="shared" ref="H7" si="0">F7-D7</f>
        <v>0</v>
      </c>
      <c r="I7" s="83">
        <f>AVERAGE(G7:H7)</f>
        <v>0</v>
      </c>
      <c r="J7" s="83"/>
      <c r="K7" s="83"/>
      <c r="L7" s="209">
        <v>43891</v>
      </c>
      <c r="M7" s="199">
        <f t="shared" ref="M7:M9" si="1">IFERROR(AVERAGEIFS($G:$G, $C:$C, "&gt;"&amp;EDATE($L7-DAY($L7)+1, -2), $C:$C, "&lt;="&amp;EOMONTH($L7, 0)), "")</f>
        <v>4</v>
      </c>
      <c r="N7" s="199">
        <f t="shared" ref="N7:N9" si="2">IFERROR(AVERAGEIFS($H:$H, $C:$C, "&gt;"&amp;EDATE($L7-DAY($L7)+1, -2), $C:$C, "&lt;="&amp;EOMONTH($L7, 0)), "")</f>
        <v>10</v>
      </c>
      <c r="O7" s="199">
        <f t="shared" ref="O7:O9" si="3">IFERROR(AVERAGEIFS($I:$I, $C:$C, "&gt;"&amp;EDATE($L7-DAY($L7)+1, -2), $C:$C, "&lt;="&amp;EOMONTH($L7, 0)), "")</f>
        <v>7</v>
      </c>
    </row>
    <row r="8" spans="2:15" x14ac:dyDescent="0.35">
      <c r="B8" s="147" t="s">
        <v>3323</v>
      </c>
      <c r="C8" s="14">
        <f>VLOOKUP($B8,'MAIN DATA, Orders'!$B:$R,4,0)</f>
        <v>43602</v>
      </c>
      <c r="D8" s="83">
        <f>VLOOKUP($B8,'MAIN DATA, Orders'!$B:$R,5,0)</f>
        <v>2019</v>
      </c>
      <c r="E8" s="83">
        <f>VLOOKUP($B8,'MAIN DATA, Orders'!$B:$R,16,0)</f>
        <v>2019</v>
      </c>
      <c r="F8" s="83">
        <f>VLOOKUP($B8,'MAIN DATA, Orders'!$B:$R,17,0)</f>
        <v>2022</v>
      </c>
      <c r="G8" s="83">
        <f t="shared" ref="G8:G71" si="4">E8-D8</f>
        <v>0</v>
      </c>
      <c r="H8" s="83">
        <f t="shared" ref="H8:H71" si="5">F8-D8</f>
        <v>3</v>
      </c>
      <c r="I8" s="83">
        <f t="shared" ref="I8:I71" si="6">AVERAGE(G8:H8)</f>
        <v>1.5</v>
      </c>
      <c r="J8" s="83"/>
      <c r="K8" s="83"/>
      <c r="L8" s="209">
        <v>43983</v>
      </c>
      <c r="M8" s="199">
        <f t="shared" si="1"/>
        <v>2</v>
      </c>
      <c r="N8" s="199">
        <f t="shared" si="2"/>
        <v>4</v>
      </c>
      <c r="O8" s="199">
        <f t="shared" si="3"/>
        <v>3</v>
      </c>
    </row>
    <row r="9" spans="2:15" x14ac:dyDescent="0.35">
      <c r="B9" s="147" t="s">
        <v>3330</v>
      </c>
      <c r="C9" s="14">
        <f>VLOOKUP($B9,'MAIN DATA, Orders'!$B:$R,4,0)</f>
        <v>43657</v>
      </c>
      <c r="D9" s="83">
        <f>VLOOKUP($B9,'MAIN DATA, Orders'!$B:$R,5,0)</f>
        <v>2019</v>
      </c>
      <c r="E9" s="83">
        <f>VLOOKUP($B9,'MAIN DATA, Orders'!$B:$R,16,0)</f>
        <v>2020</v>
      </c>
      <c r="F9" s="83">
        <f>VLOOKUP($B9,'MAIN DATA, Orders'!$B:$R,17,0)</f>
        <v>2021</v>
      </c>
      <c r="G9" s="83">
        <f t="shared" si="4"/>
        <v>1</v>
      </c>
      <c r="H9" s="83">
        <f t="shared" si="5"/>
        <v>2</v>
      </c>
      <c r="I9" s="83">
        <f t="shared" si="6"/>
        <v>1.5</v>
      </c>
      <c r="J9" s="14"/>
      <c r="K9" s="83"/>
      <c r="L9" s="209">
        <v>44075</v>
      </c>
      <c r="M9" s="199">
        <f t="shared" si="1"/>
        <v>0</v>
      </c>
      <c r="N9" s="199">
        <f t="shared" si="2"/>
        <v>4</v>
      </c>
      <c r="O9" s="199">
        <f t="shared" si="3"/>
        <v>2</v>
      </c>
    </row>
    <row r="10" spans="2:15" x14ac:dyDescent="0.35">
      <c r="B10" s="147" t="s">
        <v>3337</v>
      </c>
      <c r="C10" s="14">
        <f>VLOOKUP($B10,'MAIN DATA, Orders'!$B:$R,4,0)</f>
        <v>43668</v>
      </c>
      <c r="D10" s="83">
        <f>VLOOKUP($B10,'MAIN DATA, Orders'!$B:$R,5,0)</f>
        <v>2019</v>
      </c>
      <c r="E10" s="83">
        <f>VLOOKUP($B10,'MAIN DATA, Orders'!$B:$R,16,0)</f>
        <v>2019</v>
      </c>
      <c r="F10" s="83">
        <f>VLOOKUP($B10,'MAIN DATA, Orders'!$B:$R,17,0)</f>
        <v>2025</v>
      </c>
      <c r="G10" s="83">
        <f t="shared" si="4"/>
        <v>0</v>
      </c>
      <c r="H10" s="83">
        <f t="shared" si="5"/>
        <v>6</v>
      </c>
      <c r="I10" s="83">
        <f t="shared" si="6"/>
        <v>3</v>
      </c>
      <c r="J10" s="14"/>
      <c r="K10" s="83"/>
      <c r="L10" s="209">
        <v>44348</v>
      </c>
      <c r="M10" s="199">
        <f t="shared" ref="M10:M28" si="7">IFERROR(AVERAGEIFS($G:$G, $C:$C, "&gt;"&amp;EDATE($L10-DAY($L10)+1, -2), $C:$C, "&lt;="&amp;EOMONTH($L10, 0)), "")</f>
        <v>1</v>
      </c>
      <c r="N10" s="199">
        <f t="shared" ref="N10:N28" si="8">IFERROR(AVERAGEIFS($H:$H, $C:$C, "&gt;"&amp;EDATE($L10-DAY($L10)+1, -2), $C:$C, "&lt;="&amp;EOMONTH($L10, 0)), "")</f>
        <v>3</v>
      </c>
      <c r="O10" s="199">
        <f t="shared" ref="O10:O28" si="9">IFERROR(AVERAGEIFS($I:$I, $C:$C, "&gt;"&amp;EDATE($L10-DAY($L10)+1, -2), $C:$C, "&lt;="&amp;EOMONTH($L10, 0)), "")</f>
        <v>2</v>
      </c>
    </row>
    <row r="11" spans="2:15" x14ac:dyDescent="0.35">
      <c r="B11" s="147" t="s">
        <v>3349</v>
      </c>
      <c r="C11" s="14">
        <f>VLOOKUP($B11,'MAIN DATA, Orders'!$B:$R,4,0)</f>
        <v>43690</v>
      </c>
      <c r="D11" s="83">
        <f>VLOOKUP($B11,'MAIN DATA, Orders'!$B:$R,5,0)</f>
        <v>2019</v>
      </c>
      <c r="E11" s="83">
        <f>VLOOKUP($B11,'MAIN DATA, Orders'!$B:$R,16,0)</f>
        <v>2019</v>
      </c>
      <c r="F11" s="83">
        <f>VLOOKUP($B11,'MAIN DATA, Orders'!$B:$R,17,0)</f>
        <v>2020</v>
      </c>
      <c r="G11" s="83">
        <f t="shared" si="4"/>
        <v>0</v>
      </c>
      <c r="H11" s="83">
        <f t="shared" si="5"/>
        <v>1</v>
      </c>
      <c r="I11" s="83">
        <f t="shared" si="6"/>
        <v>0.5</v>
      </c>
      <c r="J11" s="83"/>
      <c r="K11" s="83"/>
      <c r="L11" s="209">
        <v>44440</v>
      </c>
      <c r="M11" s="199">
        <f t="shared" si="7"/>
        <v>3</v>
      </c>
      <c r="N11" s="199">
        <f t="shared" si="8"/>
        <v>8</v>
      </c>
      <c r="O11" s="199">
        <f t="shared" si="9"/>
        <v>5.5</v>
      </c>
    </row>
    <row r="12" spans="2:15" x14ac:dyDescent="0.35">
      <c r="B12" s="147" t="s">
        <v>3353</v>
      </c>
      <c r="C12" s="14">
        <f>VLOOKUP($B12,'MAIN DATA, Orders'!$B:$R,4,0)</f>
        <v>43724</v>
      </c>
      <c r="D12" s="83">
        <f>VLOOKUP($B12,'MAIN DATA, Orders'!$B:$R,5,0)</f>
        <v>2019</v>
      </c>
      <c r="E12" s="83">
        <f>VLOOKUP($B12,'MAIN DATA, Orders'!$B:$R,16,0)</f>
        <v>2021</v>
      </c>
      <c r="F12" s="83">
        <f>VLOOKUP($B12,'MAIN DATA, Orders'!$B:$R,17,0)</f>
        <v>2022</v>
      </c>
      <c r="G12" s="83">
        <f t="shared" si="4"/>
        <v>2</v>
      </c>
      <c r="H12" s="83">
        <f t="shared" si="5"/>
        <v>3</v>
      </c>
      <c r="I12" s="83">
        <f t="shared" si="6"/>
        <v>2.5</v>
      </c>
      <c r="J12" s="83"/>
      <c r="K12" s="83"/>
      <c r="L12" s="209">
        <v>44531</v>
      </c>
      <c r="M12" s="199">
        <f t="shared" si="7"/>
        <v>3</v>
      </c>
      <c r="N12" s="199">
        <f t="shared" si="8"/>
        <v>6</v>
      </c>
      <c r="O12" s="199">
        <f t="shared" si="9"/>
        <v>4.5</v>
      </c>
    </row>
    <row r="13" spans="2:15" x14ac:dyDescent="0.35">
      <c r="B13" s="147" t="s">
        <v>3370</v>
      </c>
      <c r="C13" s="14">
        <f>VLOOKUP($B13,'MAIN DATA, Orders'!$B:$R,4,0)</f>
        <v>43738</v>
      </c>
      <c r="D13" s="83">
        <f>VLOOKUP($B13,'MAIN DATA, Orders'!$B:$R,5,0)</f>
        <v>2019</v>
      </c>
      <c r="E13" s="83">
        <f>VLOOKUP($B13,'MAIN DATA, Orders'!$B:$R,16,0)</f>
        <v>2020</v>
      </c>
      <c r="F13" s="83">
        <f>VLOOKUP($B13,'MAIN DATA, Orders'!$B:$R,17,0)</f>
        <v>2022</v>
      </c>
      <c r="G13" s="83">
        <f t="shared" si="4"/>
        <v>1</v>
      </c>
      <c r="H13" s="83">
        <f t="shared" si="5"/>
        <v>3</v>
      </c>
      <c r="I13" s="83">
        <f t="shared" si="6"/>
        <v>2</v>
      </c>
      <c r="J13" s="14"/>
      <c r="K13" s="83"/>
      <c r="L13" s="209">
        <v>44713</v>
      </c>
      <c r="M13" s="199">
        <f t="shared" si="7"/>
        <v>4</v>
      </c>
      <c r="N13" s="199">
        <f t="shared" si="8"/>
        <v>5</v>
      </c>
      <c r="O13" s="199">
        <f t="shared" si="9"/>
        <v>4.5</v>
      </c>
    </row>
    <row r="14" spans="2:15" x14ac:dyDescent="0.35">
      <c r="B14" s="147" t="s">
        <v>3372</v>
      </c>
      <c r="C14" s="14">
        <f>VLOOKUP($B14,'MAIN DATA, Orders'!$B:$R,4,0)</f>
        <v>43738</v>
      </c>
      <c r="D14" s="83">
        <f>VLOOKUP($B14,'MAIN DATA, Orders'!$B:$R,5,0)</f>
        <v>2019</v>
      </c>
      <c r="E14" s="83">
        <f>VLOOKUP($B14,'MAIN DATA, Orders'!$B:$R,16,0)</f>
        <v>2020</v>
      </c>
      <c r="F14" s="83">
        <f>VLOOKUP($B14,'MAIN DATA, Orders'!$B:$R,17,0)</f>
        <v>2022</v>
      </c>
      <c r="G14" s="83">
        <f t="shared" si="4"/>
        <v>1</v>
      </c>
      <c r="H14" s="83">
        <f t="shared" si="5"/>
        <v>3</v>
      </c>
      <c r="I14" s="83">
        <f t="shared" si="6"/>
        <v>2</v>
      </c>
      <c r="J14" s="83"/>
      <c r="K14" s="83"/>
      <c r="L14" s="209">
        <v>44805</v>
      </c>
      <c r="M14" s="199">
        <f t="shared" si="7"/>
        <v>1</v>
      </c>
      <c r="N14" s="199">
        <f t="shared" si="8"/>
        <v>5</v>
      </c>
      <c r="O14" s="199">
        <f t="shared" si="9"/>
        <v>3</v>
      </c>
    </row>
    <row r="15" spans="2:15" x14ac:dyDescent="0.35">
      <c r="B15" s="147" t="s">
        <v>3381</v>
      </c>
      <c r="C15" s="14">
        <f>VLOOKUP($B15,'MAIN DATA, Orders'!$B:$R,4,0)</f>
        <v>43749</v>
      </c>
      <c r="D15" s="83">
        <f>VLOOKUP($B15,'MAIN DATA, Orders'!$B:$R,5,0)</f>
        <v>2019</v>
      </c>
      <c r="E15" s="83">
        <f>VLOOKUP($B15,'MAIN DATA, Orders'!$B:$R,16,0)</f>
        <v>2020</v>
      </c>
      <c r="F15" s="83">
        <f>VLOOKUP($B15,'MAIN DATA, Orders'!$B:$R,17,0)</f>
        <v>2021</v>
      </c>
      <c r="G15" s="83">
        <f t="shared" si="4"/>
        <v>1</v>
      </c>
      <c r="H15" s="83">
        <f t="shared" si="5"/>
        <v>2</v>
      </c>
      <c r="I15" s="83">
        <f t="shared" si="6"/>
        <v>1.5</v>
      </c>
      <c r="J15" s="83"/>
      <c r="K15" s="83"/>
      <c r="L15" s="209">
        <v>44896</v>
      </c>
      <c r="M15" s="199">
        <f t="shared" si="7"/>
        <v>0</v>
      </c>
      <c r="N15" s="199">
        <f t="shared" si="8"/>
        <v>3</v>
      </c>
      <c r="O15" s="199">
        <f t="shared" si="9"/>
        <v>1.5</v>
      </c>
    </row>
    <row r="16" spans="2:15" x14ac:dyDescent="0.35">
      <c r="B16" s="147" t="s">
        <v>3383</v>
      </c>
      <c r="C16" s="14">
        <f>VLOOKUP($B16,'MAIN DATA, Orders'!$B:$R,4,0)</f>
        <v>43749</v>
      </c>
      <c r="D16" s="83">
        <f>VLOOKUP($B16,'MAIN DATA, Orders'!$B:$R,5,0)</f>
        <v>2019</v>
      </c>
      <c r="E16" s="83">
        <f>VLOOKUP($B16,'MAIN DATA, Orders'!$B:$R,16,0)</f>
        <v>2020</v>
      </c>
      <c r="F16" s="83">
        <f>VLOOKUP($B16,'MAIN DATA, Orders'!$B:$R,17,0)</f>
        <v>2021</v>
      </c>
      <c r="G16" s="83">
        <f t="shared" si="4"/>
        <v>1</v>
      </c>
      <c r="H16" s="83">
        <f t="shared" si="5"/>
        <v>2</v>
      </c>
      <c r="I16" s="83">
        <f t="shared" si="6"/>
        <v>1.5</v>
      </c>
      <c r="J16" s="83"/>
      <c r="K16" s="83"/>
      <c r="L16" s="209">
        <v>44986</v>
      </c>
      <c r="M16" s="199">
        <f t="shared" si="7"/>
        <v>0.5</v>
      </c>
      <c r="N16" s="199">
        <f t="shared" si="8"/>
        <v>1</v>
      </c>
      <c r="O16" s="199">
        <f t="shared" si="9"/>
        <v>0.75</v>
      </c>
    </row>
    <row r="17" spans="2:15" x14ac:dyDescent="0.35">
      <c r="B17" s="147" t="s">
        <v>3385</v>
      </c>
      <c r="C17" s="14">
        <f>VLOOKUP($B17,'MAIN DATA, Orders'!$B:$R,4,0)</f>
        <v>43762</v>
      </c>
      <c r="D17" s="83">
        <f>VLOOKUP($B17,'MAIN DATA, Orders'!$B:$R,5,0)</f>
        <v>2019</v>
      </c>
      <c r="E17" s="83">
        <f>VLOOKUP($B17,'MAIN DATA, Orders'!$B:$R,16,0)</f>
        <v>2019</v>
      </c>
      <c r="F17" s="83">
        <f>VLOOKUP($B17,'MAIN DATA, Orders'!$B:$R,17,0)</f>
        <v>2020</v>
      </c>
      <c r="G17" s="83">
        <f t="shared" si="4"/>
        <v>0</v>
      </c>
      <c r="H17" s="83">
        <f t="shared" si="5"/>
        <v>1</v>
      </c>
      <c r="I17" s="83">
        <f t="shared" si="6"/>
        <v>0.5</v>
      </c>
      <c r="J17" s="83"/>
      <c r="K17" s="83"/>
      <c r="L17" s="209">
        <v>45078</v>
      </c>
      <c r="M17" s="199">
        <f t="shared" si="7"/>
        <v>3</v>
      </c>
      <c r="N17" s="199">
        <f t="shared" si="8"/>
        <v>5</v>
      </c>
      <c r="O17" s="199">
        <f t="shared" si="9"/>
        <v>4</v>
      </c>
    </row>
    <row r="18" spans="2:15" x14ac:dyDescent="0.35">
      <c r="B18" s="147" t="s">
        <v>3396</v>
      </c>
      <c r="C18" s="14">
        <f>VLOOKUP($B18,'MAIN DATA, Orders'!$B:$R,4,0)</f>
        <v>43861</v>
      </c>
      <c r="D18" s="83">
        <f>VLOOKUP($B18,'MAIN DATA, Orders'!$B:$R,5,0)</f>
        <v>2020</v>
      </c>
      <c r="E18" s="83">
        <f>VLOOKUP($B18,'MAIN DATA, Orders'!$B:$R,16,0)</f>
        <v>2024</v>
      </c>
      <c r="F18" s="83">
        <f>VLOOKUP($B18,'MAIN DATA, Orders'!$B:$R,17,0)</f>
        <v>2030</v>
      </c>
      <c r="G18" s="83">
        <f t="shared" si="4"/>
        <v>4</v>
      </c>
      <c r="H18" s="83">
        <f t="shared" si="5"/>
        <v>10</v>
      </c>
      <c r="I18" s="83">
        <f t="shared" si="6"/>
        <v>7</v>
      </c>
      <c r="J18" s="83"/>
      <c r="K18" s="83"/>
      <c r="L18" s="209">
        <v>45170</v>
      </c>
      <c r="M18" s="199">
        <f t="shared" si="7"/>
        <v>1</v>
      </c>
      <c r="N18" s="199">
        <f t="shared" si="8"/>
        <v>5.75</v>
      </c>
      <c r="O18" s="199">
        <f t="shared" si="9"/>
        <v>3.375</v>
      </c>
    </row>
    <row r="19" spans="2:15" x14ac:dyDescent="0.35">
      <c r="B19" s="83" t="s">
        <v>3405</v>
      </c>
      <c r="C19" s="14">
        <f>VLOOKUP($B19,'MAIN DATA, Orders'!$B:$R,4,0)</f>
        <v>43973</v>
      </c>
      <c r="D19" s="83">
        <f>VLOOKUP($B19,'MAIN DATA, Orders'!$B:$R,5,0)</f>
        <v>2020</v>
      </c>
      <c r="E19" s="83">
        <f>VLOOKUP($B19,'MAIN DATA, Orders'!$B:$R,16,0)</f>
        <v>2022</v>
      </c>
      <c r="F19" s="83">
        <f>VLOOKUP($B19,'MAIN DATA, Orders'!$B:$R,17,0)</f>
        <v>2024</v>
      </c>
      <c r="G19" s="83">
        <f t="shared" si="4"/>
        <v>2</v>
      </c>
      <c r="H19" s="83">
        <f t="shared" si="5"/>
        <v>4</v>
      </c>
      <c r="I19" s="83">
        <f t="shared" si="6"/>
        <v>3</v>
      </c>
      <c r="J19" s="83"/>
      <c r="K19" s="83"/>
      <c r="L19" s="209">
        <v>45261</v>
      </c>
      <c r="M19" s="199">
        <f t="shared" si="7"/>
        <v>2</v>
      </c>
      <c r="N19" s="199">
        <f t="shared" si="8"/>
        <v>4</v>
      </c>
      <c r="O19" s="199">
        <f t="shared" si="9"/>
        <v>3</v>
      </c>
    </row>
    <row r="20" spans="2:15" x14ac:dyDescent="0.35">
      <c r="B20" s="83" t="s">
        <v>3406</v>
      </c>
      <c r="C20" s="14">
        <f>VLOOKUP($B20,'MAIN DATA, Orders'!$B:$R,4,0)</f>
        <v>43973</v>
      </c>
      <c r="D20" s="83">
        <f>VLOOKUP($B20,'MAIN DATA, Orders'!$B:$R,5,0)</f>
        <v>2020</v>
      </c>
      <c r="E20" s="83">
        <f>VLOOKUP($B20,'MAIN DATA, Orders'!$B:$R,16,0)</f>
        <v>2022</v>
      </c>
      <c r="F20" s="83">
        <f>VLOOKUP($B20,'MAIN DATA, Orders'!$B:$R,17,0)</f>
        <v>2024</v>
      </c>
      <c r="G20" s="83">
        <f t="shared" si="4"/>
        <v>2</v>
      </c>
      <c r="H20" s="83">
        <f t="shared" si="5"/>
        <v>4</v>
      </c>
      <c r="I20" s="83">
        <f t="shared" si="6"/>
        <v>3</v>
      </c>
      <c r="J20" s="83"/>
      <c r="K20" s="83"/>
      <c r="L20" s="209">
        <v>45352</v>
      </c>
      <c r="M20" s="199">
        <f t="shared" si="7"/>
        <v>0</v>
      </c>
      <c r="N20" s="199">
        <f t="shared" si="8"/>
        <v>7</v>
      </c>
      <c r="O20" s="199">
        <f t="shared" si="9"/>
        <v>3.5</v>
      </c>
    </row>
    <row r="21" spans="2:15" x14ac:dyDescent="0.35">
      <c r="B21" s="147" t="s">
        <v>3407</v>
      </c>
      <c r="C21" s="14">
        <f>VLOOKUP($B21,'MAIN DATA, Orders'!$B:$R,4,0)</f>
        <v>44020</v>
      </c>
      <c r="D21" s="83">
        <f>VLOOKUP($B21,'MAIN DATA, Orders'!$B:$R,5,0)</f>
        <v>2020</v>
      </c>
      <c r="E21" s="83">
        <f>VLOOKUP($B21,'MAIN DATA, Orders'!$B:$R,16,0)</f>
        <v>2020</v>
      </c>
      <c r="F21" s="83">
        <f>VLOOKUP($B21,'MAIN DATA, Orders'!$B:$R,17,0)</f>
        <v>2026</v>
      </c>
      <c r="G21" s="83">
        <f t="shared" si="4"/>
        <v>0</v>
      </c>
      <c r="H21" s="83">
        <f t="shared" si="5"/>
        <v>6</v>
      </c>
      <c r="I21" s="83">
        <f t="shared" si="6"/>
        <v>3</v>
      </c>
      <c r="J21" s="14"/>
      <c r="K21" s="83"/>
      <c r="L21" s="209">
        <v>45444</v>
      </c>
      <c r="M21" s="199">
        <f t="shared" si="7"/>
        <v>1</v>
      </c>
      <c r="N21" s="199">
        <f t="shared" si="8"/>
        <v>4</v>
      </c>
      <c r="O21" s="199">
        <f t="shared" si="9"/>
        <v>2.5</v>
      </c>
    </row>
    <row r="22" spans="2:15" x14ac:dyDescent="0.35">
      <c r="B22" s="147" t="s">
        <v>3411</v>
      </c>
      <c r="C22" s="14">
        <f>VLOOKUP($B22,'MAIN DATA, Orders'!$B:$R,4,0)</f>
        <v>44088</v>
      </c>
      <c r="D22" s="83">
        <f>VLOOKUP($B22,'MAIN DATA, Orders'!$B:$R,5,0)</f>
        <v>2020</v>
      </c>
      <c r="E22" s="83">
        <f>VLOOKUP($B22,'MAIN DATA, Orders'!$B:$R,16,0)</f>
        <v>2020</v>
      </c>
      <c r="F22" s="83">
        <f>VLOOKUP($B22,'MAIN DATA, Orders'!$B:$R,17,0)</f>
        <v>2023</v>
      </c>
      <c r="G22" s="83">
        <f t="shared" si="4"/>
        <v>0</v>
      </c>
      <c r="H22" s="83">
        <f t="shared" si="5"/>
        <v>3</v>
      </c>
      <c r="I22" s="83">
        <f t="shared" si="6"/>
        <v>1.5</v>
      </c>
      <c r="J22" s="83"/>
      <c r="K22" s="83"/>
      <c r="L22" s="209">
        <v>45536</v>
      </c>
      <c r="M22" s="199">
        <f t="shared" si="7"/>
        <v>1</v>
      </c>
      <c r="N22" s="199">
        <f t="shared" si="8"/>
        <v>3.5</v>
      </c>
      <c r="O22" s="199">
        <f t="shared" si="9"/>
        <v>2.25</v>
      </c>
    </row>
    <row r="23" spans="2:15" x14ac:dyDescent="0.35">
      <c r="B23" s="147" t="s">
        <v>3416</v>
      </c>
      <c r="C23" s="14">
        <f>VLOOKUP($B23,'MAIN DATA, Orders'!$B:$R,4,0)</f>
        <v>44088</v>
      </c>
      <c r="D23" s="83">
        <f>VLOOKUP($B23,'MAIN DATA, Orders'!$B:$R,5,0)</f>
        <v>2020</v>
      </c>
      <c r="E23" s="83">
        <f>VLOOKUP($B23,'MAIN DATA, Orders'!$B:$R,16,0)</f>
        <v>2020</v>
      </c>
      <c r="F23" s="83">
        <f>VLOOKUP($B23,'MAIN DATA, Orders'!$B:$R,17,0)</f>
        <v>2023</v>
      </c>
      <c r="G23" s="83">
        <f t="shared" si="4"/>
        <v>0</v>
      </c>
      <c r="H23" s="83">
        <f t="shared" si="5"/>
        <v>3</v>
      </c>
      <c r="I23" s="83">
        <f t="shared" si="6"/>
        <v>1.5</v>
      </c>
      <c r="J23" s="14"/>
      <c r="K23" s="83"/>
      <c r="L23" s="209">
        <v>45627</v>
      </c>
      <c r="M23" s="199">
        <f t="shared" si="7"/>
        <v>2.2000000000000002</v>
      </c>
      <c r="N23" s="199">
        <f t="shared" si="8"/>
        <v>4</v>
      </c>
      <c r="O23" s="199">
        <f t="shared" si="9"/>
        <v>3.1</v>
      </c>
    </row>
    <row r="24" spans="2:15" x14ac:dyDescent="0.35">
      <c r="B24" s="147" t="s">
        <v>3427</v>
      </c>
      <c r="C24" s="14">
        <f>VLOOKUP($B24,'MAIN DATA, Orders'!$B:$R,4,0)</f>
        <v>44315</v>
      </c>
      <c r="D24" s="83">
        <f>VLOOKUP($B24,'MAIN DATA, Orders'!$B:$R,5,0)</f>
        <v>2021</v>
      </c>
      <c r="E24" s="83">
        <f>VLOOKUP($B24,'MAIN DATA, Orders'!$B:$R,16,0)</f>
        <v>2022</v>
      </c>
      <c r="F24" s="83">
        <f>VLOOKUP($B24,'MAIN DATA, Orders'!$B:$R,17,0)</f>
        <v>2024</v>
      </c>
      <c r="G24" s="83">
        <f t="shared" si="4"/>
        <v>1</v>
      </c>
      <c r="H24" s="83">
        <f t="shared" si="5"/>
        <v>3</v>
      </c>
      <c r="I24" s="83">
        <f t="shared" si="6"/>
        <v>2</v>
      </c>
      <c r="J24" s="83"/>
      <c r="K24" s="83"/>
      <c r="L24" s="209">
        <v>45717</v>
      </c>
      <c r="M24" s="199">
        <f t="shared" si="7"/>
        <v>1.6666666666666667</v>
      </c>
      <c r="N24" s="199">
        <f t="shared" si="8"/>
        <v>5.333333333333333</v>
      </c>
      <c r="O24" s="199">
        <f t="shared" si="9"/>
        <v>3.5</v>
      </c>
    </row>
    <row r="25" spans="2:15" x14ac:dyDescent="0.35">
      <c r="B25" s="147" t="s">
        <v>3436</v>
      </c>
      <c r="C25" s="14">
        <f>VLOOKUP($B25,'MAIN DATA, Orders'!$B:$R,4,0)</f>
        <v>44338</v>
      </c>
      <c r="D25" s="83">
        <f>VLOOKUP($B25,'MAIN DATA, Orders'!$B:$R,5,0)</f>
        <v>2021</v>
      </c>
      <c r="E25" s="83">
        <f>VLOOKUP($B25,'MAIN DATA, Orders'!$B:$R,16,0)</f>
        <v>2022</v>
      </c>
      <c r="F25" s="83">
        <f>VLOOKUP($B25,'MAIN DATA, Orders'!$B:$R,17,0)</f>
        <v>2024</v>
      </c>
      <c r="G25" s="83">
        <f t="shared" si="4"/>
        <v>1</v>
      </c>
      <c r="H25" s="83">
        <f t="shared" si="5"/>
        <v>3</v>
      </c>
      <c r="I25" s="83">
        <f t="shared" si="6"/>
        <v>2</v>
      </c>
      <c r="J25" s="83"/>
      <c r="K25" s="83"/>
      <c r="L25" s="209">
        <v>45809</v>
      </c>
      <c r="M25" s="199">
        <f t="shared" si="7"/>
        <v>0</v>
      </c>
      <c r="N25" s="199">
        <f t="shared" si="8"/>
        <v>0</v>
      </c>
      <c r="O25" s="199">
        <f t="shared" si="9"/>
        <v>0</v>
      </c>
    </row>
    <row r="26" spans="2:15" x14ac:dyDescent="0.35">
      <c r="B26" s="147" t="s">
        <v>3440</v>
      </c>
      <c r="C26" s="14">
        <f>VLOOKUP($B26,'MAIN DATA, Orders'!$B:$R,4,0)</f>
        <v>44340</v>
      </c>
      <c r="D26" s="83">
        <f>VLOOKUP($B26,'MAIN DATA, Orders'!$B:$R,5,0)</f>
        <v>2021</v>
      </c>
      <c r="E26" s="83">
        <f>VLOOKUP($B26,'MAIN DATA, Orders'!$B:$R,16,0)</f>
        <v>2022</v>
      </c>
      <c r="F26" s="83">
        <f>VLOOKUP($B26,'MAIN DATA, Orders'!$B:$R,17,0)</f>
        <v>2024</v>
      </c>
      <c r="G26" s="83">
        <f t="shared" si="4"/>
        <v>1</v>
      </c>
      <c r="H26" s="83">
        <f t="shared" si="5"/>
        <v>3</v>
      </c>
      <c r="I26" s="83">
        <f t="shared" si="6"/>
        <v>2</v>
      </c>
      <c r="J26" s="83"/>
      <c r="K26" s="83"/>
      <c r="L26" s="209">
        <v>45901</v>
      </c>
      <c r="M26" s="199">
        <f t="shared" si="7"/>
        <v>3</v>
      </c>
      <c r="N26" s="199">
        <f t="shared" si="8"/>
        <v>6.4444444444444446</v>
      </c>
      <c r="O26" s="199">
        <f t="shared" si="9"/>
        <v>4.7222222222222223</v>
      </c>
    </row>
    <row r="27" spans="2:15" x14ac:dyDescent="0.35">
      <c r="B27" s="147" t="s">
        <v>3445</v>
      </c>
      <c r="C27" s="14">
        <f>VLOOKUP($B27,'MAIN DATA, Orders'!$B:$R,4,0)</f>
        <v>44391</v>
      </c>
      <c r="D27" s="83">
        <f>VLOOKUP($B27,'MAIN DATA, Orders'!$B:$R,5,0)</f>
        <v>2021</v>
      </c>
      <c r="E27" s="83">
        <f>VLOOKUP($B27,'MAIN DATA, Orders'!$B:$R,16,0)</f>
        <v>2022</v>
      </c>
      <c r="F27" s="83">
        <f>VLOOKUP($B27,'MAIN DATA, Orders'!$B:$R,17,0)</f>
        <v>2026</v>
      </c>
      <c r="G27" s="83">
        <f t="shared" si="4"/>
        <v>1</v>
      </c>
      <c r="H27" s="83">
        <f t="shared" si="5"/>
        <v>5</v>
      </c>
      <c r="I27" s="83">
        <f t="shared" si="6"/>
        <v>3</v>
      </c>
      <c r="J27" s="83"/>
      <c r="K27" s="83"/>
      <c r="L27" s="209">
        <v>45992</v>
      </c>
      <c r="M27" s="199">
        <f t="shared" si="7"/>
        <v>5</v>
      </c>
      <c r="N27" s="199">
        <f t="shared" si="8"/>
        <v>6</v>
      </c>
      <c r="O27" s="199">
        <f t="shared" si="9"/>
        <v>5.5</v>
      </c>
    </row>
    <row r="28" spans="2:15" x14ac:dyDescent="0.35">
      <c r="B28" s="147" t="s">
        <v>3452</v>
      </c>
      <c r="C28" s="14">
        <f>VLOOKUP($B28,'MAIN DATA, Orders'!$B:$R,4,0)</f>
        <v>44404</v>
      </c>
      <c r="D28" s="83">
        <f>VLOOKUP($B28,'MAIN DATA, Orders'!$B:$R,5,0)</f>
        <v>2021</v>
      </c>
      <c r="E28" s="83">
        <f>VLOOKUP($B28,'MAIN DATA, Orders'!$B:$R,16,0)</f>
        <v>2026</v>
      </c>
      <c r="F28" s="83">
        <f>VLOOKUP($B28,'MAIN DATA, Orders'!$B:$R,17,0)</f>
        <v>2032</v>
      </c>
      <c r="G28" s="83">
        <f t="shared" si="4"/>
        <v>5</v>
      </c>
      <c r="H28" s="83">
        <f t="shared" si="5"/>
        <v>11</v>
      </c>
      <c r="I28" s="83">
        <f t="shared" si="6"/>
        <v>8</v>
      </c>
      <c r="J28" s="83"/>
      <c r="K28" s="83"/>
      <c r="L28" s="209">
        <v>45717</v>
      </c>
      <c r="M28" s="199">
        <f t="shared" si="7"/>
        <v>1.6666666666666667</v>
      </c>
      <c r="N28" s="199">
        <f t="shared" si="8"/>
        <v>5.333333333333333</v>
      </c>
      <c r="O28" s="199">
        <f t="shared" si="9"/>
        <v>3.5</v>
      </c>
    </row>
    <row r="29" spans="2:15" x14ac:dyDescent="0.35">
      <c r="B29" s="147" t="s">
        <v>3473</v>
      </c>
      <c r="C29" s="14">
        <f>VLOOKUP($B29,'MAIN DATA, Orders'!$B:$R,4,0)</f>
        <v>44559</v>
      </c>
      <c r="D29" s="83">
        <f>VLOOKUP($B29,'MAIN DATA, Orders'!$B:$R,5,0)</f>
        <v>2021</v>
      </c>
      <c r="E29" s="83">
        <f>VLOOKUP($B29,'MAIN DATA, Orders'!$B:$R,16,0)</f>
        <v>2024</v>
      </c>
      <c r="F29" s="83">
        <f>VLOOKUP($B29,'MAIN DATA, Orders'!$B:$R,17,0)</f>
        <v>2027</v>
      </c>
      <c r="G29" s="83">
        <f t="shared" si="4"/>
        <v>3</v>
      </c>
      <c r="H29" s="83">
        <f t="shared" si="5"/>
        <v>6</v>
      </c>
      <c r="I29" s="83">
        <f t="shared" si="6"/>
        <v>4.5</v>
      </c>
      <c r="J29" s="83"/>
      <c r="K29" s="83"/>
    </row>
    <row r="30" spans="2:15" x14ac:dyDescent="0.35">
      <c r="B30" s="147" t="s">
        <v>3494</v>
      </c>
      <c r="C30" s="14">
        <f>VLOOKUP($B30,'MAIN DATA, Orders'!$B:$R,4,0)</f>
        <v>44738</v>
      </c>
      <c r="D30" s="83">
        <f>VLOOKUP($B30,'MAIN DATA, Orders'!$B:$R,5,0)</f>
        <v>2022</v>
      </c>
      <c r="E30" s="83">
        <f>VLOOKUP($B30,'MAIN DATA, Orders'!$B:$R,16,0)</f>
        <v>2026</v>
      </c>
      <c r="F30" s="83">
        <f>VLOOKUP($B30,'MAIN DATA, Orders'!$B:$R,17,0)</f>
        <v>2027</v>
      </c>
      <c r="G30" s="83">
        <f t="shared" si="4"/>
        <v>4</v>
      </c>
      <c r="H30" s="83">
        <f t="shared" si="5"/>
        <v>5</v>
      </c>
      <c r="I30" s="83">
        <f t="shared" si="6"/>
        <v>4.5</v>
      </c>
      <c r="J30" s="83"/>
      <c r="K30" s="83"/>
    </row>
    <row r="31" spans="2:15" x14ac:dyDescent="0.35">
      <c r="B31" s="147" t="s">
        <v>3502</v>
      </c>
      <c r="C31" s="14">
        <f>VLOOKUP($B31,'MAIN DATA, Orders'!$B:$R,4,0)</f>
        <v>44743</v>
      </c>
      <c r="D31" s="83">
        <f>VLOOKUP($B31,'MAIN DATA, Orders'!$B:$R,5,0)</f>
        <v>2022</v>
      </c>
      <c r="E31" s="83">
        <f>VLOOKUP($B31,'MAIN DATA, Orders'!$B:$R,16,0)</f>
        <v>2023</v>
      </c>
      <c r="F31" s="83">
        <f>VLOOKUP($B31,'MAIN DATA, Orders'!$B:$R,17,0)</f>
        <v>2029</v>
      </c>
      <c r="G31" s="83">
        <f t="shared" si="4"/>
        <v>1</v>
      </c>
      <c r="H31" s="83">
        <f t="shared" si="5"/>
        <v>7</v>
      </c>
      <c r="I31" s="83">
        <f t="shared" si="6"/>
        <v>4</v>
      </c>
      <c r="J31" s="83"/>
      <c r="K31" s="83"/>
      <c r="L31" s="209"/>
      <c r="M31" s="28" t="str">
        <f t="shared" ref="M31" si="10">IFERROR(AVERAGEIFS($G:$G, $C:$C, "&gt;"&amp;EDATE($L31-DAY($L31)+1, -2), $C:$C, "&lt;="&amp;EOMONTH($L31, 0)), "")</f>
        <v/>
      </c>
      <c r="N31" s="28" t="str">
        <f t="shared" ref="N31" si="11">IFERROR(AVERAGEIFS($H:$H, $C:$C, "&gt;"&amp;EDATE($L31-DAY($L31)+1, -2), $C:$C, "&lt;="&amp;EOMONTH($L31, 0)), "")</f>
        <v/>
      </c>
      <c r="O31" s="28" t="str">
        <f t="shared" ref="O31" si="12">IFERROR(AVERAGEIFS($I:$I, $C:$C, "&gt;"&amp;EDATE($L31-DAY($L31)+1, -2), $C:$C, "&lt;="&amp;EOMONTH($L31, 0)), "")</f>
        <v/>
      </c>
    </row>
    <row r="32" spans="2:15" x14ac:dyDescent="0.35">
      <c r="B32" s="147" t="s">
        <v>3507</v>
      </c>
      <c r="C32" s="14">
        <f>VLOOKUP($B32,'MAIN DATA, Orders'!$B:$R,4,0)</f>
        <v>44747</v>
      </c>
      <c r="D32" s="83">
        <f>VLOOKUP($B32,'MAIN DATA, Orders'!$B:$R,5,0)</f>
        <v>2022</v>
      </c>
      <c r="E32" s="83">
        <f>VLOOKUP($B32,'MAIN DATA, Orders'!$B:$R,16,0)</f>
        <v>2023</v>
      </c>
      <c r="F32" s="83">
        <f>VLOOKUP($B32,'MAIN DATA, Orders'!$B:$R,17,0)</f>
        <v>2027</v>
      </c>
      <c r="G32" s="83">
        <f t="shared" si="4"/>
        <v>1</v>
      </c>
      <c r="H32" s="83">
        <f t="shared" si="5"/>
        <v>5</v>
      </c>
      <c r="I32" s="83">
        <f t="shared" si="6"/>
        <v>3</v>
      </c>
      <c r="J32" s="83"/>
      <c r="K32" s="83"/>
      <c r="L32" s="209"/>
      <c r="M32" s="83"/>
      <c r="N32" s="83"/>
      <c r="O32" s="83"/>
    </row>
    <row r="33" spans="2:9" x14ac:dyDescent="0.35">
      <c r="B33" s="147" t="s">
        <v>3513</v>
      </c>
      <c r="C33" s="14">
        <f>VLOOKUP($B33,'MAIN DATA, Orders'!$B:$R,4,0)</f>
        <v>44769</v>
      </c>
      <c r="D33" s="83">
        <f>VLOOKUP($B33,'MAIN DATA, Orders'!$B:$R,5,0)</f>
        <v>2022</v>
      </c>
      <c r="E33" s="83">
        <f>VLOOKUP($B33,'MAIN DATA, Orders'!$B:$R,16,0)</f>
        <v>2023</v>
      </c>
      <c r="F33" s="83">
        <f>VLOOKUP($B33,'MAIN DATA, Orders'!$B:$R,17,0)</f>
        <v>2026</v>
      </c>
      <c r="G33" s="83">
        <f t="shared" si="4"/>
        <v>1</v>
      </c>
      <c r="H33" s="83">
        <f t="shared" si="5"/>
        <v>4</v>
      </c>
      <c r="I33" s="83">
        <f t="shared" si="6"/>
        <v>2.5</v>
      </c>
    </row>
    <row r="34" spans="2:9" x14ac:dyDescent="0.35">
      <c r="B34" s="147" t="s">
        <v>3546</v>
      </c>
      <c r="C34" s="14">
        <f>VLOOKUP($B34,'MAIN DATA, Orders'!$B:$R,4,0)</f>
        <v>44820</v>
      </c>
      <c r="D34" s="83">
        <f>VLOOKUP($B34,'MAIN DATA, Orders'!$B:$R,5,0)</f>
        <v>2022</v>
      </c>
      <c r="E34" s="83">
        <f>VLOOKUP($B34,'MAIN DATA, Orders'!$B:$R,16,0)</f>
        <v>2023</v>
      </c>
      <c r="F34" s="83">
        <f>VLOOKUP($B34,'MAIN DATA, Orders'!$B:$R,17,0)</f>
        <v>2028</v>
      </c>
      <c r="G34" s="83">
        <f t="shared" si="4"/>
        <v>1</v>
      </c>
      <c r="H34" s="83">
        <f t="shared" si="5"/>
        <v>6</v>
      </c>
      <c r="I34" s="83">
        <f t="shared" si="6"/>
        <v>3.5</v>
      </c>
    </row>
    <row r="35" spans="2:9" x14ac:dyDescent="0.35">
      <c r="B35" s="147" t="s">
        <v>3554</v>
      </c>
      <c r="C35" s="14">
        <f>VLOOKUP($B35,'MAIN DATA, Orders'!$B:$R,4,0)</f>
        <v>44849</v>
      </c>
      <c r="D35" s="83">
        <f>VLOOKUP($B35,'MAIN DATA, Orders'!$B:$R,5,0)</f>
        <v>2022</v>
      </c>
      <c r="E35" s="83">
        <f>VLOOKUP($B35,'MAIN DATA, Orders'!$B:$R,16,0)</f>
        <v>2022</v>
      </c>
      <c r="F35" s="83">
        <f>VLOOKUP($B35,'MAIN DATA, Orders'!$B:$R,17,0)</f>
        <v>2025</v>
      </c>
      <c r="G35" s="83">
        <f t="shared" si="4"/>
        <v>0</v>
      </c>
      <c r="H35" s="83">
        <f t="shared" si="5"/>
        <v>3</v>
      </c>
      <c r="I35" s="83">
        <f t="shared" si="6"/>
        <v>1.5</v>
      </c>
    </row>
    <row r="36" spans="2:9" x14ac:dyDescent="0.35">
      <c r="B36" s="147" t="s">
        <v>3578</v>
      </c>
      <c r="C36" s="14">
        <f>VLOOKUP($B36,'MAIN DATA, Orders'!$B:$R,4,0)</f>
        <v>44930</v>
      </c>
      <c r="D36" s="83">
        <f>VLOOKUP($B36,'MAIN DATA, Orders'!$B:$R,5,0)</f>
        <v>2023</v>
      </c>
      <c r="E36" s="83">
        <f>VLOOKUP($B36,'MAIN DATA, Orders'!$B:$R,16,0)</f>
        <v>2023</v>
      </c>
      <c r="F36" s="83">
        <f>VLOOKUP($B36,'MAIN DATA, Orders'!$B:$R,17,0)</f>
        <v>2024</v>
      </c>
      <c r="G36" s="83">
        <f t="shared" si="4"/>
        <v>0</v>
      </c>
      <c r="H36" s="83">
        <f t="shared" si="5"/>
        <v>1</v>
      </c>
      <c r="I36" s="83">
        <f t="shared" si="6"/>
        <v>0.5</v>
      </c>
    </row>
    <row r="37" spans="2:9" x14ac:dyDescent="0.35">
      <c r="B37" s="147" t="s">
        <v>3587</v>
      </c>
      <c r="C37" s="14">
        <f>VLOOKUP($B37,'MAIN DATA, Orders'!$B:$R,4,0)</f>
        <v>44981</v>
      </c>
      <c r="D37" s="83">
        <f>VLOOKUP($B37,'MAIN DATA, Orders'!$B:$R,5,0)</f>
        <v>2023</v>
      </c>
      <c r="E37" s="83">
        <f>VLOOKUP($B37,'MAIN DATA, Orders'!$B:$R,16,0)</f>
        <v>2024</v>
      </c>
      <c r="F37" s="83">
        <f>VLOOKUP($B37,'MAIN DATA, Orders'!$B:$R,17,0)</f>
        <v>2024</v>
      </c>
      <c r="G37" s="83">
        <f t="shared" si="4"/>
        <v>1</v>
      </c>
      <c r="H37" s="83">
        <f t="shared" si="5"/>
        <v>1</v>
      </c>
      <c r="I37" s="83">
        <f t="shared" si="6"/>
        <v>1</v>
      </c>
    </row>
    <row r="38" spans="2:9" x14ac:dyDescent="0.35">
      <c r="B38" s="147" t="s">
        <v>3595</v>
      </c>
      <c r="C38" s="14">
        <f>VLOOKUP($B38,'MAIN DATA, Orders'!$B:$R,4,0)</f>
        <v>45091</v>
      </c>
      <c r="D38" s="83">
        <f>VLOOKUP($B38,'MAIN DATA, Orders'!$B:$R,5,0)</f>
        <v>2023</v>
      </c>
      <c r="E38" s="83">
        <f>VLOOKUP($B38,'MAIN DATA, Orders'!$B:$R,16,0)</f>
        <v>2026</v>
      </c>
      <c r="F38" s="83">
        <f>VLOOKUP($B38,'MAIN DATA, Orders'!$B:$R,17,0)</f>
        <v>2028</v>
      </c>
      <c r="G38" s="83">
        <f t="shared" si="4"/>
        <v>3</v>
      </c>
      <c r="H38" s="83">
        <f t="shared" si="5"/>
        <v>5</v>
      </c>
      <c r="I38" s="83">
        <f t="shared" si="6"/>
        <v>4</v>
      </c>
    </row>
    <row r="39" spans="2:9" x14ac:dyDescent="0.35">
      <c r="B39" s="147" t="s">
        <v>3600</v>
      </c>
      <c r="C39" s="14">
        <f>VLOOKUP($B39,'MAIN DATA, Orders'!$B:$R,4,0)</f>
        <v>45132</v>
      </c>
      <c r="D39" s="83">
        <f>VLOOKUP($B39,'MAIN DATA, Orders'!$B:$R,5,0)</f>
        <v>2023</v>
      </c>
      <c r="E39" s="83">
        <f>VLOOKUP($B39,'MAIN DATA, Orders'!$B:$R,16,0)</f>
        <v>2023</v>
      </c>
      <c r="F39" s="83">
        <f>VLOOKUP($B39,'MAIN DATA, Orders'!$B:$R,17,0)</f>
        <v>2025</v>
      </c>
      <c r="G39" s="83">
        <f t="shared" si="4"/>
        <v>0</v>
      </c>
      <c r="H39" s="83">
        <f t="shared" si="5"/>
        <v>2</v>
      </c>
      <c r="I39" s="83">
        <f t="shared" si="6"/>
        <v>1</v>
      </c>
    </row>
    <row r="40" spans="2:9" x14ac:dyDescent="0.35">
      <c r="B40" s="147" t="s">
        <v>3606</v>
      </c>
      <c r="C40" s="14">
        <f>VLOOKUP($B40,'MAIN DATA, Orders'!$B:$R,4,0)</f>
        <v>45152</v>
      </c>
      <c r="D40" s="83">
        <f>VLOOKUP($B40,'MAIN DATA, Orders'!$B:$R,5,0)</f>
        <v>2023</v>
      </c>
      <c r="E40" s="83">
        <f>VLOOKUP($B40,'MAIN DATA, Orders'!$B:$R,16,0)</f>
        <v>2024</v>
      </c>
      <c r="F40" s="83">
        <f>VLOOKUP($B40,'MAIN DATA, Orders'!$B:$R,17,0)</f>
        <v>2030</v>
      </c>
      <c r="G40" s="83">
        <f t="shared" si="4"/>
        <v>1</v>
      </c>
      <c r="H40" s="83">
        <f t="shared" si="5"/>
        <v>7</v>
      </c>
      <c r="I40" s="83">
        <f t="shared" si="6"/>
        <v>4</v>
      </c>
    </row>
    <row r="41" spans="2:9" x14ac:dyDescent="0.35">
      <c r="B41" s="147" t="s">
        <v>3624</v>
      </c>
      <c r="C41" s="14">
        <f>VLOOKUP($B41,'MAIN DATA, Orders'!$B:$R,4,0)</f>
        <v>45174</v>
      </c>
      <c r="D41" s="83">
        <f>VLOOKUP($B41,'MAIN DATA, Orders'!$B:$R,5,0)</f>
        <v>2023</v>
      </c>
      <c r="E41" s="83">
        <f>VLOOKUP($B41,'MAIN DATA, Orders'!$B:$R,16,0)</f>
        <v>2026</v>
      </c>
      <c r="F41" s="83">
        <f>VLOOKUP($B41,'MAIN DATA, Orders'!$B:$R,17,0)</f>
        <v>2032</v>
      </c>
      <c r="G41" s="83">
        <f t="shared" si="4"/>
        <v>3</v>
      </c>
      <c r="H41" s="83">
        <f t="shared" si="5"/>
        <v>9</v>
      </c>
      <c r="I41" s="83">
        <f t="shared" si="6"/>
        <v>6</v>
      </c>
    </row>
    <row r="42" spans="2:9" x14ac:dyDescent="0.35">
      <c r="B42" s="147" t="s">
        <v>3632</v>
      </c>
      <c r="C42" s="14">
        <f>VLOOKUP($B42,'MAIN DATA, Orders'!$B:$R,4,0)</f>
        <v>45194</v>
      </c>
      <c r="D42" s="83">
        <f>VLOOKUP($B42,'MAIN DATA, Orders'!$B:$R,5,0)</f>
        <v>2023</v>
      </c>
      <c r="E42" s="83">
        <f>VLOOKUP($B42,'MAIN DATA, Orders'!$B:$R,16,0)</f>
        <v>2023</v>
      </c>
      <c r="F42" s="83">
        <f>VLOOKUP($B42,'MAIN DATA, Orders'!$B:$R,17,0)</f>
        <v>2028</v>
      </c>
      <c r="G42" s="83">
        <f t="shared" si="4"/>
        <v>0</v>
      </c>
      <c r="H42" s="83">
        <f t="shared" si="5"/>
        <v>5</v>
      </c>
      <c r="I42" s="83">
        <f t="shared" si="6"/>
        <v>2.5</v>
      </c>
    </row>
    <row r="43" spans="2:9" x14ac:dyDescent="0.35">
      <c r="B43" s="147" t="s">
        <v>3648</v>
      </c>
      <c r="C43" s="14">
        <f>VLOOKUP($B43,'MAIN DATA, Orders'!$B:$R,4,0)</f>
        <v>45268</v>
      </c>
      <c r="D43" s="83">
        <f>VLOOKUP($B43,'MAIN DATA, Orders'!$B:$R,5,0)</f>
        <v>2023</v>
      </c>
      <c r="E43" s="83">
        <f>VLOOKUP($B43,'MAIN DATA, Orders'!$B:$R,16,0)</f>
        <v>2025</v>
      </c>
      <c r="F43" s="83">
        <f>VLOOKUP($B43,'MAIN DATA, Orders'!$B:$R,17,0)</f>
        <v>2027</v>
      </c>
      <c r="G43" s="83">
        <f t="shared" si="4"/>
        <v>2</v>
      </c>
      <c r="H43" s="83">
        <f t="shared" si="5"/>
        <v>4</v>
      </c>
      <c r="I43" s="83">
        <f t="shared" si="6"/>
        <v>3</v>
      </c>
    </row>
    <row r="44" spans="2:9" x14ac:dyDescent="0.35">
      <c r="B44" s="147" t="s">
        <v>3664</v>
      </c>
      <c r="C44" s="14">
        <f>VLOOKUP($B44,'MAIN DATA, Orders'!$B:$R,4,0)</f>
        <v>45351</v>
      </c>
      <c r="D44" s="83">
        <f>VLOOKUP($B44,'MAIN DATA, Orders'!$B:$R,5,0)</f>
        <v>2024</v>
      </c>
      <c r="E44" s="83">
        <f>VLOOKUP($B44,'MAIN DATA, Orders'!$B:$R,16,0)</f>
        <v>2024</v>
      </c>
      <c r="F44" s="83">
        <f>VLOOKUP($B44,'MAIN DATA, Orders'!$B:$R,17,0)</f>
        <v>2031</v>
      </c>
      <c r="G44" s="83">
        <f t="shared" si="4"/>
        <v>0</v>
      </c>
      <c r="H44" s="83">
        <f t="shared" si="5"/>
        <v>7</v>
      </c>
      <c r="I44" s="83">
        <f t="shared" si="6"/>
        <v>3.5</v>
      </c>
    </row>
    <row r="45" spans="2:9" x14ac:dyDescent="0.35">
      <c r="B45" s="147" t="s">
        <v>3678</v>
      </c>
      <c r="C45" s="14">
        <f>VLOOKUP($B45,'MAIN DATA, Orders'!$B:$R,4,0)</f>
        <v>45399</v>
      </c>
      <c r="D45" s="83">
        <f>VLOOKUP($B45,'MAIN DATA, Orders'!$B:$R,5,0)</f>
        <v>2024</v>
      </c>
      <c r="E45" s="83">
        <f>VLOOKUP($B45,'MAIN DATA, Orders'!$B:$R,16,0)</f>
        <v>2024</v>
      </c>
      <c r="F45" s="83">
        <f>VLOOKUP($B45,'MAIN DATA, Orders'!$B:$R,17,0)</f>
        <v>2026</v>
      </c>
      <c r="G45" s="83">
        <f t="shared" si="4"/>
        <v>0</v>
      </c>
      <c r="H45" s="83">
        <f t="shared" si="5"/>
        <v>2</v>
      </c>
      <c r="I45" s="83">
        <f t="shared" si="6"/>
        <v>1</v>
      </c>
    </row>
    <row r="46" spans="2:9" x14ac:dyDescent="0.35">
      <c r="B46" s="147" t="s">
        <v>3700</v>
      </c>
      <c r="C46" s="14">
        <f>VLOOKUP($B46,'MAIN DATA, Orders'!$B:$R,4,0)</f>
        <v>45440</v>
      </c>
      <c r="D46" s="83">
        <f>VLOOKUP($B46,'MAIN DATA, Orders'!$B:$R,5,0)</f>
        <v>2024</v>
      </c>
      <c r="E46" s="83">
        <f>VLOOKUP($B46,'MAIN DATA, Orders'!$B:$R,16,0)</f>
        <v>2026</v>
      </c>
      <c r="F46" s="83">
        <f>VLOOKUP($B46,'MAIN DATA, Orders'!$B:$R,17,0)</f>
        <v>2030</v>
      </c>
      <c r="G46" s="83">
        <f t="shared" si="4"/>
        <v>2</v>
      </c>
      <c r="H46" s="83">
        <f t="shared" si="5"/>
        <v>6</v>
      </c>
      <c r="I46" s="83">
        <f t="shared" si="6"/>
        <v>4</v>
      </c>
    </row>
    <row r="47" spans="2:9" x14ac:dyDescent="0.35">
      <c r="B47" s="147" t="s">
        <v>3704</v>
      </c>
      <c r="C47" s="14">
        <f>VLOOKUP($B47,'MAIN DATA, Orders'!$B:$R,4,0)</f>
        <v>45477</v>
      </c>
      <c r="D47" s="83">
        <f>VLOOKUP($B47,'MAIN DATA, Orders'!$B:$R,5,0)</f>
        <v>2024</v>
      </c>
      <c r="E47" s="83">
        <f>VLOOKUP($B47,'MAIN DATA, Orders'!$B:$R,16,0)</f>
        <v>2024</v>
      </c>
      <c r="F47" s="83">
        <f>VLOOKUP($B47,'MAIN DATA, Orders'!$B:$R,17,0)</f>
        <v>2029</v>
      </c>
      <c r="G47" s="83">
        <f t="shared" si="4"/>
        <v>0</v>
      </c>
      <c r="H47" s="83">
        <f t="shared" si="5"/>
        <v>5</v>
      </c>
      <c r="I47" s="83">
        <f t="shared" si="6"/>
        <v>2.5</v>
      </c>
    </row>
    <row r="48" spans="2:9" x14ac:dyDescent="0.35">
      <c r="B48" s="147" t="s">
        <v>3710</v>
      </c>
      <c r="C48" s="14">
        <f>VLOOKUP($B48,'MAIN DATA, Orders'!$B:$R,4,0)</f>
        <v>45481</v>
      </c>
      <c r="D48" s="83">
        <f>VLOOKUP($B48,'MAIN DATA, Orders'!$B:$R,5,0)</f>
        <v>2024</v>
      </c>
      <c r="E48" s="83">
        <f>VLOOKUP($B48,'MAIN DATA, Orders'!$B:$R,16,0)</f>
        <v>2026</v>
      </c>
      <c r="F48" s="83">
        <f>VLOOKUP($B48,'MAIN DATA, Orders'!$B:$R,17,0)</f>
        <v>2027</v>
      </c>
      <c r="G48" s="83">
        <f t="shared" si="4"/>
        <v>2</v>
      </c>
      <c r="H48" s="83">
        <f t="shared" si="5"/>
        <v>3</v>
      </c>
      <c r="I48" s="83">
        <f t="shared" si="6"/>
        <v>2.5</v>
      </c>
    </row>
    <row r="49" spans="2:9" x14ac:dyDescent="0.35">
      <c r="B49" s="147" t="s">
        <v>3734</v>
      </c>
      <c r="C49" s="14">
        <f>VLOOKUP($B49,'MAIN DATA, Orders'!$B:$R,4,0)</f>
        <v>45518</v>
      </c>
      <c r="D49" s="83">
        <f>VLOOKUP($B49,'MAIN DATA, Orders'!$B:$R,5,0)</f>
        <v>2024</v>
      </c>
      <c r="E49" s="83">
        <f>VLOOKUP($B49,'MAIN DATA, Orders'!$B:$R,16,0)</f>
        <v>2026</v>
      </c>
      <c r="F49" s="83">
        <f>VLOOKUP($B49,'MAIN DATA, Orders'!$B:$R,17,0)</f>
        <v>2028</v>
      </c>
      <c r="G49" s="83">
        <f t="shared" si="4"/>
        <v>2</v>
      </c>
      <c r="H49" s="83">
        <f t="shared" si="5"/>
        <v>4</v>
      </c>
      <c r="I49" s="83">
        <f t="shared" si="6"/>
        <v>3</v>
      </c>
    </row>
    <row r="50" spans="2:9" x14ac:dyDescent="0.35">
      <c r="B50" s="147" t="s">
        <v>3743</v>
      </c>
      <c r="C50" s="14">
        <f>VLOOKUP($B50,'MAIN DATA, Orders'!$B:$R,4,0)</f>
        <v>45539</v>
      </c>
      <c r="D50" s="83">
        <f>VLOOKUP($B50,'MAIN DATA, Orders'!$B:$R,5,0)</f>
        <v>2024</v>
      </c>
      <c r="E50" s="83">
        <f>VLOOKUP($B50,'MAIN DATA, Orders'!$B:$R,16,0)</f>
        <v>2024</v>
      </c>
      <c r="F50" s="83">
        <f>VLOOKUP($B50,'MAIN DATA, Orders'!$B:$R,17,0)</f>
        <v>2026</v>
      </c>
      <c r="G50" s="83">
        <f t="shared" si="4"/>
        <v>0</v>
      </c>
      <c r="H50" s="83">
        <f t="shared" si="5"/>
        <v>2</v>
      </c>
      <c r="I50" s="83">
        <f t="shared" si="6"/>
        <v>1</v>
      </c>
    </row>
    <row r="51" spans="2:9" x14ac:dyDescent="0.35">
      <c r="B51" s="147" t="s">
        <v>3746</v>
      </c>
      <c r="C51" s="14">
        <f>VLOOKUP($B51,'MAIN DATA, Orders'!$B:$R,4,0)</f>
        <v>45604</v>
      </c>
      <c r="D51" s="83">
        <f>VLOOKUP($B51,'MAIN DATA, Orders'!$B:$R,5,0)</f>
        <v>2024</v>
      </c>
      <c r="E51" s="83">
        <f>VLOOKUP($B51,'MAIN DATA, Orders'!$B:$R,16,0)</f>
        <v>2027</v>
      </c>
      <c r="F51" s="83">
        <f>VLOOKUP($B51,'MAIN DATA, Orders'!$B:$R,17,0)</f>
        <v>2028</v>
      </c>
      <c r="G51" s="83">
        <f t="shared" si="4"/>
        <v>3</v>
      </c>
      <c r="H51" s="83">
        <f t="shared" si="5"/>
        <v>4</v>
      </c>
      <c r="I51" s="83">
        <f t="shared" si="6"/>
        <v>3.5</v>
      </c>
    </row>
    <row r="52" spans="2:9" x14ac:dyDescent="0.35">
      <c r="B52" s="147" t="s">
        <v>3751</v>
      </c>
      <c r="C52" s="14">
        <f>VLOOKUP($B52,'MAIN DATA, Orders'!$B:$R,4,0)</f>
        <v>45611</v>
      </c>
      <c r="D52" s="83">
        <f>VLOOKUP($B52,'MAIN DATA, Orders'!$B:$R,5,0)</f>
        <v>2024</v>
      </c>
      <c r="E52" s="83">
        <f>VLOOKUP($B52,'MAIN DATA, Orders'!$B:$R,16,0)</f>
        <v>2024</v>
      </c>
      <c r="F52" s="83">
        <f>VLOOKUP($B52,'MAIN DATA, Orders'!$B:$R,17,0)</f>
        <v>2024</v>
      </c>
      <c r="G52" s="83">
        <f t="shared" si="4"/>
        <v>0</v>
      </c>
      <c r="H52" s="83">
        <f t="shared" si="5"/>
        <v>0</v>
      </c>
      <c r="I52" s="83">
        <f t="shared" si="6"/>
        <v>0</v>
      </c>
    </row>
    <row r="53" spans="2:9" x14ac:dyDescent="0.35">
      <c r="B53" s="147" t="s">
        <v>3754</v>
      </c>
      <c r="C53" s="14">
        <f>VLOOKUP($B53,'MAIN DATA, Orders'!$B:$R,4,0)</f>
        <v>45625</v>
      </c>
      <c r="D53" s="83">
        <f>VLOOKUP($B53,'MAIN DATA, Orders'!$B:$R,5,0)</f>
        <v>2024</v>
      </c>
      <c r="E53" s="83">
        <f>VLOOKUP($B53,'MAIN DATA, Orders'!$B:$R,16,0)</f>
        <v>2028</v>
      </c>
      <c r="F53" s="83">
        <f>VLOOKUP($B53,'MAIN DATA, Orders'!$B:$R,17,0)</f>
        <v>2030</v>
      </c>
      <c r="G53" s="83">
        <f t="shared" si="4"/>
        <v>4</v>
      </c>
      <c r="H53" s="83">
        <f t="shared" si="5"/>
        <v>6</v>
      </c>
      <c r="I53" s="83">
        <f t="shared" si="6"/>
        <v>5</v>
      </c>
    </row>
    <row r="54" spans="2:9" x14ac:dyDescent="0.35">
      <c r="B54" s="147" t="s">
        <v>3760</v>
      </c>
      <c r="C54" s="14">
        <f>VLOOKUP($B54,'MAIN DATA, Orders'!$B:$R,4,0)</f>
        <v>45630</v>
      </c>
      <c r="D54" s="83">
        <f>VLOOKUP($B54,'MAIN DATA, Orders'!$B:$R,5,0)</f>
        <v>2024</v>
      </c>
      <c r="E54" s="83">
        <f>VLOOKUP($B54,'MAIN DATA, Orders'!$B:$R,16,0)</f>
        <v>2026</v>
      </c>
      <c r="F54" s="83">
        <f>VLOOKUP($B54,'MAIN DATA, Orders'!$B:$R,17,0)</f>
        <v>2028</v>
      </c>
      <c r="G54" s="83">
        <f t="shared" si="4"/>
        <v>2</v>
      </c>
      <c r="H54" s="83">
        <f t="shared" si="5"/>
        <v>4</v>
      </c>
      <c r="I54" s="83">
        <f t="shared" si="6"/>
        <v>3</v>
      </c>
    </row>
    <row r="55" spans="2:9" x14ac:dyDescent="0.35">
      <c r="B55" s="147" t="s">
        <v>3767</v>
      </c>
      <c r="C55" s="14">
        <f>VLOOKUP($B55,'MAIN DATA, Orders'!$B:$R,4,0)</f>
        <v>45638</v>
      </c>
      <c r="D55" s="83">
        <f>VLOOKUP($B55,'MAIN DATA, Orders'!$B:$R,5,0)</f>
        <v>2024</v>
      </c>
      <c r="E55" s="83">
        <f>VLOOKUP($B55,'MAIN DATA, Orders'!$B:$R,16,0)</f>
        <v>2027</v>
      </c>
      <c r="F55" s="83">
        <f>VLOOKUP($B55,'MAIN DATA, Orders'!$B:$R,17,0)</f>
        <v>2027</v>
      </c>
      <c r="G55" s="83">
        <f t="shared" si="4"/>
        <v>3</v>
      </c>
      <c r="H55" s="83">
        <f t="shared" si="5"/>
        <v>3</v>
      </c>
      <c r="I55" s="83">
        <f t="shared" si="6"/>
        <v>3</v>
      </c>
    </row>
    <row r="56" spans="2:9" x14ac:dyDescent="0.35">
      <c r="B56" s="147" t="s">
        <v>3773</v>
      </c>
      <c r="C56" s="14">
        <f>VLOOKUP($B56,'MAIN DATA, Orders'!$B:$R,4,0)</f>
        <v>45639</v>
      </c>
      <c r="D56" s="83">
        <f>VLOOKUP($B56,'MAIN DATA, Orders'!$B:$R,5,0)</f>
        <v>2024</v>
      </c>
      <c r="E56" s="83">
        <f>VLOOKUP($B56,'MAIN DATA, Orders'!$B:$R,16,0)</f>
        <v>2025</v>
      </c>
      <c r="F56" s="83">
        <f>VLOOKUP($B56,'MAIN DATA, Orders'!$B:$R,17,0)</f>
        <v>2033</v>
      </c>
      <c r="G56" s="83">
        <f t="shared" si="4"/>
        <v>1</v>
      </c>
      <c r="H56" s="83">
        <f t="shared" si="5"/>
        <v>9</v>
      </c>
      <c r="I56" s="83">
        <f t="shared" si="6"/>
        <v>5</v>
      </c>
    </row>
    <row r="57" spans="2:9" x14ac:dyDescent="0.35">
      <c r="B57" s="147" t="s">
        <v>3780</v>
      </c>
      <c r="C57" s="14">
        <f>VLOOKUP($B57,'MAIN DATA, Orders'!$B:$R,4,0)</f>
        <v>45643</v>
      </c>
      <c r="D57" s="83">
        <f>VLOOKUP($B57,'MAIN DATA, Orders'!$B:$R,5,0)</f>
        <v>2024</v>
      </c>
      <c r="E57" s="83">
        <f>VLOOKUP($B57,'MAIN DATA, Orders'!$B:$R,16,0)</f>
        <v>2027</v>
      </c>
      <c r="F57" s="83">
        <f>VLOOKUP($B57,'MAIN DATA, Orders'!$B:$R,17,0)</f>
        <v>2028</v>
      </c>
      <c r="G57" s="83">
        <f t="shared" si="4"/>
        <v>3</v>
      </c>
      <c r="H57" s="83">
        <f t="shared" si="5"/>
        <v>4</v>
      </c>
      <c r="I57" s="83">
        <f t="shared" si="6"/>
        <v>3.5</v>
      </c>
    </row>
    <row r="58" spans="2:9" x14ac:dyDescent="0.35">
      <c r="B58" s="147" t="s">
        <v>3795</v>
      </c>
      <c r="C58" s="14">
        <f>VLOOKUP($B58,'MAIN DATA, Orders'!$B:$R,4,0)</f>
        <v>45646</v>
      </c>
      <c r="D58" s="83">
        <f>VLOOKUP($B58,'MAIN DATA, Orders'!$B:$R,5,0)</f>
        <v>2024</v>
      </c>
      <c r="E58" s="83">
        <f>VLOOKUP($B58,'MAIN DATA, Orders'!$B:$R,16,0)</f>
        <v>2026</v>
      </c>
      <c r="F58" s="83">
        <f>VLOOKUP($B58,'MAIN DATA, Orders'!$B:$R,17,0)</f>
        <v>2027</v>
      </c>
      <c r="G58" s="83">
        <f t="shared" si="4"/>
        <v>2</v>
      </c>
      <c r="H58" s="83">
        <f t="shared" si="5"/>
        <v>3</v>
      </c>
      <c r="I58" s="83">
        <f t="shared" si="6"/>
        <v>2.5</v>
      </c>
    </row>
    <row r="59" spans="2:9" x14ac:dyDescent="0.35">
      <c r="B59" s="147" t="s">
        <v>3810</v>
      </c>
      <c r="C59" s="14">
        <f>VLOOKUP($B59,'MAIN DATA, Orders'!$B:$R,4,0)</f>
        <v>45650</v>
      </c>
      <c r="D59" s="83">
        <f>VLOOKUP($B59,'MAIN DATA, Orders'!$B:$R,5,0)</f>
        <v>2024</v>
      </c>
      <c r="E59" s="83">
        <f>VLOOKUP($B59,'MAIN DATA, Orders'!$B:$R,16,0)</f>
        <v>2025</v>
      </c>
      <c r="F59" s="83">
        <f>VLOOKUP($B59,'MAIN DATA, Orders'!$B:$R,17,0)</f>
        <v>2028</v>
      </c>
      <c r="G59" s="83">
        <f t="shared" si="4"/>
        <v>1</v>
      </c>
      <c r="H59" s="83">
        <f t="shared" si="5"/>
        <v>4</v>
      </c>
      <c r="I59" s="83">
        <f t="shared" si="6"/>
        <v>2.5</v>
      </c>
    </row>
    <row r="60" spans="2:9" x14ac:dyDescent="0.35">
      <c r="B60" s="147" t="s">
        <v>3816</v>
      </c>
      <c r="C60" s="14">
        <f>VLOOKUP($B60,'MAIN DATA, Orders'!$B:$R,4,0)</f>
        <v>45653</v>
      </c>
      <c r="D60" s="83">
        <f>VLOOKUP($B60,'MAIN DATA, Orders'!$B:$R,5,0)</f>
        <v>2024</v>
      </c>
      <c r="E60" s="83">
        <f>VLOOKUP($B60,'MAIN DATA, Orders'!$B:$R,16,0)</f>
        <v>2027</v>
      </c>
      <c r="F60" s="83">
        <f>VLOOKUP($B60,'MAIN DATA, Orders'!$B:$R,17,0)</f>
        <v>2027</v>
      </c>
      <c r="G60" s="83">
        <f t="shared" si="4"/>
        <v>3</v>
      </c>
      <c r="H60" s="83">
        <f t="shared" si="5"/>
        <v>3</v>
      </c>
      <c r="I60" s="83">
        <f t="shared" si="6"/>
        <v>3</v>
      </c>
    </row>
    <row r="61" spans="2:9" x14ac:dyDescent="0.35">
      <c r="B61" s="147" t="s">
        <v>3821</v>
      </c>
      <c r="C61" s="14">
        <f>VLOOKUP($B61,'MAIN DATA, Orders'!$B:$R,4,0)</f>
        <v>45685</v>
      </c>
      <c r="D61" s="83">
        <f>VLOOKUP($B61,'MAIN DATA, Orders'!$B:$R,5,0)</f>
        <v>2025</v>
      </c>
      <c r="E61" s="83">
        <f>VLOOKUP($B61,'MAIN DATA, Orders'!$B:$R,16,0)</f>
        <v>2029</v>
      </c>
      <c r="F61" s="83">
        <f>VLOOKUP($B61,'MAIN DATA, Orders'!$B:$R,17,0)</f>
        <v>2035</v>
      </c>
      <c r="G61" s="83">
        <f t="shared" si="4"/>
        <v>4</v>
      </c>
      <c r="H61" s="83">
        <f t="shared" si="5"/>
        <v>10</v>
      </c>
      <c r="I61" s="83">
        <f t="shared" si="6"/>
        <v>7</v>
      </c>
    </row>
    <row r="62" spans="2:9" x14ac:dyDescent="0.35">
      <c r="B62" s="147" t="s">
        <v>3831</v>
      </c>
      <c r="C62" s="14">
        <f>VLOOKUP($B62,'MAIN DATA, Orders'!$B:$R,4,0)</f>
        <v>45723</v>
      </c>
      <c r="D62" s="83">
        <f>VLOOKUP($B62,'MAIN DATA, Orders'!$B:$R,5,0)</f>
        <v>2025</v>
      </c>
      <c r="E62" s="83">
        <f>VLOOKUP($B62,'MAIN DATA, Orders'!$B:$R,16,0)</f>
        <v>2026</v>
      </c>
      <c r="F62" s="83">
        <f>VLOOKUP($B62,'MAIN DATA, Orders'!$B:$R,17,0)</f>
        <v>2027</v>
      </c>
      <c r="G62" s="83">
        <f t="shared" si="4"/>
        <v>1</v>
      </c>
      <c r="H62" s="83">
        <f t="shared" si="5"/>
        <v>2</v>
      </c>
      <c r="I62" s="83">
        <f t="shared" si="6"/>
        <v>1.5</v>
      </c>
    </row>
    <row r="63" spans="2:9" x14ac:dyDescent="0.35">
      <c r="B63" s="147" t="s">
        <v>3843</v>
      </c>
      <c r="C63" s="14">
        <f>VLOOKUP($B63,'MAIN DATA, Orders'!$B:$R,4,0)</f>
        <v>45743</v>
      </c>
      <c r="D63" s="83">
        <f>VLOOKUP($B63,'MAIN DATA, Orders'!$B:$R,5,0)</f>
        <v>2025</v>
      </c>
      <c r="E63" s="83">
        <f>VLOOKUP($B63,'MAIN DATA, Orders'!$B:$R,16,0)</f>
        <v>2025</v>
      </c>
      <c r="F63" s="83">
        <f>VLOOKUP($B63,'MAIN DATA, Orders'!$B:$R,17,0)</f>
        <v>2029</v>
      </c>
      <c r="G63" s="83">
        <f t="shared" si="4"/>
        <v>0</v>
      </c>
      <c r="H63" s="83">
        <f t="shared" si="5"/>
        <v>4</v>
      </c>
      <c r="I63" s="83">
        <f t="shared" si="6"/>
        <v>2</v>
      </c>
    </row>
    <row r="64" spans="2:9" x14ac:dyDescent="0.35">
      <c r="B64" s="147" t="s">
        <v>3854</v>
      </c>
      <c r="C64" s="14">
        <f>VLOOKUP($B64,'MAIN DATA, Orders'!$B:$R,4,0)</f>
        <v>45791</v>
      </c>
      <c r="D64" s="83">
        <f>VLOOKUP($B64,'MAIN DATA, Orders'!$B:$R,5,0)</f>
        <v>2025</v>
      </c>
      <c r="E64" s="83">
        <f>VLOOKUP($B64,'MAIN DATA, Orders'!$B:$R,16,0)</f>
        <v>2025</v>
      </c>
      <c r="F64" s="83">
        <f>VLOOKUP($B64,'MAIN DATA, Orders'!$B:$R,17,0)</f>
        <v>2025</v>
      </c>
      <c r="G64" s="83">
        <f t="shared" si="4"/>
        <v>0</v>
      </c>
      <c r="H64" s="83">
        <f t="shared" si="5"/>
        <v>0</v>
      </c>
      <c r="I64" s="83">
        <f t="shared" si="6"/>
        <v>0</v>
      </c>
    </row>
    <row r="65" spans="2:9" x14ac:dyDescent="0.35">
      <c r="B65" s="147" t="s">
        <v>3872</v>
      </c>
      <c r="C65" s="14">
        <f>VLOOKUP($B65,'MAIN DATA, Orders'!$B:$R,4,0)</f>
        <v>45841</v>
      </c>
      <c r="D65" s="83">
        <f>VLOOKUP($B65,'MAIN DATA, Orders'!$B:$R,5,0)</f>
        <v>2025</v>
      </c>
      <c r="E65" s="83">
        <f>VLOOKUP($B65,'MAIN DATA, Orders'!$B:$R,16,0)</f>
        <v>2026</v>
      </c>
      <c r="F65" s="83">
        <f>VLOOKUP($B65,'MAIN DATA, Orders'!$B:$R,17,0)</f>
        <v>2027</v>
      </c>
      <c r="G65" s="83">
        <f t="shared" si="4"/>
        <v>1</v>
      </c>
      <c r="H65" s="83">
        <f t="shared" si="5"/>
        <v>2</v>
      </c>
      <c r="I65" s="83">
        <f t="shared" si="6"/>
        <v>1.5</v>
      </c>
    </row>
    <row r="66" spans="2:9" x14ac:dyDescent="0.35">
      <c r="B66" s="147" t="s">
        <v>3888</v>
      </c>
      <c r="C66" s="14">
        <f>VLOOKUP($B66,'MAIN DATA, Orders'!$B:$R,4,0)</f>
        <v>45870</v>
      </c>
      <c r="D66" s="83">
        <f>VLOOKUP($B66,'MAIN DATA, Orders'!$B:$R,5,0)</f>
        <v>2025</v>
      </c>
      <c r="E66" s="83">
        <f>VLOOKUP($B66,'MAIN DATA, Orders'!$B:$R,16,0)</f>
        <v>2026</v>
      </c>
      <c r="F66" s="83">
        <f>VLOOKUP($B66,'MAIN DATA, Orders'!$B:$R,17,0)</f>
        <v>2027</v>
      </c>
      <c r="G66" s="83">
        <f t="shared" si="4"/>
        <v>1</v>
      </c>
      <c r="H66" s="83">
        <f t="shared" si="5"/>
        <v>2</v>
      </c>
      <c r="I66" s="83">
        <f t="shared" si="6"/>
        <v>1.5</v>
      </c>
    </row>
    <row r="67" spans="2:9" x14ac:dyDescent="0.35">
      <c r="B67" s="147" t="s">
        <v>3890</v>
      </c>
      <c r="C67" s="14">
        <f>VLOOKUP($B67,'MAIN DATA, Orders'!$B:$R,4,0)</f>
        <v>45870</v>
      </c>
      <c r="D67" s="83">
        <f>VLOOKUP($B67,'MAIN DATA, Orders'!$B:$R,5,0)</f>
        <v>2025</v>
      </c>
      <c r="E67" s="83">
        <f>VLOOKUP($B67,'MAIN DATA, Orders'!$B:$R,16,0)</f>
        <v>2028</v>
      </c>
      <c r="F67" s="83">
        <f>VLOOKUP($B67,'MAIN DATA, Orders'!$B:$R,17,0)</f>
        <v>2030</v>
      </c>
      <c r="G67" s="83">
        <f t="shared" si="4"/>
        <v>3</v>
      </c>
      <c r="H67" s="83">
        <f t="shared" si="5"/>
        <v>5</v>
      </c>
      <c r="I67" s="83">
        <f t="shared" si="6"/>
        <v>4</v>
      </c>
    </row>
    <row r="68" spans="2:9" x14ac:dyDescent="0.35">
      <c r="B68" s="147" t="s">
        <v>3892</v>
      </c>
      <c r="C68" s="14">
        <f>VLOOKUP($B68,'MAIN DATA, Orders'!$B:$R,4,0)</f>
        <v>45870</v>
      </c>
      <c r="D68" s="83">
        <f>VLOOKUP($B68,'MAIN DATA, Orders'!$B:$R,5,0)</f>
        <v>2025</v>
      </c>
      <c r="E68" s="83">
        <f>VLOOKUP($B68,'MAIN DATA, Orders'!$B:$R,16,0)</f>
        <v>2029</v>
      </c>
      <c r="F68" s="83">
        <f>VLOOKUP($B68,'MAIN DATA, Orders'!$B:$R,17,0)</f>
        <v>2031</v>
      </c>
      <c r="G68" s="83">
        <f t="shared" si="4"/>
        <v>4</v>
      </c>
      <c r="H68" s="83">
        <f t="shared" si="5"/>
        <v>6</v>
      </c>
      <c r="I68" s="83">
        <f t="shared" si="6"/>
        <v>5</v>
      </c>
    </row>
    <row r="69" spans="2:9" x14ac:dyDescent="0.35">
      <c r="B69" s="147" t="s">
        <v>3895</v>
      </c>
      <c r="C69" s="14">
        <f>VLOOKUP($B69,'MAIN DATA, Orders'!$B:$R,4,0)</f>
        <v>45870</v>
      </c>
      <c r="D69" s="83">
        <f>VLOOKUP($B69,'MAIN DATA, Orders'!$B:$R,5,0)</f>
        <v>2025</v>
      </c>
      <c r="E69" s="83">
        <f>VLOOKUP($B69,'MAIN DATA, Orders'!$B:$R,16,0)</f>
        <v>2029</v>
      </c>
      <c r="F69" s="83">
        <f>VLOOKUP($B69,'MAIN DATA, Orders'!$B:$R,17,0)</f>
        <v>2031</v>
      </c>
      <c r="G69" s="83">
        <f t="shared" si="4"/>
        <v>4</v>
      </c>
      <c r="H69" s="83">
        <f t="shared" si="5"/>
        <v>6</v>
      </c>
      <c r="I69" s="83">
        <f t="shared" si="6"/>
        <v>5</v>
      </c>
    </row>
    <row r="70" spans="2:9" x14ac:dyDescent="0.35">
      <c r="B70" s="147" t="s">
        <v>3898</v>
      </c>
      <c r="C70" s="14">
        <f>VLOOKUP($B70,'MAIN DATA, Orders'!$B:$R,4,0)</f>
        <v>45870</v>
      </c>
      <c r="D70" s="83">
        <f>VLOOKUP($B70,'MAIN DATA, Orders'!$B:$R,5,0)</f>
        <v>2025</v>
      </c>
      <c r="E70" s="83">
        <f>VLOOKUP($B70,'MAIN DATA, Orders'!$B:$R,16,0)</f>
        <v>2029</v>
      </c>
      <c r="F70" s="83">
        <f>VLOOKUP($B70,'MAIN DATA, Orders'!$B:$R,17,0)</f>
        <v>2031</v>
      </c>
      <c r="G70" s="83">
        <f t="shared" si="4"/>
        <v>4</v>
      </c>
      <c r="H70" s="83">
        <f t="shared" si="5"/>
        <v>6</v>
      </c>
      <c r="I70" s="83">
        <f t="shared" si="6"/>
        <v>5</v>
      </c>
    </row>
    <row r="71" spans="2:9" x14ac:dyDescent="0.35">
      <c r="B71" s="147" t="s">
        <v>3902</v>
      </c>
      <c r="C71" s="14">
        <f>VLOOKUP($B71,'MAIN DATA, Orders'!$B:$R,4,0)</f>
        <v>45882</v>
      </c>
      <c r="D71" s="83">
        <f>VLOOKUP($B71,'MAIN DATA, Orders'!$B:$R,5,0)</f>
        <v>2025</v>
      </c>
      <c r="E71" s="83">
        <f>VLOOKUP($B71,'MAIN DATA, Orders'!$B:$R,16,0)</f>
        <v>2028</v>
      </c>
      <c r="F71" s="83">
        <f>VLOOKUP($B71,'MAIN DATA, Orders'!$B:$R,17,0)</f>
        <v>2038</v>
      </c>
      <c r="G71" s="83">
        <f t="shared" si="4"/>
        <v>3</v>
      </c>
      <c r="H71" s="83">
        <f t="shared" si="5"/>
        <v>13</v>
      </c>
      <c r="I71" s="83">
        <f t="shared" si="6"/>
        <v>8</v>
      </c>
    </row>
    <row r="72" spans="2:9" x14ac:dyDescent="0.35">
      <c r="B72" s="147" t="s">
        <v>3907</v>
      </c>
      <c r="C72" s="14">
        <f>VLOOKUP($B72,'MAIN DATA, Orders'!$B:$R,4,0)</f>
        <v>45902</v>
      </c>
      <c r="D72" s="83">
        <f>VLOOKUP($B72,'MAIN DATA, Orders'!$B:$R,5,0)</f>
        <v>2025</v>
      </c>
      <c r="E72" s="83">
        <f>VLOOKUP($B72,'MAIN DATA, Orders'!$B:$R,16,0)</f>
        <v>2030</v>
      </c>
      <c r="F72" s="83">
        <f>VLOOKUP($B72,'MAIN DATA, Orders'!$B:$R,17,0)</f>
        <v>2038</v>
      </c>
      <c r="G72" s="83">
        <f t="shared" ref="G72:G74" si="13">E72-D72</f>
        <v>5</v>
      </c>
      <c r="H72" s="83">
        <f t="shared" ref="H72:H74" si="14">F72-D72</f>
        <v>13</v>
      </c>
      <c r="I72" s="83">
        <f t="shared" ref="I72:I74" si="15">AVERAGE(G72:H72)</f>
        <v>9</v>
      </c>
    </row>
    <row r="73" spans="2:9" x14ac:dyDescent="0.35">
      <c r="B73" s="147" t="s">
        <v>3923</v>
      </c>
      <c r="C73" s="14">
        <f>VLOOKUP($B73,'MAIN DATA, Orders'!$B:$R,4,0)</f>
        <v>45924</v>
      </c>
      <c r="D73" s="83">
        <f>VLOOKUP($B73,'MAIN DATA, Orders'!$B:$R,5,0)</f>
        <v>2025</v>
      </c>
      <c r="E73" s="83">
        <f>VLOOKUP($B73,'MAIN DATA, Orders'!$B:$R,16,0)</f>
        <v>2027</v>
      </c>
      <c r="F73" s="83">
        <f>VLOOKUP($B73,'MAIN DATA, Orders'!$B:$R,17,0)</f>
        <v>2030</v>
      </c>
      <c r="G73" s="83">
        <f t="shared" si="13"/>
        <v>2</v>
      </c>
      <c r="H73" s="83">
        <f t="shared" si="14"/>
        <v>5</v>
      </c>
      <c r="I73" s="83">
        <f t="shared" si="15"/>
        <v>3.5</v>
      </c>
    </row>
    <row r="74" spans="2:9" x14ac:dyDescent="0.35">
      <c r="B74" s="147" t="s">
        <v>3946</v>
      </c>
      <c r="C74" s="14">
        <f>VLOOKUP($B74,'MAIN DATA, Orders'!$B:$R,4,0)</f>
        <v>45988</v>
      </c>
      <c r="D74" s="83">
        <f>VLOOKUP($B74,'MAIN DATA, Orders'!$B:$R,5,0)</f>
        <v>2025</v>
      </c>
      <c r="E74" s="83">
        <f>VLOOKUP($B74,'MAIN DATA, Orders'!$B:$R,16,0)</f>
        <v>2030</v>
      </c>
      <c r="F74" s="83">
        <f>VLOOKUP($B74,'MAIN DATA, Orders'!$B:$R,17,0)</f>
        <v>2031</v>
      </c>
      <c r="G74" s="83">
        <f t="shared" si="13"/>
        <v>5</v>
      </c>
      <c r="H74" s="83">
        <f t="shared" si="14"/>
        <v>6</v>
      </c>
      <c r="I74" s="83">
        <f t="shared" si="15"/>
        <v>5.5</v>
      </c>
    </row>
    <row r="75" spans="2:9" x14ac:dyDescent="0.35">
      <c r="B75" s="169"/>
      <c r="C75" s="170"/>
      <c r="D75" s="171"/>
      <c r="E75" s="171"/>
      <c r="F75" s="171"/>
      <c r="G75" s="171"/>
      <c r="H75" s="171"/>
      <c r="I75" s="171"/>
    </row>
    <row r="76" spans="2:9" x14ac:dyDescent="0.35">
      <c r="B76" s="83"/>
      <c r="C76" s="14"/>
      <c r="D76" s="83"/>
      <c r="E76" s="83"/>
      <c r="F76" s="83"/>
      <c r="G76" s="83"/>
      <c r="H76" s="83"/>
      <c r="I76" s="83"/>
    </row>
    <row r="77" spans="2:9" x14ac:dyDescent="0.35">
      <c r="B77" s="83"/>
      <c r="C77" s="14"/>
      <c r="D77" s="83"/>
      <c r="E77" s="83"/>
      <c r="F77" s="83"/>
      <c r="G77" s="83"/>
      <c r="H77" s="83"/>
      <c r="I77" s="83"/>
    </row>
    <row r="83" spans="2:9" x14ac:dyDescent="0.35">
      <c r="B83" s="27"/>
      <c r="C83" s="14"/>
      <c r="D83" s="83"/>
      <c r="E83" s="83"/>
      <c r="F83" s="83"/>
      <c r="G83" s="83"/>
      <c r="H83" s="83"/>
      <c r="I83" s="83"/>
    </row>
    <row r="84" spans="2:9" x14ac:dyDescent="0.35">
      <c r="B84" s="27"/>
      <c r="C84" s="14"/>
      <c r="D84" s="83"/>
      <c r="E84" s="83"/>
      <c r="F84" s="83"/>
      <c r="G84" s="83"/>
      <c r="H84" s="83"/>
      <c r="I84" s="83"/>
    </row>
    <row r="85" spans="2:9" x14ac:dyDescent="0.35">
      <c r="B85" s="27"/>
      <c r="C85" s="14"/>
      <c r="D85" s="83"/>
      <c r="E85" s="83"/>
      <c r="F85" s="83"/>
      <c r="G85" s="83"/>
      <c r="H85" s="83"/>
      <c r="I85" s="83"/>
    </row>
    <row r="86" spans="2:9" x14ac:dyDescent="0.35">
      <c r="B86" s="27"/>
      <c r="C86" s="14"/>
      <c r="D86" s="83"/>
      <c r="E86" s="83"/>
      <c r="F86" s="83"/>
      <c r="G86" s="83"/>
      <c r="H86" s="83"/>
      <c r="I86" s="83"/>
    </row>
    <row r="87" spans="2:9" x14ac:dyDescent="0.35">
      <c r="B87" s="27"/>
      <c r="C87" s="14"/>
      <c r="D87" s="83"/>
      <c r="E87" s="83"/>
      <c r="F87" s="83"/>
      <c r="G87" s="83"/>
      <c r="H87" s="83"/>
      <c r="I87" s="83"/>
    </row>
    <row r="88" spans="2:9" x14ac:dyDescent="0.35">
      <c r="B88" s="27"/>
      <c r="C88" s="14"/>
      <c r="D88" s="83"/>
      <c r="E88" s="83"/>
      <c r="F88" s="83"/>
      <c r="G88" s="83"/>
      <c r="H88" s="83"/>
      <c r="I88" s="83"/>
    </row>
    <row r="89" spans="2:9" x14ac:dyDescent="0.35">
      <c r="B89" s="27"/>
      <c r="C89" s="14"/>
      <c r="D89" s="83"/>
      <c r="E89" s="83"/>
      <c r="F89" s="83"/>
      <c r="G89" s="83"/>
      <c r="H89" s="83"/>
      <c r="I89" s="83"/>
    </row>
    <row r="90" spans="2:9" x14ac:dyDescent="0.35">
      <c r="B90" s="27"/>
      <c r="C90" s="14"/>
      <c r="D90" s="83"/>
      <c r="E90" s="83"/>
      <c r="F90" s="83"/>
      <c r="G90" s="83"/>
      <c r="H90" s="83"/>
      <c r="I90" s="83"/>
    </row>
    <row r="91" spans="2:9" x14ac:dyDescent="0.35">
      <c r="B91" s="27"/>
      <c r="C91" s="14"/>
      <c r="D91" s="83"/>
      <c r="E91" s="83"/>
      <c r="F91" s="83"/>
      <c r="G91" s="83"/>
      <c r="H91" s="83"/>
      <c r="I91" s="83"/>
    </row>
    <row r="92" spans="2:9" x14ac:dyDescent="0.35">
      <c r="B92" s="27"/>
      <c r="C92" s="14"/>
      <c r="D92" s="83"/>
      <c r="E92" s="83"/>
      <c r="F92" s="83"/>
      <c r="G92" s="83"/>
      <c r="H92" s="83"/>
      <c r="I92" s="83"/>
    </row>
    <row r="93" spans="2:9" x14ac:dyDescent="0.35">
      <c r="B93" s="27"/>
      <c r="C93" s="14"/>
      <c r="D93" s="83"/>
      <c r="E93" s="83"/>
      <c r="F93" s="83"/>
      <c r="G93" s="83"/>
      <c r="H93" s="83"/>
      <c r="I93" s="83"/>
    </row>
    <row r="94" spans="2:9" x14ac:dyDescent="0.35">
      <c r="B94" s="27"/>
      <c r="C94" s="14"/>
      <c r="D94" s="83"/>
      <c r="E94" s="83"/>
      <c r="F94" s="83"/>
      <c r="G94" s="83"/>
      <c r="H94" s="83"/>
      <c r="I94" s="83"/>
    </row>
    <row r="95" spans="2:9" x14ac:dyDescent="0.35">
      <c r="B95" s="27"/>
      <c r="C95" s="14"/>
      <c r="D95" s="83"/>
      <c r="E95" s="83"/>
      <c r="F95" s="83"/>
      <c r="G95" s="83"/>
      <c r="H95" s="83"/>
      <c r="I95" s="83"/>
    </row>
    <row r="96" spans="2:9" x14ac:dyDescent="0.35">
      <c r="B96" s="27"/>
      <c r="C96" s="14"/>
      <c r="D96" s="83"/>
      <c r="E96" s="83"/>
      <c r="F96" s="83"/>
      <c r="G96" s="83"/>
      <c r="H96" s="83"/>
      <c r="I96" s="83"/>
    </row>
    <row r="97" spans="2:9" x14ac:dyDescent="0.35">
      <c r="B97" s="27"/>
      <c r="C97" s="14"/>
      <c r="D97" s="83"/>
      <c r="E97" s="83"/>
      <c r="F97" s="83"/>
      <c r="G97" s="83"/>
      <c r="H97" s="83"/>
      <c r="I97" s="83"/>
    </row>
    <row r="98" spans="2:9" x14ac:dyDescent="0.35">
      <c r="B98" s="27"/>
      <c r="C98" s="14"/>
      <c r="D98" s="83"/>
      <c r="E98" s="83"/>
      <c r="F98" s="83"/>
      <c r="G98" s="83"/>
      <c r="H98" s="83"/>
      <c r="I98" s="83"/>
    </row>
    <row r="99" spans="2:9" x14ac:dyDescent="0.35">
      <c r="B99" s="27"/>
      <c r="C99" s="14"/>
      <c r="D99" s="83"/>
      <c r="E99" s="83"/>
      <c r="F99" s="83"/>
      <c r="G99" s="83"/>
      <c r="H99" s="83"/>
      <c r="I99" s="83"/>
    </row>
    <row r="100" spans="2:9" x14ac:dyDescent="0.35">
      <c r="B100" s="27"/>
      <c r="C100" s="14"/>
      <c r="D100" s="83"/>
      <c r="E100" s="83"/>
      <c r="F100" s="83"/>
      <c r="G100" s="83"/>
      <c r="H100" s="83"/>
      <c r="I100" s="83"/>
    </row>
    <row r="101" spans="2:9" x14ac:dyDescent="0.35">
      <c r="B101" s="27"/>
      <c r="C101" s="14"/>
      <c r="D101" s="83"/>
      <c r="E101" s="83"/>
      <c r="F101" s="83"/>
      <c r="G101" s="83"/>
      <c r="H101" s="83"/>
      <c r="I101" s="83"/>
    </row>
    <row r="102" spans="2:9" x14ac:dyDescent="0.35">
      <c r="B102" s="27"/>
      <c r="C102" s="14"/>
      <c r="D102" s="83"/>
      <c r="E102" s="83"/>
      <c r="F102" s="83"/>
      <c r="G102" s="83"/>
      <c r="H102" s="83"/>
      <c r="I102" s="83"/>
    </row>
    <row r="103" spans="2:9" x14ac:dyDescent="0.35">
      <c r="B103" s="4"/>
      <c r="C103" s="14"/>
      <c r="D103" s="83"/>
      <c r="E103" s="83"/>
      <c r="F103" s="83"/>
      <c r="G103" s="83"/>
      <c r="H103" s="83"/>
      <c r="I103" s="83"/>
    </row>
  </sheetData>
  <mergeCells count="1">
    <mergeCell ref="B4:I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0E18A-9807-4CB1-B422-68F1A16955EF}">
  <sheetPr codeName="Sheet41">
    <tabColor theme="8" tint="0.59999389629810485"/>
  </sheetPr>
  <dimension ref="A2:H80"/>
  <sheetViews>
    <sheetView workbookViewId="0"/>
  </sheetViews>
  <sheetFormatPr baseColWidth="10" defaultColWidth="8.75" defaultRowHeight="15.5" x14ac:dyDescent="0.35"/>
  <cols>
    <col min="1" max="1" width="8.75" style="1"/>
    <col min="2" max="2" width="9.75" style="1" customWidth="1"/>
    <col min="3" max="3" width="14.08203125" style="1" bestFit="1" customWidth="1"/>
    <col min="4" max="4" width="28.58203125" style="1" bestFit="1" customWidth="1"/>
    <col min="5" max="5" width="30.75" style="1" bestFit="1" customWidth="1"/>
    <col min="6" max="6" width="17.5" style="1" customWidth="1"/>
    <col min="7" max="7" width="10.5" style="208" customWidth="1"/>
    <col min="8" max="8" width="25.75" style="1" customWidth="1"/>
    <col min="9" max="16384" width="8.75" style="1"/>
  </cols>
  <sheetData>
    <row r="2" spans="1:8" ht="25.9" customHeight="1" x14ac:dyDescent="0.7">
      <c r="B2" s="181" t="s">
        <v>5638</v>
      </c>
    </row>
    <row r="4" spans="1:8" ht="130.15" customHeight="1" x14ac:dyDescent="0.35">
      <c r="B4" s="232" t="s">
        <v>5637</v>
      </c>
      <c r="C4" s="232"/>
      <c r="D4" s="232"/>
      <c r="E4" s="232"/>
    </row>
    <row r="6" spans="1:8" ht="21" customHeight="1" x14ac:dyDescent="0.35">
      <c r="B6" s="68" t="s">
        <v>4197</v>
      </c>
      <c r="C6" s="68" t="s">
        <v>5249</v>
      </c>
      <c r="D6" s="68" t="s">
        <v>5250</v>
      </c>
      <c r="E6" s="68" t="s">
        <v>5251</v>
      </c>
      <c r="G6" s="204" t="s">
        <v>4197</v>
      </c>
      <c r="H6" s="69" t="s">
        <v>5252</v>
      </c>
    </row>
    <row r="7" spans="1:8" x14ac:dyDescent="0.35">
      <c r="A7" s="20">
        <v>202001</v>
      </c>
      <c r="B7" s="17">
        <v>43831</v>
      </c>
      <c r="C7" s="30">
        <f>COUNTIFS('MAIN DATA, Orders'!$G:$G,"&lt;&gt;.",'MAIN DATA, Orders'!$Y:$Y,$A7,'MAIN DATA, Orders'!$D:$D,"Poland")</f>
        <v>1</v>
      </c>
      <c r="D7" s="30">
        <f>COUNTIFS('MAIN DATA, Orders'!$G:$G,"&lt;&gt;.",'MAIN DATA, Orders'!$Y:$Y,$A7,'MAIN DATA, Orders'!$D:$D,"Poland",'MAIN DATA, Orders'!$R:$R,"")</f>
        <v>0</v>
      </c>
      <c r="E7" s="7"/>
      <c r="G7" s="205">
        <v>43831</v>
      </c>
      <c r="H7" s="200"/>
    </row>
    <row r="8" spans="1:8" x14ac:dyDescent="0.35">
      <c r="A8" s="20">
        <v>202002</v>
      </c>
      <c r="B8" s="17">
        <v>43862</v>
      </c>
      <c r="C8" s="30">
        <f>COUNTIFS('MAIN DATA, Orders'!$G:$G,"&lt;&gt;.",'MAIN DATA, Orders'!$Y:$Y,$A8,'MAIN DATA, Orders'!$D:$D,"Poland")</f>
        <v>0</v>
      </c>
      <c r="D8" s="30">
        <f>COUNTIFS('MAIN DATA, Orders'!$G:$G,"&lt;&gt;.",'MAIN DATA, Orders'!$Y:$Y,$A8,'MAIN DATA, Orders'!$D:$D,"Poland",'MAIN DATA, Orders'!$R:$R,"")</f>
        <v>0</v>
      </c>
      <c r="E8" s="7"/>
      <c r="G8" s="205">
        <v>43862</v>
      </c>
      <c r="H8" s="200"/>
    </row>
    <row r="9" spans="1:8" x14ac:dyDescent="0.35">
      <c r="A9" s="20">
        <v>202003</v>
      </c>
      <c r="B9" s="17">
        <v>43891</v>
      </c>
      <c r="C9" s="30">
        <f>COUNTIFS('MAIN DATA, Orders'!$G:$G,"&lt;&gt;.",'MAIN DATA, Orders'!$Y:$Y,$A9,'MAIN DATA, Orders'!$D:$D,"Poland")</f>
        <v>0</v>
      </c>
      <c r="D9" s="30">
        <f>COUNTIFS('MAIN DATA, Orders'!$G:$G,"&lt;&gt;.",'MAIN DATA, Orders'!$Y:$Y,$A9,'MAIN DATA, Orders'!$D:$D,"Poland",'MAIN DATA, Orders'!$R:$R,"")</f>
        <v>0</v>
      </c>
      <c r="E9" s="7"/>
      <c r="G9" s="205">
        <v>43891</v>
      </c>
      <c r="H9" s="200" cm="1">
        <f t="array" ref="H9">SUM(D7:D9/SUM(C7:C9))</f>
        <v>0</v>
      </c>
    </row>
    <row r="10" spans="1:8" x14ac:dyDescent="0.35">
      <c r="A10" s="20">
        <v>202004</v>
      </c>
      <c r="B10" s="17">
        <v>43922</v>
      </c>
      <c r="C10" s="30">
        <f>COUNTIFS('MAIN DATA, Orders'!$G:$G,"&lt;&gt;.",'MAIN DATA, Orders'!$Y:$Y,$A10,'MAIN DATA, Orders'!$D:$D,"Poland")</f>
        <v>0</v>
      </c>
      <c r="D10" s="30">
        <f>COUNTIFS('MAIN DATA, Orders'!$G:$G,"&lt;&gt;.",'MAIN DATA, Orders'!$Y:$Y,$A10,'MAIN DATA, Orders'!$D:$D,"Poland",'MAIN DATA, Orders'!$R:$R,"")</f>
        <v>0</v>
      </c>
      <c r="E10" s="7"/>
      <c r="G10" s="205">
        <v>43922</v>
      </c>
      <c r="H10" s="200"/>
    </row>
    <row r="11" spans="1:8" x14ac:dyDescent="0.35">
      <c r="A11" s="20">
        <v>202005</v>
      </c>
      <c r="B11" s="17">
        <v>43952</v>
      </c>
      <c r="C11" s="30">
        <f>COUNTIFS('MAIN DATA, Orders'!$G:$G,"&lt;&gt;.",'MAIN DATA, Orders'!$Y:$Y,$A11,'MAIN DATA, Orders'!$D:$D,"Poland")</f>
        <v>2</v>
      </c>
      <c r="D11" s="30">
        <f>COUNTIFS('MAIN DATA, Orders'!$G:$G,"&lt;&gt;.",'MAIN DATA, Orders'!$Y:$Y,$A11,'MAIN DATA, Orders'!$D:$D,"Poland",'MAIN DATA, Orders'!$R:$R,"")</f>
        <v>0</v>
      </c>
      <c r="E11" s="7"/>
      <c r="G11" s="205">
        <v>43952</v>
      </c>
      <c r="H11" s="200" cm="1">
        <f t="array" ref="H11">SUM(D9:D11/SUM(C9:C11))</f>
        <v>0</v>
      </c>
    </row>
    <row r="12" spans="1:8" x14ac:dyDescent="0.35">
      <c r="A12" s="20">
        <v>202006</v>
      </c>
      <c r="B12" s="17">
        <v>43983</v>
      </c>
      <c r="C12" s="30">
        <f>COUNTIFS('MAIN DATA, Orders'!$G:$G,"&lt;&gt;.",'MAIN DATA, Orders'!$Y:$Y,$A12,'MAIN DATA, Orders'!$D:$D,"Poland")</f>
        <v>0</v>
      </c>
      <c r="D12" s="30">
        <f>COUNTIFS('MAIN DATA, Orders'!$G:$G,"&lt;&gt;.",'MAIN DATA, Orders'!$Y:$Y,$A12,'MAIN DATA, Orders'!$D:$D,"Poland",'MAIN DATA, Orders'!$R:$R,"")</f>
        <v>0</v>
      </c>
      <c r="E12" s="7"/>
      <c r="G12" s="205">
        <v>43983</v>
      </c>
      <c r="H12" s="200" cm="1">
        <f t="array" ref="H12">SUM(D10:D12/SUM(C10:C12))</f>
        <v>0</v>
      </c>
    </row>
    <row r="13" spans="1:8" x14ac:dyDescent="0.35">
      <c r="A13" s="20">
        <v>202007</v>
      </c>
      <c r="B13" s="17">
        <v>44013</v>
      </c>
      <c r="C13" s="30">
        <f>COUNTIFS('MAIN DATA, Orders'!$G:$G,"&lt;&gt;.",'MAIN DATA, Orders'!$Y:$Y,$A13,'MAIN DATA, Orders'!$D:$D,"Poland")</f>
        <v>1</v>
      </c>
      <c r="D13" s="30">
        <f>COUNTIFS('MAIN DATA, Orders'!$G:$G,"&lt;&gt;.",'MAIN DATA, Orders'!$Y:$Y,$A13,'MAIN DATA, Orders'!$D:$D,"Poland",'MAIN DATA, Orders'!$R:$R,"")</f>
        <v>0</v>
      </c>
      <c r="E13" s="7"/>
      <c r="G13" s="205">
        <v>44013</v>
      </c>
      <c r="H13" s="200" cm="1">
        <f t="array" ref="H13">SUM(D11:D13/SUM(C11:C13))</f>
        <v>0</v>
      </c>
    </row>
    <row r="14" spans="1:8" x14ac:dyDescent="0.35">
      <c r="A14" s="20">
        <v>202008</v>
      </c>
      <c r="B14" s="17">
        <v>44044</v>
      </c>
      <c r="C14" s="30">
        <f>COUNTIFS('MAIN DATA, Orders'!$G:$G,"&lt;&gt;.",'MAIN DATA, Orders'!$Y:$Y,$A14,'MAIN DATA, Orders'!$D:$D,"Poland")</f>
        <v>0</v>
      </c>
      <c r="D14" s="30">
        <f>COUNTIFS('MAIN DATA, Orders'!$G:$G,"&lt;&gt;.",'MAIN DATA, Orders'!$Y:$Y,$A14,'MAIN DATA, Orders'!$D:$D,"Poland",'MAIN DATA, Orders'!$R:$R,"")</f>
        <v>0</v>
      </c>
      <c r="E14" s="7"/>
      <c r="F14" s="89"/>
      <c r="G14" s="205">
        <v>44044</v>
      </c>
      <c r="H14" s="200" cm="1">
        <f t="array" ref="H14">SUM(D12:D14/SUM(C12:C14))</f>
        <v>0</v>
      </c>
    </row>
    <row r="15" spans="1:8" x14ac:dyDescent="0.35">
      <c r="A15" s="20">
        <v>202009</v>
      </c>
      <c r="B15" s="17">
        <v>44075</v>
      </c>
      <c r="C15" s="30">
        <f>COUNTIFS('MAIN DATA, Orders'!$G:$G,"&lt;&gt;.",'MAIN DATA, Orders'!$Y:$Y,$A15,'MAIN DATA, Orders'!$D:$D,"Poland")</f>
        <v>2</v>
      </c>
      <c r="D15" s="30">
        <f>COUNTIFS('MAIN DATA, Orders'!$G:$G,"&lt;&gt;.",'MAIN DATA, Orders'!$Y:$Y,$A15,'MAIN DATA, Orders'!$D:$D,"Poland",'MAIN DATA, Orders'!$R:$R,"")</f>
        <v>0</v>
      </c>
      <c r="E15" s="7">
        <f t="shared" ref="E15:E16" si="0">D15/C15</f>
        <v>0</v>
      </c>
      <c r="G15" s="205">
        <v>44075</v>
      </c>
      <c r="H15" s="200" cm="1">
        <f t="array" ref="H15">SUM(D13:D15/SUM(C13:C15))</f>
        <v>0</v>
      </c>
    </row>
    <row r="16" spans="1:8" x14ac:dyDescent="0.35">
      <c r="A16" s="20">
        <v>202010</v>
      </c>
      <c r="B16" s="17">
        <v>44105</v>
      </c>
      <c r="C16" s="30">
        <f>COUNTIFS('MAIN DATA, Orders'!$G:$G,"&lt;&gt;.",'MAIN DATA, Orders'!$Y:$Y,$A16,'MAIN DATA, Orders'!$D:$D,"Poland")</f>
        <v>1</v>
      </c>
      <c r="D16" s="30">
        <f>COUNTIFS('MAIN DATA, Orders'!$G:$G,"&lt;&gt;.",'MAIN DATA, Orders'!$Y:$Y,$A16,'MAIN DATA, Orders'!$D:$D,"Poland",'MAIN DATA, Orders'!$R:$R,"")</f>
        <v>1</v>
      </c>
      <c r="E16" s="7">
        <f t="shared" si="0"/>
        <v>1</v>
      </c>
      <c r="G16" s="205">
        <v>44105</v>
      </c>
      <c r="H16" s="200" cm="1">
        <f t="array" ref="H16">SUM(D14:D16/SUM(C14:C16))</f>
        <v>0.33333333333333331</v>
      </c>
    </row>
    <row r="17" spans="1:8" x14ac:dyDescent="0.35">
      <c r="A17" s="20">
        <v>202011</v>
      </c>
      <c r="B17" s="17">
        <v>44136</v>
      </c>
      <c r="C17" s="30">
        <f>COUNTIFS('MAIN DATA, Orders'!$G:$G,"&lt;&gt;.",'MAIN DATA, Orders'!$Y:$Y,$A17,'MAIN DATA, Orders'!$D:$D,"Poland")</f>
        <v>0</v>
      </c>
      <c r="D17" s="30">
        <f>COUNTIFS('MAIN DATA, Orders'!$G:$G,"&lt;&gt;.",'MAIN DATA, Orders'!$Y:$Y,$A17,'MAIN DATA, Orders'!$D:$D,"Poland",'MAIN DATA, Orders'!$R:$R,"")</f>
        <v>0</v>
      </c>
      <c r="E17" s="7"/>
      <c r="G17" s="205">
        <v>44136</v>
      </c>
      <c r="H17" s="200" cm="1">
        <f t="array" ref="H17">SUM(D15:D17/SUM(C15:C17))</f>
        <v>0.33333333333333331</v>
      </c>
    </row>
    <row r="18" spans="1:8" x14ac:dyDescent="0.35">
      <c r="A18" s="20">
        <v>202012</v>
      </c>
      <c r="B18" s="17">
        <v>44166</v>
      </c>
      <c r="C18" s="30">
        <f>COUNTIFS('MAIN DATA, Orders'!$G:$G,"&lt;&gt;.",'MAIN DATA, Orders'!$Y:$Y,$A18,'MAIN DATA, Orders'!$D:$D,"Poland")</f>
        <v>1</v>
      </c>
      <c r="D18" s="30">
        <f>COUNTIFS('MAIN DATA, Orders'!$G:$G,"&lt;&gt;.",'MAIN DATA, Orders'!$Y:$Y,$A18,'MAIN DATA, Orders'!$D:$D,"Poland",'MAIN DATA, Orders'!$R:$R,"")</f>
        <v>1</v>
      </c>
      <c r="E18" s="7"/>
      <c r="G18" s="205">
        <v>44166</v>
      </c>
      <c r="H18" s="200" cm="1">
        <f t="array" ref="H18">SUM(D16:D18/SUM(C16:C18))</f>
        <v>1</v>
      </c>
    </row>
    <row r="19" spans="1:8" x14ac:dyDescent="0.35">
      <c r="A19" s="20">
        <v>202101</v>
      </c>
      <c r="B19" s="17">
        <v>44197</v>
      </c>
      <c r="C19" s="30">
        <f>COUNTIFS('MAIN DATA, Orders'!$G:$G,"&lt;&gt;.",'MAIN DATA, Orders'!$Y:$Y,$A19,'MAIN DATA, Orders'!$D:$D,"Poland")</f>
        <v>0</v>
      </c>
      <c r="D19" s="30">
        <f>COUNTIFS('MAIN DATA, Orders'!$G:$G,"&lt;&gt;.",'MAIN DATA, Orders'!$Y:$Y,$A19,'MAIN DATA, Orders'!$D:$D,"Poland",'MAIN DATA, Orders'!$R:$R,"")</f>
        <v>0</v>
      </c>
      <c r="E19" s="7"/>
      <c r="G19" s="205">
        <v>44197</v>
      </c>
      <c r="H19" s="200" cm="1">
        <f t="array" ref="H19">SUM(D17:D19/SUM(C17:C19))</f>
        <v>1</v>
      </c>
    </row>
    <row r="20" spans="1:8" x14ac:dyDescent="0.35">
      <c r="A20" s="20">
        <v>202102</v>
      </c>
      <c r="B20" s="17">
        <v>44228</v>
      </c>
      <c r="C20" s="30">
        <f>COUNTIFS('MAIN DATA, Orders'!$G:$G,"&lt;&gt;.",'MAIN DATA, Orders'!$Y:$Y,$A20,'MAIN DATA, Orders'!$D:$D,"Poland")</f>
        <v>0</v>
      </c>
      <c r="D20" s="30">
        <f>COUNTIFS('MAIN DATA, Orders'!$G:$G,"&lt;&gt;.",'MAIN DATA, Orders'!$Y:$Y,$A20,'MAIN DATA, Orders'!$D:$D,"Poland",'MAIN DATA, Orders'!$R:$R,"")</f>
        <v>0</v>
      </c>
      <c r="E20" s="7"/>
      <c r="G20" s="205">
        <v>44228</v>
      </c>
      <c r="H20" s="200" cm="1">
        <f t="array" ref="H20">SUM(D18:D20/SUM(C18:C20))</f>
        <v>1</v>
      </c>
    </row>
    <row r="21" spans="1:8" x14ac:dyDescent="0.35">
      <c r="A21" s="20">
        <v>202103</v>
      </c>
      <c r="B21" s="17">
        <v>44256</v>
      </c>
      <c r="C21" s="30">
        <f>COUNTIFS('MAIN DATA, Orders'!$G:$G,"&lt;&gt;.",'MAIN DATA, Orders'!$Y:$Y,$A21,'MAIN DATA, Orders'!$D:$D,"Poland")</f>
        <v>0</v>
      </c>
      <c r="D21" s="30">
        <f>COUNTIFS('MAIN DATA, Orders'!$G:$G,"&lt;&gt;.",'MAIN DATA, Orders'!$Y:$Y,$A21,'MAIN DATA, Orders'!$D:$D,"Poland",'MAIN DATA, Orders'!$R:$R,"")</f>
        <v>0</v>
      </c>
      <c r="E21" s="7"/>
      <c r="G21" s="205">
        <v>44256</v>
      </c>
      <c r="H21" s="200"/>
    </row>
    <row r="22" spans="1:8" x14ac:dyDescent="0.35">
      <c r="A22" s="20">
        <v>202104</v>
      </c>
      <c r="B22" s="17">
        <v>44287</v>
      </c>
      <c r="C22" s="30">
        <f>COUNTIFS('MAIN DATA, Orders'!$G:$G,"&lt;&gt;.",'MAIN DATA, Orders'!$Y:$Y,$A22,'MAIN DATA, Orders'!$D:$D,"Poland")</f>
        <v>2</v>
      </c>
      <c r="D22" s="30">
        <f>COUNTIFS('MAIN DATA, Orders'!$G:$G,"&lt;&gt;.",'MAIN DATA, Orders'!$Y:$Y,$A22,'MAIN DATA, Orders'!$D:$D,"Poland",'MAIN DATA, Orders'!$R:$R,"")</f>
        <v>0</v>
      </c>
      <c r="E22" s="7"/>
      <c r="G22" s="205">
        <v>44287</v>
      </c>
      <c r="H22" s="200" cm="1">
        <f t="array" ref="H22">SUM(D20:D22/SUM(C20:C22))</f>
        <v>0</v>
      </c>
    </row>
    <row r="23" spans="1:8" x14ac:dyDescent="0.35">
      <c r="A23" s="20">
        <v>202105</v>
      </c>
      <c r="B23" s="17">
        <v>44317</v>
      </c>
      <c r="C23" s="30">
        <f>COUNTIFS('MAIN DATA, Orders'!$G:$G,"&lt;&gt;.",'MAIN DATA, Orders'!$Y:$Y,$A23,'MAIN DATA, Orders'!$D:$D,"Poland")</f>
        <v>2</v>
      </c>
      <c r="D23" s="30">
        <f>COUNTIFS('MAIN DATA, Orders'!$G:$G,"&lt;&gt;.",'MAIN DATA, Orders'!$Y:$Y,$A23,'MAIN DATA, Orders'!$D:$D,"Poland",'MAIN DATA, Orders'!$R:$R,"")</f>
        <v>0</v>
      </c>
      <c r="E23" s="7">
        <f t="shared" ref="E23" si="1">D23/C23</f>
        <v>0</v>
      </c>
      <c r="G23" s="205">
        <v>44317</v>
      </c>
      <c r="H23" s="200" cm="1">
        <f t="array" ref="H23">SUM(D21:D23/SUM(C21:C23))</f>
        <v>0</v>
      </c>
    </row>
    <row r="24" spans="1:8" x14ac:dyDescent="0.35">
      <c r="A24" s="20">
        <v>202106</v>
      </c>
      <c r="B24" s="17">
        <v>44348</v>
      </c>
      <c r="C24" s="30">
        <f>COUNTIFS('MAIN DATA, Orders'!$G:$G,"&lt;&gt;.",'MAIN DATA, Orders'!$Y:$Y,$A24,'MAIN DATA, Orders'!$D:$D,"Poland")</f>
        <v>0</v>
      </c>
      <c r="D24" s="30">
        <f>COUNTIFS('MAIN DATA, Orders'!$G:$G,"&lt;&gt;.",'MAIN DATA, Orders'!$Y:$Y,$A24,'MAIN DATA, Orders'!$D:$D,"Poland",'MAIN DATA, Orders'!$R:$R,"")</f>
        <v>0</v>
      </c>
      <c r="E24" s="7"/>
      <c r="G24" s="205">
        <v>44348</v>
      </c>
      <c r="H24" s="200" cm="1">
        <f t="array" ref="H24">SUM(D22:D24/SUM(C22:C24))</f>
        <v>0</v>
      </c>
    </row>
    <row r="25" spans="1:8" x14ac:dyDescent="0.35">
      <c r="A25" s="20">
        <v>202107</v>
      </c>
      <c r="B25" s="17">
        <v>44378</v>
      </c>
      <c r="C25" s="30">
        <f>COUNTIFS('MAIN DATA, Orders'!$G:$G,"&lt;&gt;.",'MAIN DATA, Orders'!$Y:$Y,$A25,'MAIN DATA, Orders'!$D:$D,"Poland")</f>
        <v>2</v>
      </c>
      <c r="D25" s="30">
        <f>COUNTIFS('MAIN DATA, Orders'!$G:$G,"&lt;&gt;.",'MAIN DATA, Orders'!$Y:$Y,$A25,'MAIN DATA, Orders'!$D:$D,"Poland",'MAIN DATA, Orders'!$R:$R,"")</f>
        <v>0</v>
      </c>
      <c r="E25" s="7"/>
      <c r="G25" s="205">
        <v>44378</v>
      </c>
      <c r="H25" s="200" cm="1">
        <f t="array" ref="H25">SUM(D23:D25/SUM(C23:C25))</f>
        <v>0</v>
      </c>
    </row>
    <row r="26" spans="1:8" x14ac:dyDescent="0.35">
      <c r="A26" s="20">
        <v>202108</v>
      </c>
      <c r="B26" s="17">
        <v>44409</v>
      </c>
      <c r="C26" s="30">
        <f>COUNTIFS('MAIN DATA, Orders'!$G:$G,"&lt;&gt;.",'MAIN DATA, Orders'!$Y:$Y,$A26,'MAIN DATA, Orders'!$D:$D,"Poland")</f>
        <v>0</v>
      </c>
      <c r="D26" s="30">
        <f>COUNTIFS('MAIN DATA, Orders'!$G:$G,"&lt;&gt;.",'MAIN DATA, Orders'!$Y:$Y,$A26,'MAIN DATA, Orders'!$D:$D,"Poland",'MAIN DATA, Orders'!$R:$R,"")</f>
        <v>0</v>
      </c>
      <c r="E26" s="7"/>
      <c r="G26" s="205">
        <v>44409</v>
      </c>
      <c r="H26" s="200" cm="1">
        <f t="array" ref="H26">SUM(D24:D26/SUM(C24:C26))</f>
        <v>0</v>
      </c>
    </row>
    <row r="27" spans="1:8" x14ac:dyDescent="0.35">
      <c r="A27" s="20">
        <v>202109</v>
      </c>
      <c r="B27" s="17">
        <v>44440</v>
      </c>
      <c r="C27" s="30">
        <f>COUNTIFS('MAIN DATA, Orders'!$G:$G,"&lt;&gt;.",'MAIN DATA, Orders'!$Y:$Y,$A27,'MAIN DATA, Orders'!$D:$D,"Poland")</f>
        <v>1</v>
      </c>
      <c r="D27" s="30">
        <f>COUNTIFS('MAIN DATA, Orders'!$G:$G,"&lt;&gt;.",'MAIN DATA, Orders'!$Y:$Y,$A27,'MAIN DATA, Orders'!$D:$D,"Poland",'MAIN DATA, Orders'!$R:$R,"")</f>
        <v>1</v>
      </c>
      <c r="E27" s="7"/>
      <c r="G27" s="205">
        <v>44440</v>
      </c>
      <c r="H27" s="200" cm="1">
        <f t="array" ref="H27">SUM(D25:D27/SUM(C25:C27))</f>
        <v>0.33333333333333331</v>
      </c>
    </row>
    <row r="28" spans="1:8" x14ac:dyDescent="0.35">
      <c r="A28" s="20">
        <v>202110</v>
      </c>
      <c r="B28" s="17">
        <v>44470</v>
      </c>
      <c r="C28" s="30">
        <f>COUNTIFS('MAIN DATA, Orders'!$G:$G,"&lt;&gt;.",'MAIN DATA, Orders'!$Y:$Y,$A28,'MAIN DATA, Orders'!$D:$D,"Poland")</f>
        <v>0</v>
      </c>
      <c r="D28" s="30">
        <f>COUNTIFS('MAIN DATA, Orders'!$G:$G,"&lt;&gt;.",'MAIN DATA, Orders'!$Y:$Y,$A28,'MAIN DATA, Orders'!$D:$D,"Poland",'MAIN DATA, Orders'!$R:$R,"")</f>
        <v>0</v>
      </c>
      <c r="E28" s="7"/>
      <c r="G28" s="205">
        <v>44470</v>
      </c>
      <c r="H28" s="200" cm="1">
        <f t="array" ref="H28">SUM(D26:D28/SUM(C26:C28))</f>
        <v>1</v>
      </c>
    </row>
    <row r="29" spans="1:8" x14ac:dyDescent="0.35">
      <c r="A29" s="20">
        <v>202111</v>
      </c>
      <c r="B29" s="17">
        <v>44501</v>
      </c>
      <c r="C29" s="30">
        <f>COUNTIFS('MAIN DATA, Orders'!$G:$G,"&lt;&gt;.",'MAIN DATA, Orders'!$Y:$Y,$A29,'MAIN DATA, Orders'!$D:$D,"Poland")</f>
        <v>0</v>
      </c>
      <c r="D29" s="30">
        <f>COUNTIFS('MAIN DATA, Orders'!$G:$G,"&lt;&gt;.",'MAIN DATA, Orders'!$Y:$Y,$A29,'MAIN DATA, Orders'!$D:$D,"Poland",'MAIN DATA, Orders'!$R:$R,"")</f>
        <v>0</v>
      </c>
      <c r="E29" s="7"/>
      <c r="G29" s="205">
        <v>44501</v>
      </c>
      <c r="H29" s="200" cm="1">
        <f t="array" ref="H29">SUM(D27:D29/SUM(C27:C29))</f>
        <v>1</v>
      </c>
    </row>
    <row r="30" spans="1:8" x14ac:dyDescent="0.35">
      <c r="A30" s="20">
        <v>202112</v>
      </c>
      <c r="B30" s="17">
        <v>44531</v>
      </c>
      <c r="C30" s="30">
        <f>COUNTIFS('MAIN DATA, Orders'!$G:$G,"&lt;&gt;.",'MAIN DATA, Orders'!$Y:$Y,$A30,'MAIN DATA, Orders'!$D:$D,"Poland")</f>
        <v>2</v>
      </c>
      <c r="D30" s="30">
        <f>COUNTIFS('MAIN DATA, Orders'!$G:$G,"&lt;&gt;.",'MAIN DATA, Orders'!$Y:$Y,$A30,'MAIN DATA, Orders'!$D:$D,"Poland",'MAIN DATA, Orders'!$R:$R,"")</f>
        <v>1</v>
      </c>
      <c r="E30" s="7"/>
      <c r="G30" s="205">
        <v>44531</v>
      </c>
      <c r="H30" s="200" cm="1">
        <f t="array" ref="H30">SUM(D28:D30/SUM(C28:C30))</f>
        <v>0.5</v>
      </c>
    </row>
    <row r="31" spans="1:8" x14ac:dyDescent="0.35">
      <c r="A31" s="20">
        <v>202201</v>
      </c>
      <c r="B31" s="17">
        <v>44562</v>
      </c>
      <c r="C31" s="30">
        <f>COUNTIFS('MAIN DATA, Orders'!$G:$G,"&lt;&gt;.",'MAIN DATA, Orders'!$Y:$Y,$A31,'MAIN DATA, Orders'!$D:$D,"Poland")</f>
        <v>0</v>
      </c>
      <c r="D31" s="30">
        <f>COUNTIFS('MAIN DATA, Orders'!$G:$G,"&lt;&gt;.",'MAIN DATA, Orders'!$Y:$Y,$A31,'MAIN DATA, Orders'!$D:$D,"Poland",'MAIN DATA, Orders'!$R:$R,"")</f>
        <v>0</v>
      </c>
      <c r="E31" s="7"/>
      <c r="G31" s="205">
        <v>44562</v>
      </c>
      <c r="H31" s="200" cm="1">
        <f t="array" ref="H31">SUM(D29:D31/SUM(C29:C31))</f>
        <v>0.5</v>
      </c>
    </row>
    <row r="32" spans="1:8" x14ac:dyDescent="0.35">
      <c r="A32" s="20">
        <v>202202</v>
      </c>
      <c r="B32" s="17">
        <v>44593</v>
      </c>
      <c r="C32" s="30">
        <f>COUNTIFS('MAIN DATA, Orders'!$G:$G,"&lt;&gt;.",'MAIN DATA, Orders'!$Y:$Y,$A32,'MAIN DATA, Orders'!$D:$D,"Poland")</f>
        <v>0</v>
      </c>
      <c r="D32" s="30">
        <f>COUNTIFS('MAIN DATA, Orders'!$G:$G,"&lt;&gt;.",'MAIN DATA, Orders'!$Y:$Y,$A32,'MAIN DATA, Orders'!$D:$D,"Poland",'MAIN DATA, Orders'!$R:$R,"")</f>
        <v>0</v>
      </c>
      <c r="E32" s="7"/>
      <c r="G32" s="205">
        <v>44593</v>
      </c>
      <c r="H32" s="200" cm="1">
        <f t="array" ref="H32">SUM(D30:D32/SUM(C30:C32))</f>
        <v>0.5</v>
      </c>
    </row>
    <row r="33" spans="1:8" x14ac:dyDescent="0.35">
      <c r="A33" s="20">
        <v>202203</v>
      </c>
      <c r="B33" s="17">
        <v>44621</v>
      </c>
      <c r="C33" s="30">
        <f>COUNTIFS('MAIN DATA, Orders'!$G:$G,"&lt;&gt;.",'MAIN DATA, Orders'!$Y:$Y,$A33,'MAIN DATA, Orders'!$D:$D,"Poland")</f>
        <v>0</v>
      </c>
      <c r="D33" s="30">
        <f>COUNTIFS('MAIN DATA, Orders'!$G:$G,"&lt;&gt;.",'MAIN DATA, Orders'!$Y:$Y,$A33,'MAIN DATA, Orders'!$D:$D,"Poland",'MAIN DATA, Orders'!$R:$R,"")</f>
        <v>0</v>
      </c>
      <c r="E33" s="7"/>
      <c r="G33" s="205">
        <v>44621</v>
      </c>
      <c r="H33" s="200"/>
    </row>
    <row r="34" spans="1:8" x14ac:dyDescent="0.35">
      <c r="A34" s="20">
        <v>202204</v>
      </c>
      <c r="B34" s="17">
        <v>44652</v>
      </c>
      <c r="C34" s="30">
        <f>COUNTIFS('MAIN DATA, Orders'!$G:$G,"&lt;&gt;.",'MAIN DATA, Orders'!$Y:$Y,$A34,'MAIN DATA, Orders'!$D:$D,"Poland")</f>
        <v>0</v>
      </c>
      <c r="D34" s="30">
        <f>COUNTIFS('MAIN DATA, Orders'!$G:$G,"&lt;&gt;.",'MAIN DATA, Orders'!$Y:$Y,$A34,'MAIN DATA, Orders'!$D:$D,"Poland",'MAIN DATA, Orders'!$R:$R,"")</f>
        <v>0</v>
      </c>
      <c r="E34" s="7"/>
      <c r="G34" s="205">
        <v>44652</v>
      </c>
      <c r="H34" s="200"/>
    </row>
    <row r="35" spans="1:8" x14ac:dyDescent="0.35">
      <c r="A35" s="20">
        <v>202205</v>
      </c>
      <c r="B35" s="17">
        <v>44682</v>
      </c>
      <c r="C35" s="30">
        <f>COUNTIFS('MAIN DATA, Orders'!$G:$G,"&lt;&gt;.",'MAIN DATA, Orders'!$Y:$Y,$A35,'MAIN DATA, Orders'!$D:$D,"Poland")</f>
        <v>1</v>
      </c>
      <c r="D35" s="30">
        <f>COUNTIFS('MAIN DATA, Orders'!$G:$G,"&lt;&gt;.",'MAIN DATA, Orders'!$Y:$Y,$A35,'MAIN DATA, Orders'!$D:$D,"Poland",'MAIN DATA, Orders'!$R:$R,"")</f>
        <v>1</v>
      </c>
      <c r="E35" s="7">
        <f t="shared" ref="E35:E37" si="2">D35/C35</f>
        <v>1</v>
      </c>
      <c r="G35" s="205">
        <v>44682</v>
      </c>
      <c r="H35" s="200" cm="1">
        <f t="array" ref="H35">SUM(D33:D35/SUM(C33:C35))</f>
        <v>1</v>
      </c>
    </row>
    <row r="36" spans="1:8" x14ac:dyDescent="0.35">
      <c r="A36" s="20">
        <v>202206</v>
      </c>
      <c r="B36" s="17">
        <v>44713</v>
      </c>
      <c r="C36" s="30">
        <f>COUNTIFS('MAIN DATA, Orders'!$G:$G,"&lt;&gt;.",'MAIN DATA, Orders'!$Y:$Y,$A36,'MAIN DATA, Orders'!$D:$D,"Poland")</f>
        <v>3</v>
      </c>
      <c r="D36" s="30">
        <f>COUNTIFS('MAIN DATA, Orders'!$G:$G,"&lt;&gt;.",'MAIN DATA, Orders'!$Y:$Y,$A36,'MAIN DATA, Orders'!$D:$D,"Poland",'MAIN DATA, Orders'!$R:$R,"")</f>
        <v>2</v>
      </c>
      <c r="E36" s="7">
        <f t="shared" si="2"/>
        <v>0.66666666666666663</v>
      </c>
      <c r="G36" s="205">
        <v>44713</v>
      </c>
      <c r="H36" s="200" cm="1">
        <f t="array" ref="H36">SUM(D34:D36/SUM(C34:C36))</f>
        <v>0.75</v>
      </c>
    </row>
    <row r="37" spans="1:8" x14ac:dyDescent="0.35">
      <c r="A37" s="20">
        <v>202207</v>
      </c>
      <c r="B37" s="17">
        <v>44743</v>
      </c>
      <c r="C37" s="30">
        <f>COUNTIFS('MAIN DATA, Orders'!$G:$G,"&lt;&gt;.",'MAIN DATA, Orders'!$Y:$Y,$A37,'MAIN DATA, Orders'!$D:$D,"Poland")</f>
        <v>3</v>
      </c>
      <c r="D37" s="30">
        <f>COUNTIFS('MAIN DATA, Orders'!$G:$G,"&lt;&gt;.",'MAIN DATA, Orders'!$Y:$Y,$A37,'MAIN DATA, Orders'!$D:$D,"Poland",'MAIN DATA, Orders'!$R:$R,"")</f>
        <v>0</v>
      </c>
      <c r="E37" s="7">
        <f t="shared" si="2"/>
        <v>0</v>
      </c>
      <c r="G37" s="205">
        <v>44743</v>
      </c>
      <c r="H37" s="200" cm="1">
        <f t="array" ref="H37">SUM(D35:D37/SUM(C35:C37))</f>
        <v>0.42857142857142855</v>
      </c>
    </row>
    <row r="38" spans="1:8" x14ac:dyDescent="0.35">
      <c r="A38" s="20">
        <v>202208</v>
      </c>
      <c r="B38" s="17">
        <v>44774</v>
      </c>
      <c r="C38" s="30">
        <f>COUNTIFS('MAIN DATA, Orders'!$G:$G,"&lt;&gt;.",'MAIN DATA, Orders'!$Y:$Y,$A38,'MAIN DATA, Orders'!$D:$D,"Poland")</f>
        <v>0</v>
      </c>
      <c r="D38" s="30">
        <f>COUNTIFS('MAIN DATA, Orders'!$G:$G,"&lt;&gt;.",'MAIN DATA, Orders'!$Y:$Y,$A38,'MAIN DATA, Orders'!$D:$D,"Poland",'MAIN DATA, Orders'!$R:$R,"")</f>
        <v>0</v>
      </c>
      <c r="E38" s="7"/>
      <c r="G38" s="205">
        <v>44774</v>
      </c>
      <c r="H38" s="200" cm="1">
        <f t="array" ref="H38">SUM(D36:D38/SUM(C36:C38))</f>
        <v>0.33333333333333331</v>
      </c>
    </row>
    <row r="39" spans="1:8" x14ac:dyDescent="0.35">
      <c r="A39" s="20">
        <v>202209</v>
      </c>
      <c r="B39" s="17">
        <v>44805</v>
      </c>
      <c r="C39" s="30">
        <f>COUNTIFS('MAIN DATA, Orders'!$G:$G,"&lt;&gt;.",'MAIN DATA, Orders'!$Y:$Y,$A39,'MAIN DATA, Orders'!$D:$D,"Poland")</f>
        <v>8</v>
      </c>
      <c r="D39" s="30">
        <f>COUNTIFS('MAIN DATA, Orders'!$G:$G,"&lt;&gt;.",'MAIN DATA, Orders'!$Y:$Y,$A39,'MAIN DATA, Orders'!$D:$D,"Poland",'MAIN DATA, Orders'!$R:$R,"")</f>
        <v>7</v>
      </c>
      <c r="E39" s="7">
        <f t="shared" ref="E39:E42" si="3">D39/C39</f>
        <v>0.875</v>
      </c>
      <c r="G39" s="205">
        <v>44805</v>
      </c>
      <c r="H39" s="200" cm="1">
        <f t="array" ref="H39">SUM(D37:D39/SUM(C37:C39))</f>
        <v>0.63636363636363635</v>
      </c>
    </row>
    <row r="40" spans="1:8" x14ac:dyDescent="0.35">
      <c r="A40" s="20">
        <v>202210</v>
      </c>
      <c r="B40" s="17">
        <v>44835</v>
      </c>
      <c r="C40" s="30">
        <f>COUNTIFS('MAIN DATA, Orders'!$G:$G,"&lt;&gt;.",'MAIN DATA, Orders'!$Y:$Y,$A40,'MAIN DATA, Orders'!$D:$D,"Poland")</f>
        <v>2</v>
      </c>
      <c r="D40" s="30">
        <f>COUNTIFS('MAIN DATA, Orders'!$G:$G,"&lt;&gt;.",'MAIN DATA, Orders'!$Y:$Y,$A40,'MAIN DATA, Orders'!$D:$D,"Poland",'MAIN DATA, Orders'!$R:$R,"")</f>
        <v>1</v>
      </c>
      <c r="E40" s="7">
        <f t="shared" si="3"/>
        <v>0.5</v>
      </c>
      <c r="G40" s="205">
        <v>44835</v>
      </c>
      <c r="H40" s="200" cm="1">
        <f t="array" ref="H40">SUM(D38:D40/SUM(C38:C40))</f>
        <v>0.79999999999999993</v>
      </c>
    </row>
    <row r="41" spans="1:8" x14ac:dyDescent="0.35">
      <c r="A41" s="20">
        <v>202211</v>
      </c>
      <c r="B41" s="17">
        <v>44866</v>
      </c>
      <c r="C41" s="30">
        <f>COUNTIFS('MAIN DATA, Orders'!$G:$G,"&lt;&gt;.",'MAIN DATA, Orders'!$Y:$Y,$A41,'MAIN DATA, Orders'!$D:$D,"Poland")</f>
        <v>0</v>
      </c>
      <c r="D41" s="30">
        <f>COUNTIFS('MAIN DATA, Orders'!$G:$G,"&lt;&gt;.",'MAIN DATA, Orders'!$Y:$Y,$A41,'MAIN DATA, Orders'!$D:$D,"Poland",'MAIN DATA, Orders'!$R:$R,"")</f>
        <v>0</v>
      </c>
      <c r="E41" s="7"/>
      <c r="G41" s="205">
        <v>44866</v>
      </c>
      <c r="H41" s="200" cm="1">
        <f t="array" ref="H41">SUM(D39:D41/SUM(C39:C41))</f>
        <v>0.79999999999999993</v>
      </c>
    </row>
    <row r="42" spans="1:8" x14ac:dyDescent="0.35">
      <c r="A42" s="20">
        <v>202212</v>
      </c>
      <c r="B42" s="17">
        <v>44896</v>
      </c>
      <c r="C42" s="30">
        <f>COUNTIFS('MAIN DATA, Orders'!$G:$G,"&lt;&gt;.",'MAIN DATA, Orders'!$Y:$Y,$A42,'MAIN DATA, Orders'!$D:$D,"Poland")</f>
        <v>1</v>
      </c>
      <c r="D42" s="30">
        <f>COUNTIFS('MAIN DATA, Orders'!$G:$G,"&lt;&gt;.",'MAIN DATA, Orders'!$Y:$Y,$A42,'MAIN DATA, Orders'!$D:$D,"Poland",'MAIN DATA, Orders'!$R:$R,"")</f>
        <v>0</v>
      </c>
      <c r="E42" s="7">
        <f t="shared" si="3"/>
        <v>0</v>
      </c>
      <c r="G42" s="205">
        <v>44896</v>
      </c>
      <c r="H42" s="200" cm="1">
        <f t="array" ref="H42">SUM(D40:D42/SUM(C40:C42))</f>
        <v>0.33333333333333331</v>
      </c>
    </row>
    <row r="43" spans="1:8" x14ac:dyDescent="0.35">
      <c r="A43" s="20">
        <v>202301</v>
      </c>
      <c r="B43" s="17">
        <v>44927</v>
      </c>
      <c r="C43" s="30">
        <f>COUNTIFS('MAIN DATA, Orders'!$G:$G,"&lt;&gt;.",'MAIN DATA, Orders'!$Y:$Y,$A43,'MAIN DATA, Orders'!$D:$D,"Poland")</f>
        <v>2</v>
      </c>
      <c r="D43" s="30">
        <f>COUNTIFS('MAIN DATA, Orders'!$G:$G,"&lt;&gt;.",'MAIN DATA, Orders'!$Y:$Y,$A43,'MAIN DATA, Orders'!$D:$D,"Poland",'MAIN DATA, Orders'!$R:$R,"")</f>
        <v>1</v>
      </c>
      <c r="E43" s="7"/>
      <c r="G43" s="205">
        <v>44927</v>
      </c>
      <c r="H43" s="200" cm="1">
        <f t="array" ref="H43">SUM(D41:D43/SUM(C41:C43))</f>
        <v>0.33333333333333331</v>
      </c>
    </row>
    <row r="44" spans="1:8" x14ac:dyDescent="0.35">
      <c r="A44" s="20">
        <v>202302</v>
      </c>
      <c r="B44" s="17">
        <v>44958</v>
      </c>
      <c r="C44" s="30">
        <f>COUNTIFS('MAIN DATA, Orders'!$G:$G,"&lt;&gt;.",'MAIN DATA, Orders'!$Y:$Y,$A44,'MAIN DATA, Orders'!$D:$D,"Poland")</f>
        <v>2</v>
      </c>
      <c r="D44" s="30">
        <f>COUNTIFS('MAIN DATA, Orders'!$G:$G,"&lt;&gt;.",'MAIN DATA, Orders'!$Y:$Y,$A44,'MAIN DATA, Orders'!$D:$D,"Poland",'MAIN DATA, Orders'!$R:$R,"")</f>
        <v>0</v>
      </c>
      <c r="E44" s="7">
        <f t="shared" ref="E44:E49" si="4">D44/C44</f>
        <v>0</v>
      </c>
      <c r="G44" s="205">
        <v>44958</v>
      </c>
      <c r="H44" s="200" cm="1">
        <f t="array" ref="H44">SUM(D42:D44/SUM(C42:C44))</f>
        <v>0.2</v>
      </c>
    </row>
    <row r="45" spans="1:8" x14ac:dyDescent="0.35">
      <c r="A45" s="20">
        <v>202303</v>
      </c>
      <c r="B45" s="17">
        <v>44986</v>
      </c>
      <c r="C45" s="30">
        <f>COUNTIFS('MAIN DATA, Orders'!$G:$G,"&lt;&gt;.",'MAIN DATA, Orders'!$Y:$Y,$A45,'MAIN DATA, Orders'!$D:$D,"Poland")</f>
        <v>1</v>
      </c>
      <c r="D45" s="30">
        <f>COUNTIFS('MAIN DATA, Orders'!$G:$G,"&lt;&gt;.",'MAIN DATA, Orders'!$Y:$Y,$A45,'MAIN DATA, Orders'!$D:$D,"Poland",'MAIN DATA, Orders'!$R:$R,"")</f>
        <v>1</v>
      </c>
      <c r="E45" s="7">
        <f t="shared" si="4"/>
        <v>1</v>
      </c>
      <c r="G45" s="205">
        <v>44986</v>
      </c>
      <c r="H45" s="200" cm="1">
        <f t="array" ref="H45">SUM(D43:D45/SUM(C43:C45))</f>
        <v>0.4</v>
      </c>
    </row>
    <row r="46" spans="1:8" x14ac:dyDescent="0.35">
      <c r="A46" s="20">
        <v>202304</v>
      </c>
      <c r="B46" s="17">
        <v>45017</v>
      </c>
      <c r="C46" s="30">
        <f>COUNTIFS('MAIN DATA, Orders'!$G:$G,"&lt;&gt;.",'MAIN DATA, Orders'!$Y:$Y,$A46,'MAIN DATA, Orders'!$D:$D,"Poland")</f>
        <v>0</v>
      </c>
      <c r="D46" s="30">
        <f>COUNTIFS('MAIN DATA, Orders'!$G:$G,"&lt;&gt;.",'MAIN DATA, Orders'!$Y:$Y,$A46,'MAIN DATA, Orders'!$D:$D,"Poland",'MAIN DATA, Orders'!$R:$R,"")</f>
        <v>0</v>
      </c>
      <c r="E46" s="7"/>
      <c r="G46" s="205">
        <v>45017</v>
      </c>
      <c r="H46" s="200" cm="1">
        <f t="array" ref="H46">SUM(D44:D46/SUM(C44:C46))</f>
        <v>0.33333333333333331</v>
      </c>
    </row>
    <row r="47" spans="1:8" x14ac:dyDescent="0.35">
      <c r="A47" s="20">
        <v>202305</v>
      </c>
      <c r="B47" s="17">
        <v>45047</v>
      </c>
      <c r="C47" s="30">
        <f>COUNTIFS('MAIN DATA, Orders'!$G:$G,"&lt;&gt;.",'MAIN DATA, Orders'!$Y:$Y,$A47,'MAIN DATA, Orders'!$D:$D,"Poland")</f>
        <v>0</v>
      </c>
      <c r="D47" s="30">
        <f>COUNTIFS('MAIN DATA, Orders'!$G:$G,"&lt;&gt;.",'MAIN DATA, Orders'!$Y:$Y,$A47,'MAIN DATA, Orders'!$D:$D,"Poland",'MAIN DATA, Orders'!$R:$R,"")</f>
        <v>0</v>
      </c>
      <c r="E47" s="7"/>
      <c r="G47" s="205">
        <v>45047</v>
      </c>
      <c r="H47" s="200" cm="1">
        <f t="array" ref="H47">SUM(D45:D47/SUM(C45:C47))</f>
        <v>1</v>
      </c>
    </row>
    <row r="48" spans="1:8" x14ac:dyDescent="0.35">
      <c r="A48" s="20">
        <v>202306</v>
      </c>
      <c r="B48" s="17">
        <v>45078</v>
      </c>
      <c r="C48" s="30">
        <f>COUNTIFS('MAIN DATA, Orders'!$G:$G,"&lt;&gt;.",'MAIN DATA, Orders'!$Y:$Y,$A48,'MAIN DATA, Orders'!$D:$D,"Poland")</f>
        <v>1</v>
      </c>
      <c r="D48" s="30">
        <f>COUNTIFS('MAIN DATA, Orders'!$G:$G,"&lt;&gt;.",'MAIN DATA, Orders'!$Y:$Y,$A48,'MAIN DATA, Orders'!$D:$D,"Poland",'MAIN DATA, Orders'!$R:$R,"")</f>
        <v>0</v>
      </c>
      <c r="E48" s="7">
        <f t="shared" si="4"/>
        <v>0</v>
      </c>
      <c r="G48" s="205">
        <v>45078</v>
      </c>
      <c r="H48" s="200" cm="1">
        <f t="array" ref="H48">SUM(D46:D48/SUM(C46:C48))</f>
        <v>0</v>
      </c>
    </row>
    <row r="49" spans="1:8" x14ac:dyDescent="0.35">
      <c r="A49" s="20">
        <v>202307</v>
      </c>
      <c r="B49" s="17">
        <v>45108</v>
      </c>
      <c r="C49" s="30">
        <f>COUNTIFS('MAIN DATA, Orders'!$G:$G,"&lt;&gt;.",'MAIN DATA, Orders'!$Y:$Y,$A49,'MAIN DATA, Orders'!$D:$D,"Poland")</f>
        <v>1</v>
      </c>
      <c r="D49" s="30">
        <f>COUNTIFS('MAIN DATA, Orders'!$G:$G,"&lt;&gt;.",'MAIN DATA, Orders'!$Y:$Y,$A49,'MAIN DATA, Orders'!$D:$D,"Poland",'MAIN DATA, Orders'!$R:$R,"")</f>
        <v>0</v>
      </c>
      <c r="E49" s="7">
        <f t="shared" si="4"/>
        <v>0</v>
      </c>
      <c r="G49" s="205">
        <v>45108</v>
      </c>
      <c r="H49" s="200" cm="1">
        <f t="array" ref="H49">SUM(D47:D49/SUM(C47:C49))</f>
        <v>0</v>
      </c>
    </row>
    <row r="50" spans="1:8" x14ac:dyDescent="0.35">
      <c r="A50" s="20">
        <v>202308</v>
      </c>
      <c r="B50" s="17">
        <v>45139</v>
      </c>
      <c r="C50" s="30">
        <f>COUNTIFS('MAIN DATA, Orders'!$G:$G,"&lt;&gt;.",'MAIN DATA, Orders'!$Y:$Y,$A50,'MAIN DATA, Orders'!$D:$D,"Poland")</f>
        <v>2</v>
      </c>
      <c r="D50" s="30">
        <f>COUNTIFS('MAIN DATA, Orders'!$G:$G,"&lt;&gt;.",'MAIN DATA, Orders'!$Y:$Y,$A50,'MAIN DATA, Orders'!$D:$D,"Poland",'MAIN DATA, Orders'!$R:$R,"")</f>
        <v>1</v>
      </c>
      <c r="E50" s="7"/>
      <c r="G50" s="205">
        <v>45139</v>
      </c>
      <c r="H50" s="200" cm="1">
        <f t="array" ref="H50">SUM(D48:D50/SUM(C48:C50))</f>
        <v>0.25</v>
      </c>
    </row>
    <row r="51" spans="1:8" x14ac:dyDescent="0.35">
      <c r="A51" s="20">
        <v>202309</v>
      </c>
      <c r="B51" s="17">
        <v>45170</v>
      </c>
      <c r="C51" s="30">
        <f>COUNTIFS('MAIN DATA, Orders'!$G:$G,"&lt;&gt;.",'MAIN DATA, Orders'!$Y:$Y,$A51,'MAIN DATA, Orders'!$D:$D,"Poland")</f>
        <v>4</v>
      </c>
      <c r="D51" s="30">
        <f>COUNTIFS('MAIN DATA, Orders'!$G:$G,"&lt;&gt;.",'MAIN DATA, Orders'!$Y:$Y,$A51,'MAIN DATA, Orders'!$D:$D,"Poland",'MAIN DATA, Orders'!$R:$R,"")</f>
        <v>2</v>
      </c>
      <c r="E51" s="7">
        <f t="shared" ref="E51:E59" si="5">D51/C51</f>
        <v>0.5</v>
      </c>
      <c r="G51" s="205">
        <v>45170</v>
      </c>
      <c r="H51" s="200" cm="1">
        <f t="array" ref="H51">SUM(D49:D51/SUM(C49:C51))</f>
        <v>0.42857142857142855</v>
      </c>
    </row>
    <row r="52" spans="1:8" x14ac:dyDescent="0.35">
      <c r="A52" s="20">
        <v>202310</v>
      </c>
      <c r="B52" s="17">
        <v>45200</v>
      </c>
      <c r="C52" s="30">
        <f>COUNTIFS('MAIN DATA, Orders'!$G:$G,"&lt;&gt;.",'MAIN DATA, Orders'!$Y:$Y,$A52,'MAIN DATA, Orders'!$D:$D,"Poland")</f>
        <v>4</v>
      </c>
      <c r="D52" s="30">
        <f>COUNTIFS('MAIN DATA, Orders'!$G:$G,"&lt;&gt;.",'MAIN DATA, Orders'!$Y:$Y,$A52,'MAIN DATA, Orders'!$D:$D,"Poland",'MAIN DATA, Orders'!$R:$R,"")</f>
        <v>4</v>
      </c>
      <c r="E52" s="7">
        <f t="shared" si="5"/>
        <v>1</v>
      </c>
      <c r="G52" s="205">
        <v>45200</v>
      </c>
      <c r="H52" s="200" cm="1">
        <f t="array" ref="H52">SUM(D50:D52/SUM(C50:C52))</f>
        <v>0.70000000000000007</v>
      </c>
    </row>
    <row r="53" spans="1:8" x14ac:dyDescent="0.35">
      <c r="A53" s="20">
        <v>202311</v>
      </c>
      <c r="B53" s="17">
        <v>45231</v>
      </c>
      <c r="C53" s="30">
        <f>COUNTIFS('MAIN DATA, Orders'!$G:$G,"&lt;&gt;.",'MAIN DATA, Orders'!$Y:$Y,$A53,'MAIN DATA, Orders'!$D:$D,"Poland")</f>
        <v>0</v>
      </c>
      <c r="D53" s="30">
        <f>COUNTIFS('MAIN DATA, Orders'!$G:$G,"&lt;&gt;.",'MAIN DATA, Orders'!$Y:$Y,$A53,'MAIN DATA, Orders'!$D:$D,"Poland",'MAIN DATA, Orders'!$R:$R,"")</f>
        <v>0</v>
      </c>
      <c r="E53" s="7"/>
      <c r="G53" s="205">
        <v>45231</v>
      </c>
      <c r="H53" s="200" cm="1">
        <f t="array" ref="H53">SUM(D51:D53/SUM(C51:C53))</f>
        <v>0.75</v>
      </c>
    </row>
    <row r="54" spans="1:8" x14ac:dyDescent="0.35">
      <c r="A54" s="20">
        <v>202312</v>
      </c>
      <c r="B54" s="17">
        <v>45261</v>
      </c>
      <c r="C54" s="30">
        <f>COUNTIFS('MAIN DATA, Orders'!$G:$G,"&lt;&gt;.",'MAIN DATA, Orders'!$Y:$Y,$A54,'MAIN DATA, Orders'!$D:$D,"Poland")</f>
        <v>1</v>
      </c>
      <c r="D54" s="30">
        <f>COUNTIFS('MAIN DATA, Orders'!$G:$G,"&lt;&gt;.",'MAIN DATA, Orders'!$Y:$Y,$A54,'MAIN DATA, Orders'!$D:$D,"Poland",'MAIN DATA, Orders'!$R:$R,"")</f>
        <v>0</v>
      </c>
      <c r="E54" s="7">
        <f t="shared" si="5"/>
        <v>0</v>
      </c>
      <c r="G54" s="205">
        <v>45261</v>
      </c>
      <c r="H54" s="200" cm="1">
        <f t="array" ref="H54">SUM(D52:D54/SUM(C52:C54))</f>
        <v>0.8</v>
      </c>
    </row>
    <row r="55" spans="1:8" x14ac:dyDescent="0.35">
      <c r="A55" s="20">
        <v>202401</v>
      </c>
      <c r="B55" s="17">
        <v>45292</v>
      </c>
      <c r="C55" s="30">
        <f>COUNTIFS('MAIN DATA, Orders'!$G:$G,"&lt;&gt;.",'MAIN DATA, Orders'!$Y:$Y,$A55,'MAIN DATA, Orders'!$D:$D,"Poland")</f>
        <v>0</v>
      </c>
      <c r="D55" s="30">
        <f>COUNTIFS('MAIN DATA, Orders'!$G:$G,"&lt;&gt;.",'MAIN DATA, Orders'!$Y:$Y,$A55,'MAIN DATA, Orders'!$D:$D,"Poland",'MAIN DATA, Orders'!$R:$R,"")</f>
        <v>0</v>
      </c>
      <c r="E55" s="7"/>
      <c r="G55" s="205">
        <v>45292</v>
      </c>
      <c r="H55" s="200" cm="1">
        <f t="array" ref="H55">SUM(D53:D55/SUM(C53:C55))</f>
        <v>0</v>
      </c>
    </row>
    <row r="56" spans="1:8" x14ac:dyDescent="0.35">
      <c r="A56" s="20">
        <v>202402</v>
      </c>
      <c r="B56" s="17">
        <v>45323</v>
      </c>
      <c r="C56" s="30">
        <f>COUNTIFS('MAIN DATA, Orders'!$G:$G,"&lt;&gt;.",'MAIN DATA, Orders'!$Y:$Y,$A56,'MAIN DATA, Orders'!$D:$D,"Poland")</f>
        <v>2</v>
      </c>
      <c r="D56" s="30">
        <f>COUNTIFS('MAIN DATA, Orders'!$G:$G,"&lt;&gt;.",'MAIN DATA, Orders'!$Y:$Y,$A56,'MAIN DATA, Orders'!$D:$D,"Poland",'MAIN DATA, Orders'!$R:$R,"")</f>
        <v>1</v>
      </c>
      <c r="E56" s="7">
        <f t="shared" si="5"/>
        <v>0.5</v>
      </c>
      <c r="G56" s="205">
        <v>45323</v>
      </c>
      <c r="H56" s="200" cm="1">
        <f t="array" ref="H56">SUM(D54:D56/SUM(C54:C56))</f>
        <v>0.33333333333333331</v>
      </c>
    </row>
    <row r="57" spans="1:8" x14ac:dyDescent="0.35">
      <c r="A57" s="20">
        <v>202403</v>
      </c>
      <c r="B57" s="17">
        <v>45352</v>
      </c>
      <c r="C57" s="30">
        <f>COUNTIFS('MAIN DATA, Orders'!$G:$G,"&lt;&gt;.",'MAIN DATA, Orders'!$Y:$Y,$A57,'MAIN DATA, Orders'!$D:$D,"Poland")</f>
        <v>1</v>
      </c>
      <c r="D57" s="30">
        <f>COUNTIFS('MAIN DATA, Orders'!$G:$G,"&lt;&gt;.",'MAIN DATA, Orders'!$Y:$Y,$A57,'MAIN DATA, Orders'!$D:$D,"Poland",'MAIN DATA, Orders'!$R:$R,"")</f>
        <v>0</v>
      </c>
      <c r="E57" s="7">
        <f t="shared" si="5"/>
        <v>0</v>
      </c>
      <c r="G57" s="205">
        <v>45352</v>
      </c>
      <c r="H57" s="200" cm="1">
        <f t="array" ref="H57">SUM(D55:D57/SUM(C55:C57))</f>
        <v>0.33333333333333331</v>
      </c>
    </row>
    <row r="58" spans="1:8" x14ac:dyDescent="0.35">
      <c r="A58" s="20">
        <v>202404</v>
      </c>
      <c r="B58" s="17">
        <v>45383</v>
      </c>
      <c r="C58" s="30">
        <f>COUNTIFS('MAIN DATA, Orders'!$G:$G,"&lt;&gt;.",'MAIN DATA, Orders'!$Y:$Y,$A58,'MAIN DATA, Orders'!$D:$D,"Poland")</f>
        <v>2</v>
      </c>
      <c r="D58" s="30">
        <f>COUNTIFS('MAIN DATA, Orders'!$G:$G,"&lt;&gt;.",'MAIN DATA, Orders'!$Y:$Y,$A58,'MAIN DATA, Orders'!$D:$D,"Poland",'MAIN DATA, Orders'!$R:$R,"")</f>
        <v>1</v>
      </c>
      <c r="E58" s="7">
        <f t="shared" si="5"/>
        <v>0.5</v>
      </c>
      <c r="G58" s="205">
        <v>45383</v>
      </c>
      <c r="H58" s="200" cm="1">
        <f t="array" ref="H58">SUM(D56:D58/SUM(C56:C58))</f>
        <v>0.4</v>
      </c>
    </row>
    <row r="59" spans="1:8" x14ac:dyDescent="0.35">
      <c r="A59" s="20">
        <v>202405</v>
      </c>
      <c r="B59" s="17">
        <v>45413</v>
      </c>
      <c r="C59" s="30">
        <f>COUNTIFS('MAIN DATA, Orders'!$G:$G,"&lt;&gt;.",'MAIN DATA, Orders'!$Y:$Y,$A59,'MAIN DATA, Orders'!$D:$D,"Poland")</f>
        <v>2</v>
      </c>
      <c r="D59" s="30">
        <f>COUNTIFS('MAIN DATA, Orders'!$G:$G,"&lt;&gt;.",'MAIN DATA, Orders'!$Y:$Y,$A59,'MAIN DATA, Orders'!$D:$D,"Poland",'MAIN DATA, Orders'!$R:$R,"")</f>
        <v>1</v>
      </c>
      <c r="E59" s="7">
        <f t="shared" si="5"/>
        <v>0.5</v>
      </c>
      <c r="G59" s="205">
        <v>45413</v>
      </c>
      <c r="H59" s="200" cm="1">
        <f t="array" ref="H59">SUM(D57:D59/SUM(C57:C59))</f>
        <v>0.4</v>
      </c>
    </row>
    <row r="60" spans="1:8" x14ac:dyDescent="0.35">
      <c r="A60" s="20">
        <v>202406</v>
      </c>
      <c r="B60" s="17">
        <v>45444</v>
      </c>
      <c r="C60" s="30">
        <f>COUNTIFS('MAIN DATA, Orders'!$G:$G,"&lt;&gt;.",'MAIN DATA, Orders'!$Y:$Y,$A60,'MAIN DATA, Orders'!$D:$D,"Poland")</f>
        <v>0</v>
      </c>
      <c r="D60" s="30">
        <f>COUNTIFS('MAIN DATA, Orders'!$G:$G,"&lt;&gt;.",'MAIN DATA, Orders'!$Y:$Y,$A60,'MAIN DATA, Orders'!$D:$D,"Poland",'MAIN DATA, Orders'!$R:$R,"")</f>
        <v>0</v>
      </c>
      <c r="E60" s="7"/>
      <c r="G60" s="205">
        <v>45444</v>
      </c>
      <c r="H60" s="200" cm="1">
        <f t="array" ref="H60">SUM(D58:D60/SUM(C58:C60))</f>
        <v>0.5</v>
      </c>
    </row>
    <row r="61" spans="1:8" x14ac:dyDescent="0.35">
      <c r="A61" s="20">
        <v>202407</v>
      </c>
      <c r="B61" s="17">
        <v>45474</v>
      </c>
      <c r="C61" s="30">
        <f>COUNTIFS('MAIN DATA, Orders'!$G:$G,"&lt;&gt;.",'MAIN DATA, Orders'!$Y:$Y,$A61,'MAIN DATA, Orders'!$D:$D,"Poland")</f>
        <v>2</v>
      </c>
      <c r="D61" s="30">
        <f>COUNTIFS('MAIN DATA, Orders'!$G:$G,"&lt;&gt;.",'MAIN DATA, Orders'!$Y:$Y,$A61,'MAIN DATA, Orders'!$D:$D,"Poland",'MAIN DATA, Orders'!$R:$R,"")</f>
        <v>0</v>
      </c>
      <c r="E61" s="7">
        <f t="shared" ref="E61:E79" si="6">D61/C61</f>
        <v>0</v>
      </c>
      <c r="G61" s="205">
        <v>45474</v>
      </c>
      <c r="H61" s="200" cm="1">
        <f t="array" ref="H61">SUM(D59:D61/SUM(C59:C61))</f>
        <v>0.25</v>
      </c>
    </row>
    <row r="62" spans="1:8" x14ac:dyDescent="0.35">
      <c r="A62" s="20">
        <v>202408</v>
      </c>
      <c r="B62" s="17">
        <v>45505</v>
      </c>
      <c r="C62" s="30">
        <f>COUNTIFS('MAIN DATA, Orders'!$G:$G,"&lt;&gt;.",'MAIN DATA, Orders'!$Y:$Y,$A62,'MAIN DATA, Orders'!$D:$D,"Poland")</f>
        <v>5</v>
      </c>
      <c r="D62" s="30">
        <f>COUNTIFS('MAIN DATA, Orders'!$G:$G,"&lt;&gt;.",'MAIN DATA, Orders'!$Y:$Y,$A62,'MAIN DATA, Orders'!$D:$D,"Poland",'MAIN DATA, Orders'!$R:$R,"")</f>
        <v>4</v>
      </c>
      <c r="E62" s="7">
        <f t="shared" si="6"/>
        <v>0.8</v>
      </c>
      <c r="G62" s="205">
        <v>45505</v>
      </c>
      <c r="H62" s="200" cm="1">
        <f t="array" ref="H62">SUM(D60:D62/SUM(C60:C62))</f>
        <v>0.5714285714285714</v>
      </c>
    </row>
    <row r="63" spans="1:8" x14ac:dyDescent="0.35">
      <c r="A63" s="20">
        <v>202409</v>
      </c>
      <c r="B63" s="17">
        <v>45536</v>
      </c>
      <c r="C63" s="30">
        <f>COUNTIFS('MAIN DATA, Orders'!$G:$G,"&lt;&gt;.",'MAIN DATA, Orders'!$Y:$Y,$A63,'MAIN DATA, Orders'!$D:$D,"Poland")</f>
        <v>1</v>
      </c>
      <c r="D63" s="30">
        <f>COUNTIFS('MAIN DATA, Orders'!$G:$G,"&lt;&gt;.",'MAIN DATA, Orders'!$Y:$Y,$A63,'MAIN DATA, Orders'!$D:$D,"Poland",'MAIN DATA, Orders'!$R:$R,"")</f>
        <v>0</v>
      </c>
      <c r="E63" s="7">
        <f t="shared" si="6"/>
        <v>0</v>
      </c>
      <c r="G63" s="205">
        <v>45536</v>
      </c>
      <c r="H63" s="200" cm="1">
        <f t="array" ref="H63">SUM(D61:D63/SUM(C61:C63))</f>
        <v>0.5</v>
      </c>
    </row>
    <row r="64" spans="1:8" x14ac:dyDescent="0.35">
      <c r="A64" s="20">
        <v>202410</v>
      </c>
      <c r="B64" s="17">
        <v>45566</v>
      </c>
      <c r="C64" s="30">
        <f>COUNTIFS('MAIN DATA, Orders'!$G:$G,"&lt;&gt;.",'MAIN DATA, Orders'!$Y:$Y,$A64,'MAIN DATA, Orders'!$D:$D,"Poland")</f>
        <v>0</v>
      </c>
      <c r="D64" s="30">
        <f>COUNTIFS('MAIN DATA, Orders'!$G:$G,"&lt;&gt;.",'MAIN DATA, Orders'!$Y:$Y,$A64,'MAIN DATA, Orders'!$D:$D,"Poland",'MAIN DATA, Orders'!$R:$R,"")</f>
        <v>0</v>
      </c>
      <c r="E64" s="7"/>
      <c r="G64" s="205">
        <v>45566</v>
      </c>
      <c r="H64" s="200" cm="1">
        <f t="array" ref="H64">SUM(D62:D64/SUM(C62:C64))</f>
        <v>0.66666666666666663</v>
      </c>
    </row>
    <row r="65" spans="1:8" x14ac:dyDescent="0.35">
      <c r="A65" s="20">
        <v>202411</v>
      </c>
      <c r="B65" s="17">
        <v>45597</v>
      </c>
      <c r="C65" s="30">
        <f>COUNTIFS('MAIN DATA, Orders'!$G:$G,"&lt;&gt;.",'MAIN DATA, Orders'!$Y:$Y,$A65,'MAIN DATA, Orders'!$D:$D,"Poland")</f>
        <v>3</v>
      </c>
      <c r="D65" s="30">
        <f>COUNTIFS('MAIN DATA, Orders'!$G:$G,"&lt;&gt;.",'MAIN DATA, Orders'!$Y:$Y,$A65,'MAIN DATA, Orders'!$D:$D,"Poland",'MAIN DATA, Orders'!$R:$R,"")</f>
        <v>0</v>
      </c>
      <c r="E65" s="7">
        <f t="shared" si="6"/>
        <v>0</v>
      </c>
      <c r="G65" s="205">
        <v>45597</v>
      </c>
      <c r="H65" s="200" cm="1">
        <f t="array" ref="H65">SUM(D63:D65/SUM(C63:C65))</f>
        <v>0</v>
      </c>
    </row>
    <row r="66" spans="1:8" x14ac:dyDescent="0.35">
      <c r="A66" s="20">
        <v>202412</v>
      </c>
      <c r="B66" s="17">
        <v>45627</v>
      </c>
      <c r="C66" s="30">
        <f>COUNTIFS('MAIN DATA, Orders'!$G:$G,"&lt;&gt;.",'MAIN DATA, Orders'!$Y:$Y,$A66,'MAIN DATA, Orders'!$D:$D,"Poland")</f>
        <v>12</v>
      </c>
      <c r="D66" s="30">
        <f>COUNTIFS('MAIN DATA, Orders'!$G:$G,"&lt;&gt;.",'MAIN DATA, Orders'!$Y:$Y,$A66,'MAIN DATA, Orders'!$D:$D,"Poland",'MAIN DATA, Orders'!$R:$R,"")</f>
        <v>5</v>
      </c>
      <c r="E66" s="7">
        <f t="shared" si="6"/>
        <v>0.41666666666666669</v>
      </c>
      <c r="G66" s="205">
        <v>45627</v>
      </c>
      <c r="H66" s="200" cm="1">
        <f t="array" ref="H66">SUM(D64:D66/SUM(C64:C66))</f>
        <v>0.33333333333333331</v>
      </c>
    </row>
    <row r="67" spans="1:8" x14ac:dyDescent="0.35">
      <c r="A67" s="20">
        <v>202501</v>
      </c>
      <c r="B67" s="17">
        <v>45658</v>
      </c>
      <c r="C67" s="30">
        <f>COUNTIFS('MAIN DATA, Orders'!$G:$G,"&lt;&gt;.",'MAIN DATA, Orders'!$Y:$Y,$A67,'MAIN DATA, Orders'!$D:$D,"Poland")</f>
        <v>1</v>
      </c>
      <c r="D67" s="30">
        <f>COUNTIFS('MAIN DATA, Orders'!$G:$G,"&lt;&gt;.",'MAIN DATA, Orders'!$Y:$Y,$A67,'MAIN DATA, Orders'!$D:$D,"Poland",'MAIN DATA, Orders'!$R:$R,"")</f>
        <v>0</v>
      </c>
      <c r="E67" s="7">
        <f t="shared" si="6"/>
        <v>0</v>
      </c>
      <c r="G67" s="205">
        <v>45658</v>
      </c>
      <c r="H67" s="200" cm="1">
        <f t="array" ref="H67">SUM(D65:D67/SUM(C65:C67))</f>
        <v>0.3125</v>
      </c>
    </row>
    <row r="68" spans="1:8" x14ac:dyDescent="0.35">
      <c r="A68" s="20">
        <v>202502</v>
      </c>
      <c r="B68" s="17">
        <v>45689</v>
      </c>
      <c r="C68" s="30">
        <f>COUNTIFS('MAIN DATA, Orders'!$G:$G,"&lt;&gt;.",'MAIN DATA, Orders'!$Y:$Y,$A68,'MAIN DATA, Orders'!$D:$D,"Poland")</f>
        <v>1</v>
      </c>
      <c r="D68" s="30">
        <f>COUNTIFS('MAIN DATA, Orders'!$G:$G,"&lt;&gt;.",'MAIN DATA, Orders'!$Y:$Y,$A68,'MAIN DATA, Orders'!$D:$D,"Poland",'MAIN DATA, Orders'!$R:$R,"")</f>
        <v>1</v>
      </c>
      <c r="E68" s="7">
        <f t="shared" si="6"/>
        <v>1</v>
      </c>
      <c r="G68" s="205">
        <v>45689</v>
      </c>
      <c r="H68" s="200" cm="1">
        <f t="array" ref="H68">SUM(D66:D68/SUM(C66:C68))</f>
        <v>0.4285714285714286</v>
      </c>
    </row>
    <row r="69" spans="1:8" x14ac:dyDescent="0.35">
      <c r="A69" s="20">
        <v>202503</v>
      </c>
      <c r="B69" s="17">
        <v>45717</v>
      </c>
      <c r="C69" s="30">
        <f>COUNTIFS('MAIN DATA, Orders'!$G:$G,"&lt;&gt;.",'MAIN DATA, Orders'!$Y:$Y,$A69,'MAIN DATA, Orders'!$D:$D,"Poland")</f>
        <v>4</v>
      </c>
      <c r="D69" s="30">
        <f>COUNTIFS('MAIN DATA, Orders'!$G:$G,"&lt;&gt;.",'MAIN DATA, Orders'!$Y:$Y,$A69,'MAIN DATA, Orders'!$D:$D,"Poland",'MAIN DATA, Orders'!$R:$R,"")</f>
        <v>2</v>
      </c>
      <c r="E69" s="7">
        <f t="shared" si="6"/>
        <v>0.5</v>
      </c>
      <c r="G69" s="205">
        <v>45717</v>
      </c>
      <c r="H69" s="200" cm="1">
        <f t="array" ref="H69">SUM(D67:D69/SUM(C67:C69))</f>
        <v>0.5</v>
      </c>
    </row>
    <row r="70" spans="1:8" x14ac:dyDescent="0.35">
      <c r="A70" s="20">
        <v>202504</v>
      </c>
      <c r="B70" s="17">
        <v>45748</v>
      </c>
      <c r="C70" s="30">
        <f>COUNTIFS('MAIN DATA, Orders'!$G:$G,"&lt;&gt;.",'MAIN DATA, Orders'!$Y:$Y,$A70,'MAIN DATA, Orders'!$D:$D,"Poland")</f>
        <v>0</v>
      </c>
      <c r="D70" s="30">
        <f>COUNTIFS('MAIN DATA, Orders'!$G:$G,"&lt;&gt;.",'MAIN DATA, Orders'!$Y:$Y,$A70,'MAIN DATA, Orders'!$D:$D,"Poland",'MAIN DATA, Orders'!$R:$R,"")</f>
        <v>0</v>
      </c>
      <c r="E70" s="7"/>
      <c r="G70" s="205">
        <v>45748</v>
      </c>
      <c r="H70" s="200" cm="1">
        <f t="array" ref="H70">SUM(D68:D70/SUM(C68:C70))</f>
        <v>0.60000000000000009</v>
      </c>
    </row>
    <row r="71" spans="1:8" x14ac:dyDescent="0.35">
      <c r="A71" s="20">
        <v>202505</v>
      </c>
      <c r="B71" s="17">
        <v>45778</v>
      </c>
      <c r="C71" s="30">
        <f>COUNTIFS('MAIN DATA, Orders'!$G:$G,"&lt;&gt;.",'MAIN DATA, Orders'!$Y:$Y,$A71,'MAIN DATA, Orders'!$D:$D,"Poland")</f>
        <v>2</v>
      </c>
      <c r="D71" s="30">
        <f>COUNTIFS('MAIN DATA, Orders'!$G:$G,"&lt;&gt;.",'MAIN DATA, Orders'!$Y:$Y,$A71,'MAIN DATA, Orders'!$D:$D,"Poland",'MAIN DATA, Orders'!$R:$R,"")</f>
        <v>0</v>
      </c>
      <c r="E71" s="7">
        <f t="shared" si="6"/>
        <v>0</v>
      </c>
      <c r="G71" s="205">
        <v>45778</v>
      </c>
      <c r="H71" s="200" cm="1">
        <f t="array" ref="H71">SUM(D69:D71/SUM(C69:C71))</f>
        <v>0.33333333333333331</v>
      </c>
    </row>
    <row r="72" spans="1:8" x14ac:dyDescent="0.35">
      <c r="A72" s="20">
        <v>202506</v>
      </c>
      <c r="B72" s="17">
        <v>45809</v>
      </c>
      <c r="C72" s="30">
        <f>COUNTIFS('MAIN DATA, Orders'!$G:$G,"&lt;&gt;.",'MAIN DATA, Orders'!$Y:$Y,$A72,'MAIN DATA, Orders'!$D:$D,"Poland")</f>
        <v>2</v>
      </c>
      <c r="D72" s="30">
        <f>COUNTIFS('MAIN DATA, Orders'!$G:$G,"&lt;&gt;.",'MAIN DATA, Orders'!$Y:$Y,$A72,'MAIN DATA, Orders'!$D:$D,"Poland",'MAIN DATA, Orders'!$R:$R,"")</f>
        <v>2</v>
      </c>
      <c r="E72" s="7">
        <f t="shared" si="6"/>
        <v>1</v>
      </c>
      <c r="G72" s="205">
        <v>45809</v>
      </c>
      <c r="H72" s="200" cm="1">
        <f t="array" ref="H72">SUM(D70:D72/SUM(C70:C72))</f>
        <v>0.5</v>
      </c>
    </row>
    <row r="73" spans="1:8" x14ac:dyDescent="0.35">
      <c r="A73" s="20">
        <v>202507</v>
      </c>
      <c r="B73" s="17">
        <v>45839</v>
      </c>
      <c r="C73" s="30">
        <f>COUNTIFS('MAIN DATA, Orders'!$G:$G,"&lt;&gt;.",'MAIN DATA, Orders'!$Y:$Y,$A73,'MAIN DATA, Orders'!$D:$D,"Poland")</f>
        <v>2</v>
      </c>
      <c r="D73" s="30">
        <f>COUNTIFS('MAIN DATA, Orders'!$G:$G,"&lt;&gt;.",'MAIN DATA, Orders'!$Y:$Y,$A73,'MAIN DATA, Orders'!$D:$D,"Poland",'MAIN DATA, Orders'!$R:$R,"")</f>
        <v>0</v>
      </c>
      <c r="E73" s="7">
        <f t="shared" si="6"/>
        <v>0</v>
      </c>
      <c r="G73" s="205">
        <v>45839</v>
      </c>
      <c r="H73" s="200" cm="1">
        <f t="array" ref="H73">SUM(D71:D73/SUM(C71:C73))</f>
        <v>0.33333333333333331</v>
      </c>
    </row>
    <row r="74" spans="1:8" x14ac:dyDescent="0.35">
      <c r="A74" s="20">
        <v>202508</v>
      </c>
      <c r="B74" s="17">
        <v>45870</v>
      </c>
      <c r="C74" s="30">
        <f>COUNTIFS('MAIN DATA, Orders'!$G:$G,"&lt;&gt;.",'MAIN DATA, Orders'!$Y:$Y,$A74,'MAIN DATA, Orders'!$D:$D,"Poland")</f>
        <v>7</v>
      </c>
      <c r="D74" s="30">
        <f>COUNTIFS('MAIN DATA, Orders'!$G:$G,"&lt;&gt;.",'MAIN DATA, Orders'!$Y:$Y,$A74,'MAIN DATA, Orders'!$D:$D,"Poland",'MAIN DATA, Orders'!$R:$R,"")</f>
        <v>1</v>
      </c>
      <c r="E74" s="7">
        <f t="shared" si="6"/>
        <v>0.14285714285714285</v>
      </c>
      <c r="G74" s="205">
        <v>45870</v>
      </c>
      <c r="H74" s="200" cm="1">
        <f t="array" ref="H74">SUM(D72:D74/SUM(C72:C74))</f>
        <v>0.27272727272727271</v>
      </c>
    </row>
    <row r="75" spans="1:8" x14ac:dyDescent="0.35">
      <c r="A75" s="20">
        <v>202509</v>
      </c>
      <c r="B75" s="17">
        <v>45901</v>
      </c>
      <c r="C75" s="30">
        <f>COUNTIFS('MAIN DATA, Orders'!$G:$G,"&lt;&gt;.",'MAIN DATA, Orders'!$Y:$Y,$A75,'MAIN DATA, Orders'!$D:$D,"Poland")</f>
        <v>5</v>
      </c>
      <c r="D75" s="30">
        <f>COUNTIFS('MAIN DATA, Orders'!$G:$G,"&lt;&gt;.",'MAIN DATA, Orders'!$Y:$Y,$A75,'MAIN DATA, Orders'!$D:$D,"Poland",'MAIN DATA, Orders'!$R:$R,"")</f>
        <v>2</v>
      </c>
      <c r="E75" s="7">
        <f t="shared" si="6"/>
        <v>0.4</v>
      </c>
      <c r="G75" s="205">
        <v>45901</v>
      </c>
      <c r="H75" s="200" cm="1">
        <f t="array" ref="H75">SUM(D73:D75/SUM(C73:C75))</f>
        <v>0.21428571428571427</v>
      </c>
    </row>
    <row r="76" spans="1:8" x14ac:dyDescent="0.35">
      <c r="A76" s="20">
        <v>202510</v>
      </c>
      <c r="B76" s="17">
        <v>45931</v>
      </c>
      <c r="C76" s="30">
        <f>COUNTIFS('MAIN DATA, Orders'!$G:$G,"&lt;&gt;.",'MAIN DATA, Orders'!$Y:$Y,$A76,'MAIN DATA, Orders'!$D:$D,"Poland")</f>
        <v>1</v>
      </c>
      <c r="D76" s="30">
        <f>COUNTIFS('MAIN DATA, Orders'!$G:$G,"&lt;&gt;.",'MAIN DATA, Orders'!$Y:$Y,$A76,'MAIN DATA, Orders'!$D:$D,"Poland",'MAIN DATA, Orders'!$R:$R,"")</f>
        <v>1</v>
      </c>
      <c r="E76" s="7">
        <f t="shared" si="6"/>
        <v>1</v>
      </c>
      <c r="G76" s="205">
        <v>45931</v>
      </c>
      <c r="H76" s="200" cm="1">
        <f t="array" ref="H76">SUM(D74:D76/SUM(C74:C76))</f>
        <v>0.30769230769230771</v>
      </c>
    </row>
    <row r="77" spans="1:8" x14ac:dyDescent="0.35">
      <c r="A77" s="20">
        <v>202511</v>
      </c>
      <c r="B77" s="17">
        <v>45962</v>
      </c>
      <c r="C77" s="30">
        <f>COUNTIFS('MAIN DATA, Orders'!$G:$G,"&lt;&gt;.",'MAIN DATA, Orders'!$Y:$Y,$A77,'MAIN DATA, Orders'!$D:$D,"Poland")</f>
        <v>2</v>
      </c>
      <c r="D77" s="30">
        <f>COUNTIFS('MAIN DATA, Orders'!$G:$G,"&lt;&gt;.",'MAIN DATA, Orders'!$Y:$Y,$A77,'MAIN DATA, Orders'!$D:$D,"Poland",'MAIN DATA, Orders'!$R:$R,"")</f>
        <v>1</v>
      </c>
      <c r="E77" s="7">
        <f t="shared" si="6"/>
        <v>0.5</v>
      </c>
      <c r="G77" s="205">
        <v>45962</v>
      </c>
      <c r="H77" s="200" cm="1">
        <f t="array" ref="H77">SUM(D75:D77/SUM(C75:C77))</f>
        <v>0.5</v>
      </c>
    </row>
    <row r="78" spans="1:8" x14ac:dyDescent="0.35">
      <c r="A78" s="20">
        <v>202512</v>
      </c>
      <c r="B78" s="17">
        <v>45992</v>
      </c>
      <c r="C78" s="30">
        <f>COUNTIFS('MAIN DATA, Orders'!$G:$G,"&lt;&gt;.",'MAIN DATA, Orders'!$Y:$Y,$A78,'MAIN DATA, Orders'!$D:$D,"Poland")</f>
        <v>4</v>
      </c>
      <c r="D78" s="30">
        <f>COUNTIFS('MAIN DATA, Orders'!$G:$G,"&lt;&gt;.",'MAIN DATA, Orders'!$Y:$Y,$A78,'MAIN DATA, Orders'!$D:$D,"Poland",'MAIN DATA, Orders'!$R:$R,"")</f>
        <v>4</v>
      </c>
      <c r="E78" s="7">
        <f t="shared" si="6"/>
        <v>1</v>
      </c>
      <c r="G78" s="205">
        <v>45992</v>
      </c>
      <c r="H78" s="200" cm="1">
        <f t="array" ref="H78">SUM(D76:D78/SUM(C76:C78))</f>
        <v>0.8571428571428571</v>
      </c>
    </row>
    <row r="79" spans="1:8" x14ac:dyDescent="0.35">
      <c r="A79" s="20">
        <v>202601</v>
      </c>
      <c r="B79" s="17">
        <v>46023</v>
      </c>
      <c r="C79" s="30">
        <f>COUNTIFS('MAIN DATA, Orders'!$G:$G,"&lt;&gt;.",'MAIN DATA, Orders'!$Y:$Y,$A79,'MAIN DATA, Orders'!$D:$D,"Poland")</f>
        <v>1</v>
      </c>
      <c r="D79" s="30">
        <f>COUNTIFS('MAIN DATA, Orders'!$G:$G,"&lt;&gt;.",'MAIN DATA, Orders'!$Y:$Y,$A79,'MAIN DATA, Orders'!$D:$D,"Poland",'MAIN DATA, Orders'!$R:$R,"")</f>
        <v>1</v>
      </c>
      <c r="E79" s="7">
        <f t="shared" si="6"/>
        <v>1</v>
      </c>
      <c r="G79" s="205">
        <v>46023</v>
      </c>
      <c r="H79" s="200" cm="1">
        <f t="array" ref="H79">SUM(D77:D79/SUM(C77:C79))</f>
        <v>0.85714285714285698</v>
      </c>
    </row>
    <row r="80" spans="1:8" x14ac:dyDescent="0.35">
      <c r="B80" s="168"/>
      <c r="C80" s="168"/>
      <c r="D80" s="168"/>
      <c r="E80" s="168"/>
      <c r="G80" s="210"/>
      <c r="H80" s="168"/>
    </row>
  </sheetData>
  <mergeCells count="1">
    <mergeCell ref="B4:E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7E9EC-8AB3-41EA-93D6-E645FEE6D2E7}">
  <sheetPr>
    <tabColor rgb="FFB5E6A2"/>
  </sheetPr>
  <dimension ref="A2:J81"/>
  <sheetViews>
    <sheetView zoomScaleNormal="100" workbookViewId="0"/>
  </sheetViews>
  <sheetFormatPr baseColWidth="10" defaultColWidth="8.75" defaultRowHeight="15.5" x14ac:dyDescent="0.35"/>
  <cols>
    <col min="1" max="1" width="8.75" style="1"/>
    <col min="2" max="2" width="13.5" style="1" customWidth="1"/>
    <col min="3" max="3" width="27.08203125" style="1" bestFit="1" customWidth="1"/>
    <col min="4" max="16384" width="8.75" style="1"/>
  </cols>
  <sheetData>
    <row r="2" spans="1:10" ht="25.9" customHeight="1" x14ac:dyDescent="0.7">
      <c r="B2" s="16" t="s">
        <v>5641</v>
      </c>
    </row>
    <row r="4" spans="1:10" ht="130.15" customHeight="1" x14ac:dyDescent="0.35">
      <c r="B4" s="233" t="s">
        <v>5188</v>
      </c>
      <c r="C4" s="233"/>
      <c r="D4" s="233"/>
      <c r="E4" s="233"/>
      <c r="F4" s="233"/>
      <c r="G4" s="233"/>
      <c r="H4" s="233"/>
      <c r="I4" s="233"/>
      <c r="J4" s="233"/>
    </row>
    <row r="6" spans="1:10" ht="21" customHeight="1" x14ac:dyDescent="0.35">
      <c r="B6" s="68" t="s">
        <v>4197</v>
      </c>
      <c r="C6" s="69" t="s">
        <v>5189</v>
      </c>
      <c r="D6" s="2"/>
    </row>
    <row r="7" spans="1:10" x14ac:dyDescent="0.35">
      <c r="A7" s="20">
        <v>202001</v>
      </c>
      <c r="B7" s="17">
        <v>43831</v>
      </c>
      <c r="C7" s="15">
        <f>(SUMIFS('MAIN DATA, Orders'!$S:$S,'MAIN DATA, Orders'!$Y:$Y,$A7,'MAIN DATA, Orders'!$D:$D,"Germany")/1000000000)</f>
        <v>0</v>
      </c>
      <c r="D7" s="3"/>
    </row>
    <row r="8" spans="1:10" x14ac:dyDescent="0.35">
      <c r="A8" s="20">
        <v>202002</v>
      </c>
      <c r="B8" s="17">
        <v>43862</v>
      </c>
      <c r="C8" s="15">
        <f>(SUMIFS('MAIN DATA, Orders'!$S:$S,'MAIN DATA, Orders'!$Y:$Y,$A8,'MAIN DATA, Orders'!$D:$D,"Germany")/1000000000)</f>
        <v>0</v>
      </c>
      <c r="D8" s="3"/>
    </row>
    <row r="9" spans="1:10" x14ac:dyDescent="0.35">
      <c r="A9" s="20">
        <v>202003</v>
      </c>
      <c r="B9" s="17">
        <v>43891</v>
      </c>
      <c r="C9" s="15">
        <f>(SUMIFS('MAIN DATA, Orders'!$S:$S,'MAIN DATA, Orders'!$Y:$Y,$A9,'MAIN DATA, Orders'!$D:$D,"Germany")/1000000000)</f>
        <v>0</v>
      </c>
      <c r="D9" s="3"/>
    </row>
    <row r="10" spans="1:10" x14ac:dyDescent="0.35">
      <c r="A10" s="20">
        <v>202004</v>
      </c>
      <c r="B10" s="17">
        <v>43922</v>
      </c>
      <c r="C10" s="15">
        <f>(SUMIFS('MAIN DATA, Orders'!$S:$S,'MAIN DATA, Orders'!$Y:$Y,$A10,'MAIN DATA, Orders'!$D:$D,"Germany")/1000000000)</f>
        <v>0</v>
      </c>
      <c r="D10" s="3"/>
    </row>
    <row r="11" spans="1:10" x14ac:dyDescent="0.35">
      <c r="A11" s="20">
        <v>202005</v>
      </c>
      <c r="B11" s="17">
        <v>43952</v>
      </c>
      <c r="C11" s="15">
        <f>(SUMIFS('MAIN DATA, Orders'!$S:$S,'MAIN DATA, Orders'!$Y:$Y,$A11,'MAIN DATA, Orders'!$D:$D,"Germany")/1000000000)</f>
        <v>0.03</v>
      </c>
      <c r="D11" s="3"/>
    </row>
    <row r="12" spans="1:10" x14ac:dyDescent="0.35">
      <c r="A12" s="20">
        <v>202006</v>
      </c>
      <c r="B12" s="17">
        <v>43983</v>
      </c>
      <c r="C12" s="15">
        <f>(SUMIFS('MAIN DATA, Orders'!$S:$S,'MAIN DATA, Orders'!$Y:$Y,$A12,'MAIN DATA, Orders'!$D:$D,"Germany")/1000000000)</f>
        <v>13</v>
      </c>
      <c r="D12" s="3"/>
    </row>
    <row r="13" spans="1:10" x14ac:dyDescent="0.35">
      <c r="A13" s="20">
        <v>202007</v>
      </c>
      <c r="B13" s="17">
        <v>44013</v>
      </c>
      <c r="C13" s="15">
        <f>(SUMIFS('MAIN DATA, Orders'!$S:$S,'MAIN DATA, Orders'!$Y:$Y,$A13,'MAIN DATA, Orders'!$D:$D,"Germany")/1000000000)</f>
        <v>0</v>
      </c>
      <c r="D13" s="3"/>
    </row>
    <row r="14" spans="1:10" x14ac:dyDescent="0.35">
      <c r="A14" s="20">
        <v>202008</v>
      </c>
      <c r="B14" s="17">
        <v>44044</v>
      </c>
      <c r="C14" s="15">
        <f>(SUMIFS('MAIN DATA, Orders'!$S:$S,'MAIN DATA, Orders'!$Y:$Y,$A14,'MAIN DATA, Orders'!$D:$D,"Germany")/1000000000)</f>
        <v>0.35</v>
      </c>
      <c r="D14" s="3"/>
    </row>
    <row r="15" spans="1:10" x14ac:dyDescent="0.35">
      <c r="A15" s="20">
        <v>202009</v>
      </c>
      <c r="B15" s="17">
        <v>44075</v>
      </c>
      <c r="C15" s="15">
        <f>(SUMIFS('MAIN DATA, Orders'!$S:$S,'MAIN DATA, Orders'!$Y:$Y,$A15,'MAIN DATA, Orders'!$D:$D,"Germany")/1000000000)</f>
        <v>2.3839999999999999</v>
      </c>
      <c r="D15" s="3"/>
    </row>
    <row r="16" spans="1:10" x14ac:dyDescent="0.35">
      <c r="A16" s="20">
        <v>202010</v>
      </c>
      <c r="B16" s="17">
        <v>44105</v>
      </c>
      <c r="C16" s="15">
        <f>(SUMIFS('MAIN DATA, Orders'!$S:$S,'MAIN DATA, Orders'!$Y:$Y,$A16,'MAIN DATA, Orders'!$D:$D,"Germany")/1000000000)</f>
        <v>0.04</v>
      </c>
      <c r="D16" s="3"/>
    </row>
    <row r="17" spans="1:3" x14ac:dyDescent="0.35">
      <c r="A17" s="20">
        <v>202011</v>
      </c>
      <c r="B17" s="17">
        <v>44136</v>
      </c>
      <c r="C17" s="15">
        <f>(SUMIFS('MAIN DATA, Orders'!$S:$S,'MAIN DATA, Orders'!$Y:$Y,$A17,'MAIN DATA, Orders'!$D:$D,"Germany")/1000000000)</f>
        <v>9.1859999999999999</v>
      </c>
    </row>
    <row r="18" spans="1:3" x14ac:dyDescent="0.35">
      <c r="A18" s="20">
        <v>202012</v>
      </c>
      <c r="B18" s="17">
        <v>44166</v>
      </c>
      <c r="C18" s="15">
        <f>(SUMIFS('MAIN DATA, Orders'!$S:$S,'MAIN DATA, Orders'!$Y:$Y,$A18,'MAIN DATA, Orders'!$D:$D,"Germany")/1000000000)</f>
        <v>0.45</v>
      </c>
    </row>
    <row r="19" spans="1:3" x14ac:dyDescent="0.35">
      <c r="A19" s="20">
        <v>202101</v>
      </c>
      <c r="B19" s="17">
        <v>44197</v>
      </c>
      <c r="C19" s="15">
        <f>(SUMIFS('MAIN DATA, Orders'!$S:$S,'MAIN DATA, Orders'!$Y:$Y,$A19,'MAIN DATA, Orders'!$D:$D,"Germany")/1000000000)</f>
        <v>0</v>
      </c>
    </row>
    <row r="20" spans="1:3" x14ac:dyDescent="0.35">
      <c r="A20" s="20">
        <v>202102</v>
      </c>
      <c r="B20" s="17">
        <v>44228</v>
      </c>
      <c r="C20" s="15">
        <f>(SUMIFS('MAIN DATA, Orders'!$S:$S,'MAIN DATA, Orders'!$Y:$Y,$A20,'MAIN DATA, Orders'!$D:$D,"Germany")/1000000000)</f>
        <v>8.7999999999999995E-2</v>
      </c>
    </row>
    <row r="21" spans="1:3" x14ac:dyDescent="0.35">
      <c r="A21" s="20">
        <v>202103</v>
      </c>
      <c r="B21" s="17">
        <v>44256</v>
      </c>
      <c r="C21" s="15">
        <f>(SUMIFS('MAIN DATA, Orders'!$S:$S,'MAIN DATA, Orders'!$Y:$Y,$A21,'MAIN DATA, Orders'!$D:$D,"Germany")/1000000000)</f>
        <v>0</v>
      </c>
    </row>
    <row r="22" spans="1:3" x14ac:dyDescent="0.35">
      <c r="A22" s="20">
        <v>202104</v>
      </c>
      <c r="B22" s="17">
        <v>44287</v>
      </c>
      <c r="C22" s="15">
        <f>(SUMIFS('MAIN DATA, Orders'!$S:$S,'MAIN DATA, Orders'!$Y:$Y,$A22,'MAIN DATA, Orders'!$D:$D,"Germany")/1000000000)</f>
        <v>3.7</v>
      </c>
    </row>
    <row r="23" spans="1:3" x14ac:dyDescent="0.35">
      <c r="A23" s="20">
        <v>202105</v>
      </c>
      <c r="B23" s="17">
        <v>44317</v>
      </c>
      <c r="C23" s="15">
        <f>(SUMIFS('MAIN DATA, Orders'!$S:$S,'MAIN DATA, Orders'!$Y:$Y,$A23,'MAIN DATA, Orders'!$D:$D,"Germany")/1000000000)</f>
        <v>2.4020000000000001</v>
      </c>
    </row>
    <row r="24" spans="1:3" x14ac:dyDescent="0.35">
      <c r="A24" s="20">
        <v>202106</v>
      </c>
      <c r="B24" s="17">
        <v>44348</v>
      </c>
      <c r="C24" s="15">
        <f>(SUMIFS('MAIN DATA, Orders'!$S:$S,'MAIN DATA, Orders'!$Y:$Y,$A24,'MAIN DATA, Orders'!$D:$D,"Germany")/1000000000)</f>
        <v>16.146878000000001</v>
      </c>
    </row>
    <row r="25" spans="1:3" x14ac:dyDescent="0.35">
      <c r="A25" s="20">
        <v>202107</v>
      </c>
      <c r="B25" s="17">
        <v>44378</v>
      </c>
      <c r="C25" s="15">
        <f>(SUMIFS('MAIN DATA, Orders'!$S:$S,'MAIN DATA, Orders'!$Y:$Y,$A25,'MAIN DATA, Orders'!$D:$D,"Germany")/1000000000)</f>
        <v>0</v>
      </c>
    </row>
    <row r="26" spans="1:3" x14ac:dyDescent="0.35">
      <c r="A26" s="20">
        <v>202108</v>
      </c>
      <c r="B26" s="17">
        <v>44409</v>
      </c>
      <c r="C26" s="15">
        <f>(SUMIFS('MAIN DATA, Orders'!$S:$S,'MAIN DATA, Orders'!$Y:$Y,$A26,'MAIN DATA, Orders'!$D:$D,"Germany")/1000000000)</f>
        <v>0</v>
      </c>
    </row>
    <row r="27" spans="1:3" x14ac:dyDescent="0.35">
      <c r="A27" s="20">
        <v>202109</v>
      </c>
      <c r="B27" s="17">
        <v>44440</v>
      </c>
      <c r="C27" s="15">
        <f>(SUMIFS('MAIN DATA, Orders'!$S:$S,'MAIN DATA, Orders'!$Y:$Y,$A27,'MAIN DATA, Orders'!$D:$D,"Germany")/1000000000)</f>
        <v>0</v>
      </c>
    </row>
    <row r="28" spans="1:3" x14ac:dyDescent="0.35">
      <c r="A28" s="20">
        <v>202110</v>
      </c>
      <c r="B28" s="17">
        <v>44470</v>
      </c>
      <c r="C28" s="15">
        <f>(SUMIFS('MAIN DATA, Orders'!$S:$S,'MAIN DATA, Orders'!$Y:$Y,$A28,'MAIN DATA, Orders'!$D:$D,"Germany")/1000000000)</f>
        <v>0</v>
      </c>
    </row>
    <row r="29" spans="1:3" x14ac:dyDescent="0.35">
      <c r="A29" s="20">
        <v>202111</v>
      </c>
      <c r="B29" s="17">
        <v>44501</v>
      </c>
      <c r="C29" s="15">
        <f>(SUMIFS('MAIN DATA, Orders'!$S:$S,'MAIN DATA, Orders'!$Y:$Y,$A29,'MAIN DATA, Orders'!$D:$D,"Germany")/1000000000)</f>
        <v>0</v>
      </c>
    </row>
    <row r="30" spans="1:3" x14ac:dyDescent="0.35">
      <c r="A30" s="20">
        <v>202112</v>
      </c>
      <c r="B30" s="17">
        <v>44531</v>
      </c>
      <c r="C30" s="15">
        <f>(SUMIFS('MAIN DATA, Orders'!$S:$S,'MAIN DATA, Orders'!$Y:$Y,$A30,'MAIN DATA, Orders'!$D:$D,"Germany")/1000000000)</f>
        <v>0</v>
      </c>
    </row>
    <row r="31" spans="1:3" x14ac:dyDescent="0.35">
      <c r="A31" s="20">
        <v>202201</v>
      </c>
      <c r="B31" s="17">
        <v>44562</v>
      </c>
      <c r="C31" s="15">
        <f>(SUMIFS('MAIN DATA, Orders'!$S:$S,'MAIN DATA, Orders'!$Y:$Y,$A31,'MAIN DATA, Orders'!$D:$D,"Germany")/1000000000)</f>
        <v>0</v>
      </c>
    </row>
    <row r="32" spans="1:3" x14ac:dyDescent="0.35">
      <c r="A32" s="20">
        <v>202202</v>
      </c>
      <c r="B32" s="17">
        <v>44593</v>
      </c>
      <c r="C32" s="15">
        <f>(SUMIFS('MAIN DATA, Orders'!$S:$S,'MAIN DATA, Orders'!$Y:$Y,$A32,'MAIN DATA, Orders'!$D:$D,"Germany")/1000000000)</f>
        <v>0</v>
      </c>
    </row>
    <row r="33" spans="1:3" x14ac:dyDescent="0.35">
      <c r="A33" s="20">
        <v>202203</v>
      </c>
      <c r="B33" s="17">
        <v>44621</v>
      </c>
      <c r="C33" s="15">
        <f>(SUMIFS('MAIN DATA, Orders'!$S:$S,'MAIN DATA, Orders'!$Y:$Y,$A33,'MAIN DATA, Orders'!$D:$D,"Germany")/1000000000)</f>
        <v>0</v>
      </c>
    </row>
    <row r="34" spans="1:3" x14ac:dyDescent="0.35">
      <c r="A34" s="20">
        <v>202204</v>
      </c>
      <c r="B34" s="17">
        <v>44652</v>
      </c>
      <c r="C34" s="15">
        <f>(SUMIFS('MAIN DATA, Orders'!$S:$S,'MAIN DATA, Orders'!$Y:$Y,$A34,'MAIN DATA, Orders'!$D:$D,"Germany")/1000000000)</f>
        <v>0.15</v>
      </c>
    </row>
    <row r="35" spans="1:3" x14ac:dyDescent="0.35">
      <c r="A35" s="20">
        <v>202205</v>
      </c>
      <c r="B35" s="17">
        <v>44682</v>
      </c>
      <c r="C35" s="15">
        <f>(SUMIFS('MAIN DATA, Orders'!$S:$S,'MAIN DATA, Orders'!$Y:$Y,$A35,'MAIN DATA, Orders'!$D:$D,"Germany")/1000000000)</f>
        <v>2.5139</v>
      </c>
    </row>
    <row r="36" spans="1:3" x14ac:dyDescent="0.35">
      <c r="A36" s="20">
        <v>202206</v>
      </c>
      <c r="B36" s="17">
        <v>44713</v>
      </c>
      <c r="C36" s="15">
        <f>(SUMIFS('MAIN DATA, Orders'!$S:$S,'MAIN DATA, Orders'!$Y:$Y,$A36,'MAIN DATA, Orders'!$D:$D,"Germany")/1000000000)</f>
        <v>0.13600000000000001</v>
      </c>
    </row>
    <row r="37" spans="1:3" x14ac:dyDescent="0.35">
      <c r="A37" s="20">
        <v>202207</v>
      </c>
      <c r="B37" s="17">
        <v>44743</v>
      </c>
      <c r="C37" s="15">
        <f>(SUMIFS('MAIN DATA, Orders'!$S:$S,'MAIN DATA, Orders'!$Y:$Y,$A37,'MAIN DATA, Orders'!$D:$D,"Germany")/1000000000)</f>
        <v>7.5159000000000002</v>
      </c>
    </row>
    <row r="38" spans="1:3" x14ac:dyDescent="0.35">
      <c r="A38" s="20">
        <v>202208</v>
      </c>
      <c r="B38" s="17">
        <v>44774</v>
      </c>
      <c r="C38" s="15">
        <f>(SUMIFS('MAIN DATA, Orders'!$S:$S,'MAIN DATA, Orders'!$Y:$Y,$A38,'MAIN DATA, Orders'!$D:$D,"Germany")/1000000000)</f>
        <v>0</v>
      </c>
    </row>
    <row r="39" spans="1:3" x14ac:dyDescent="0.35">
      <c r="A39" s="20">
        <v>202209</v>
      </c>
      <c r="B39" s="17">
        <v>44805</v>
      </c>
      <c r="C39" s="15">
        <f>(SUMIFS('MAIN DATA, Orders'!$S:$S,'MAIN DATA, Orders'!$Y:$Y,$A39,'MAIN DATA, Orders'!$D:$D,"Germany")/1000000000)</f>
        <v>0.63700000000000001</v>
      </c>
    </row>
    <row r="40" spans="1:3" x14ac:dyDescent="0.35">
      <c r="A40" s="20">
        <v>202210</v>
      </c>
      <c r="B40" s="17">
        <v>44835</v>
      </c>
      <c r="C40" s="15">
        <f>(SUMIFS('MAIN DATA, Orders'!$S:$S,'MAIN DATA, Orders'!$Y:$Y,$A40,'MAIN DATA, Orders'!$D:$D,"Germany")/1000000000)</f>
        <v>0.10489999999999999</v>
      </c>
    </row>
    <row r="41" spans="1:3" x14ac:dyDescent="0.35">
      <c r="A41" s="20">
        <v>202211</v>
      </c>
      <c r="B41" s="17">
        <v>44866</v>
      </c>
      <c r="C41" s="15">
        <f>(SUMIFS('MAIN DATA, Orders'!$S:$S,'MAIN DATA, Orders'!$Y:$Y,$A41,'MAIN DATA, Orders'!$D:$D,"Germany")/1000000000)</f>
        <v>0.15545</v>
      </c>
    </row>
    <row r="42" spans="1:3" x14ac:dyDescent="0.35">
      <c r="A42" s="20">
        <v>202212</v>
      </c>
      <c r="B42" s="17">
        <v>44896</v>
      </c>
      <c r="C42" s="15">
        <f>(SUMIFS('MAIN DATA, Orders'!$S:$S,'MAIN DATA, Orders'!$Y:$Y,$A42,'MAIN DATA, Orders'!$D:$D,"Germany")/1000000000)</f>
        <v>9.8840000000000003</v>
      </c>
    </row>
    <row r="43" spans="1:3" x14ac:dyDescent="0.35">
      <c r="A43" s="20">
        <v>202301</v>
      </c>
      <c r="B43" s="17">
        <v>44927</v>
      </c>
      <c r="C43" s="15">
        <f>(SUMIFS('MAIN DATA, Orders'!$S:$S,'MAIN DATA, Orders'!$Y:$Y,$A43,'MAIN DATA, Orders'!$D:$D,"Germany")/1000000000)</f>
        <v>0</v>
      </c>
    </row>
    <row r="44" spans="1:3" x14ac:dyDescent="0.35">
      <c r="A44" s="20">
        <v>202302</v>
      </c>
      <c r="B44" s="17">
        <v>44958</v>
      </c>
      <c r="C44" s="15">
        <f>(SUMIFS('MAIN DATA, Orders'!$S:$S,'MAIN DATA, Orders'!$Y:$Y,$A44,'MAIN DATA, Orders'!$D:$D,"Germany")/1000000000)</f>
        <v>0.2208</v>
      </c>
    </row>
    <row r="45" spans="1:3" x14ac:dyDescent="0.35">
      <c r="A45" s="20">
        <v>202303</v>
      </c>
      <c r="B45" s="17">
        <v>44986</v>
      </c>
      <c r="C45" s="15">
        <f>(SUMIFS('MAIN DATA, Orders'!$S:$S,'MAIN DATA, Orders'!$Y:$Y,$A45,'MAIN DATA, Orders'!$D:$D,"Germany")/1000000000)</f>
        <v>1.3744000000000001</v>
      </c>
    </row>
    <row r="46" spans="1:3" x14ac:dyDescent="0.35">
      <c r="A46" s="20">
        <v>202304</v>
      </c>
      <c r="B46" s="17">
        <v>45017</v>
      </c>
      <c r="C46" s="15">
        <f>(SUMIFS('MAIN DATA, Orders'!$S:$S,'MAIN DATA, Orders'!$Y:$Y,$A46,'MAIN DATA, Orders'!$D:$D,"Germany")/1000000000)</f>
        <v>0.76700000000000002</v>
      </c>
    </row>
    <row r="47" spans="1:3" x14ac:dyDescent="0.35">
      <c r="A47" s="20">
        <v>202305</v>
      </c>
      <c r="B47" s="17">
        <v>45047</v>
      </c>
      <c r="C47" s="15">
        <f>(SUMIFS('MAIN DATA, Orders'!$S:$S,'MAIN DATA, Orders'!$Y:$Y,$A47,'MAIN DATA, Orders'!$D:$D,"Germany")/1000000000)</f>
        <v>2.0152999999999999</v>
      </c>
    </row>
    <row r="48" spans="1:3" x14ac:dyDescent="0.35">
      <c r="A48" s="20">
        <v>202306</v>
      </c>
      <c r="B48" s="17">
        <v>45078</v>
      </c>
      <c r="C48" s="15">
        <f>(SUMIFS('MAIN DATA, Orders'!$S:$S,'MAIN DATA, Orders'!$Y:$Y,$A48,'MAIN DATA, Orders'!$D:$D,"Germany")/1000000000)</f>
        <v>1.8532</v>
      </c>
    </row>
    <row r="49" spans="1:3" x14ac:dyDescent="0.35">
      <c r="A49" s="20">
        <v>202307</v>
      </c>
      <c r="B49" s="17">
        <v>45108</v>
      </c>
      <c r="C49" s="15">
        <f>(SUMIFS('MAIN DATA, Orders'!$S:$S,'MAIN DATA, Orders'!$Y:$Y,$A49,'MAIN DATA, Orders'!$D:$D,"Germany")/1000000000)</f>
        <v>9.7448999999999995</v>
      </c>
    </row>
    <row r="50" spans="1:3" x14ac:dyDescent="0.35">
      <c r="A50" s="20">
        <v>202308</v>
      </c>
      <c r="B50" s="17">
        <v>45139</v>
      </c>
      <c r="C50" s="15">
        <f>(SUMIFS('MAIN DATA, Orders'!$S:$S,'MAIN DATA, Orders'!$Y:$Y,$A50,'MAIN DATA, Orders'!$D:$D,"Germany")/1000000000)</f>
        <v>0</v>
      </c>
    </row>
    <row r="51" spans="1:3" x14ac:dyDescent="0.35">
      <c r="A51" s="20">
        <v>202309</v>
      </c>
      <c r="B51" s="17">
        <v>45170</v>
      </c>
      <c r="C51" s="15">
        <f>(SUMIFS('MAIN DATA, Orders'!$S:$S,'MAIN DATA, Orders'!$Y:$Y,$A51,'MAIN DATA, Orders'!$D:$D,"Germany")/1000000000)</f>
        <v>0.43630000000000002</v>
      </c>
    </row>
    <row r="52" spans="1:3" x14ac:dyDescent="0.35">
      <c r="A52" s="20">
        <v>202310</v>
      </c>
      <c r="B52" s="17">
        <v>45200</v>
      </c>
      <c r="C52" s="15">
        <f>(SUMIFS('MAIN DATA, Orders'!$S:$S,'MAIN DATA, Orders'!$Y:$Y,$A52,'MAIN DATA, Orders'!$D:$D,"Germany")/1000000000)</f>
        <v>4.4124999999999996</v>
      </c>
    </row>
    <row r="53" spans="1:3" x14ac:dyDescent="0.35">
      <c r="A53" s="20">
        <v>202311</v>
      </c>
      <c r="B53" s="17">
        <v>45231</v>
      </c>
      <c r="C53" s="15">
        <f>(SUMIFS('MAIN DATA, Orders'!$S:$S,'MAIN DATA, Orders'!$Y:$Y,$A53,'MAIN DATA, Orders'!$D:$D,"Germany")/1000000000)</f>
        <v>14.9503</v>
      </c>
    </row>
    <row r="54" spans="1:3" x14ac:dyDescent="0.35">
      <c r="A54" s="20">
        <v>202312</v>
      </c>
      <c r="B54" s="17">
        <v>45261</v>
      </c>
      <c r="C54" s="15">
        <f>(SUMIFS('MAIN DATA, Orders'!$S:$S,'MAIN DATA, Orders'!$Y:$Y,$A54,'MAIN DATA, Orders'!$D:$D,"Germany")/1000000000)</f>
        <v>6.2514799999999999</v>
      </c>
    </row>
    <row r="55" spans="1:3" x14ac:dyDescent="0.35">
      <c r="A55" s="20">
        <v>202401</v>
      </c>
      <c r="B55" s="17">
        <v>45292</v>
      </c>
      <c r="C55" s="15">
        <f>(SUMIFS('MAIN DATA, Orders'!$S:$S,'MAIN DATA, Orders'!$Y:$Y,$A55,'MAIN DATA, Orders'!$D:$D,"Germany")/1000000000)</f>
        <v>1.23</v>
      </c>
    </row>
    <row r="56" spans="1:3" x14ac:dyDescent="0.35">
      <c r="A56" s="20">
        <v>202402</v>
      </c>
      <c r="B56" s="17">
        <v>45323</v>
      </c>
      <c r="C56" s="15">
        <f>(SUMIFS('MAIN DATA, Orders'!$S:$S,'MAIN DATA, Orders'!$Y:$Y,$A56,'MAIN DATA, Orders'!$D:$D,"Germany")/1000000000)</f>
        <v>2.8490000000000002</v>
      </c>
    </row>
    <row r="57" spans="1:3" x14ac:dyDescent="0.35">
      <c r="A57" s="20">
        <v>202403</v>
      </c>
      <c r="B57" s="17">
        <v>45352</v>
      </c>
      <c r="C57" s="15">
        <f>(SUMIFS('MAIN DATA, Orders'!$S:$S,'MAIN DATA, Orders'!$Y:$Y,$A57,'MAIN DATA, Orders'!$D:$D,"Germany")/1000000000)</f>
        <v>4.4318999999999997</v>
      </c>
    </row>
    <row r="58" spans="1:3" x14ac:dyDescent="0.35">
      <c r="A58" s="20">
        <v>202404</v>
      </c>
      <c r="B58" s="17">
        <v>45383</v>
      </c>
      <c r="C58" s="15">
        <f>(SUMIFS('MAIN DATA, Orders'!$S:$S,'MAIN DATA, Orders'!$Y:$Y,$A58,'MAIN DATA, Orders'!$D:$D,"Germany")/1000000000)</f>
        <v>0.58699999999999997</v>
      </c>
    </row>
    <row r="59" spans="1:3" x14ac:dyDescent="0.35">
      <c r="A59" s="20">
        <v>202405</v>
      </c>
      <c r="B59" s="17">
        <v>45413</v>
      </c>
      <c r="C59" s="15">
        <f>(SUMIFS('MAIN DATA, Orders'!$S:$S,'MAIN DATA, Orders'!$Y:$Y,$A59,'MAIN DATA, Orders'!$D:$D,"Germany")/1000000000)</f>
        <v>1.8489599999999999</v>
      </c>
    </row>
    <row r="60" spans="1:3" x14ac:dyDescent="0.35">
      <c r="A60" s="20">
        <v>202406</v>
      </c>
      <c r="B60" s="17">
        <v>45444</v>
      </c>
      <c r="C60" s="15">
        <f>(SUMIFS('MAIN DATA, Orders'!$S:$S,'MAIN DATA, Orders'!$Y:$Y,$A60,'MAIN DATA, Orders'!$D:$D,"Germany")/1000000000)</f>
        <v>9.4770000000000003</v>
      </c>
    </row>
    <row r="61" spans="1:3" x14ac:dyDescent="0.35">
      <c r="A61" s="20">
        <v>202407</v>
      </c>
      <c r="B61" s="17">
        <v>45474</v>
      </c>
      <c r="C61" s="15">
        <f>(SUMIFS('MAIN DATA, Orders'!$S:$S,'MAIN DATA, Orders'!$Y:$Y,$A61,'MAIN DATA, Orders'!$D:$D,"Germany")/1000000000)</f>
        <v>6.319</v>
      </c>
    </row>
    <row r="62" spans="1:3" x14ac:dyDescent="0.35">
      <c r="A62" s="20">
        <v>202408</v>
      </c>
      <c r="B62" s="17">
        <v>45505</v>
      </c>
      <c r="C62" s="15">
        <f>(SUMIFS('MAIN DATA, Orders'!$S:$S,'MAIN DATA, Orders'!$Y:$Y,$A62,'MAIN DATA, Orders'!$D:$D,"Germany")/1000000000)</f>
        <v>0</v>
      </c>
    </row>
    <row r="63" spans="1:3" x14ac:dyDescent="0.35">
      <c r="A63" s="20">
        <v>202409</v>
      </c>
      <c r="B63" s="17">
        <v>45536</v>
      </c>
      <c r="C63" s="15">
        <f>(SUMIFS('MAIN DATA, Orders'!$S:$S,'MAIN DATA, Orders'!$Y:$Y,$A63,'MAIN DATA, Orders'!$D:$D,"Germany")/1000000000)</f>
        <v>0.95199999999999996</v>
      </c>
    </row>
    <row r="64" spans="1:3" x14ac:dyDescent="0.35">
      <c r="A64" s="20">
        <v>202410</v>
      </c>
      <c r="B64" s="17">
        <v>45566</v>
      </c>
      <c r="C64" s="15">
        <f>(SUMIFS('MAIN DATA, Orders'!$S:$S,'MAIN DATA, Orders'!$Y:$Y,$A64,'MAIN DATA, Orders'!$D:$D,"Germany")/1000000000)</f>
        <v>7.2190000000000003</v>
      </c>
    </row>
    <row r="65" spans="1:3" x14ac:dyDescent="0.35">
      <c r="A65" s="20">
        <v>202411</v>
      </c>
      <c r="B65" s="17">
        <v>45597</v>
      </c>
      <c r="C65" s="15">
        <f>(SUMIFS('MAIN DATA, Orders'!$S:$S,'MAIN DATA, Orders'!$Y:$Y,$A65,'MAIN DATA, Orders'!$D:$D,"Germany")/1000000000)</f>
        <v>2.1625000000000001</v>
      </c>
    </row>
    <row r="66" spans="1:3" x14ac:dyDescent="0.35">
      <c r="A66" s="20">
        <v>202412</v>
      </c>
      <c r="B66" s="17">
        <v>45627</v>
      </c>
      <c r="C66" s="15">
        <f>(SUMIFS('MAIN DATA, Orders'!$S:$S,'MAIN DATA, Orders'!$Y:$Y,$A66,'MAIN DATA, Orders'!$D:$D,"Germany")/1000000000)</f>
        <v>20</v>
      </c>
    </row>
    <row r="67" spans="1:3" x14ac:dyDescent="0.35">
      <c r="A67" s="20">
        <v>202501</v>
      </c>
      <c r="B67" s="17">
        <v>45658</v>
      </c>
      <c r="C67" s="15">
        <f>(SUMIFS('MAIN DATA, Orders'!$S:$S,'MAIN DATA, Orders'!$Y:$Y,$A67,'MAIN DATA, Orders'!$D:$D,"Germany")/1000000000)</f>
        <v>2.5196999999999998</v>
      </c>
    </row>
    <row r="68" spans="1:3" x14ac:dyDescent="0.35">
      <c r="A68" s="20">
        <v>202502</v>
      </c>
      <c r="B68" s="17">
        <v>45689</v>
      </c>
      <c r="C68" s="15">
        <f>(SUMIFS('MAIN DATA, Orders'!$S:$S,'MAIN DATA, Orders'!$Y:$Y,$A68,'MAIN DATA, Orders'!$D:$D,"Germany")/1000000000)</f>
        <v>0</v>
      </c>
    </row>
    <row r="69" spans="1:3" x14ac:dyDescent="0.35">
      <c r="A69" s="20">
        <v>202503</v>
      </c>
      <c r="B69" s="17">
        <v>45717</v>
      </c>
      <c r="C69" s="15">
        <f>(SUMIFS('MAIN DATA, Orders'!$S:$S,'MAIN DATA, Orders'!$Y:$Y,$A69,'MAIN DATA, Orders'!$D:$D,"Germany")/1000000000)</f>
        <v>0</v>
      </c>
    </row>
    <row r="70" spans="1:3" x14ac:dyDescent="0.35">
      <c r="A70" s="20">
        <v>202504</v>
      </c>
      <c r="B70" s="17">
        <v>45748</v>
      </c>
      <c r="C70" s="15">
        <f>(SUMIFS('MAIN DATA, Orders'!$S:$S,'MAIN DATA, Orders'!$Y:$Y,$A70,'MAIN DATA, Orders'!$D:$D,"Germany")/1000000000)</f>
        <v>0</v>
      </c>
    </row>
    <row r="71" spans="1:3" x14ac:dyDescent="0.35">
      <c r="A71" s="20">
        <v>202505</v>
      </c>
      <c r="B71" s="17">
        <v>45778</v>
      </c>
      <c r="C71" s="15">
        <f>(SUMIFS('MAIN DATA, Orders'!$S:$S,'MAIN DATA, Orders'!$Y:$Y,$A71,'MAIN DATA, Orders'!$D:$D,"Germany")/1000000000)</f>
        <v>0</v>
      </c>
    </row>
    <row r="72" spans="1:3" x14ac:dyDescent="0.35">
      <c r="A72" s="20">
        <v>202506</v>
      </c>
      <c r="B72" s="17">
        <v>45809</v>
      </c>
      <c r="C72" s="15">
        <f>(SUMIFS('MAIN DATA, Orders'!$S:$S,'MAIN DATA, Orders'!$Y:$Y,$A72,'MAIN DATA, Orders'!$D:$D,"Germany")/1000000000)</f>
        <v>4.9855</v>
      </c>
    </row>
    <row r="73" spans="1:3" x14ac:dyDescent="0.35">
      <c r="A73" s="20">
        <v>202507</v>
      </c>
      <c r="B73" s="17">
        <v>45839</v>
      </c>
      <c r="C73" s="15">
        <f>(SUMIFS('MAIN DATA, Orders'!$S:$S,'MAIN DATA, Orders'!$Y:$Y,$A73,'MAIN DATA, Orders'!$D:$D,"Germany")/1000000000)</f>
        <v>0.77</v>
      </c>
    </row>
    <row r="74" spans="1:3" x14ac:dyDescent="0.35">
      <c r="A74" s="20">
        <v>202508</v>
      </c>
      <c r="B74" s="17">
        <v>45870</v>
      </c>
      <c r="C74" s="15">
        <f>(SUMIFS('MAIN DATA, Orders'!$S:$S,'MAIN DATA, Orders'!$Y:$Y,$A74,'MAIN DATA, Orders'!$D:$D,"Germany")/1000000000)</f>
        <v>0</v>
      </c>
    </row>
    <row r="75" spans="1:3" x14ac:dyDescent="0.35">
      <c r="A75" s="20">
        <v>202509</v>
      </c>
      <c r="B75" s="17">
        <v>45901</v>
      </c>
      <c r="C75" s="15">
        <f>(SUMIFS('MAIN DATA, Orders'!$S:$S,'MAIN DATA, Orders'!$Y:$Y,$A75,'MAIN DATA, Orders'!$D:$D,"Germany")/1000000000)</f>
        <v>3.1219000000000001</v>
      </c>
    </row>
    <row r="76" spans="1:3" x14ac:dyDescent="0.35">
      <c r="A76" s="20">
        <v>202510</v>
      </c>
      <c r="B76" s="17">
        <v>45931</v>
      </c>
      <c r="C76" s="15">
        <f>(SUMIFS('MAIN DATA, Orders'!$S:$S,'MAIN DATA, Orders'!$Y:$Y,$A76,'MAIN DATA, Orders'!$D:$D,"Germany")/1000000000)</f>
        <v>14.61661</v>
      </c>
    </row>
    <row r="77" spans="1:3" x14ac:dyDescent="0.35">
      <c r="A77" s="20">
        <v>202511</v>
      </c>
      <c r="B77" s="17">
        <v>45962</v>
      </c>
      <c r="C77" s="15">
        <f>(SUMIFS('MAIN DATA, Orders'!$S:$S,'MAIN DATA, Orders'!$Y:$Y,$A77,'MAIN DATA, Orders'!$D:$D,"Germany")/1000000000)</f>
        <v>6.16</v>
      </c>
    </row>
    <row r="78" spans="1:3" x14ac:dyDescent="0.35">
      <c r="A78" s="20">
        <v>202512</v>
      </c>
      <c r="B78" s="17">
        <v>45992</v>
      </c>
      <c r="C78" s="15">
        <f>(SUMIFS('MAIN DATA, Orders'!$S:$S,'MAIN DATA, Orders'!$Y:$Y,$A78,'MAIN DATA, Orders'!$D:$D,"Germany")/1000000000)</f>
        <v>53.090688190999998</v>
      </c>
    </row>
    <row r="79" spans="1:3" x14ac:dyDescent="0.35">
      <c r="A79" s="20">
        <v>202601</v>
      </c>
      <c r="B79" s="17">
        <v>46023</v>
      </c>
      <c r="C79" s="15">
        <f>(SUMIFS('MAIN DATA, Orders'!$S:$S,'MAIN DATA, Orders'!$Y:$Y,$A79,'MAIN DATA, Orders'!$D:$D,"Germany")/1000000000)</f>
        <v>0.05</v>
      </c>
    </row>
    <row r="80" spans="1:3" x14ac:dyDescent="0.35">
      <c r="B80" s="66"/>
      <c r="C80" s="66"/>
    </row>
    <row r="81" spans="2:3" x14ac:dyDescent="0.35">
      <c r="B81" s="9" t="s">
        <v>4219</v>
      </c>
      <c r="C81" s="18">
        <f>SUM(C7:C79)</f>
        <v>253.29096619100002</v>
      </c>
    </row>
  </sheetData>
  <mergeCells count="1">
    <mergeCell ref="B4:J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31C93-046B-4A90-AEBE-4FE7FFDCBCFD}">
  <sheetPr>
    <tabColor rgb="FFB5E6A2"/>
  </sheetPr>
  <dimension ref="A2:J81"/>
  <sheetViews>
    <sheetView workbookViewId="0"/>
  </sheetViews>
  <sheetFormatPr baseColWidth="10" defaultColWidth="8.75" defaultRowHeight="15.5" x14ac:dyDescent="0.35"/>
  <cols>
    <col min="1" max="1" width="8.75" style="1"/>
    <col min="2" max="2" width="13.5" style="1" customWidth="1"/>
    <col min="3" max="3" width="27.08203125" style="1" bestFit="1" customWidth="1"/>
    <col min="4" max="4" width="8.75" style="1"/>
    <col min="5" max="5" width="23.33203125" style="1" bestFit="1" customWidth="1"/>
    <col min="6" max="6" width="21" style="1" bestFit="1" customWidth="1"/>
    <col min="7" max="16384" width="8.75" style="1"/>
  </cols>
  <sheetData>
    <row r="2" spans="1:10" ht="25.9" customHeight="1" x14ac:dyDescent="0.7">
      <c r="B2" s="16" t="s">
        <v>5642</v>
      </c>
    </row>
    <row r="4" spans="1:10" ht="130.15" customHeight="1" x14ac:dyDescent="0.35">
      <c r="B4" s="232" t="s">
        <v>5190</v>
      </c>
      <c r="C4" s="232"/>
      <c r="D4" s="232"/>
      <c r="E4" s="232"/>
      <c r="F4" s="232"/>
      <c r="G4" s="232"/>
      <c r="H4" s="232"/>
      <c r="I4" s="232"/>
      <c r="J4" s="232"/>
    </row>
    <row r="6" spans="1:10" ht="21" customHeight="1" x14ac:dyDescent="0.35">
      <c r="B6" s="68" t="s">
        <v>4197</v>
      </c>
      <c r="C6" s="69" t="s">
        <v>5189</v>
      </c>
      <c r="D6" s="2"/>
      <c r="E6" s="68" t="s">
        <v>5191</v>
      </c>
      <c r="F6" s="69" t="s">
        <v>5189</v>
      </c>
    </row>
    <row r="7" spans="1:10" x14ac:dyDescent="0.35">
      <c r="A7" s="20">
        <v>202001</v>
      </c>
      <c r="B7" s="17">
        <v>43831</v>
      </c>
      <c r="C7" s="15">
        <f>(SUMIFS('MAIN DATA, Orders'!$S:$S,'MAIN DATA, Orders'!$Y:$Y,$A7,'MAIN DATA, Orders'!$D:$D,"Germany")/1000000000)</f>
        <v>0</v>
      </c>
      <c r="D7" s="3"/>
      <c r="E7" s="83" t="s">
        <v>5192</v>
      </c>
      <c r="F7" s="19">
        <f>SUM(C9:C20)</f>
        <v>25.527999999999999</v>
      </c>
    </row>
    <row r="8" spans="1:10" x14ac:dyDescent="0.35">
      <c r="A8" s="20">
        <v>202002</v>
      </c>
      <c r="B8" s="17">
        <v>43862</v>
      </c>
      <c r="C8" s="15">
        <f>(SUMIFS('MAIN DATA, Orders'!$S:$S,'MAIN DATA, Orders'!$Y:$Y,$A8,'MAIN DATA, Orders'!$D:$D,"Germany")/1000000000)</f>
        <v>0</v>
      </c>
      <c r="D8" s="3"/>
      <c r="E8" s="83" t="s">
        <v>5193</v>
      </c>
      <c r="F8" s="19">
        <f>SUM(C21:C32)</f>
        <v>22.248878000000001</v>
      </c>
    </row>
    <row r="9" spans="1:10" x14ac:dyDescent="0.35">
      <c r="A9" s="20">
        <v>202003</v>
      </c>
      <c r="B9" s="17">
        <v>43891</v>
      </c>
      <c r="C9" s="15">
        <f>(SUMIFS('MAIN DATA, Orders'!$S:$S,'MAIN DATA, Orders'!$Y:$Y,$A9,'MAIN DATA, Orders'!$D:$D,"Germany")/1000000000)</f>
        <v>0</v>
      </c>
      <c r="D9" s="3"/>
      <c r="E9" s="83" t="s">
        <v>5194</v>
      </c>
      <c r="F9" s="19">
        <f>SUM(C33:C44)</f>
        <v>21.31795</v>
      </c>
    </row>
    <row r="10" spans="1:10" x14ac:dyDescent="0.35">
      <c r="A10" s="20">
        <v>202004</v>
      </c>
      <c r="B10" s="17">
        <v>43922</v>
      </c>
      <c r="C10" s="15">
        <f>(SUMIFS('MAIN DATA, Orders'!$S:$S,'MAIN DATA, Orders'!$Y:$Y,$A10,'MAIN DATA, Orders'!$D:$D,"Germany")/1000000000)</f>
        <v>0</v>
      </c>
      <c r="D10" s="3"/>
      <c r="E10" s="83" t="s">
        <v>5195</v>
      </c>
      <c r="F10" s="19">
        <f>SUM(C45:C56)</f>
        <v>45.884379999999993</v>
      </c>
    </row>
    <row r="11" spans="1:10" x14ac:dyDescent="0.35">
      <c r="A11" s="20">
        <v>202005</v>
      </c>
      <c r="B11" s="17">
        <v>43952</v>
      </c>
      <c r="C11" s="15">
        <f>(SUMIFS('MAIN DATA, Orders'!$S:$S,'MAIN DATA, Orders'!$Y:$Y,$A11,'MAIN DATA, Orders'!$D:$D,"Germany")/1000000000)</f>
        <v>0.03</v>
      </c>
      <c r="D11" s="3"/>
      <c r="E11" s="83" t="s">
        <v>5196</v>
      </c>
      <c r="F11" s="19">
        <f>SUM(C57:C68)</f>
        <v>55.517060000000001</v>
      </c>
    </row>
    <row r="12" spans="1:10" x14ac:dyDescent="0.35">
      <c r="A12" s="20">
        <v>202006</v>
      </c>
      <c r="B12" s="17">
        <v>43983</v>
      </c>
      <c r="C12" s="15">
        <f>(SUMIFS('MAIN DATA, Orders'!$S:$S,'MAIN DATA, Orders'!$Y:$Y,$A12,'MAIN DATA, Orders'!$D:$D,"Germany")/1000000000)</f>
        <v>13</v>
      </c>
      <c r="D12" s="3"/>
      <c r="E12" s="65" t="s">
        <v>5197</v>
      </c>
      <c r="F12" s="64">
        <f>SUM(C69:C79)</f>
        <v>82.794698190999995</v>
      </c>
    </row>
    <row r="13" spans="1:10" x14ac:dyDescent="0.35">
      <c r="A13" s="20">
        <v>202007</v>
      </c>
      <c r="B13" s="17">
        <v>44013</v>
      </c>
      <c r="C13" s="15">
        <f>(SUMIFS('MAIN DATA, Orders'!$S:$S,'MAIN DATA, Orders'!$Y:$Y,$A13,'MAIN DATA, Orders'!$D:$D,"Germany")/1000000000)</f>
        <v>0</v>
      </c>
      <c r="D13" s="3"/>
    </row>
    <row r="14" spans="1:10" x14ac:dyDescent="0.35">
      <c r="A14" s="20">
        <v>202008</v>
      </c>
      <c r="B14" s="17">
        <v>44044</v>
      </c>
      <c r="C14" s="15">
        <f>(SUMIFS('MAIN DATA, Orders'!$S:$S,'MAIN DATA, Orders'!$Y:$Y,$A14,'MAIN DATA, Orders'!$D:$D,"Germany")/1000000000)</f>
        <v>0.35</v>
      </c>
      <c r="D14" s="3"/>
    </row>
    <row r="15" spans="1:10" x14ac:dyDescent="0.35">
      <c r="A15" s="20">
        <v>202009</v>
      </c>
      <c r="B15" s="17">
        <v>44075</v>
      </c>
      <c r="C15" s="15">
        <f>(SUMIFS('MAIN DATA, Orders'!$S:$S,'MAIN DATA, Orders'!$Y:$Y,$A15,'MAIN DATA, Orders'!$D:$D,"Germany")/1000000000)</f>
        <v>2.3839999999999999</v>
      </c>
      <c r="D15" s="3"/>
    </row>
    <row r="16" spans="1:10" x14ac:dyDescent="0.35">
      <c r="A16" s="20">
        <v>202010</v>
      </c>
      <c r="B16" s="17">
        <v>44105</v>
      </c>
      <c r="C16" s="15">
        <f>(SUMIFS('MAIN DATA, Orders'!$S:$S,'MAIN DATA, Orders'!$Y:$Y,$A16,'MAIN DATA, Orders'!$D:$D,"Germany")/1000000000)</f>
        <v>0.04</v>
      </c>
      <c r="D16" s="3"/>
    </row>
    <row r="17" spans="1:3" x14ac:dyDescent="0.35">
      <c r="A17" s="20">
        <v>202011</v>
      </c>
      <c r="B17" s="17">
        <v>44136</v>
      </c>
      <c r="C17" s="15">
        <f>(SUMIFS('MAIN DATA, Orders'!$S:$S,'MAIN DATA, Orders'!$Y:$Y,$A17,'MAIN DATA, Orders'!$D:$D,"Germany")/1000000000)</f>
        <v>9.1859999999999999</v>
      </c>
    </row>
    <row r="18" spans="1:3" x14ac:dyDescent="0.35">
      <c r="A18" s="20">
        <v>202012</v>
      </c>
      <c r="B18" s="17">
        <v>44166</v>
      </c>
      <c r="C18" s="15">
        <f>(SUMIFS('MAIN DATA, Orders'!$S:$S,'MAIN DATA, Orders'!$Y:$Y,$A18,'MAIN DATA, Orders'!$D:$D,"Germany")/1000000000)</f>
        <v>0.45</v>
      </c>
    </row>
    <row r="19" spans="1:3" x14ac:dyDescent="0.35">
      <c r="A19" s="20">
        <v>202101</v>
      </c>
      <c r="B19" s="17">
        <v>44197</v>
      </c>
      <c r="C19" s="15">
        <f>(SUMIFS('MAIN DATA, Orders'!$S:$S,'MAIN DATA, Orders'!$Y:$Y,$A19,'MAIN DATA, Orders'!$D:$D,"Germany")/1000000000)</f>
        <v>0</v>
      </c>
    </row>
    <row r="20" spans="1:3" x14ac:dyDescent="0.35">
      <c r="A20" s="20">
        <v>202102</v>
      </c>
      <c r="B20" s="17">
        <v>44228</v>
      </c>
      <c r="C20" s="15">
        <f>(SUMIFS('MAIN DATA, Orders'!$S:$S,'MAIN DATA, Orders'!$Y:$Y,$A20,'MAIN DATA, Orders'!$D:$D,"Germany")/1000000000)</f>
        <v>8.7999999999999995E-2</v>
      </c>
    </row>
    <row r="21" spans="1:3" x14ac:dyDescent="0.35">
      <c r="A21" s="20">
        <v>202103</v>
      </c>
      <c r="B21" s="17">
        <v>44256</v>
      </c>
      <c r="C21" s="15">
        <f>(SUMIFS('MAIN DATA, Orders'!$S:$S,'MAIN DATA, Orders'!$Y:$Y,$A21,'MAIN DATA, Orders'!$D:$D,"Germany")/1000000000)</f>
        <v>0</v>
      </c>
    </row>
    <row r="22" spans="1:3" x14ac:dyDescent="0.35">
      <c r="A22" s="20">
        <v>202104</v>
      </c>
      <c r="B22" s="17">
        <v>44287</v>
      </c>
      <c r="C22" s="15">
        <f>(SUMIFS('MAIN DATA, Orders'!$S:$S,'MAIN DATA, Orders'!$Y:$Y,$A22,'MAIN DATA, Orders'!$D:$D,"Germany")/1000000000)</f>
        <v>3.7</v>
      </c>
    </row>
    <row r="23" spans="1:3" x14ac:dyDescent="0.35">
      <c r="A23" s="20">
        <v>202105</v>
      </c>
      <c r="B23" s="17">
        <v>44317</v>
      </c>
      <c r="C23" s="15">
        <f>(SUMIFS('MAIN DATA, Orders'!$S:$S,'MAIN DATA, Orders'!$Y:$Y,$A23,'MAIN DATA, Orders'!$D:$D,"Germany")/1000000000)</f>
        <v>2.4020000000000001</v>
      </c>
    </row>
    <row r="24" spans="1:3" x14ac:dyDescent="0.35">
      <c r="A24" s="20">
        <v>202106</v>
      </c>
      <c r="B24" s="17">
        <v>44348</v>
      </c>
      <c r="C24" s="15">
        <f>(SUMIFS('MAIN DATA, Orders'!$S:$S,'MAIN DATA, Orders'!$Y:$Y,$A24,'MAIN DATA, Orders'!$D:$D,"Germany")/1000000000)</f>
        <v>16.146878000000001</v>
      </c>
    </row>
    <row r="25" spans="1:3" x14ac:dyDescent="0.35">
      <c r="A25" s="20">
        <v>202107</v>
      </c>
      <c r="B25" s="17">
        <v>44378</v>
      </c>
      <c r="C25" s="15">
        <f>(SUMIFS('MAIN DATA, Orders'!$S:$S,'MAIN DATA, Orders'!$Y:$Y,$A25,'MAIN DATA, Orders'!$D:$D,"Germany")/1000000000)</f>
        <v>0</v>
      </c>
    </row>
    <row r="26" spans="1:3" x14ac:dyDescent="0.35">
      <c r="A26" s="20">
        <v>202108</v>
      </c>
      <c r="B26" s="17">
        <v>44409</v>
      </c>
      <c r="C26" s="15">
        <f>(SUMIFS('MAIN DATA, Orders'!$S:$S,'MAIN DATA, Orders'!$Y:$Y,$A26,'MAIN DATA, Orders'!$D:$D,"Germany")/1000000000)</f>
        <v>0</v>
      </c>
    </row>
    <row r="27" spans="1:3" x14ac:dyDescent="0.35">
      <c r="A27" s="20">
        <v>202109</v>
      </c>
      <c r="B27" s="17">
        <v>44440</v>
      </c>
      <c r="C27" s="15">
        <f>(SUMIFS('MAIN DATA, Orders'!$S:$S,'MAIN DATA, Orders'!$Y:$Y,$A27,'MAIN DATA, Orders'!$D:$D,"Germany")/1000000000)</f>
        <v>0</v>
      </c>
    </row>
    <row r="28" spans="1:3" x14ac:dyDescent="0.35">
      <c r="A28" s="20">
        <v>202110</v>
      </c>
      <c r="B28" s="17">
        <v>44470</v>
      </c>
      <c r="C28" s="15">
        <f>(SUMIFS('MAIN DATA, Orders'!$S:$S,'MAIN DATA, Orders'!$Y:$Y,$A28,'MAIN DATA, Orders'!$D:$D,"Germany")/1000000000)</f>
        <v>0</v>
      </c>
    </row>
    <row r="29" spans="1:3" x14ac:dyDescent="0.35">
      <c r="A29" s="20">
        <v>202111</v>
      </c>
      <c r="B29" s="17">
        <v>44501</v>
      </c>
      <c r="C29" s="15">
        <f>(SUMIFS('MAIN DATA, Orders'!$S:$S,'MAIN DATA, Orders'!$Y:$Y,$A29,'MAIN DATA, Orders'!$D:$D,"Germany")/1000000000)</f>
        <v>0</v>
      </c>
    </row>
    <row r="30" spans="1:3" x14ac:dyDescent="0.35">
      <c r="A30" s="20">
        <v>202112</v>
      </c>
      <c r="B30" s="17">
        <v>44531</v>
      </c>
      <c r="C30" s="15">
        <f>(SUMIFS('MAIN DATA, Orders'!$S:$S,'MAIN DATA, Orders'!$Y:$Y,$A30,'MAIN DATA, Orders'!$D:$D,"Germany")/1000000000)</f>
        <v>0</v>
      </c>
    </row>
    <row r="31" spans="1:3" x14ac:dyDescent="0.35">
      <c r="A31" s="20">
        <v>202201</v>
      </c>
      <c r="B31" s="17">
        <v>44562</v>
      </c>
      <c r="C31" s="15">
        <f>(SUMIFS('MAIN DATA, Orders'!$S:$S,'MAIN DATA, Orders'!$Y:$Y,$A31,'MAIN DATA, Orders'!$D:$D,"Germany")/1000000000)</f>
        <v>0</v>
      </c>
    </row>
    <row r="32" spans="1:3" x14ac:dyDescent="0.35">
      <c r="A32" s="20">
        <v>202202</v>
      </c>
      <c r="B32" s="17">
        <v>44593</v>
      </c>
      <c r="C32" s="15">
        <f>(SUMIFS('MAIN DATA, Orders'!$S:$S,'MAIN DATA, Orders'!$Y:$Y,$A32,'MAIN DATA, Orders'!$D:$D,"Germany")/1000000000)</f>
        <v>0</v>
      </c>
    </row>
    <row r="33" spans="1:3" x14ac:dyDescent="0.35">
      <c r="A33" s="20">
        <v>202203</v>
      </c>
      <c r="B33" s="17">
        <v>44621</v>
      </c>
      <c r="C33" s="15">
        <f>(SUMIFS('MAIN DATA, Orders'!$S:$S,'MAIN DATA, Orders'!$Y:$Y,$A33,'MAIN DATA, Orders'!$D:$D,"Germany")/1000000000)</f>
        <v>0</v>
      </c>
    </row>
    <row r="34" spans="1:3" x14ac:dyDescent="0.35">
      <c r="A34" s="20">
        <v>202204</v>
      </c>
      <c r="B34" s="17">
        <v>44652</v>
      </c>
      <c r="C34" s="15">
        <f>(SUMIFS('MAIN DATA, Orders'!$S:$S,'MAIN DATA, Orders'!$Y:$Y,$A34,'MAIN DATA, Orders'!$D:$D,"Germany")/1000000000)</f>
        <v>0.15</v>
      </c>
    </row>
    <row r="35" spans="1:3" x14ac:dyDescent="0.35">
      <c r="A35" s="20">
        <v>202205</v>
      </c>
      <c r="B35" s="17">
        <v>44682</v>
      </c>
      <c r="C35" s="15">
        <f>(SUMIFS('MAIN DATA, Orders'!$S:$S,'MAIN DATA, Orders'!$Y:$Y,$A35,'MAIN DATA, Orders'!$D:$D,"Germany")/1000000000)</f>
        <v>2.5139</v>
      </c>
    </row>
    <row r="36" spans="1:3" x14ac:dyDescent="0.35">
      <c r="A36" s="20">
        <v>202206</v>
      </c>
      <c r="B36" s="17">
        <v>44713</v>
      </c>
      <c r="C36" s="15">
        <f>(SUMIFS('MAIN DATA, Orders'!$S:$S,'MAIN DATA, Orders'!$Y:$Y,$A36,'MAIN DATA, Orders'!$D:$D,"Germany")/1000000000)</f>
        <v>0.13600000000000001</v>
      </c>
    </row>
    <row r="37" spans="1:3" x14ac:dyDescent="0.35">
      <c r="A37" s="20">
        <v>202207</v>
      </c>
      <c r="B37" s="17">
        <v>44743</v>
      </c>
      <c r="C37" s="15">
        <f>(SUMIFS('MAIN DATA, Orders'!$S:$S,'MAIN DATA, Orders'!$Y:$Y,$A37,'MAIN DATA, Orders'!$D:$D,"Germany")/1000000000)</f>
        <v>7.5159000000000002</v>
      </c>
    </row>
    <row r="38" spans="1:3" x14ac:dyDescent="0.35">
      <c r="A38" s="20">
        <v>202208</v>
      </c>
      <c r="B38" s="17">
        <v>44774</v>
      </c>
      <c r="C38" s="15">
        <f>(SUMIFS('MAIN DATA, Orders'!$S:$S,'MAIN DATA, Orders'!$Y:$Y,$A38,'MAIN DATA, Orders'!$D:$D,"Germany")/1000000000)</f>
        <v>0</v>
      </c>
    </row>
    <row r="39" spans="1:3" x14ac:dyDescent="0.35">
      <c r="A39" s="20">
        <v>202209</v>
      </c>
      <c r="B39" s="17">
        <v>44805</v>
      </c>
      <c r="C39" s="15">
        <f>(SUMIFS('MAIN DATA, Orders'!$S:$S,'MAIN DATA, Orders'!$Y:$Y,$A39,'MAIN DATA, Orders'!$D:$D,"Germany")/1000000000)</f>
        <v>0.63700000000000001</v>
      </c>
    </row>
    <row r="40" spans="1:3" x14ac:dyDescent="0.35">
      <c r="A40" s="20">
        <v>202210</v>
      </c>
      <c r="B40" s="17">
        <v>44835</v>
      </c>
      <c r="C40" s="15">
        <f>(SUMIFS('MAIN DATA, Orders'!$S:$S,'MAIN DATA, Orders'!$Y:$Y,$A40,'MAIN DATA, Orders'!$D:$D,"Germany")/1000000000)</f>
        <v>0.10489999999999999</v>
      </c>
    </row>
    <row r="41" spans="1:3" x14ac:dyDescent="0.35">
      <c r="A41" s="20">
        <v>202211</v>
      </c>
      <c r="B41" s="17">
        <v>44866</v>
      </c>
      <c r="C41" s="15">
        <f>(SUMIFS('MAIN DATA, Orders'!$S:$S,'MAIN DATA, Orders'!$Y:$Y,$A41,'MAIN DATA, Orders'!$D:$D,"Germany")/1000000000)</f>
        <v>0.15545</v>
      </c>
    </row>
    <row r="42" spans="1:3" x14ac:dyDescent="0.35">
      <c r="A42" s="20">
        <v>202212</v>
      </c>
      <c r="B42" s="17">
        <v>44896</v>
      </c>
      <c r="C42" s="15">
        <f>(SUMIFS('MAIN DATA, Orders'!$S:$S,'MAIN DATA, Orders'!$Y:$Y,$A42,'MAIN DATA, Orders'!$D:$D,"Germany")/1000000000)</f>
        <v>9.8840000000000003</v>
      </c>
    </row>
    <row r="43" spans="1:3" x14ac:dyDescent="0.35">
      <c r="A43" s="20">
        <v>202301</v>
      </c>
      <c r="B43" s="17">
        <v>44927</v>
      </c>
      <c r="C43" s="15">
        <f>(SUMIFS('MAIN DATA, Orders'!$S:$S,'MAIN DATA, Orders'!$Y:$Y,$A43,'MAIN DATA, Orders'!$D:$D,"Germany")/1000000000)</f>
        <v>0</v>
      </c>
    </row>
    <row r="44" spans="1:3" x14ac:dyDescent="0.35">
      <c r="A44" s="20">
        <v>202302</v>
      </c>
      <c r="B44" s="17">
        <v>44958</v>
      </c>
      <c r="C44" s="15">
        <f>(SUMIFS('MAIN DATA, Orders'!$S:$S,'MAIN DATA, Orders'!$Y:$Y,$A44,'MAIN DATA, Orders'!$D:$D,"Germany")/1000000000)</f>
        <v>0.2208</v>
      </c>
    </row>
    <row r="45" spans="1:3" x14ac:dyDescent="0.35">
      <c r="A45" s="20">
        <v>202303</v>
      </c>
      <c r="B45" s="17">
        <v>44986</v>
      </c>
      <c r="C45" s="15">
        <f>(SUMIFS('MAIN DATA, Orders'!$S:$S,'MAIN DATA, Orders'!$Y:$Y,$A45,'MAIN DATA, Orders'!$D:$D,"Germany")/1000000000)</f>
        <v>1.3744000000000001</v>
      </c>
    </row>
    <row r="46" spans="1:3" x14ac:dyDescent="0.35">
      <c r="A46" s="20">
        <v>202304</v>
      </c>
      <c r="B46" s="17">
        <v>45017</v>
      </c>
      <c r="C46" s="15">
        <f>(SUMIFS('MAIN DATA, Orders'!$S:$S,'MAIN DATA, Orders'!$Y:$Y,$A46,'MAIN DATA, Orders'!$D:$D,"Germany")/1000000000)</f>
        <v>0.76700000000000002</v>
      </c>
    </row>
    <row r="47" spans="1:3" x14ac:dyDescent="0.35">
      <c r="A47" s="20">
        <v>202305</v>
      </c>
      <c r="B47" s="17">
        <v>45047</v>
      </c>
      <c r="C47" s="15">
        <f>(SUMIFS('MAIN DATA, Orders'!$S:$S,'MAIN DATA, Orders'!$Y:$Y,$A47,'MAIN DATA, Orders'!$D:$D,"Germany")/1000000000)</f>
        <v>2.0152999999999999</v>
      </c>
    </row>
    <row r="48" spans="1:3" x14ac:dyDescent="0.35">
      <c r="A48" s="20">
        <v>202306</v>
      </c>
      <c r="B48" s="17">
        <v>45078</v>
      </c>
      <c r="C48" s="15">
        <f>(SUMIFS('MAIN DATA, Orders'!$S:$S,'MAIN DATA, Orders'!$Y:$Y,$A48,'MAIN DATA, Orders'!$D:$D,"Germany")/1000000000)</f>
        <v>1.8532</v>
      </c>
    </row>
    <row r="49" spans="1:3" x14ac:dyDescent="0.35">
      <c r="A49" s="20">
        <v>202307</v>
      </c>
      <c r="B49" s="17">
        <v>45108</v>
      </c>
      <c r="C49" s="15">
        <f>(SUMIFS('MAIN DATA, Orders'!$S:$S,'MAIN DATA, Orders'!$Y:$Y,$A49,'MAIN DATA, Orders'!$D:$D,"Germany")/1000000000)</f>
        <v>9.7448999999999995</v>
      </c>
    </row>
    <row r="50" spans="1:3" x14ac:dyDescent="0.35">
      <c r="A50" s="20">
        <v>202308</v>
      </c>
      <c r="B50" s="17">
        <v>45139</v>
      </c>
      <c r="C50" s="15">
        <f>(SUMIFS('MAIN DATA, Orders'!$S:$S,'MAIN DATA, Orders'!$Y:$Y,$A50,'MAIN DATA, Orders'!$D:$D,"Germany")/1000000000)</f>
        <v>0</v>
      </c>
    </row>
    <row r="51" spans="1:3" x14ac:dyDescent="0.35">
      <c r="A51" s="20">
        <v>202309</v>
      </c>
      <c r="B51" s="17">
        <v>45170</v>
      </c>
      <c r="C51" s="15">
        <f>(SUMIFS('MAIN DATA, Orders'!$S:$S,'MAIN DATA, Orders'!$Y:$Y,$A51,'MAIN DATA, Orders'!$D:$D,"Germany")/1000000000)</f>
        <v>0.43630000000000002</v>
      </c>
    </row>
    <row r="52" spans="1:3" x14ac:dyDescent="0.35">
      <c r="A52" s="20">
        <v>202310</v>
      </c>
      <c r="B52" s="17">
        <v>45200</v>
      </c>
      <c r="C52" s="15">
        <f>(SUMIFS('MAIN DATA, Orders'!$S:$S,'MAIN DATA, Orders'!$Y:$Y,$A52,'MAIN DATA, Orders'!$D:$D,"Germany")/1000000000)</f>
        <v>4.4124999999999996</v>
      </c>
    </row>
    <row r="53" spans="1:3" x14ac:dyDescent="0.35">
      <c r="A53" s="20">
        <v>202311</v>
      </c>
      <c r="B53" s="17">
        <v>45231</v>
      </c>
      <c r="C53" s="15">
        <f>(SUMIFS('MAIN DATA, Orders'!$S:$S,'MAIN DATA, Orders'!$Y:$Y,$A53,'MAIN DATA, Orders'!$D:$D,"Germany")/1000000000)</f>
        <v>14.9503</v>
      </c>
    </row>
    <row r="54" spans="1:3" x14ac:dyDescent="0.35">
      <c r="A54" s="20">
        <v>202312</v>
      </c>
      <c r="B54" s="17">
        <v>45261</v>
      </c>
      <c r="C54" s="15">
        <f>(SUMIFS('MAIN DATA, Orders'!$S:$S,'MAIN DATA, Orders'!$Y:$Y,$A54,'MAIN DATA, Orders'!$D:$D,"Germany")/1000000000)</f>
        <v>6.2514799999999999</v>
      </c>
    </row>
    <row r="55" spans="1:3" x14ac:dyDescent="0.35">
      <c r="A55" s="20">
        <v>202401</v>
      </c>
      <c r="B55" s="17">
        <v>45292</v>
      </c>
      <c r="C55" s="15">
        <f>(SUMIFS('MAIN DATA, Orders'!$S:$S,'MAIN DATA, Orders'!$Y:$Y,$A55,'MAIN DATA, Orders'!$D:$D,"Germany")/1000000000)</f>
        <v>1.23</v>
      </c>
    </row>
    <row r="56" spans="1:3" x14ac:dyDescent="0.35">
      <c r="A56" s="20">
        <v>202402</v>
      </c>
      <c r="B56" s="17">
        <v>45323</v>
      </c>
      <c r="C56" s="15">
        <f>(SUMIFS('MAIN DATA, Orders'!$S:$S,'MAIN DATA, Orders'!$Y:$Y,$A56,'MAIN DATA, Orders'!$D:$D,"Germany")/1000000000)</f>
        <v>2.8490000000000002</v>
      </c>
    </row>
    <row r="57" spans="1:3" x14ac:dyDescent="0.35">
      <c r="A57" s="20">
        <v>202403</v>
      </c>
      <c r="B57" s="17">
        <v>45352</v>
      </c>
      <c r="C57" s="15">
        <f>(SUMIFS('MAIN DATA, Orders'!$S:$S,'MAIN DATA, Orders'!$Y:$Y,$A57,'MAIN DATA, Orders'!$D:$D,"Germany")/1000000000)</f>
        <v>4.4318999999999997</v>
      </c>
    </row>
    <row r="58" spans="1:3" x14ac:dyDescent="0.35">
      <c r="A58" s="20">
        <v>202404</v>
      </c>
      <c r="B58" s="17">
        <v>45383</v>
      </c>
      <c r="C58" s="15">
        <f>(SUMIFS('MAIN DATA, Orders'!$S:$S,'MAIN DATA, Orders'!$Y:$Y,$A58,'MAIN DATA, Orders'!$D:$D,"Germany")/1000000000)</f>
        <v>0.58699999999999997</v>
      </c>
    </row>
    <row r="59" spans="1:3" x14ac:dyDescent="0.35">
      <c r="A59" s="20">
        <v>202405</v>
      </c>
      <c r="B59" s="17">
        <v>45413</v>
      </c>
      <c r="C59" s="15">
        <f>(SUMIFS('MAIN DATA, Orders'!$S:$S,'MAIN DATA, Orders'!$Y:$Y,$A59,'MAIN DATA, Orders'!$D:$D,"Germany")/1000000000)</f>
        <v>1.8489599999999999</v>
      </c>
    </row>
    <row r="60" spans="1:3" x14ac:dyDescent="0.35">
      <c r="A60" s="20">
        <v>202406</v>
      </c>
      <c r="B60" s="17">
        <v>45444</v>
      </c>
      <c r="C60" s="15">
        <f>(SUMIFS('MAIN DATA, Orders'!$S:$S,'MAIN DATA, Orders'!$Y:$Y,$A60,'MAIN DATA, Orders'!$D:$D,"Germany")/1000000000)</f>
        <v>9.4770000000000003</v>
      </c>
    </row>
    <row r="61" spans="1:3" x14ac:dyDescent="0.35">
      <c r="A61" s="20">
        <v>202407</v>
      </c>
      <c r="B61" s="17">
        <v>45474</v>
      </c>
      <c r="C61" s="15">
        <f>(SUMIFS('MAIN DATA, Orders'!$S:$S,'MAIN DATA, Orders'!$Y:$Y,$A61,'MAIN DATA, Orders'!$D:$D,"Germany")/1000000000)</f>
        <v>6.319</v>
      </c>
    </row>
    <row r="62" spans="1:3" x14ac:dyDescent="0.35">
      <c r="A62" s="20">
        <v>202408</v>
      </c>
      <c r="B62" s="17">
        <v>45505</v>
      </c>
      <c r="C62" s="15">
        <f>(SUMIFS('MAIN DATA, Orders'!$S:$S,'MAIN DATA, Orders'!$Y:$Y,$A62,'MAIN DATA, Orders'!$D:$D,"Germany")/1000000000)</f>
        <v>0</v>
      </c>
    </row>
    <row r="63" spans="1:3" x14ac:dyDescent="0.35">
      <c r="A63" s="20">
        <v>202409</v>
      </c>
      <c r="B63" s="17">
        <v>45536</v>
      </c>
      <c r="C63" s="15">
        <f>(SUMIFS('MAIN DATA, Orders'!$S:$S,'MAIN DATA, Orders'!$Y:$Y,$A63,'MAIN DATA, Orders'!$D:$D,"Germany")/1000000000)</f>
        <v>0.95199999999999996</v>
      </c>
    </row>
    <row r="64" spans="1:3" x14ac:dyDescent="0.35">
      <c r="A64" s="20">
        <v>202410</v>
      </c>
      <c r="B64" s="17">
        <v>45566</v>
      </c>
      <c r="C64" s="15">
        <f>(SUMIFS('MAIN DATA, Orders'!$S:$S,'MAIN DATA, Orders'!$Y:$Y,$A64,'MAIN DATA, Orders'!$D:$D,"Germany")/1000000000)</f>
        <v>7.2190000000000003</v>
      </c>
    </row>
    <row r="65" spans="1:3" x14ac:dyDescent="0.35">
      <c r="A65" s="20">
        <v>202411</v>
      </c>
      <c r="B65" s="17">
        <v>45597</v>
      </c>
      <c r="C65" s="15">
        <f>(SUMIFS('MAIN DATA, Orders'!$S:$S,'MAIN DATA, Orders'!$Y:$Y,$A65,'MAIN DATA, Orders'!$D:$D,"Germany")/1000000000)</f>
        <v>2.1625000000000001</v>
      </c>
    </row>
    <row r="66" spans="1:3" x14ac:dyDescent="0.35">
      <c r="A66" s="20">
        <v>202412</v>
      </c>
      <c r="B66" s="17">
        <v>45627</v>
      </c>
      <c r="C66" s="15">
        <f>(SUMIFS('MAIN DATA, Orders'!$S:$S,'MAIN DATA, Orders'!$Y:$Y,$A66,'MAIN DATA, Orders'!$D:$D,"Germany")/1000000000)</f>
        <v>20</v>
      </c>
    </row>
    <row r="67" spans="1:3" x14ac:dyDescent="0.35">
      <c r="A67" s="20">
        <v>202501</v>
      </c>
      <c r="B67" s="17">
        <v>45658</v>
      </c>
      <c r="C67" s="15">
        <f>(SUMIFS('MAIN DATA, Orders'!$S:$S,'MAIN DATA, Orders'!$Y:$Y,$A67,'MAIN DATA, Orders'!$D:$D,"Germany")/1000000000)</f>
        <v>2.5196999999999998</v>
      </c>
    </row>
    <row r="68" spans="1:3" x14ac:dyDescent="0.35">
      <c r="A68" s="20">
        <v>202502</v>
      </c>
      <c r="B68" s="17">
        <v>45689</v>
      </c>
      <c r="C68" s="15">
        <f>(SUMIFS('MAIN DATA, Orders'!$S:$S,'MAIN DATA, Orders'!$Y:$Y,$A68,'MAIN DATA, Orders'!$D:$D,"Germany")/1000000000)</f>
        <v>0</v>
      </c>
    </row>
    <row r="69" spans="1:3" x14ac:dyDescent="0.35">
      <c r="A69" s="20">
        <v>202503</v>
      </c>
      <c r="B69" s="17">
        <v>45717</v>
      </c>
      <c r="C69" s="15">
        <f>(SUMIFS('MAIN DATA, Orders'!$S:$S,'MAIN DATA, Orders'!$Y:$Y,$A69,'MAIN DATA, Orders'!$D:$D,"Germany")/1000000000)</f>
        <v>0</v>
      </c>
    </row>
    <row r="70" spans="1:3" x14ac:dyDescent="0.35">
      <c r="A70" s="20">
        <v>202504</v>
      </c>
      <c r="B70" s="17">
        <v>45748</v>
      </c>
      <c r="C70" s="15">
        <f>(SUMIFS('MAIN DATA, Orders'!$S:$S,'MAIN DATA, Orders'!$Y:$Y,$A70,'MAIN DATA, Orders'!$D:$D,"Germany")/1000000000)</f>
        <v>0</v>
      </c>
    </row>
    <row r="71" spans="1:3" x14ac:dyDescent="0.35">
      <c r="A71" s="20">
        <v>202505</v>
      </c>
      <c r="B71" s="17">
        <v>45778</v>
      </c>
      <c r="C71" s="15">
        <f>(SUMIFS('MAIN DATA, Orders'!$S:$S,'MAIN DATA, Orders'!$Y:$Y,$A71,'MAIN DATA, Orders'!$D:$D,"Germany")/1000000000)</f>
        <v>0</v>
      </c>
    </row>
    <row r="72" spans="1:3" x14ac:dyDescent="0.35">
      <c r="A72" s="20">
        <v>202506</v>
      </c>
      <c r="B72" s="17">
        <v>45809</v>
      </c>
      <c r="C72" s="15">
        <f>(SUMIFS('MAIN DATA, Orders'!$S:$S,'MAIN DATA, Orders'!$Y:$Y,$A72,'MAIN DATA, Orders'!$D:$D,"Germany")/1000000000)</f>
        <v>4.9855</v>
      </c>
    </row>
    <row r="73" spans="1:3" x14ac:dyDescent="0.35">
      <c r="A73" s="20">
        <v>202507</v>
      </c>
      <c r="B73" s="17">
        <v>45839</v>
      </c>
      <c r="C73" s="15">
        <f>(SUMIFS('MAIN DATA, Orders'!$S:$S,'MAIN DATA, Orders'!$Y:$Y,$A73,'MAIN DATA, Orders'!$D:$D,"Germany")/1000000000)</f>
        <v>0.77</v>
      </c>
    </row>
    <row r="74" spans="1:3" x14ac:dyDescent="0.35">
      <c r="A74" s="20">
        <v>202508</v>
      </c>
      <c r="B74" s="17">
        <v>45870</v>
      </c>
      <c r="C74" s="15">
        <f>(SUMIFS('MAIN DATA, Orders'!$S:$S,'MAIN DATA, Orders'!$Y:$Y,$A74,'MAIN DATA, Orders'!$D:$D,"Germany")/1000000000)</f>
        <v>0</v>
      </c>
    </row>
    <row r="75" spans="1:3" x14ac:dyDescent="0.35">
      <c r="A75" s="20">
        <v>202509</v>
      </c>
      <c r="B75" s="17">
        <v>45901</v>
      </c>
      <c r="C75" s="15">
        <f>(SUMIFS('MAIN DATA, Orders'!$S:$S,'MAIN DATA, Orders'!$Y:$Y,$A75,'MAIN DATA, Orders'!$D:$D,"Germany")/1000000000)</f>
        <v>3.1219000000000001</v>
      </c>
    </row>
    <row r="76" spans="1:3" x14ac:dyDescent="0.35">
      <c r="A76" s="20">
        <v>202510</v>
      </c>
      <c r="B76" s="17">
        <v>45931</v>
      </c>
      <c r="C76" s="15">
        <f>(SUMIFS('MAIN DATA, Orders'!$S:$S,'MAIN DATA, Orders'!$Y:$Y,$A76,'MAIN DATA, Orders'!$D:$D,"Germany")/1000000000)</f>
        <v>14.61661</v>
      </c>
    </row>
    <row r="77" spans="1:3" x14ac:dyDescent="0.35">
      <c r="A77" s="20">
        <v>202511</v>
      </c>
      <c r="B77" s="17">
        <v>45962</v>
      </c>
      <c r="C77" s="15">
        <f>(SUMIFS('MAIN DATA, Orders'!$S:$S,'MAIN DATA, Orders'!$Y:$Y,$A77,'MAIN DATA, Orders'!$D:$D,"Germany")/1000000000)</f>
        <v>6.16</v>
      </c>
    </row>
    <row r="78" spans="1:3" x14ac:dyDescent="0.35">
      <c r="A78" s="20">
        <v>202512</v>
      </c>
      <c r="B78" s="17">
        <v>45992</v>
      </c>
      <c r="C78" s="15">
        <f>(SUMIFS('MAIN DATA, Orders'!$S:$S,'MAIN DATA, Orders'!$Y:$Y,$A78,'MAIN DATA, Orders'!$D:$D,"Germany")/1000000000)</f>
        <v>53.090688190999998</v>
      </c>
    </row>
    <row r="79" spans="1:3" x14ac:dyDescent="0.35">
      <c r="A79" s="20">
        <v>202601</v>
      </c>
      <c r="B79" s="17">
        <v>46023</v>
      </c>
      <c r="C79" s="15">
        <f>(SUMIFS('MAIN DATA, Orders'!$S:$S,'MAIN DATA, Orders'!$Y:$Y,$A79,'MAIN DATA, Orders'!$D:$D,"Germany")/1000000000)</f>
        <v>0.05</v>
      </c>
    </row>
    <row r="80" spans="1:3" x14ac:dyDescent="0.35">
      <c r="B80" s="66"/>
      <c r="C80" s="66"/>
    </row>
    <row r="81" spans="2:3" x14ac:dyDescent="0.35">
      <c r="B81" s="9" t="s">
        <v>4219</v>
      </c>
      <c r="C81" s="18">
        <f>SUM(C7:C79)</f>
        <v>253.29096619100002</v>
      </c>
    </row>
  </sheetData>
  <mergeCells count="1">
    <mergeCell ref="B4:J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DDEF-9715-4B5B-867C-7D4429A29CC1}">
  <sheetPr>
    <tabColor rgb="FFB5E6A2"/>
  </sheetPr>
  <dimension ref="B2:R12"/>
  <sheetViews>
    <sheetView zoomScale="94" zoomScaleNormal="100" workbookViewId="0"/>
  </sheetViews>
  <sheetFormatPr baseColWidth="10" defaultColWidth="8.75" defaultRowHeight="15.5" x14ac:dyDescent="0.35"/>
  <cols>
    <col min="1" max="8" width="8.75" style="1"/>
    <col min="9" max="9" width="8.75" style="1" customWidth="1"/>
    <col min="10" max="16384" width="8.75" style="1"/>
  </cols>
  <sheetData>
    <row r="2" spans="2:18" ht="25.9" customHeight="1" x14ac:dyDescent="0.7">
      <c r="B2" s="238" t="s">
        <v>5643</v>
      </c>
      <c r="C2" s="238"/>
      <c r="D2" s="238"/>
      <c r="E2" s="238"/>
      <c r="F2" s="238"/>
      <c r="G2" s="238"/>
      <c r="H2" s="238"/>
      <c r="I2" s="238"/>
      <c r="J2" s="238"/>
      <c r="K2" s="238"/>
      <c r="L2" s="238"/>
      <c r="M2" s="238"/>
      <c r="N2" s="238"/>
      <c r="O2" s="238"/>
      <c r="P2" s="238"/>
      <c r="Q2" s="238"/>
      <c r="R2" s="238"/>
    </row>
    <row r="4" spans="2:18" ht="130.15" customHeight="1" x14ac:dyDescent="0.35">
      <c r="B4" s="232" t="s">
        <v>5202</v>
      </c>
      <c r="C4" s="232"/>
      <c r="D4" s="232"/>
      <c r="E4" s="232"/>
      <c r="F4" s="232"/>
      <c r="G4" s="232"/>
      <c r="H4" s="232"/>
      <c r="I4" s="232"/>
      <c r="J4" s="232"/>
      <c r="K4" s="232"/>
      <c r="L4" s="232"/>
    </row>
    <row r="6" spans="2:18" x14ac:dyDescent="0.35">
      <c r="B6" s="12"/>
      <c r="C6" s="239" t="s">
        <v>4219</v>
      </c>
      <c r="D6" s="239"/>
      <c r="E6" s="239" t="s">
        <v>5199</v>
      </c>
      <c r="F6" s="239"/>
      <c r="G6" s="239" t="s">
        <v>5200</v>
      </c>
      <c r="H6" s="239"/>
      <c r="I6" s="239" t="s">
        <v>5201</v>
      </c>
      <c r="J6" s="239"/>
      <c r="K6" s="239" t="s">
        <v>287</v>
      </c>
      <c r="L6" s="239"/>
    </row>
    <row r="7" spans="2:18" x14ac:dyDescent="0.35">
      <c r="B7" s="70"/>
      <c r="C7" s="71" t="s">
        <v>5203</v>
      </c>
      <c r="D7" s="71" t="s">
        <v>5204</v>
      </c>
      <c r="E7" s="71" t="s">
        <v>5203</v>
      </c>
      <c r="F7" s="71" t="s">
        <v>5204</v>
      </c>
      <c r="G7" s="71" t="s">
        <v>5203</v>
      </c>
      <c r="H7" s="71" t="s">
        <v>5204</v>
      </c>
      <c r="I7" s="71" t="s">
        <v>5203</v>
      </c>
      <c r="J7" s="71" t="s">
        <v>5204</v>
      </c>
      <c r="K7" s="71" t="s">
        <v>5203</v>
      </c>
      <c r="L7" s="71" t="s">
        <v>5204</v>
      </c>
    </row>
    <row r="8" spans="2:18" x14ac:dyDescent="0.35">
      <c r="B8" s="11" t="s">
        <v>5205</v>
      </c>
      <c r="C8" s="15">
        <f>(SUMIFS('MAIN DATA, Orders'!$S:$S,'MAIN DATA, Orders'!$D:$D,"Germany",'MAIN DATA, Orders'!$Y:$Y,"&lt;=202112")/1000000000)</f>
        <v>47.776878000000004</v>
      </c>
      <c r="D8" s="15">
        <f>(SUMIFS('MAIN DATA, Orders'!$S:$S,'MAIN DATA, Orders'!$D:$D,"Germany",'MAIN DATA, Orders'!$Y:$Y,"&gt;=202201")/1000000000)</f>
        <v>205.51408819100001</v>
      </c>
      <c r="E8" s="15" cm="1">
        <f t="array" ref="E8">SUM(SUMIFS('MAIN DATA, Orders'!$S:$S,'MAIN DATA, Orders'!$D:$D,"Germany",'MAIN DATA, Orders'!$I:$I,{"Aircraft","Development - Aircraft","Missile (Air)","Development - Missile (Air)"},'MAIN DATA, Orders'!$Y:$Y,"&lt;=202112")/1000000000)</f>
        <v>14.831</v>
      </c>
      <c r="F8" s="15" cm="1">
        <f t="array" ref="F8">SUM(SUMIFS('MAIN DATA, Orders'!$S:$S,'MAIN DATA, Orders'!$D:$D,"Germany",'MAIN DATA, Orders'!$I:$I,{"Aircraft","Development - Aircraft","Missile (Air)","Development - Missile (Air)"},'MAIN DATA, Orders'!$Y:$Y,"&gt;=202201")/1000000000)</f>
        <v>19.145399999999999</v>
      </c>
      <c r="G8" s="15" cm="1">
        <f t="array" ref="G8">SUM(SUMIFS('MAIN DATA, Orders'!$S:$S,'MAIN DATA, Orders'!$D:$D,"Germany",'MAIN DATA, Orders'!$I:$I,{"Naval","Development - Naval","Missile (Naval)","Development - Missile (Naval)"},'MAIN DATA, Orders'!$Y:$Y,"&lt;=202112")/1000000000)</f>
        <v>16.171878</v>
      </c>
      <c r="H8" s="15" cm="1">
        <f t="array" ref="H8">SUM(SUMIFS('MAIN DATA, Orders'!$S:$S,'MAIN DATA, Orders'!$D:$D,"Germany",'MAIN DATA, Orders'!$I:$I,{"Naval","Development - Naval","Missile (Naval)","Development - Missile (Naval)"},'MAIN DATA, Orders'!$Y:$Y,"&gt;=202201")/1000000000)</f>
        <v>15.822869000000001</v>
      </c>
      <c r="I8" s="79" cm="1">
        <f t="array" ref="I8">SUM(SUMIFS('MAIN DATA, Orders'!$S:$S,'MAIN DATA, Orders'!$D:$D,"Germany",'MAIN DATA, Orders'!$I:$I,{"Air defence system","Development - Air defence system","Ammunition","Development - Ammunition","Armoured vehicle","Development - Artillery","Artillery""Development - Armoured vehicle","Drone","Development - Drone","Helicopter","Development - Helicopter","Infantry","Development - Infantry","Tank","Development - Tank","Mine","Development - Mine","Missile (Land)","Development - Missile (Land)"},'MAIN DATA, Orders'!$Y:$Y,"&lt;=202112")/1000000000)</f>
        <v>5.0320000000000009</v>
      </c>
      <c r="J8" s="79" cm="1">
        <f t="array" ref="J8">SUM(SUMIFS('MAIN DATA, Orders'!$S:$S,'MAIN DATA, Orders'!$D:$D,"Germany",'MAIN DATA, Orders'!$I:$I,{"Air defence system","Development - Air defence system","Ammunition","Development - Ammunition","Armoured vehicle","Development - Artillery","Artillery","Development - Armoured vehicle","Drone","Development - Drone","Helicopter","Development - Helicopter","Infantry","Development - Infantry","Tank","Development - Tank","Mine","Development - Mine","Missile (Land)","Development - Missile (Land)"},'MAIN DATA, Orders'!$Y:$Y,"&gt;=202201")/1000000000)</f>
        <v>72.952088191000001</v>
      </c>
      <c r="K8" s="15" cm="1">
        <f t="array" ref="K8">SUM(SUMIFS('MAIN DATA, Orders'!$S:$S,'MAIN DATA, Orders'!$D:$D,"Germany",'MAIN DATA, Orders'!$I:$I,{"Maintenance","Development - Maintenance","Modernisation","Development - Modernisation","Other","Development - Other"},'MAIN DATA, Orders'!$Y:$Y,"&lt;=202112")/1000000000)</f>
        <v>11.672000000000001</v>
      </c>
      <c r="L8" s="15" cm="1">
        <f t="array" ref="L8">SUM(SUMIFS('MAIN DATA, Orders'!$S:$S,'MAIN DATA, Orders'!$D:$D,"Germany",'MAIN DATA, Orders'!$I:$I,{"Maintenance","Development - Maintenance","Modernisation","Development - Modernisation","Other","Development - Other"},'MAIN DATA, Orders'!$Y:$Y,"&gt;=202201")/1000000000)</f>
        <v>97.593731000000005</v>
      </c>
    </row>
    <row r="9" spans="2:18" x14ac:dyDescent="0.35">
      <c r="B9" s="62" t="s">
        <v>5206</v>
      </c>
      <c r="C9" s="63" t="s">
        <v>127</v>
      </c>
      <c r="D9" s="63" t="s">
        <v>127</v>
      </c>
      <c r="E9" s="64">
        <f>E8/C8</f>
        <v>0.3104221251124864</v>
      </c>
      <c r="F9" s="64">
        <f>F8/D8</f>
        <v>9.3158576954620792E-2</v>
      </c>
      <c r="G9" s="64">
        <f>G8/C8</f>
        <v>0.33848754202817516</v>
      </c>
      <c r="H9" s="64">
        <f>H8/D8</f>
        <v>7.699165122584975E-2</v>
      </c>
      <c r="I9" s="64">
        <f>I8/C8</f>
        <v>0.10532291373245445</v>
      </c>
      <c r="J9" s="64">
        <f>J8/D8</f>
        <v>0.35497366060471741</v>
      </c>
      <c r="K9" s="64">
        <f>K8/C8</f>
        <v>0.24430227525540701</v>
      </c>
      <c r="L9" s="64">
        <f>L8/D8</f>
        <v>0.47487611121481199</v>
      </c>
    </row>
    <row r="12" spans="2:18" x14ac:dyDescent="0.35">
      <c r="E12" s="19"/>
      <c r="F12" s="19"/>
      <c r="G12" s="19"/>
      <c r="H12" s="19"/>
      <c r="I12" s="19"/>
      <c r="J12" s="19"/>
      <c r="K12" s="19"/>
      <c r="L12" s="19"/>
    </row>
  </sheetData>
  <mergeCells count="7">
    <mergeCell ref="B2:R2"/>
    <mergeCell ref="B4:L4"/>
    <mergeCell ref="C6:D6"/>
    <mergeCell ref="E6:F6"/>
    <mergeCell ref="G6:H6"/>
    <mergeCell ref="I6:J6"/>
    <mergeCell ref="K6:L6"/>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5BB02-6348-4E36-8E6E-64BC9B7BB223}">
  <sheetPr>
    <tabColor rgb="FFB5E6A2"/>
  </sheetPr>
  <dimension ref="A2:H81"/>
  <sheetViews>
    <sheetView zoomScaleNormal="100" workbookViewId="0"/>
  </sheetViews>
  <sheetFormatPr baseColWidth="10" defaultColWidth="8.75" defaultRowHeight="15.5" x14ac:dyDescent="0.35"/>
  <cols>
    <col min="1" max="1" width="8.75" style="1"/>
    <col min="2" max="2" width="13.5" style="1" customWidth="1"/>
    <col min="3" max="4" width="20.75" style="1" bestFit="1" customWidth="1"/>
    <col min="5" max="5" width="20.75" style="1" customWidth="1"/>
    <col min="6" max="16384" width="8.75" style="1"/>
  </cols>
  <sheetData>
    <row r="2" spans="1:8" ht="25.9" customHeight="1" x14ac:dyDescent="0.7">
      <c r="B2" s="16" t="s">
        <v>5644</v>
      </c>
    </row>
    <row r="4" spans="1:8" ht="130.15" customHeight="1" x14ac:dyDescent="0.35">
      <c r="B4" s="232" t="s">
        <v>5618</v>
      </c>
      <c r="C4" s="232"/>
      <c r="D4" s="232"/>
      <c r="E4" s="232"/>
      <c r="F4" s="232"/>
      <c r="G4" s="232"/>
      <c r="H4" s="232"/>
    </row>
    <row r="6" spans="1:8" ht="21" customHeight="1" x14ac:dyDescent="0.35">
      <c r="B6" s="68" t="s">
        <v>4197</v>
      </c>
      <c r="C6" s="69" t="s">
        <v>133</v>
      </c>
      <c r="D6" s="69" t="s">
        <v>682</v>
      </c>
      <c r="E6" s="69" t="s">
        <v>808</v>
      </c>
    </row>
    <row r="7" spans="1:8" x14ac:dyDescent="0.35">
      <c r="A7" s="20">
        <v>202001</v>
      </c>
      <c r="B7" s="17">
        <v>43831</v>
      </c>
      <c r="C7" s="15">
        <f>(SUMIFS('MAIN DATA, Orders'!$S:$S,'MAIN DATA, Orders'!$Y:$Y,$A7,'MAIN DATA, Orders'!$D:$D,"Germany",'MAIN DATA, Orders'!$V:$V,"Einzelplan 14")/1000000000)</f>
        <v>0</v>
      </c>
      <c r="D7" s="15">
        <f>(SUMIFS('MAIN DATA, Orders'!$S:$S,'MAIN DATA, Orders'!$Y:$Y,$A7,'MAIN DATA, Orders'!$D:$D,"Germany",'MAIN DATA, Orders'!$V:$V,"Sondervermögen")/1000000000)</f>
        <v>0</v>
      </c>
      <c r="E7" s="15">
        <f>(SUMIFS('MAIN DATA, Orders'!$S:$S,'MAIN DATA, Orders'!$Y:$Y,$A7,'MAIN DATA, Orders'!$D:$D,"Germany",'MAIN DATA, Orders'!$V:$V,"Einzelplan 60")/1000000000)</f>
        <v>0</v>
      </c>
    </row>
    <row r="8" spans="1:8" x14ac:dyDescent="0.35">
      <c r="A8" s="20">
        <v>202002</v>
      </c>
      <c r="B8" s="17">
        <v>43862</v>
      </c>
      <c r="C8" s="15">
        <f>(SUMIFS('MAIN DATA, Orders'!$S:$S,'MAIN DATA, Orders'!$Y:$Y,$A8,'MAIN DATA, Orders'!$D:$D,"Germany",'MAIN DATA, Orders'!$V:$V,"Einzelplan 14")/1000000000)</f>
        <v>0</v>
      </c>
      <c r="D8" s="15">
        <f>(SUMIFS('MAIN DATA, Orders'!$S:$S,'MAIN DATA, Orders'!$Y:$Y,$A8,'MAIN DATA, Orders'!$D:$D,"Germany",'MAIN DATA, Orders'!$V:$V,"Sondervermögen")/1000000000)</f>
        <v>0</v>
      </c>
      <c r="E8" s="15">
        <f>(SUMIFS('MAIN DATA, Orders'!$S:$S,'MAIN DATA, Orders'!$Y:$Y,$A8,'MAIN DATA, Orders'!$D:$D,"Germany",'MAIN DATA, Orders'!$V:$V,"Einzelplan 60")/1000000000)</f>
        <v>0</v>
      </c>
    </row>
    <row r="9" spans="1:8" x14ac:dyDescent="0.35">
      <c r="A9" s="20">
        <v>202003</v>
      </c>
      <c r="B9" s="17">
        <v>43891</v>
      </c>
      <c r="C9" s="15">
        <f>(SUMIFS('MAIN DATA, Orders'!$S:$S,'MAIN DATA, Orders'!$Y:$Y,$A9,'MAIN DATA, Orders'!$D:$D,"Germany",'MAIN DATA, Orders'!$V:$V,"Einzelplan 14")/1000000000)</f>
        <v>0</v>
      </c>
      <c r="D9" s="15">
        <f>(SUMIFS('MAIN DATA, Orders'!$S:$S,'MAIN DATA, Orders'!$Y:$Y,$A9,'MAIN DATA, Orders'!$D:$D,"Germany",'MAIN DATA, Orders'!$V:$V,"Sondervermögen")/1000000000)</f>
        <v>0</v>
      </c>
      <c r="E9" s="15">
        <f>(SUMIFS('MAIN DATA, Orders'!$S:$S,'MAIN DATA, Orders'!$Y:$Y,$A9,'MAIN DATA, Orders'!$D:$D,"Germany",'MAIN DATA, Orders'!$V:$V,"Einzelplan 60")/1000000000)</f>
        <v>0</v>
      </c>
    </row>
    <row r="10" spans="1:8" x14ac:dyDescent="0.35">
      <c r="A10" s="20">
        <v>202004</v>
      </c>
      <c r="B10" s="17">
        <v>43922</v>
      </c>
      <c r="C10" s="15">
        <f>(SUMIFS('MAIN DATA, Orders'!$S:$S,'MAIN DATA, Orders'!$Y:$Y,$A10,'MAIN DATA, Orders'!$D:$D,"Germany",'MAIN DATA, Orders'!$V:$V,"Einzelplan 14")/1000000000)</f>
        <v>0</v>
      </c>
      <c r="D10" s="15">
        <f>(SUMIFS('MAIN DATA, Orders'!$S:$S,'MAIN DATA, Orders'!$Y:$Y,$A10,'MAIN DATA, Orders'!$D:$D,"Germany",'MAIN DATA, Orders'!$V:$V,"Sondervermögen")/1000000000)</f>
        <v>0</v>
      </c>
      <c r="E10" s="15">
        <f>(SUMIFS('MAIN DATA, Orders'!$S:$S,'MAIN DATA, Orders'!$Y:$Y,$A10,'MAIN DATA, Orders'!$D:$D,"Germany",'MAIN DATA, Orders'!$V:$V,"Einzelplan 60")/1000000000)</f>
        <v>0</v>
      </c>
    </row>
    <row r="11" spans="1:8" x14ac:dyDescent="0.35">
      <c r="A11" s="20">
        <v>202005</v>
      </c>
      <c r="B11" s="17">
        <v>43952</v>
      </c>
      <c r="C11" s="15">
        <f>(SUMIFS('MAIN DATA, Orders'!$S:$S,'MAIN DATA, Orders'!$Y:$Y,$A11,'MAIN DATA, Orders'!$D:$D,"Germany",'MAIN DATA, Orders'!$V:$V,"Einzelplan 14")/1000000000)</f>
        <v>0.03</v>
      </c>
      <c r="D11" s="15">
        <f>(SUMIFS('MAIN DATA, Orders'!$S:$S,'MAIN DATA, Orders'!$Y:$Y,$A11,'MAIN DATA, Orders'!$D:$D,"Germany",'MAIN DATA, Orders'!$V:$V,"Sondervermögen")/1000000000)</f>
        <v>0</v>
      </c>
      <c r="E11" s="15">
        <f>(SUMIFS('MAIN DATA, Orders'!$S:$S,'MAIN DATA, Orders'!$Y:$Y,$A11,'MAIN DATA, Orders'!$D:$D,"Germany",'MAIN DATA, Orders'!$V:$V,"Einzelplan 60")/1000000000)</f>
        <v>0</v>
      </c>
    </row>
    <row r="12" spans="1:8" x14ac:dyDescent="0.35">
      <c r="A12" s="20">
        <v>202006</v>
      </c>
      <c r="B12" s="17">
        <v>43983</v>
      </c>
      <c r="C12" s="15">
        <f>(SUMIFS('MAIN DATA, Orders'!$S:$S,'MAIN DATA, Orders'!$Y:$Y,$A12,'MAIN DATA, Orders'!$D:$D,"Germany",'MAIN DATA, Orders'!$V:$V,"Einzelplan 14")/1000000000)</f>
        <v>13</v>
      </c>
      <c r="D12" s="15">
        <f>(SUMIFS('MAIN DATA, Orders'!$S:$S,'MAIN DATA, Orders'!$Y:$Y,$A12,'MAIN DATA, Orders'!$D:$D,"Germany",'MAIN DATA, Orders'!$V:$V,"Sondervermögen")/1000000000)</f>
        <v>0</v>
      </c>
      <c r="E12" s="15">
        <f>(SUMIFS('MAIN DATA, Orders'!$S:$S,'MAIN DATA, Orders'!$Y:$Y,$A12,'MAIN DATA, Orders'!$D:$D,"Germany",'MAIN DATA, Orders'!$V:$V,"Einzelplan 60")/1000000000)</f>
        <v>0</v>
      </c>
    </row>
    <row r="13" spans="1:8" x14ac:dyDescent="0.35">
      <c r="A13" s="20">
        <v>202007</v>
      </c>
      <c r="B13" s="17">
        <v>44013</v>
      </c>
      <c r="C13" s="15">
        <f>(SUMIFS('MAIN DATA, Orders'!$S:$S,'MAIN DATA, Orders'!$Y:$Y,$A13,'MAIN DATA, Orders'!$D:$D,"Germany",'MAIN DATA, Orders'!$V:$V,"Einzelplan 14")/1000000000)</f>
        <v>0</v>
      </c>
      <c r="D13" s="15">
        <f>(SUMIFS('MAIN DATA, Orders'!$S:$S,'MAIN DATA, Orders'!$Y:$Y,$A13,'MAIN DATA, Orders'!$D:$D,"Germany",'MAIN DATA, Orders'!$V:$V,"Sondervermögen")/1000000000)</f>
        <v>0</v>
      </c>
      <c r="E13" s="15">
        <f>(SUMIFS('MAIN DATA, Orders'!$S:$S,'MAIN DATA, Orders'!$Y:$Y,$A13,'MAIN DATA, Orders'!$D:$D,"Germany",'MAIN DATA, Orders'!$V:$V,"Einzelplan 60")/1000000000)</f>
        <v>0</v>
      </c>
    </row>
    <row r="14" spans="1:8" x14ac:dyDescent="0.35">
      <c r="A14" s="20">
        <v>202008</v>
      </c>
      <c r="B14" s="17">
        <v>44044</v>
      </c>
      <c r="C14" s="15">
        <f>(SUMIFS('MAIN DATA, Orders'!$S:$S,'MAIN DATA, Orders'!$Y:$Y,$A14,'MAIN DATA, Orders'!$D:$D,"Germany",'MAIN DATA, Orders'!$V:$V,"Einzelplan 14")/1000000000)</f>
        <v>0.35</v>
      </c>
      <c r="D14" s="15">
        <f>(SUMIFS('MAIN DATA, Orders'!$S:$S,'MAIN DATA, Orders'!$Y:$Y,$A14,'MAIN DATA, Orders'!$D:$D,"Germany",'MAIN DATA, Orders'!$V:$V,"Sondervermögen")/1000000000)</f>
        <v>0</v>
      </c>
      <c r="E14" s="15">
        <f>(SUMIFS('MAIN DATA, Orders'!$S:$S,'MAIN DATA, Orders'!$Y:$Y,$A14,'MAIN DATA, Orders'!$D:$D,"Germany",'MAIN DATA, Orders'!$V:$V,"Einzelplan 60")/1000000000)</f>
        <v>0</v>
      </c>
    </row>
    <row r="15" spans="1:8" x14ac:dyDescent="0.35">
      <c r="A15" s="20">
        <v>202009</v>
      </c>
      <c r="B15" s="17">
        <v>44075</v>
      </c>
      <c r="C15" s="15">
        <f>(SUMIFS('MAIN DATA, Orders'!$S:$S,'MAIN DATA, Orders'!$Y:$Y,$A15,'MAIN DATA, Orders'!$D:$D,"Germany",'MAIN DATA, Orders'!$V:$V,"Einzelplan 14")/1000000000)</f>
        <v>2.3839999999999999</v>
      </c>
      <c r="D15" s="15">
        <f>(SUMIFS('MAIN DATA, Orders'!$S:$S,'MAIN DATA, Orders'!$Y:$Y,$A15,'MAIN DATA, Orders'!$D:$D,"Germany",'MAIN DATA, Orders'!$V:$V,"Sondervermögen")/1000000000)</f>
        <v>0</v>
      </c>
      <c r="E15" s="15">
        <f>(SUMIFS('MAIN DATA, Orders'!$S:$S,'MAIN DATA, Orders'!$Y:$Y,$A15,'MAIN DATA, Orders'!$D:$D,"Germany",'MAIN DATA, Orders'!$V:$V,"Einzelplan 60")/1000000000)</f>
        <v>0</v>
      </c>
    </row>
    <row r="16" spans="1:8" x14ac:dyDescent="0.35">
      <c r="A16" s="20">
        <v>202010</v>
      </c>
      <c r="B16" s="17">
        <v>44105</v>
      </c>
      <c r="C16" s="15">
        <f>(SUMIFS('MAIN DATA, Orders'!$S:$S,'MAIN DATA, Orders'!$Y:$Y,$A16,'MAIN DATA, Orders'!$D:$D,"Germany",'MAIN DATA, Orders'!$V:$V,"Einzelplan 14")/1000000000)</f>
        <v>0.04</v>
      </c>
      <c r="D16" s="15">
        <f>(SUMIFS('MAIN DATA, Orders'!$S:$S,'MAIN DATA, Orders'!$Y:$Y,$A16,'MAIN DATA, Orders'!$D:$D,"Germany",'MAIN DATA, Orders'!$V:$V,"Sondervermögen")/1000000000)</f>
        <v>0</v>
      </c>
      <c r="E16" s="15">
        <f>(SUMIFS('MAIN DATA, Orders'!$S:$S,'MAIN DATA, Orders'!$Y:$Y,$A16,'MAIN DATA, Orders'!$D:$D,"Germany",'MAIN DATA, Orders'!$V:$V,"Einzelplan 60")/1000000000)</f>
        <v>0</v>
      </c>
    </row>
    <row r="17" spans="1:5" x14ac:dyDescent="0.35">
      <c r="A17" s="20">
        <v>202011</v>
      </c>
      <c r="B17" s="17">
        <v>44136</v>
      </c>
      <c r="C17" s="15">
        <f>(SUMIFS('MAIN DATA, Orders'!$S:$S,'MAIN DATA, Orders'!$Y:$Y,$A17,'MAIN DATA, Orders'!$D:$D,"Germany",'MAIN DATA, Orders'!$V:$V,"Einzelplan 14")/1000000000)</f>
        <v>8.7080000000000002</v>
      </c>
      <c r="D17" s="15">
        <f>(SUMIFS('MAIN DATA, Orders'!$S:$S,'MAIN DATA, Orders'!$Y:$Y,$A17,'MAIN DATA, Orders'!$D:$D,"Germany",'MAIN DATA, Orders'!$V:$V,"Sondervermögen")/1000000000)</f>
        <v>0</v>
      </c>
      <c r="E17" s="15">
        <f>(SUMIFS('MAIN DATA, Orders'!$S:$S,'MAIN DATA, Orders'!$Y:$Y,$A17,'MAIN DATA, Orders'!$D:$D,"Germany",'MAIN DATA, Orders'!$V:$V,"Einzelplan 60")/1000000000)</f>
        <v>0</v>
      </c>
    </row>
    <row r="18" spans="1:5" x14ac:dyDescent="0.35">
      <c r="A18" s="20">
        <v>202012</v>
      </c>
      <c r="B18" s="17">
        <v>44166</v>
      </c>
      <c r="C18" s="15">
        <f>(SUMIFS('MAIN DATA, Orders'!$S:$S,'MAIN DATA, Orders'!$Y:$Y,$A18,'MAIN DATA, Orders'!$D:$D,"Germany",'MAIN DATA, Orders'!$V:$V,"Einzelplan 14")/1000000000)</f>
        <v>0.45</v>
      </c>
      <c r="D18" s="15">
        <f>(SUMIFS('MAIN DATA, Orders'!$S:$S,'MAIN DATA, Orders'!$Y:$Y,$A18,'MAIN DATA, Orders'!$D:$D,"Germany",'MAIN DATA, Orders'!$V:$V,"Sondervermögen")/1000000000)</f>
        <v>0</v>
      </c>
      <c r="E18" s="15">
        <f>(SUMIFS('MAIN DATA, Orders'!$S:$S,'MAIN DATA, Orders'!$Y:$Y,$A18,'MAIN DATA, Orders'!$D:$D,"Germany",'MAIN DATA, Orders'!$V:$V,"Einzelplan 60")/1000000000)</f>
        <v>0</v>
      </c>
    </row>
    <row r="19" spans="1:5" x14ac:dyDescent="0.35">
      <c r="A19" s="20">
        <v>202101</v>
      </c>
      <c r="B19" s="17">
        <v>44197</v>
      </c>
      <c r="C19" s="15">
        <f>(SUMIFS('MAIN DATA, Orders'!$S:$S,'MAIN DATA, Orders'!$Y:$Y,$A19,'MAIN DATA, Orders'!$D:$D,"Germany",'MAIN DATA, Orders'!$V:$V,"Einzelplan 14")/1000000000)</f>
        <v>0</v>
      </c>
      <c r="D19" s="15">
        <f>(SUMIFS('MAIN DATA, Orders'!$S:$S,'MAIN DATA, Orders'!$Y:$Y,$A19,'MAIN DATA, Orders'!$D:$D,"Germany",'MAIN DATA, Orders'!$V:$V,"Sondervermögen")/1000000000)</f>
        <v>0</v>
      </c>
      <c r="E19" s="15">
        <f>(SUMIFS('MAIN DATA, Orders'!$S:$S,'MAIN DATA, Orders'!$Y:$Y,$A19,'MAIN DATA, Orders'!$D:$D,"Germany",'MAIN DATA, Orders'!$V:$V,"Einzelplan 60")/1000000000)</f>
        <v>0</v>
      </c>
    </row>
    <row r="20" spans="1:5" x14ac:dyDescent="0.35">
      <c r="A20" s="20">
        <v>202102</v>
      </c>
      <c r="B20" s="17">
        <v>44228</v>
      </c>
      <c r="C20" s="15">
        <f>(SUMIFS('MAIN DATA, Orders'!$S:$S,'MAIN DATA, Orders'!$Y:$Y,$A20,'MAIN DATA, Orders'!$D:$D,"Germany",'MAIN DATA, Orders'!$V:$V,"Einzelplan 14")/1000000000)</f>
        <v>8.7999999999999995E-2</v>
      </c>
      <c r="D20" s="15">
        <f>(SUMIFS('MAIN DATA, Orders'!$S:$S,'MAIN DATA, Orders'!$Y:$Y,$A20,'MAIN DATA, Orders'!$D:$D,"Germany",'MAIN DATA, Orders'!$V:$V,"Sondervermögen")/1000000000)</f>
        <v>0</v>
      </c>
      <c r="E20" s="15">
        <f>(SUMIFS('MAIN DATA, Orders'!$S:$S,'MAIN DATA, Orders'!$Y:$Y,$A20,'MAIN DATA, Orders'!$D:$D,"Germany",'MAIN DATA, Orders'!$V:$V,"Einzelplan 60")/1000000000)</f>
        <v>0</v>
      </c>
    </row>
    <row r="21" spans="1:5" x14ac:dyDescent="0.35">
      <c r="A21" s="20">
        <v>202103</v>
      </c>
      <c r="B21" s="17">
        <v>44256</v>
      </c>
      <c r="C21" s="15">
        <f>(SUMIFS('MAIN DATA, Orders'!$S:$S,'MAIN DATA, Orders'!$Y:$Y,$A21,'MAIN DATA, Orders'!$D:$D,"Germany",'MAIN DATA, Orders'!$V:$V,"Einzelplan 14")/1000000000)</f>
        <v>0</v>
      </c>
      <c r="D21" s="15">
        <f>(SUMIFS('MAIN DATA, Orders'!$S:$S,'MAIN DATA, Orders'!$Y:$Y,$A21,'MAIN DATA, Orders'!$D:$D,"Germany",'MAIN DATA, Orders'!$V:$V,"Sondervermögen")/1000000000)</f>
        <v>0</v>
      </c>
      <c r="E21" s="15">
        <f>(SUMIFS('MAIN DATA, Orders'!$S:$S,'MAIN DATA, Orders'!$Y:$Y,$A21,'MAIN DATA, Orders'!$D:$D,"Germany",'MAIN DATA, Orders'!$V:$V,"Einzelplan 60")/1000000000)</f>
        <v>0</v>
      </c>
    </row>
    <row r="22" spans="1:5" x14ac:dyDescent="0.35">
      <c r="A22" s="20">
        <v>202104</v>
      </c>
      <c r="B22" s="17">
        <v>44287</v>
      </c>
      <c r="C22" s="15">
        <f>(SUMIFS('MAIN DATA, Orders'!$S:$S,'MAIN DATA, Orders'!$Y:$Y,$A22,'MAIN DATA, Orders'!$D:$D,"Germany",'MAIN DATA, Orders'!$V:$V,"Einzelplan 14")/1000000000)</f>
        <v>3.7</v>
      </c>
      <c r="D22" s="15">
        <f>(SUMIFS('MAIN DATA, Orders'!$S:$S,'MAIN DATA, Orders'!$Y:$Y,$A22,'MAIN DATA, Orders'!$D:$D,"Germany",'MAIN DATA, Orders'!$V:$V,"Sondervermögen")/1000000000)</f>
        <v>0</v>
      </c>
      <c r="E22" s="15">
        <f>(SUMIFS('MAIN DATA, Orders'!$S:$S,'MAIN DATA, Orders'!$Y:$Y,$A22,'MAIN DATA, Orders'!$D:$D,"Germany",'MAIN DATA, Orders'!$V:$V,"Einzelplan 60")/1000000000)</f>
        <v>0</v>
      </c>
    </row>
    <row r="23" spans="1:5" x14ac:dyDescent="0.35">
      <c r="A23" s="20">
        <v>202105</v>
      </c>
      <c r="B23" s="17">
        <v>44317</v>
      </c>
      <c r="C23" s="15">
        <f>(SUMIFS('MAIN DATA, Orders'!$S:$S,'MAIN DATA, Orders'!$Y:$Y,$A23,'MAIN DATA, Orders'!$D:$D,"Germany",'MAIN DATA, Orders'!$V:$V,"Einzelplan 14")/1000000000)</f>
        <v>2.4020000000000001</v>
      </c>
      <c r="D23" s="15">
        <f>(SUMIFS('MAIN DATA, Orders'!$S:$S,'MAIN DATA, Orders'!$Y:$Y,$A23,'MAIN DATA, Orders'!$D:$D,"Germany",'MAIN DATA, Orders'!$V:$V,"Sondervermögen")/1000000000)</f>
        <v>0</v>
      </c>
      <c r="E23" s="15">
        <f>(SUMIFS('MAIN DATA, Orders'!$S:$S,'MAIN DATA, Orders'!$Y:$Y,$A23,'MAIN DATA, Orders'!$D:$D,"Germany",'MAIN DATA, Orders'!$V:$V,"Einzelplan 60")/1000000000)</f>
        <v>0</v>
      </c>
    </row>
    <row r="24" spans="1:5" x14ac:dyDescent="0.35">
      <c r="A24" s="20">
        <v>202106</v>
      </c>
      <c r="B24" s="17">
        <v>44348</v>
      </c>
      <c r="C24" s="15">
        <f>(SUMIFS('MAIN DATA, Orders'!$S:$S,'MAIN DATA, Orders'!$Y:$Y,$A24,'MAIN DATA, Orders'!$D:$D,"Germany",'MAIN DATA, Orders'!$V:$V,"Einzelplan 14")/1000000000)</f>
        <v>16.146878000000001</v>
      </c>
      <c r="D24" s="15">
        <f>(SUMIFS('MAIN DATA, Orders'!$S:$S,'MAIN DATA, Orders'!$Y:$Y,$A24,'MAIN DATA, Orders'!$D:$D,"Germany",'MAIN DATA, Orders'!$V:$V,"Sondervermögen")/1000000000)</f>
        <v>0</v>
      </c>
      <c r="E24" s="15">
        <f>(SUMIFS('MAIN DATA, Orders'!$S:$S,'MAIN DATA, Orders'!$Y:$Y,$A24,'MAIN DATA, Orders'!$D:$D,"Germany",'MAIN DATA, Orders'!$V:$V,"Einzelplan 60")/1000000000)</f>
        <v>0</v>
      </c>
    </row>
    <row r="25" spans="1:5" x14ac:dyDescent="0.35">
      <c r="A25" s="20">
        <v>202107</v>
      </c>
      <c r="B25" s="17">
        <v>44378</v>
      </c>
      <c r="C25" s="15">
        <f>(SUMIFS('MAIN DATA, Orders'!$S:$S,'MAIN DATA, Orders'!$Y:$Y,$A25,'MAIN DATA, Orders'!$D:$D,"Germany",'MAIN DATA, Orders'!$V:$V,"Einzelplan 14")/1000000000)</f>
        <v>0</v>
      </c>
      <c r="D25" s="15">
        <f>(SUMIFS('MAIN DATA, Orders'!$S:$S,'MAIN DATA, Orders'!$Y:$Y,$A25,'MAIN DATA, Orders'!$D:$D,"Germany",'MAIN DATA, Orders'!$V:$V,"Sondervermögen")/1000000000)</f>
        <v>0</v>
      </c>
      <c r="E25" s="15">
        <f>(SUMIFS('MAIN DATA, Orders'!$S:$S,'MAIN DATA, Orders'!$Y:$Y,$A25,'MAIN DATA, Orders'!$D:$D,"Germany",'MAIN DATA, Orders'!$V:$V,"Einzelplan 60")/1000000000)</f>
        <v>0</v>
      </c>
    </row>
    <row r="26" spans="1:5" x14ac:dyDescent="0.35">
      <c r="A26" s="20">
        <v>202108</v>
      </c>
      <c r="B26" s="17">
        <v>44409</v>
      </c>
      <c r="C26" s="15">
        <f>(SUMIFS('MAIN DATA, Orders'!$S:$S,'MAIN DATA, Orders'!$Y:$Y,$A26,'MAIN DATA, Orders'!$D:$D,"Germany",'MAIN DATA, Orders'!$V:$V,"Einzelplan 14")/1000000000)</f>
        <v>0</v>
      </c>
      <c r="D26" s="15">
        <f>(SUMIFS('MAIN DATA, Orders'!$S:$S,'MAIN DATA, Orders'!$Y:$Y,$A26,'MAIN DATA, Orders'!$D:$D,"Germany",'MAIN DATA, Orders'!$V:$V,"Sondervermögen")/1000000000)</f>
        <v>0</v>
      </c>
      <c r="E26" s="15">
        <f>(SUMIFS('MAIN DATA, Orders'!$S:$S,'MAIN DATA, Orders'!$Y:$Y,$A26,'MAIN DATA, Orders'!$D:$D,"Germany",'MAIN DATA, Orders'!$V:$V,"Einzelplan 60")/1000000000)</f>
        <v>0</v>
      </c>
    </row>
    <row r="27" spans="1:5" x14ac:dyDescent="0.35">
      <c r="A27" s="20">
        <v>202109</v>
      </c>
      <c r="B27" s="17">
        <v>44440</v>
      </c>
      <c r="C27" s="15">
        <f>(SUMIFS('MAIN DATA, Orders'!$S:$S,'MAIN DATA, Orders'!$Y:$Y,$A27,'MAIN DATA, Orders'!$D:$D,"Germany",'MAIN DATA, Orders'!$V:$V,"Einzelplan 14")/1000000000)</f>
        <v>0</v>
      </c>
      <c r="D27" s="15">
        <f>(SUMIFS('MAIN DATA, Orders'!$S:$S,'MAIN DATA, Orders'!$Y:$Y,$A27,'MAIN DATA, Orders'!$D:$D,"Germany",'MAIN DATA, Orders'!$V:$V,"Sondervermögen")/1000000000)</f>
        <v>0</v>
      </c>
      <c r="E27" s="15">
        <f>(SUMIFS('MAIN DATA, Orders'!$S:$S,'MAIN DATA, Orders'!$Y:$Y,$A27,'MAIN DATA, Orders'!$D:$D,"Germany",'MAIN DATA, Orders'!$V:$V,"Einzelplan 60")/1000000000)</f>
        <v>0</v>
      </c>
    </row>
    <row r="28" spans="1:5" x14ac:dyDescent="0.35">
      <c r="A28" s="20">
        <v>202110</v>
      </c>
      <c r="B28" s="17">
        <v>44470</v>
      </c>
      <c r="C28" s="15">
        <f>(SUMIFS('MAIN DATA, Orders'!$S:$S,'MAIN DATA, Orders'!$Y:$Y,$A28,'MAIN DATA, Orders'!$D:$D,"Germany",'MAIN DATA, Orders'!$V:$V,"Einzelplan 14")/1000000000)</f>
        <v>0</v>
      </c>
      <c r="D28" s="15">
        <f>(SUMIFS('MAIN DATA, Orders'!$S:$S,'MAIN DATA, Orders'!$Y:$Y,$A28,'MAIN DATA, Orders'!$D:$D,"Germany",'MAIN DATA, Orders'!$V:$V,"Sondervermögen")/1000000000)</f>
        <v>0</v>
      </c>
      <c r="E28" s="15">
        <f>(SUMIFS('MAIN DATA, Orders'!$S:$S,'MAIN DATA, Orders'!$Y:$Y,$A28,'MAIN DATA, Orders'!$D:$D,"Germany",'MAIN DATA, Orders'!$V:$V,"Einzelplan 60")/1000000000)</f>
        <v>0</v>
      </c>
    </row>
    <row r="29" spans="1:5" x14ac:dyDescent="0.35">
      <c r="A29" s="20">
        <v>202111</v>
      </c>
      <c r="B29" s="17">
        <v>44501</v>
      </c>
      <c r="C29" s="15">
        <f>(SUMIFS('MAIN DATA, Orders'!$S:$S,'MAIN DATA, Orders'!$Y:$Y,$A29,'MAIN DATA, Orders'!$D:$D,"Germany",'MAIN DATA, Orders'!$V:$V,"Einzelplan 14")/1000000000)</f>
        <v>0</v>
      </c>
      <c r="D29" s="15">
        <f>(SUMIFS('MAIN DATA, Orders'!$S:$S,'MAIN DATA, Orders'!$Y:$Y,$A29,'MAIN DATA, Orders'!$D:$D,"Germany",'MAIN DATA, Orders'!$V:$V,"Sondervermögen")/1000000000)</f>
        <v>0</v>
      </c>
      <c r="E29" s="15">
        <f>(SUMIFS('MAIN DATA, Orders'!$S:$S,'MAIN DATA, Orders'!$Y:$Y,$A29,'MAIN DATA, Orders'!$D:$D,"Germany",'MAIN DATA, Orders'!$V:$V,"Einzelplan 60")/1000000000)</f>
        <v>0</v>
      </c>
    </row>
    <row r="30" spans="1:5" x14ac:dyDescent="0.35">
      <c r="A30" s="20">
        <v>202112</v>
      </c>
      <c r="B30" s="17">
        <v>44531</v>
      </c>
      <c r="C30" s="15">
        <f>(SUMIFS('MAIN DATA, Orders'!$S:$S,'MAIN DATA, Orders'!$Y:$Y,$A30,'MAIN DATA, Orders'!$D:$D,"Germany",'MAIN DATA, Orders'!$V:$V,"Einzelplan 14")/1000000000)</f>
        <v>0</v>
      </c>
      <c r="D30" s="15">
        <f>(SUMIFS('MAIN DATA, Orders'!$S:$S,'MAIN DATA, Orders'!$Y:$Y,$A30,'MAIN DATA, Orders'!$D:$D,"Germany",'MAIN DATA, Orders'!$V:$V,"Sondervermögen")/1000000000)</f>
        <v>0</v>
      </c>
      <c r="E30" s="15">
        <f>(SUMIFS('MAIN DATA, Orders'!$S:$S,'MAIN DATA, Orders'!$Y:$Y,$A30,'MAIN DATA, Orders'!$D:$D,"Germany",'MAIN DATA, Orders'!$V:$V,"Einzelplan 60")/1000000000)</f>
        <v>0</v>
      </c>
    </row>
    <row r="31" spans="1:5" x14ac:dyDescent="0.35">
      <c r="A31" s="20">
        <v>202201</v>
      </c>
      <c r="B31" s="17">
        <v>44562</v>
      </c>
      <c r="C31" s="15">
        <f>(SUMIFS('MAIN DATA, Orders'!$S:$S,'MAIN DATA, Orders'!$Y:$Y,$A31,'MAIN DATA, Orders'!$D:$D,"Germany",'MAIN DATA, Orders'!$V:$V,"Einzelplan 14")/1000000000)</f>
        <v>0</v>
      </c>
      <c r="D31" s="15">
        <f>(SUMIFS('MAIN DATA, Orders'!$S:$S,'MAIN DATA, Orders'!$Y:$Y,$A31,'MAIN DATA, Orders'!$D:$D,"Germany",'MAIN DATA, Orders'!$V:$V,"Sondervermögen")/1000000000)</f>
        <v>0</v>
      </c>
      <c r="E31" s="15">
        <f>(SUMIFS('MAIN DATA, Orders'!$S:$S,'MAIN DATA, Orders'!$Y:$Y,$A31,'MAIN DATA, Orders'!$D:$D,"Germany",'MAIN DATA, Orders'!$V:$V,"Einzelplan 60")/1000000000)</f>
        <v>0</v>
      </c>
    </row>
    <row r="32" spans="1:5" x14ac:dyDescent="0.35">
      <c r="A32" s="20">
        <v>202202</v>
      </c>
      <c r="B32" s="17">
        <v>44593</v>
      </c>
      <c r="C32" s="15">
        <f>(SUMIFS('MAIN DATA, Orders'!$S:$S,'MAIN DATA, Orders'!$Y:$Y,$A32,'MAIN DATA, Orders'!$D:$D,"Germany",'MAIN DATA, Orders'!$V:$V,"Einzelplan 14")/1000000000)</f>
        <v>0</v>
      </c>
      <c r="D32" s="15">
        <f>(SUMIFS('MAIN DATA, Orders'!$S:$S,'MAIN DATA, Orders'!$Y:$Y,$A32,'MAIN DATA, Orders'!$D:$D,"Germany",'MAIN DATA, Orders'!$V:$V,"Sondervermögen")/1000000000)</f>
        <v>0</v>
      </c>
      <c r="E32" s="15">
        <f>(SUMIFS('MAIN DATA, Orders'!$S:$S,'MAIN DATA, Orders'!$Y:$Y,$A32,'MAIN DATA, Orders'!$D:$D,"Germany",'MAIN DATA, Orders'!$V:$V,"Einzelplan 60")/1000000000)</f>
        <v>0</v>
      </c>
    </row>
    <row r="33" spans="1:5" x14ac:dyDescent="0.35">
      <c r="A33" s="20">
        <v>202203</v>
      </c>
      <c r="B33" s="17">
        <v>44621</v>
      </c>
      <c r="C33" s="15">
        <f>(SUMIFS('MAIN DATA, Orders'!$S:$S,'MAIN DATA, Orders'!$Y:$Y,$A33,'MAIN DATA, Orders'!$D:$D,"Germany",'MAIN DATA, Orders'!$V:$V,"Einzelplan 14")/1000000000)</f>
        <v>0</v>
      </c>
      <c r="D33" s="15">
        <f>(SUMIFS('MAIN DATA, Orders'!$S:$S,'MAIN DATA, Orders'!$Y:$Y,$A33,'MAIN DATA, Orders'!$D:$D,"Germany",'MAIN DATA, Orders'!$V:$V,"Sondervermögen")/1000000000)</f>
        <v>0</v>
      </c>
      <c r="E33" s="15">
        <f>(SUMIFS('MAIN DATA, Orders'!$S:$S,'MAIN DATA, Orders'!$Y:$Y,$A33,'MAIN DATA, Orders'!$D:$D,"Germany",'MAIN DATA, Orders'!$V:$V,"Einzelplan 60")/1000000000)</f>
        <v>0</v>
      </c>
    </row>
    <row r="34" spans="1:5" x14ac:dyDescent="0.35">
      <c r="A34" s="20">
        <v>202204</v>
      </c>
      <c r="B34" s="17">
        <v>44652</v>
      </c>
      <c r="C34" s="15">
        <f>(SUMIFS('MAIN DATA, Orders'!$S:$S,'MAIN DATA, Orders'!$Y:$Y,$A34,'MAIN DATA, Orders'!$D:$D,"Germany",'MAIN DATA, Orders'!$V:$V,"Einzelplan 14")/1000000000)</f>
        <v>0.15</v>
      </c>
      <c r="D34" s="15">
        <f>(SUMIFS('MAIN DATA, Orders'!$S:$S,'MAIN DATA, Orders'!$Y:$Y,$A34,'MAIN DATA, Orders'!$D:$D,"Germany",'MAIN DATA, Orders'!$V:$V,"Sondervermögen")/1000000000)</f>
        <v>0</v>
      </c>
      <c r="E34" s="15">
        <f>(SUMIFS('MAIN DATA, Orders'!$S:$S,'MAIN DATA, Orders'!$Y:$Y,$A34,'MAIN DATA, Orders'!$D:$D,"Germany",'MAIN DATA, Orders'!$V:$V,"Einzelplan 60")/1000000000)</f>
        <v>0</v>
      </c>
    </row>
    <row r="35" spans="1:5" x14ac:dyDescent="0.35">
      <c r="A35" s="20">
        <v>202205</v>
      </c>
      <c r="B35" s="17">
        <v>44682</v>
      </c>
      <c r="C35" s="15">
        <f>(SUMIFS('MAIN DATA, Orders'!$S:$S,'MAIN DATA, Orders'!$Y:$Y,$A35,'MAIN DATA, Orders'!$D:$D,"Germany",'MAIN DATA, Orders'!$V:$V,"Einzelplan 14")/1000000000)</f>
        <v>2.5139</v>
      </c>
      <c r="D35" s="15">
        <f>(SUMIFS('MAIN DATA, Orders'!$S:$S,'MAIN DATA, Orders'!$Y:$Y,$A35,'MAIN DATA, Orders'!$D:$D,"Germany",'MAIN DATA, Orders'!$V:$V,"Sondervermögen")/1000000000)</f>
        <v>0</v>
      </c>
      <c r="E35" s="15">
        <f>(SUMIFS('MAIN DATA, Orders'!$S:$S,'MAIN DATA, Orders'!$Y:$Y,$A35,'MAIN DATA, Orders'!$D:$D,"Germany",'MAIN DATA, Orders'!$V:$V,"Einzelplan 60")/1000000000)</f>
        <v>0</v>
      </c>
    </row>
    <row r="36" spans="1:5" x14ac:dyDescent="0.35">
      <c r="A36" s="20">
        <v>202206</v>
      </c>
      <c r="B36" s="17">
        <v>44713</v>
      </c>
      <c r="C36" s="15">
        <f>(SUMIFS('MAIN DATA, Orders'!$S:$S,'MAIN DATA, Orders'!$Y:$Y,$A36,'MAIN DATA, Orders'!$D:$D,"Germany",'MAIN DATA, Orders'!$V:$V,"Einzelplan 14")/1000000000)</f>
        <v>0.10100000000000001</v>
      </c>
      <c r="D36" s="15">
        <f>(SUMIFS('MAIN DATA, Orders'!$S:$S,'MAIN DATA, Orders'!$Y:$Y,$A36,'MAIN DATA, Orders'!$D:$D,"Germany",'MAIN DATA, Orders'!$V:$V,"Sondervermögen")/1000000000)</f>
        <v>3.5000000000000003E-2</v>
      </c>
      <c r="E36" s="15">
        <f>(SUMIFS('MAIN DATA, Orders'!$S:$S,'MAIN DATA, Orders'!$Y:$Y,$A36,'MAIN DATA, Orders'!$D:$D,"Germany",'MAIN DATA, Orders'!$V:$V,"Einzelplan 60")/1000000000)</f>
        <v>0</v>
      </c>
    </row>
    <row r="37" spans="1:5" x14ac:dyDescent="0.35">
      <c r="A37" s="20">
        <v>202207</v>
      </c>
      <c r="B37" s="17">
        <v>44743</v>
      </c>
      <c r="C37" s="15">
        <f>(SUMIFS('MAIN DATA, Orders'!$S:$S,'MAIN DATA, Orders'!$Y:$Y,$A37,'MAIN DATA, Orders'!$D:$D,"Germany",'MAIN DATA, Orders'!$V:$V,"Einzelplan 14")/1000000000)</f>
        <v>7.5159000000000002</v>
      </c>
      <c r="D37" s="15">
        <f>(SUMIFS('MAIN DATA, Orders'!$S:$S,'MAIN DATA, Orders'!$Y:$Y,$A37,'MAIN DATA, Orders'!$D:$D,"Germany",'MAIN DATA, Orders'!$V:$V,"Sondervermögen")/1000000000)</f>
        <v>0</v>
      </c>
      <c r="E37" s="15">
        <f>(SUMIFS('MAIN DATA, Orders'!$S:$S,'MAIN DATA, Orders'!$Y:$Y,$A37,'MAIN DATA, Orders'!$D:$D,"Germany",'MAIN DATA, Orders'!$V:$V,"Einzelplan 60")/1000000000)</f>
        <v>0</v>
      </c>
    </row>
    <row r="38" spans="1:5" x14ac:dyDescent="0.35">
      <c r="A38" s="20">
        <v>202208</v>
      </c>
      <c r="B38" s="17">
        <v>44774</v>
      </c>
      <c r="C38" s="15">
        <f>(SUMIFS('MAIN DATA, Orders'!$S:$S,'MAIN DATA, Orders'!$Y:$Y,$A38,'MAIN DATA, Orders'!$D:$D,"Germany",'MAIN DATA, Orders'!$V:$V,"Einzelplan 14")/1000000000)</f>
        <v>0</v>
      </c>
      <c r="D38" s="15">
        <f>(SUMIFS('MAIN DATA, Orders'!$S:$S,'MAIN DATA, Orders'!$Y:$Y,$A38,'MAIN DATA, Orders'!$D:$D,"Germany",'MAIN DATA, Orders'!$V:$V,"Sondervermögen")/1000000000)</f>
        <v>0</v>
      </c>
      <c r="E38" s="15">
        <f>(SUMIFS('MAIN DATA, Orders'!$S:$S,'MAIN DATA, Orders'!$Y:$Y,$A38,'MAIN DATA, Orders'!$D:$D,"Germany",'MAIN DATA, Orders'!$V:$V,"Einzelplan 60")/1000000000)</f>
        <v>0</v>
      </c>
    </row>
    <row r="39" spans="1:5" x14ac:dyDescent="0.35">
      <c r="A39" s="20">
        <v>202209</v>
      </c>
      <c r="B39" s="17">
        <v>44805</v>
      </c>
      <c r="C39" s="15">
        <f>(SUMIFS('MAIN DATA, Orders'!$S:$S,'MAIN DATA, Orders'!$Y:$Y,$A39,'MAIN DATA, Orders'!$D:$D,"Germany",'MAIN DATA, Orders'!$V:$V,"Einzelplan 14")/1000000000)</f>
        <v>0.63700000000000001</v>
      </c>
      <c r="D39" s="15">
        <f>(SUMIFS('MAIN DATA, Orders'!$S:$S,'MAIN DATA, Orders'!$Y:$Y,$A39,'MAIN DATA, Orders'!$D:$D,"Germany",'MAIN DATA, Orders'!$V:$V,"Sondervermögen")/1000000000)</f>
        <v>0</v>
      </c>
      <c r="E39" s="15">
        <f>(SUMIFS('MAIN DATA, Orders'!$S:$S,'MAIN DATA, Orders'!$Y:$Y,$A39,'MAIN DATA, Orders'!$D:$D,"Germany",'MAIN DATA, Orders'!$V:$V,"Einzelplan 60")/1000000000)</f>
        <v>0</v>
      </c>
    </row>
    <row r="40" spans="1:5" x14ac:dyDescent="0.35">
      <c r="A40" s="20">
        <v>202210</v>
      </c>
      <c r="B40" s="17">
        <v>44835</v>
      </c>
      <c r="C40" s="15">
        <f>(SUMIFS('MAIN DATA, Orders'!$S:$S,'MAIN DATA, Orders'!$Y:$Y,$A40,'MAIN DATA, Orders'!$D:$D,"Germany",'MAIN DATA, Orders'!$V:$V,"Einzelplan 14")/1000000000)</f>
        <v>0.10489999999999999</v>
      </c>
      <c r="D40" s="15">
        <f>(SUMIFS('MAIN DATA, Orders'!$S:$S,'MAIN DATA, Orders'!$Y:$Y,$A40,'MAIN DATA, Orders'!$D:$D,"Germany",'MAIN DATA, Orders'!$V:$V,"Sondervermögen")/1000000000)</f>
        <v>0</v>
      </c>
      <c r="E40" s="15">
        <f>(SUMIFS('MAIN DATA, Orders'!$S:$S,'MAIN DATA, Orders'!$Y:$Y,$A40,'MAIN DATA, Orders'!$D:$D,"Germany",'MAIN DATA, Orders'!$V:$V,"Einzelplan 60")/1000000000)</f>
        <v>0</v>
      </c>
    </row>
    <row r="41" spans="1:5" x14ac:dyDescent="0.35">
      <c r="A41" s="20">
        <v>202211</v>
      </c>
      <c r="B41" s="17">
        <v>44866</v>
      </c>
      <c r="C41" s="15">
        <f>(SUMIFS('MAIN DATA, Orders'!$S:$S,'MAIN DATA, Orders'!$Y:$Y,$A41,'MAIN DATA, Orders'!$D:$D,"Germany",'MAIN DATA, Orders'!$V:$V,"Einzelplan 14")/1000000000)</f>
        <v>0.15545</v>
      </c>
      <c r="D41" s="15">
        <f>(SUMIFS('MAIN DATA, Orders'!$S:$S,'MAIN DATA, Orders'!$Y:$Y,$A41,'MAIN DATA, Orders'!$D:$D,"Germany",'MAIN DATA, Orders'!$V:$V,"Sondervermögen")/1000000000)</f>
        <v>0</v>
      </c>
      <c r="E41" s="15">
        <f>(SUMIFS('MAIN DATA, Orders'!$S:$S,'MAIN DATA, Orders'!$Y:$Y,$A41,'MAIN DATA, Orders'!$D:$D,"Germany",'MAIN DATA, Orders'!$V:$V,"Einzelplan 60")/1000000000)</f>
        <v>0</v>
      </c>
    </row>
    <row r="42" spans="1:5" x14ac:dyDescent="0.35">
      <c r="A42" s="20">
        <v>202212</v>
      </c>
      <c r="B42" s="17">
        <v>44896</v>
      </c>
      <c r="C42" s="15">
        <f>(SUMIFS('MAIN DATA, Orders'!$S:$S,'MAIN DATA, Orders'!$Y:$Y,$A42,'MAIN DATA, Orders'!$D:$D,"Germany",'MAIN DATA, Orders'!$V:$V,"Einzelplan 14")/1000000000)</f>
        <v>0.27800000000000002</v>
      </c>
      <c r="D42" s="15">
        <f>(SUMIFS('MAIN DATA, Orders'!$S:$S,'MAIN DATA, Orders'!$Y:$Y,$A42,'MAIN DATA, Orders'!$D:$D,"Germany",'MAIN DATA, Orders'!$V:$V,"Sondervermögen")/1000000000)</f>
        <v>9.6059999999999999</v>
      </c>
      <c r="E42" s="15">
        <f>(SUMIFS('MAIN DATA, Orders'!$S:$S,'MAIN DATA, Orders'!$Y:$Y,$A42,'MAIN DATA, Orders'!$D:$D,"Germany",'MAIN DATA, Orders'!$V:$V,"Einzelplan 60")/1000000000)</f>
        <v>0</v>
      </c>
    </row>
    <row r="43" spans="1:5" x14ac:dyDescent="0.35">
      <c r="A43" s="20">
        <v>202301</v>
      </c>
      <c r="B43" s="17">
        <v>44927</v>
      </c>
      <c r="C43" s="15">
        <f>(SUMIFS('MAIN DATA, Orders'!$S:$S,'MAIN DATA, Orders'!$Y:$Y,$A43,'MAIN DATA, Orders'!$D:$D,"Germany",'MAIN DATA, Orders'!$V:$V,"Einzelplan 14")/1000000000)</f>
        <v>0</v>
      </c>
      <c r="D43" s="15">
        <f>(SUMIFS('MAIN DATA, Orders'!$S:$S,'MAIN DATA, Orders'!$Y:$Y,$A43,'MAIN DATA, Orders'!$D:$D,"Germany",'MAIN DATA, Orders'!$V:$V,"Sondervermögen")/1000000000)</f>
        <v>0</v>
      </c>
      <c r="E43" s="15">
        <f>(SUMIFS('MAIN DATA, Orders'!$S:$S,'MAIN DATA, Orders'!$Y:$Y,$A43,'MAIN DATA, Orders'!$D:$D,"Germany",'MAIN DATA, Orders'!$V:$V,"Einzelplan 60")/1000000000)</f>
        <v>0</v>
      </c>
    </row>
    <row r="44" spans="1:5" x14ac:dyDescent="0.35">
      <c r="A44" s="20">
        <v>202302</v>
      </c>
      <c r="B44" s="17">
        <v>44958</v>
      </c>
      <c r="C44" s="15">
        <f>(SUMIFS('MAIN DATA, Orders'!$S:$S,'MAIN DATA, Orders'!$Y:$Y,$A44,'MAIN DATA, Orders'!$D:$D,"Germany",'MAIN DATA, Orders'!$V:$V,"Einzelplan 14")/1000000000)</f>
        <v>5.28E-2</v>
      </c>
      <c r="D44" s="15">
        <f>(SUMIFS('MAIN DATA, Orders'!$S:$S,'MAIN DATA, Orders'!$Y:$Y,$A44,'MAIN DATA, Orders'!$D:$D,"Germany",'MAIN DATA, Orders'!$V:$V,"Sondervermögen")/1000000000)</f>
        <v>0</v>
      </c>
      <c r="E44" s="15">
        <f>(SUMIFS('MAIN DATA, Orders'!$S:$S,'MAIN DATA, Orders'!$Y:$Y,$A44,'MAIN DATA, Orders'!$D:$D,"Germany",'MAIN DATA, Orders'!$V:$V,"Einzelplan 60")/1000000000)</f>
        <v>0.16800000000000001</v>
      </c>
    </row>
    <row r="45" spans="1:5" x14ac:dyDescent="0.35">
      <c r="A45" s="20">
        <v>202303</v>
      </c>
      <c r="B45" s="17">
        <v>44986</v>
      </c>
      <c r="C45" s="15">
        <f>(SUMIFS('MAIN DATA, Orders'!$S:$S,'MAIN DATA, Orders'!$Y:$Y,$A45,'MAIN DATA, Orders'!$D:$D,"Germany",'MAIN DATA, Orders'!$V:$V,"Einzelplan 14")/1000000000)</f>
        <v>0.2382</v>
      </c>
      <c r="D45" s="15">
        <f>(SUMIFS('MAIN DATA, Orders'!$S:$S,'MAIN DATA, Orders'!$Y:$Y,$A45,'MAIN DATA, Orders'!$D:$D,"Germany",'MAIN DATA, Orders'!$V:$V,"Sondervermögen")/1000000000)</f>
        <v>0.95220000000000005</v>
      </c>
      <c r="E45" s="15">
        <f>(SUMIFS('MAIN DATA, Orders'!$S:$S,'MAIN DATA, Orders'!$Y:$Y,$A45,'MAIN DATA, Orders'!$D:$D,"Germany",'MAIN DATA, Orders'!$V:$V,"Einzelplan 60")/1000000000)</f>
        <v>0.184</v>
      </c>
    </row>
    <row r="46" spans="1:5" x14ac:dyDescent="0.35">
      <c r="A46" s="20">
        <v>202304</v>
      </c>
      <c r="B46" s="17">
        <v>45017</v>
      </c>
      <c r="C46" s="15">
        <f>(SUMIFS('MAIN DATA, Orders'!$S:$S,'MAIN DATA, Orders'!$Y:$Y,$A46,'MAIN DATA, Orders'!$D:$D,"Germany",'MAIN DATA, Orders'!$V:$V,"Einzelplan 14")/1000000000)</f>
        <v>0.76700000000000002</v>
      </c>
      <c r="D46" s="15">
        <f>(SUMIFS('MAIN DATA, Orders'!$S:$S,'MAIN DATA, Orders'!$Y:$Y,$A46,'MAIN DATA, Orders'!$D:$D,"Germany",'MAIN DATA, Orders'!$V:$V,"Sondervermögen")/1000000000)</f>
        <v>0</v>
      </c>
      <c r="E46" s="15">
        <f>(SUMIFS('MAIN DATA, Orders'!$S:$S,'MAIN DATA, Orders'!$Y:$Y,$A46,'MAIN DATA, Orders'!$D:$D,"Germany",'MAIN DATA, Orders'!$V:$V,"Einzelplan 60")/1000000000)</f>
        <v>0</v>
      </c>
    </row>
    <row r="47" spans="1:5" x14ac:dyDescent="0.35">
      <c r="A47" s="20">
        <v>202305</v>
      </c>
      <c r="B47" s="17">
        <v>45047</v>
      </c>
      <c r="C47" s="15">
        <f>(SUMIFS('MAIN DATA, Orders'!$S:$S,'MAIN DATA, Orders'!$Y:$Y,$A47,'MAIN DATA, Orders'!$D:$D,"Germany",'MAIN DATA, Orders'!$V:$V,"Einzelplan 14")/1000000000)</f>
        <v>3.2000000000000001E-2</v>
      </c>
      <c r="D47" s="15">
        <f>(SUMIFS('MAIN DATA, Orders'!$S:$S,'MAIN DATA, Orders'!$Y:$Y,$A47,'MAIN DATA, Orders'!$D:$D,"Germany",'MAIN DATA, Orders'!$V:$V,"Sondervermögen")/1000000000)</f>
        <v>1.2669999999999999</v>
      </c>
      <c r="E47" s="15">
        <f>(SUMIFS('MAIN DATA, Orders'!$S:$S,'MAIN DATA, Orders'!$Y:$Y,$A47,'MAIN DATA, Orders'!$D:$D,"Germany",'MAIN DATA, Orders'!$V:$V,"Einzelplan 60")/1000000000)</f>
        <v>0.71630000000000005</v>
      </c>
    </row>
    <row r="48" spans="1:5" x14ac:dyDescent="0.35">
      <c r="A48" s="20">
        <v>202306</v>
      </c>
      <c r="B48" s="17">
        <v>45078</v>
      </c>
      <c r="C48" s="15">
        <f>(SUMIFS('MAIN DATA, Orders'!$S:$S,'MAIN DATA, Orders'!$Y:$Y,$A48,'MAIN DATA, Orders'!$D:$D,"Germany",'MAIN DATA, Orders'!$V:$V,"Einzelplan 14")/1000000000)</f>
        <v>0.9032</v>
      </c>
      <c r="D48" s="15">
        <f>(SUMIFS('MAIN DATA, Orders'!$S:$S,'MAIN DATA, Orders'!$Y:$Y,$A48,'MAIN DATA, Orders'!$D:$D,"Germany",'MAIN DATA, Orders'!$V:$V,"Sondervermögen")/1000000000)</f>
        <v>0.95</v>
      </c>
      <c r="E48" s="15">
        <f>(SUMIFS('MAIN DATA, Orders'!$S:$S,'MAIN DATA, Orders'!$Y:$Y,$A48,'MAIN DATA, Orders'!$D:$D,"Germany",'MAIN DATA, Orders'!$V:$V,"Einzelplan 60")/1000000000)</f>
        <v>0</v>
      </c>
    </row>
    <row r="49" spans="1:5" x14ac:dyDescent="0.35">
      <c r="A49" s="20">
        <v>202307</v>
      </c>
      <c r="B49" s="17">
        <v>45108</v>
      </c>
      <c r="C49" s="15">
        <f>(SUMIFS('MAIN DATA, Orders'!$S:$S,'MAIN DATA, Orders'!$Y:$Y,$A49,'MAIN DATA, Orders'!$D:$D,"Germany",'MAIN DATA, Orders'!$V:$V,"Einzelplan 14")/1000000000)</f>
        <v>1.3858999999999999</v>
      </c>
      <c r="D49" s="15">
        <f>(SUMIFS('MAIN DATA, Orders'!$S:$S,'MAIN DATA, Orders'!$Y:$Y,$A49,'MAIN DATA, Orders'!$D:$D,"Germany",'MAIN DATA, Orders'!$V:$V,"Sondervermögen")/1000000000)</f>
        <v>7.85</v>
      </c>
      <c r="E49" s="15">
        <f>(SUMIFS('MAIN DATA, Orders'!$S:$S,'MAIN DATA, Orders'!$Y:$Y,$A49,'MAIN DATA, Orders'!$D:$D,"Germany",'MAIN DATA, Orders'!$V:$V,"Einzelplan 60")/1000000000)</f>
        <v>0.50900000000000001</v>
      </c>
    </row>
    <row r="50" spans="1:5" x14ac:dyDescent="0.35">
      <c r="A50" s="20">
        <v>202308</v>
      </c>
      <c r="B50" s="17">
        <v>45139</v>
      </c>
      <c r="C50" s="15">
        <f>(SUMIFS('MAIN DATA, Orders'!$S:$S,'MAIN DATA, Orders'!$Y:$Y,$A50,'MAIN DATA, Orders'!$D:$D,"Germany",'MAIN DATA, Orders'!$V:$V,"Einzelplan 14")/1000000000)</f>
        <v>0</v>
      </c>
      <c r="D50" s="15">
        <f>(SUMIFS('MAIN DATA, Orders'!$S:$S,'MAIN DATA, Orders'!$Y:$Y,$A50,'MAIN DATA, Orders'!$D:$D,"Germany",'MAIN DATA, Orders'!$V:$V,"Sondervermögen")/1000000000)</f>
        <v>0</v>
      </c>
      <c r="E50" s="15">
        <f>(SUMIFS('MAIN DATA, Orders'!$S:$S,'MAIN DATA, Orders'!$Y:$Y,$A50,'MAIN DATA, Orders'!$D:$D,"Germany",'MAIN DATA, Orders'!$V:$V,"Einzelplan 60")/1000000000)</f>
        <v>0</v>
      </c>
    </row>
    <row r="51" spans="1:5" x14ac:dyDescent="0.35">
      <c r="A51" s="20">
        <v>202309</v>
      </c>
      <c r="B51" s="17">
        <v>45170</v>
      </c>
      <c r="C51" s="15">
        <f>(SUMIFS('MAIN DATA, Orders'!$S:$S,'MAIN DATA, Orders'!$Y:$Y,$A51,'MAIN DATA, Orders'!$D:$D,"Germany",'MAIN DATA, Orders'!$V:$V,"Einzelplan 14")/1000000000)</f>
        <v>0.43630000000000002</v>
      </c>
      <c r="D51" s="15">
        <f>(SUMIFS('MAIN DATA, Orders'!$S:$S,'MAIN DATA, Orders'!$Y:$Y,$A51,'MAIN DATA, Orders'!$D:$D,"Germany",'MAIN DATA, Orders'!$V:$V,"Sondervermögen")/1000000000)</f>
        <v>0</v>
      </c>
      <c r="E51" s="15">
        <f>(SUMIFS('MAIN DATA, Orders'!$S:$S,'MAIN DATA, Orders'!$Y:$Y,$A51,'MAIN DATA, Orders'!$D:$D,"Germany",'MAIN DATA, Orders'!$V:$V,"Einzelplan 60")/1000000000)</f>
        <v>0</v>
      </c>
    </row>
    <row r="52" spans="1:5" x14ac:dyDescent="0.35">
      <c r="A52" s="20">
        <v>202310</v>
      </c>
      <c r="B52" s="17">
        <v>45200</v>
      </c>
      <c r="C52" s="15">
        <f>(SUMIFS('MAIN DATA, Orders'!$S:$S,'MAIN DATA, Orders'!$Y:$Y,$A52,'MAIN DATA, Orders'!$D:$D,"Germany",'MAIN DATA, Orders'!$V:$V,"Einzelplan 14")/1000000000)</f>
        <v>5.2499999999999998E-2</v>
      </c>
      <c r="D52" s="15">
        <f>(SUMIFS('MAIN DATA, Orders'!$S:$S,'MAIN DATA, Orders'!$Y:$Y,$A52,'MAIN DATA, Orders'!$D:$D,"Germany",'MAIN DATA, Orders'!$V:$V,"Sondervermögen")/1000000000)</f>
        <v>4.2919999999999998</v>
      </c>
      <c r="E52" s="15">
        <f>(SUMIFS('MAIN DATA, Orders'!$S:$S,'MAIN DATA, Orders'!$Y:$Y,$A52,'MAIN DATA, Orders'!$D:$D,"Germany",'MAIN DATA, Orders'!$V:$V,"Einzelplan 60")/1000000000)</f>
        <v>6.8000000000000005E-2</v>
      </c>
    </row>
    <row r="53" spans="1:5" x14ac:dyDescent="0.35">
      <c r="A53" s="20">
        <v>202311</v>
      </c>
      <c r="B53" s="17">
        <v>45231</v>
      </c>
      <c r="C53" s="15">
        <f>(SUMIFS('MAIN DATA, Orders'!$S:$S,'MAIN DATA, Orders'!$Y:$Y,$A53,'MAIN DATA, Orders'!$D:$D,"Germany",'MAIN DATA, Orders'!$V:$V,"Einzelplan 14")/1000000000)</f>
        <v>13.5083</v>
      </c>
      <c r="D53" s="15">
        <f>(SUMIFS('MAIN DATA, Orders'!$S:$S,'MAIN DATA, Orders'!$Y:$Y,$A53,'MAIN DATA, Orders'!$D:$D,"Germany",'MAIN DATA, Orders'!$V:$V,"Sondervermögen")/1000000000)</f>
        <v>1.292</v>
      </c>
      <c r="E53" s="15">
        <f>(SUMIFS('MAIN DATA, Orders'!$S:$S,'MAIN DATA, Orders'!$Y:$Y,$A53,'MAIN DATA, Orders'!$D:$D,"Germany",'MAIN DATA, Orders'!$V:$V,"Einzelplan 60")/1000000000)</f>
        <v>0.15</v>
      </c>
    </row>
    <row r="54" spans="1:5" x14ac:dyDescent="0.35">
      <c r="A54" s="20">
        <v>202312</v>
      </c>
      <c r="B54" s="17">
        <v>45261</v>
      </c>
      <c r="C54" s="15">
        <f>(SUMIFS('MAIN DATA, Orders'!$S:$S,'MAIN DATA, Orders'!$Y:$Y,$A54,'MAIN DATA, Orders'!$D:$D,"Germany",'MAIN DATA, Orders'!$V:$V,"Einzelplan 14")/1000000000)</f>
        <v>6.9680000000000006E-2</v>
      </c>
      <c r="D54" s="15">
        <f>(SUMIFS('MAIN DATA, Orders'!$S:$S,'MAIN DATA, Orders'!$Y:$Y,$A54,'MAIN DATA, Orders'!$D:$D,"Germany",'MAIN DATA, Orders'!$V:$V,"Sondervermögen")/1000000000)</f>
        <v>5.1938000000000004</v>
      </c>
      <c r="E54" s="15">
        <f>(SUMIFS('MAIN DATA, Orders'!$S:$S,'MAIN DATA, Orders'!$Y:$Y,$A54,'MAIN DATA, Orders'!$D:$D,"Germany",'MAIN DATA, Orders'!$V:$V,"Einzelplan 60")/1000000000)</f>
        <v>0.98799999999999999</v>
      </c>
    </row>
    <row r="55" spans="1:5" x14ac:dyDescent="0.35">
      <c r="A55" s="20">
        <v>202401</v>
      </c>
      <c r="B55" s="17">
        <v>45292</v>
      </c>
      <c r="C55" s="15">
        <f>(SUMIFS('MAIN DATA, Orders'!$S:$S,'MAIN DATA, Orders'!$Y:$Y,$A55,'MAIN DATA, Orders'!$D:$D,"Germany",'MAIN DATA, Orders'!$V:$V,"Einzelplan 14")/1000000000)</f>
        <v>0</v>
      </c>
      <c r="D55" s="15">
        <f>(SUMIFS('MAIN DATA, Orders'!$S:$S,'MAIN DATA, Orders'!$Y:$Y,$A55,'MAIN DATA, Orders'!$D:$D,"Germany",'MAIN DATA, Orders'!$V:$V,"Sondervermögen")/1000000000)</f>
        <v>1.23</v>
      </c>
      <c r="E55" s="15">
        <f>(SUMIFS('MAIN DATA, Orders'!$S:$S,'MAIN DATA, Orders'!$Y:$Y,$A55,'MAIN DATA, Orders'!$D:$D,"Germany",'MAIN DATA, Orders'!$V:$V,"Einzelplan 60")/1000000000)</f>
        <v>0</v>
      </c>
    </row>
    <row r="56" spans="1:5" x14ac:dyDescent="0.35">
      <c r="A56" s="20">
        <v>202402</v>
      </c>
      <c r="B56" s="17">
        <v>45323</v>
      </c>
      <c r="C56" s="15">
        <f>(SUMIFS('MAIN DATA, Orders'!$S:$S,'MAIN DATA, Orders'!$Y:$Y,$A56,'MAIN DATA, Orders'!$D:$D,"Germany",'MAIN DATA, Orders'!$V:$V,"Einzelplan 14")/1000000000)</f>
        <v>2.2000000000000002</v>
      </c>
      <c r="D56" s="15">
        <f>(SUMIFS('MAIN DATA, Orders'!$S:$S,'MAIN DATA, Orders'!$Y:$Y,$A56,'MAIN DATA, Orders'!$D:$D,"Germany",'MAIN DATA, Orders'!$V:$V,"Sondervermögen")/1000000000)</f>
        <v>0.64900000000000002</v>
      </c>
      <c r="E56" s="15">
        <f>(SUMIFS('MAIN DATA, Orders'!$S:$S,'MAIN DATA, Orders'!$Y:$Y,$A56,'MAIN DATA, Orders'!$D:$D,"Germany",'MAIN DATA, Orders'!$V:$V,"Einzelplan 60")/1000000000)</f>
        <v>0</v>
      </c>
    </row>
    <row r="57" spans="1:5" x14ac:dyDescent="0.35">
      <c r="A57" s="20">
        <v>202403</v>
      </c>
      <c r="B57" s="17">
        <v>45352</v>
      </c>
      <c r="C57" s="15">
        <f>(SUMIFS('MAIN DATA, Orders'!$S:$S,'MAIN DATA, Orders'!$Y:$Y,$A57,'MAIN DATA, Orders'!$D:$D,"Germany",'MAIN DATA, Orders'!$V:$V,"Einzelplan 14")/1000000000)</f>
        <v>8.1000000000000003E-2</v>
      </c>
      <c r="D57" s="15">
        <f>(SUMIFS('MAIN DATA, Orders'!$S:$S,'MAIN DATA, Orders'!$Y:$Y,$A57,'MAIN DATA, Orders'!$D:$D,"Germany",'MAIN DATA, Orders'!$V:$V,"Sondervermögen")/1000000000)</f>
        <v>3.6509</v>
      </c>
      <c r="E57" s="15">
        <f>(SUMIFS('MAIN DATA, Orders'!$S:$S,'MAIN DATA, Orders'!$Y:$Y,$A57,'MAIN DATA, Orders'!$D:$D,"Germany",'MAIN DATA, Orders'!$V:$V,"Einzelplan 60")/1000000000)</f>
        <v>0.7</v>
      </c>
    </row>
    <row r="58" spans="1:5" x14ac:dyDescent="0.35">
      <c r="A58" s="20">
        <v>202404</v>
      </c>
      <c r="B58" s="17">
        <v>45383</v>
      </c>
      <c r="C58" s="15">
        <f>(SUMIFS('MAIN DATA, Orders'!$S:$S,'MAIN DATA, Orders'!$Y:$Y,$A58,'MAIN DATA, Orders'!$D:$D,"Germany",'MAIN DATA, Orders'!$V:$V,"Einzelplan 14")/1000000000)</f>
        <v>0</v>
      </c>
      <c r="D58" s="15">
        <f>(SUMIFS('MAIN DATA, Orders'!$S:$S,'MAIN DATA, Orders'!$Y:$Y,$A58,'MAIN DATA, Orders'!$D:$D,"Germany",'MAIN DATA, Orders'!$V:$V,"Sondervermögen")/1000000000)</f>
        <v>0.58699999999999997</v>
      </c>
      <c r="E58" s="15">
        <f>(SUMIFS('MAIN DATA, Orders'!$S:$S,'MAIN DATA, Orders'!$Y:$Y,$A58,'MAIN DATA, Orders'!$D:$D,"Germany",'MAIN DATA, Orders'!$V:$V,"Einzelplan 60")/1000000000)</f>
        <v>0</v>
      </c>
    </row>
    <row r="59" spans="1:5" x14ac:dyDescent="0.35">
      <c r="A59" s="20">
        <v>202405</v>
      </c>
      <c r="B59" s="17">
        <v>45413</v>
      </c>
      <c r="C59" s="15">
        <f>(SUMIFS('MAIN DATA, Orders'!$S:$S,'MAIN DATA, Orders'!$Y:$Y,$A59,'MAIN DATA, Orders'!$D:$D,"Germany",'MAIN DATA, Orders'!$V:$V,"Einzelplan 14")/1000000000)</f>
        <v>1.7027600000000001</v>
      </c>
      <c r="D59" s="15">
        <f>(SUMIFS('MAIN DATA, Orders'!$S:$S,'MAIN DATA, Orders'!$Y:$Y,$A59,'MAIN DATA, Orders'!$D:$D,"Germany",'MAIN DATA, Orders'!$V:$V,"Sondervermögen")/1000000000)</f>
        <v>0.1462</v>
      </c>
      <c r="E59" s="15">
        <f>(SUMIFS('MAIN DATA, Orders'!$S:$S,'MAIN DATA, Orders'!$Y:$Y,$A59,'MAIN DATA, Orders'!$D:$D,"Germany",'MAIN DATA, Orders'!$V:$V,"Einzelplan 60")/1000000000)</f>
        <v>0</v>
      </c>
    </row>
    <row r="60" spans="1:5" x14ac:dyDescent="0.35">
      <c r="A60" s="20">
        <v>202406</v>
      </c>
      <c r="B60" s="17">
        <v>45444</v>
      </c>
      <c r="C60" s="15">
        <f>(SUMIFS('MAIN DATA, Orders'!$S:$S,'MAIN DATA, Orders'!$Y:$Y,$A60,'MAIN DATA, Orders'!$D:$D,"Germany",'MAIN DATA, Orders'!$V:$V,"Einzelplan 14")/1000000000)</f>
        <v>3.2850000000000001</v>
      </c>
      <c r="D60" s="15">
        <f>(SUMIFS('MAIN DATA, Orders'!$S:$S,'MAIN DATA, Orders'!$Y:$Y,$A60,'MAIN DATA, Orders'!$D:$D,"Germany",'MAIN DATA, Orders'!$V:$V,"Sondervermögen")/1000000000)</f>
        <v>5.7969999999999997</v>
      </c>
      <c r="E60" s="15">
        <f>(SUMIFS('MAIN DATA, Orders'!$S:$S,'MAIN DATA, Orders'!$Y:$Y,$A60,'MAIN DATA, Orders'!$D:$D,"Germany",'MAIN DATA, Orders'!$V:$V,"Einzelplan 60")/1000000000)</f>
        <v>0.39500000000000002</v>
      </c>
    </row>
    <row r="61" spans="1:5" x14ac:dyDescent="0.35">
      <c r="A61" s="20">
        <v>202407</v>
      </c>
      <c r="B61" s="17">
        <v>45474</v>
      </c>
      <c r="C61" s="15">
        <f>(SUMIFS('MAIN DATA, Orders'!$S:$S,'MAIN DATA, Orders'!$Y:$Y,$A61,'MAIN DATA, Orders'!$D:$D,"Germany",'MAIN DATA, Orders'!$V:$V,"Einzelplan 14")/1000000000)</f>
        <v>1.05</v>
      </c>
      <c r="D61" s="15">
        <f>(SUMIFS('MAIN DATA, Orders'!$S:$S,'MAIN DATA, Orders'!$Y:$Y,$A61,'MAIN DATA, Orders'!$D:$D,"Germany",'MAIN DATA, Orders'!$V:$V,"Sondervermögen")/1000000000)</f>
        <v>4.2670000000000003</v>
      </c>
      <c r="E61" s="15">
        <f>(SUMIFS('MAIN DATA, Orders'!$S:$S,'MAIN DATA, Orders'!$Y:$Y,$A61,'MAIN DATA, Orders'!$D:$D,"Germany",'MAIN DATA, Orders'!$V:$V,"Einzelplan 60")/1000000000)</f>
        <v>1.002</v>
      </c>
    </row>
    <row r="62" spans="1:5" x14ac:dyDescent="0.35">
      <c r="A62" s="20">
        <v>202408</v>
      </c>
      <c r="B62" s="17">
        <v>45505</v>
      </c>
      <c r="C62" s="15">
        <f>(SUMIFS('MAIN DATA, Orders'!$S:$S,'MAIN DATA, Orders'!$Y:$Y,$A62,'MAIN DATA, Orders'!$D:$D,"Germany",'MAIN DATA, Orders'!$V:$V,"Einzelplan 14")/1000000000)</f>
        <v>0</v>
      </c>
      <c r="D62" s="15">
        <f>(SUMIFS('MAIN DATA, Orders'!$S:$S,'MAIN DATA, Orders'!$Y:$Y,$A62,'MAIN DATA, Orders'!$D:$D,"Germany",'MAIN DATA, Orders'!$V:$V,"Sondervermögen")/1000000000)</f>
        <v>0</v>
      </c>
      <c r="E62" s="15">
        <f>(SUMIFS('MAIN DATA, Orders'!$S:$S,'MAIN DATA, Orders'!$Y:$Y,$A62,'MAIN DATA, Orders'!$D:$D,"Germany",'MAIN DATA, Orders'!$V:$V,"Einzelplan 60")/1000000000)</f>
        <v>0</v>
      </c>
    </row>
    <row r="63" spans="1:5" x14ac:dyDescent="0.35">
      <c r="A63" s="20">
        <v>202409</v>
      </c>
      <c r="B63" s="17">
        <v>45536</v>
      </c>
      <c r="C63" s="15">
        <f>(SUMIFS('MAIN DATA, Orders'!$S:$S,'MAIN DATA, Orders'!$Y:$Y,$A63,'MAIN DATA, Orders'!$D:$D,"Germany",'MAIN DATA, Orders'!$V:$V,"Einzelplan 14")/1000000000)</f>
        <v>0</v>
      </c>
      <c r="D63" s="15">
        <f>(SUMIFS('MAIN DATA, Orders'!$S:$S,'MAIN DATA, Orders'!$Y:$Y,$A63,'MAIN DATA, Orders'!$D:$D,"Germany",'MAIN DATA, Orders'!$V:$V,"Sondervermögen")/1000000000)</f>
        <v>0.95199999999999996</v>
      </c>
      <c r="E63" s="15">
        <f>(SUMIFS('MAIN DATA, Orders'!$S:$S,'MAIN DATA, Orders'!$Y:$Y,$A63,'MAIN DATA, Orders'!$D:$D,"Germany",'MAIN DATA, Orders'!$V:$V,"Einzelplan 60")/1000000000)</f>
        <v>0</v>
      </c>
    </row>
    <row r="64" spans="1:5" x14ac:dyDescent="0.35">
      <c r="A64" s="20">
        <v>202410</v>
      </c>
      <c r="B64" s="17">
        <v>45566</v>
      </c>
      <c r="C64" s="15">
        <f>(SUMIFS('MAIN DATA, Orders'!$S:$S,'MAIN DATA, Orders'!$Y:$Y,$A64,'MAIN DATA, Orders'!$D:$D,"Germany",'MAIN DATA, Orders'!$V:$V,"Einzelplan 14")/1000000000)</f>
        <v>6.5</v>
      </c>
      <c r="D64" s="15">
        <f>(SUMIFS('MAIN DATA, Orders'!$S:$S,'MAIN DATA, Orders'!$Y:$Y,$A64,'MAIN DATA, Orders'!$D:$D,"Germany",'MAIN DATA, Orders'!$V:$V,"Sondervermögen")/1000000000)</f>
        <v>0.71899999999999997</v>
      </c>
      <c r="E64" s="15">
        <f>(SUMIFS('MAIN DATA, Orders'!$S:$S,'MAIN DATA, Orders'!$Y:$Y,$A64,'MAIN DATA, Orders'!$D:$D,"Germany",'MAIN DATA, Orders'!$V:$V,"Einzelplan 60")/1000000000)</f>
        <v>0</v>
      </c>
    </row>
    <row r="65" spans="1:5" x14ac:dyDescent="0.35">
      <c r="A65" s="20">
        <v>202411</v>
      </c>
      <c r="B65" s="17">
        <v>45597</v>
      </c>
      <c r="C65" s="15">
        <f>(SUMIFS('MAIN DATA, Orders'!$S:$S,'MAIN DATA, Orders'!$Y:$Y,$A65,'MAIN DATA, Orders'!$D:$D,"Germany",'MAIN DATA, Orders'!$V:$V,"Einzelplan 14")/1000000000)</f>
        <v>0.1145</v>
      </c>
      <c r="D65" s="15">
        <f>(SUMIFS('MAIN DATA, Orders'!$S:$S,'MAIN DATA, Orders'!$Y:$Y,$A65,'MAIN DATA, Orders'!$D:$D,"Germany",'MAIN DATA, Orders'!$V:$V,"Sondervermögen")/1000000000)</f>
        <v>2.048</v>
      </c>
      <c r="E65" s="15">
        <f>(SUMIFS('MAIN DATA, Orders'!$S:$S,'MAIN DATA, Orders'!$Y:$Y,$A65,'MAIN DATA, Orders'!$D:$D,"Germany",'MAIN DATA, Orders'!$V:$V,"Einzelplan 60")/1000000000)</f>
        <v>0</v>
      </c>
    </row>
    <row r="66" spans="1:5" x14ac:dyDescent="0.35">
      <c r="A66" s="20">
        <v>202412</v>
      </c>
      <c r="B66" s="17">
        <v>45627</v>
      </c>
      <c r="C66" s="15">
        <f>(SUMIFS('MAIN DATA, Orders'!$S:$S,'MAIN DATA, Orders'!$Y:$Y,$A66,'MAIN DATA, Orders'!$D:$D,"Germany",'MAIN DATA, Orders'!$V:$V,"Einzelplan 14")/1000000000)</f>
        <v>0</v>
      </c>
      <c r="D66" s="15">
        <f>(SUMIFS('MAIN DATA, Orders'!$S:$S,'MAIN DATA, Orders'!$Y:$Y,$A66,'MAIN DATA, Orders'!$D:$D,"Germany",'MAIN DATA, Orders'!$V:$V,"Sondervermögen")/1000000000)</f>
        <v>20</v>
      </c>
      <c r="E66" s="15">
        <f>(SUMIFS('MAIN DATA, Orders'!$S:$S,'MAIN DATA, Orders'!$Y:$Y,$A66,'MAIN DATA, Orders'!$D:$D,"Germany",'MAIN DATA, Orders'!$V:$V,"Einzelplan 60")/1000000000)</f>
        <v>0</v>
      </c>
    </row>
    <row r="67" spans="1:5" x14ac:dyDescent="0.35">
      <c r="A67" s="20">
        <v>202501</v>
      </c>
      <c r="B67" s="17">
        <v>45658</v>
      </c>
      <c r="C67" s="15">
        <f>(SUMIFS('MAIN DATA, Orders'!$S:$S,'MAIN DATA, Orders'!$Y:$Y,$A67,'MAIN DATA, Orders'!$D:$D,"Germany",'MAIN DATA, Orders'!$V:$V,"Einzelplan 14")/1000000000)</f>
        <v>0</v>
      </c>
      <c r="D67" s="15">
        <f>(SUMIFS('MAIN DATA, Orders'!$S:$S,'MAIN DATA, Orders'!$Y:$Y,$A67,'MAIN DATA, Orders'!$D:$D,"Germany",'MAIN DATA, Orders'!$V:$V,"Sondervermögen")/1000000000)</f>
        <v>2.5196999999999998</v>
      </c>
      <c r="E67" s="15">
        <f>(SUMIFS('MAIN DATA, Orders'!$S:$S,'MAIN DATA, Orders'!$Y:$Y,$A67,'MAIN DATA, Orders'!$D:$D,"Germany",'MAIN DATA, Orders'!$V:$V,"Einzelplan 60")/1000000000)</f>
        <v>0</v>
      </c>
    </row>
    <row r="68" spans="1:5" x14ac:dyDescent="0.35">
      <c r="A68" s="20">
        <v>202502</v>
      </c>
      <c r="B68" s="17">
        <v>45689</v>
      </c>
      <c r="C68" s="15">
        <f>(SUMIFS('MAIN DATA, Orders'!$S:$S,'MAIN DATA, Orders'!$Y:$Y,$A68,'MAIN DATA, Orders'!$D:$D,"Germany",'MAIN DATA, Orders'!$V:$V,"Einzelplan 14")/1000000000)</f>
        <v>0</v>
      </c>
      <c r="D68" s="15">
        <f>(SUMIFS('MAIN DATA, Orders'!$S:$S,'MAIN DATA, Orders'!$Y:$Y,$A68,'MAIN DATA, Orders'!$D:$D,"Germany",'MAIN DATA, Orders'!$V:$V,"Sondervermögen")/1000000000)</f>
        <v>0</v>
      </c>
      <c r="E68" s="15">
        <f>(SUMIFS('MAIN DATA, Orders'!$S:$S,'MAIN DATA, Orders'!$Y:$Y,$A68,'MAIN DATA, Orders'!$D:$D,"Germany",'MAIN DATA, Orders'!$V:$V,"Einzelplan 60")/1000000000)</f>
        <v>0</v>
      </c>
    </row>
    <row r="69" spans="1:5" x14ac:dyDescent="0.35">
      <c r="A69" s="20">
        <v>202503</v>
      </c>
      <c r="B69" s="17">
        <v>45717</v>
      </c>
      <c r="C69" s="15">
        <f>(SUMIFS('MAIN DATA, Orders'!$S:$S,'MAIN DATA, Orders'!$Y:$Y,$A69,'MAIN DATA, Orders'!$D:$D,"Germany",'MAIN DATA, Orders'!$V:$V,"Einzelplan 14")/1000000000)</f>
        <v>0</v>
      </c>
      <c r="D69" s="15">
        <f>(SUMIFS('MAIN DATA, Orders'!$S:$S,'MAIN DATA, Orders'!$Y:$Y,$A69,'MAIN DATA, Orders'!$D:$D,"Germany",'MAIN DATA, Orders'!$V:$V,"Sondervermögen")/1000000000)</f>
        <v>0</v>
      </c>
      <c r="E69" s="15">
        <f>(SUMIFS('MAIN DATA, Orders'!$S:$S,'MAIN DATA, Orders'!$Y:$Y,$A69,'MAIN DATA, Orders'!$D:$D,"Germany",'MAIN DATA, Orders'!$V:$V,"Einzelplan 60")/1000000000)</f>
        <v>0</v>
      </c>
    </row>
    <row r="70" spans="1:5" x14ac:dyDescent="0.35">
      <c r="A70" s="20">
        <v>202504</v>
      </c>
      <c r="B70" s="17">
        <v>45748</v>
      </c>
      <c r="C70" s="15">
        <f>(SUMIFS('MAIN DATA, Orders'!$S:$S,'MAIN DATA, Orders'!$Y:$Y,$A70,'MAIN DATA, Orders'!$D:$D,"Germany",'MAIN DATA, Orders'!$V:$V,"Einzelplan 14")/1000000000)</f>
        <v>0</v>
      </c>
      <c r="D70" s="15">
        <f>(SUMIFS('MAIN DATA, Orders'!$S:$S,'MAIN DATA, Orders'!$Y:$Y,$A70,'MAIN DATA, Orders'!$D:$D,"Germany",'MAIN DATA, Orders'!$V:$V,"Sondervermögen")/1000000000)</f>
        <v>0</v>
      </c>
      <c r="E70" s="15">
        <f>(SUMIFS('MAIN DATA, Orders'!$S:$S,'MAIN DATA, Orders'!$Y:$Y,$A70,'MAIN DATA, Orders'!$D:$D,"Germany",'MAIN DATA, Orders'!$V:$V,"Einzelplan 60")/1000000000)</f>
        <v>0</v>
      </c>
    </row>
    <row r="71" spans="1:5" x14ac:dyDescent="0.35">
      <c r="A71" s="20">
        <v>202505</v>
      </c>
      <c r="B71" s="17">
        <v>45778</v>
      </c>
      <c r="C71" s="15">
        <f>(SUMIFS('MAIN DATA, Orders'!$S:$S,'MAIN DATA, Orders'!$Y:$Y,$A71,'MAIN DATA, Orders'!$D:$D,"Germany",'MAIN DATA, Orders'!$V:$V,"Einzelplan 14")/1000000000)</f>
        <v>0</v>
      </c>
      <c r="D71" s="15">
        <f>(SUMIFS('MAIN DATA, Orders'!$S:$S,'MAIN DATA, Orders'!$Y:$Y,$A71,'MAIN DATA, Orders'!$D:$D,"Germany",'MAIN DATA, Orders'!$V:$V,"Sondervermögen")/1000000000)</f>
        <v>0</v>
      </c>
      <c r="E71" s="15">
        <f>(SUMIFS('MAIN DATA, Orders'!$S:$S,'MAIN DATA, Orders'!$Y:$Y,$A71,'MAIN DATA, Orders'!$D:$D,"Germany",'MAIN DATA, Orders'!$V:$V,"Einzelplan 60")/1000000000)</f>
        <v>0</v>
      </c>
    </row>
    <row r="72" spans="1:5" x14ac:dyDescent="0.35">
      <c r="A72" s="20">
        <v>202506</v>
      </c>
      <c r="B72" s="17">
        <v>45809</v>
      </c>
      <c r="C72" s="15">
        <f>(SUMIFS('MAIN DATA, Orders'!$S:$S,'MAIN DATA, Orders'!$Y:$Y,$A72,'MAIN DATA, Orders'!$D:$D,"Germany",'MAIN DATA, Orders'!$V:$V,"Einzelplan 14")/1000000000)</f>
        <v>1.5</v>
      </c>
      <c r="D72" s="15">
        <f>(SUMIFS('MAIN DATA, Orders'!$S:$S,'MAIN DATA, Orders'!$Y:$Y,$A72,'MAIN DATA, Orders'!$D:$D,"Germany",'MAIN DATA, Orders'!$V:$V,"Sondervermögen")/1000000000)</f>
        <v>3.4855</v>
      </c>
      <c r="E72" s="15">
        <f>(SUMIFS('MAIN DATA, Orders'!$S:$S,'MAIN DATA, Orders'!$Y:$Y,$A72,'MAIN DATA, Orders'!$D:$D,"Germany",'MAIN DATA, Orders'!$V:$V,"Einzelplan 60")/1000000000)</f>
        <v>0</v>
      </c>
    </row>
    <row r="73" spans="1:5" x14ac:dyDescent="0.35">
      <c r="A73" s="20">
        <v>202507</v>
      </c>
      <c r="B73" s="17">
        <v>45839</v>
      </c>
      <c r="C73" s="15">
        <f>(SUMIFS('MAIN DATA, Orders'!$S:$S,'MAIN DATA, Orders'!$Y:$Y,$A73,'MAIN DATA, Orders'!$D:$D,"Germany",'MAIN DATA, Orders'!$V:$V,"Einzelplan 14")/1000000000)</f>
        <v>0</v>
      </c>
      <c r="D73" s="15">
        <f>(SUMIFS('MAIN DATA, Orders'!$S:$S,'MAIN DATA, Orders'!$Y:$Y,$A73,'MAIN DATA, Orders'!$D:$D,"Germany",'MAIN DATA, Orders'!$V:$V,"Sondervermögen")/1000000000)</f>
        <v>0.77</v>
      </c>
      <c r="E73" s="15">
        <f>(SUMIFS('MAIN DATA, Orders'!$S:$S,'MAIN DATA, Orders'!$Y:$Y,$A73,'MAIN DATA, Orders'!$D:$D,"Germany",'MAIN DATA, Orders'!$V:$V,"Einzelplan 60")/1000000000)</f>
        <v>0</v>
      </c>
    </row>
    <row r="74" spans="1:5" x14ac:dyDescent="0.35">
      <c r="A74" s="20">
        <v>202508</v>
      </c>
      <c r="B74" s="17">
        <v>45870</v>
      </c>
      <c r="C74" s="15">
        <f>(SUMIFS('MAIN DATA, Orders'!$S:$S,'MAIN DATA, Orders'!$Y:$Y,$A74,'MAIN DATA, Orders'!$D:$D,"Germany",'MAIN DATA, Orders'!$V:$V,"Einzelplan 14")/1000000000)</f>
        <v>0</v>
      </c>
      <c r="D74" s="15">
        <f>(SUMIFS('MAIN DATA, Orders'!$S:$S,'MAIN DATA, Orders'!$Y:$Y,$A74,'MAIN DATA, Orders'!$D:$D,"Germany",'MAIN DATA, Orders'!$V:$V,"Sondervermögen")/1000000000)</f>
        <v>0</v>
      </c>
      <c r="E74" s="15">
        <f>(SUMIFS('MAIN DATA, Orders'!$S:$S,'MAIN DATA, Orders'!$Y:$Y,$A74,'MAIN DATA, Orders'!$D:$D,"Germany",'MAIN DATA, Orders'!$V:$V,"Einzelplan 60")/1000000000)</f>
        <v>0</v>
      </c>
    </row>
    <row r="75" spans="1:5" x14ac:dyDescent="0.35">
      <c r="A75" s="20">
        <v>202509</v>
      </c>
      <c r="B75" s="17">
        <v>45901</v>
      </c>
      <c r="C75" s="15">
        <f>(SUMIFS('MAIN DATA, Orders'!$S:$S,'MAIN DATA, Orders'!$Y:$Y,$A75,'MAIN DATA, Orders'!$D:$D,"Germany",'MAIN DATA, Orders'!$V:$V,"Einzelplan 14")/1000000000)</f>
        <v>1.6990000000000001</v>
      </c>
      <c r="D75" s="15">
        <f>(SUMIFS('MAIN DATA, Orders'!$S:$S,'MAIN DATA, Orders'!$Y:$Y,$A75,'MAIN DATA, Orders'!$D:$D,"Germany",'MAIN DATA, Orders'!$V:$V,"Sondervermögen")/1000000000)</f>
        <v>1.0519000000000001</v>
      </c>
      <c r="E75" s="15">
        <f>(SUMIFS('MAIN DATA, Orders'!$S:$S,'MAIN DATA, Orders'!$Y:$Y,$A75,'MAIN DATA, Orders'!$D:$D,"Germany",'MAIN DATA, Orders'!$V:$V,"Einzelplan 60")/1000000000)</f>
        <v>0.25700000000000001</v>
      </c>
    </row>
    <row r="76" spans="1:5" x14ac:dyDescent="0.35">
      <c r="A76" s="20">
        <v>202510</v>
      </c>
      <c r="B76" s="17">
        <v>45931</v>
      </c>
      <c r="C76" s="15">
        <f>(SUMIFS('MAIN DATA, Orders'!$S:$S,'MAIN DATA, Orders'!$Y:$Y,$A76,'MAIN DATA, Orders'!$D:$D,"Germany",'MAIN DATA, Orders'!$V:$V,"Einzelplan 14")/1000000000)</f>
        <v>7.8086099999999998</v>
      </c>
      <c r="D76" s="15">
        <f>(SUMIFS('MAIN DATA, Orders'!$S:$S,'MAIN DATA, Orders'!$Y:$Y,$A76,'MAIN DATA, Orders'!$D:$D,"Germany",'MAIN DATA, Orders'!$V:$V,"Sondervermögen")/1000000000)</f>
        <v>5.5430000000000001</v>
      </c>
      <c r="E76" s="15">
        <f>(SUMIFS('MAIN DATA, Orders'!$S:$S,'MAIN DATA, Orders'!$Y:$Y,$A76,'MAIN DATA, Orders'!$D:$D,"Germany",'MAIN DATA, Orders'!$V:$V,"Einzelplan 60")/1000000000)</f>
        <v>0</v>
      </c>
    </row>
    <row r="77" spans="1:5" x14ac:dyDescent="0.35">
      <c r="A77" s="20">
        <v>202511</v>
      </c>
      <c r="B77" s="17">
        <v>45962</v>
      </c>
      <c r="C77" s="15">
        <f>(SUMIFS('MAIN DATA, Orders'!$S:$S,'MAIN DATA, Orders'!$Y:$Y,$A77,'MAIN DATA, Orders'!$D:$D,"Germany",'MAIN DATA, Orders'!$V:$V,"Einzelplan 14")/1000000000)</f>
        <v>0.5</v>
      </c>
      <c r="D77" s="15">
        <f>(SUMIFS('MAIN DATA, Orders'!$S:$S,'MAIN DATA, Orders'!$Y:$Y,$A77,'MAIN DATA, Orders'!$D:$D,"Germany",'MAIN DATA, Orders'!$V:$V,"Sondervermögen")/1000000000)</f>
        <v>1.026</v>
      </c>
      <c r="E77" s="15">
        <f>(SUMIFS('MAIN DATA, Orders'!$S:$S,'MAIN DATA, Orders'!$Y:$Y,$A77,'MAIN DATA, Orders'!$D:$D,"Germany",'MAIN DATA, Orders'!$V:$V,"Einzelplan 60")/1000000000)</f>
        <v>0</v>
      </c>
    </row>
    <row r="78" spans="1:5" x14ac:dyDescent="0.35">
      <c r="A78" s="20">
        <v>202512</v>
      </c>
      <c r="B78" s="17">
        <v>45992</v>
      </c>
      <c r="C78" s="15">
        <f>(SUMIFS('MAIN DATA, Orders'!$S:$S,'MAIN DATA, Orders'!$Y:$Y,$A78,'MAIN DATA, Orders'!$D:$D,"Germany",'MAIN DATA, Orders'!$V:$V,"Einzelplan 14")/1000000000)</f>
        <v>0</v>
      </c>
      <c r="D78" s="15">
        <f>(SUMIFS('MAIN DATA, Orders'!$S:$S,'MAIN DATA, Orders'!$Y:$Y,$A78,'MAIN DATA, Orders'!$D:$D,"Germany",'MAIN DATA, Orders'!$V:$V,"Sondervermögen")/1000000000)</f>
        <v>0</v>
      </c>
      <c r="E78" s="15">
        <f>(SUMIFS('MAIN DATA, Orders'!$S:$S,'MAIN DATA, Orders'!$Y:$Y,$A78,'MAIN DATA, Orders'!$D:$D,"Germany",'MAIN DATA, Orders'!$V:$V,"Einzelplan 60")/1000000000)</f>
        <v>0</v>
      </c>
    </row>
    <row r="79" spans="1:5" x14ac:dyDescent="0.35">
      <c r="A79" s="20">
        <v>202601</v>
      </c>
      <c r="B79" s="17">
        <v>46023</v>
      </c>
      <c r="C79" s="15">
        <f>(SUMIFS('MAIN DATA, Orders'!$S:$S,'MAIN DATA, Orders'!$Y:$Y,$A79,'MAIN DATA, Orders'!$D:$D,"Germany",'MAIN DATA, Orders'!$V:$V,"Einzelplan 14")/1000000000)</f>
        <v>0</v>
      </c>
      <c r="D79" s="15">
        <f>(SUMIFS('MAIN DATA, Orders'!$S:$S,'MAIN DATA, Orders'!$Y:$Y,$A79,'MAIN DATA, Orders'!$D:$D,"Germany",'MAIN DATA, Orders'!$V:$V,"Sondervermögen")/1000000000)</f>
        <v>0</v>
      </c>
      <c r="E79" s="15">
        <f>(SUMIFS('MAIN DATA, Orders'!$S:$S,'MAIN DATA, Orders'!$Y:$Y,$A79,'MAIN DATA, Orders'!$D:$D,"Germany",'MAIN DATA, Orders'!$V:$V,"Einzelplan 60")/1000000000)</f>
        <v>0</v>
      </c>
    </row>
    <row r="80" spans="1:5" x14ac:dyDescent="0.35">
      <c r="B80" s="66"/>
      <c r="C80" s="66"/>
      <c r="D80" s="66"/>
      <c r="E80" s="66"/>
    </row>
    <row r="81" spans="2:5" x14ac:dyDescent="0.35">
      <c r="B81" s="9" t="s">
        <v>4219</v>
      </c>
      <c r="C81" s="18">
        <f>SUM(C7:C79)</f>
        <v>102.64177800000002</v>
      </c>
      <c r="D81" s="18">
        <f t="shared" ref="D81:E81" si="0">SUM(D7:D79)</f>
        <v>85.880200000000016</v>
      </c>
      <c r="E81" s="18">
        <f t="shared" si="0"/>
        <v>5.1372999999999998</v>
      </c>
    </row>
  </sheetData>
  <mergeCells count="1">
    <mergeCell ref="B4:H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9DEB2-A9DB-4DA7-B997-298C30298AE7}">
  <sheetPr>
    <tabColor rgb="FFB5E6A2"/>
  </sheetPr>
  <dimension ref="B2:F9"/>
  <sheetViews>
    <sheetView workbookViewId="0"/>
  </sheetViews>
  <sheetFormatPr baseColWidth="10" defaultColWidth="8.75" defaultRowHeight="15.5" x14ac:dyDescent="0.35"/>
  <cols>
    <col min="1" max="1" width="8.75" style="1"/>
    <col min="2" max="2" width="8.75" style="1" customWidth="1"/>
    <col min="3" max="3" width="27.75" style="1" bestFit="1" customWidth="1"/>
    <col min="4" max="4" width="28.25" style="1" bestFit="1" customWidth="1"/>
    <col min="5" max="5" width="16.08203125" style="1" bestFit="1" customWidth="1"/>
    <col min="6" max="6" width="12.58203125" style="1" bestFit="1" customWidth="1"/>
    <col min="7" max="8" width="8.75" style="1"/>
    <col min="9" max="12" width="8.75" style="1" customWidth="1"/>
    <col min="13" max="16384" width="8.75" style="1"/>
  </cols>
  <sheetData>
    <row r="2" spans="2:6" ht="25.9" customHeight="1" x14ac:dyDescent="0.7">
      <c r="B2" s="16" t="s">
        <v>5645</v>
      </c>
    </row>
    <row r="4" spans="2:6" ht="130.15" customHeight="1" x14ac:dyDescent="0.35">
      <c r="B4" s="232" t="s">
        <v>5618</v>
      </c>
      <c r="C4" s="232"/>
      <c r="D4" s="232"/>
      <c r="E4" s="232"/>
      <c r="F4" s="232"/>
    </row>
    <row r="6" spans="2:6" ht="21" customHeight="1" x14ac:dyDescent="0.35">
      <c r="B6" s="13"/>
      <c r="C6" s="69" t="s">
        <v>5207</v>
      </c>
      <c r="D6" s="69" t="s">
        <v>5208</v>
      </c>
      <c r="E6" s="69" t="s">
        <v>682</v>
      </c>
      <c r="F6" s="69" t="s">
        <v>808</v>
      </c>
    </row>
    <row r="7" spans="2:6" x14ac:dyDescent="0.35">
      <c r="B7" s="66" t="s">
        <v>4219</v>
      </c>
      <c r="C7" s="80">
        <f>(SUMIFS('MAIN DATA, Orders'!$S:$S,'MAIN DATA, Orders'!$Y:$Y,"&lt;=202202",'MAIN DATA, Orders'!$D:$D,"Germany",'MAIN DATA, Orders'!$V:$V,"Einzelplan 14")/1000000000)</f>
        <v>47.298878000000002</v>
      </c>
      <c r="D7" s="80">
        <f>(SUMIFS('MAIN DATA, Orders'!$S:$S,'MAIN DATA, Orders'!$Y:$Y,"&gt;=202202",'MAIN DATA, Orders'!$D:$D,"Germany",'MAIN DATA, Orders'!$V:$V,"Einzelplan 14")/1000000000)</f>
        <v>55.3429</v>
      </c>
      <c r="E7" s="80">
        <f>(SUMIFS('MAIN DATA, Orders'!$S:$S,'MAIN DATA, Orders'!$D:$D,"Germany",'MAIN DATA, Orders'!$V:$V,"Sondervermögen")/1000000000)</f>
        <v>85.880200000000002</v>
      </c>
      <c r="F7" s="80">
        <f>(SUMIFS('MAIN DATA, Orders'!$S:$S,'MAIN DATA, Orders'!$D:$D,"Germany",'MAIN DATA, Orders'!$V:$V,"Einzelplan 60")/1000000000)</f>
        <v>5.1372999999999998</v>
      </c>
    </row>
    <row r="9" spans="2:6" x14ac:dyDescent="0.35">
      <c r="C9" s="15"/>
    </row>
  </sheetData>
  <mergeCells count="1">
    <mergeCell ref="B4:F4"/>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DA58A-3A30-46F5-AE89-E9475ABB8735}">
  <sheetPr>
    <tabColor rgb="FFB5E6A2"/>
  </sheetPr>
  <dimension ref="A2:H81"/>
  <sheetViews>
    <sheetView workbookViewId="0"/>
  </sheetViews>
  <sheetFormatPr baseColWidth="10" defaultColWidth="8.75" defaultRowHeight="15.5" x14ac:dyDescent="0.35"/>
  <cols>
    <col min="1" max="1" width="8.75" style="1"/>
    <col min="2" max="2" width="13.5" style="1" customWidth="1"/>
    <col min="3" max="3" width="16.75" style="1" bestFit="1" customWidth="1"/>
    <col min="4" max="4" width="34.75" style="1" bestFit="1" customWidth="1"/>
    <col min="5" max="5" width="30.75" style="1" customWidth="1"/>
    <col min="6" max="6" width="20.75" style="1" customWidth="1"/>
    <col min="7" max="16384" width="8.75" style="1"/>
  </cols>
  <sheetData>
    <row r="2" spans="1:8" ht="25.9" customHeight="1" x14ac:dyDescent="0.7">
      <c r="B2" s="16" t="s">
        <v>5646</v>
      </c>
    </row>
    <row r="3" spans="1:8" x14ac:dyDescent="0.35">
      <c r="G3"/>
      <c r="H3"/>
    </row>
    <row r="4" spans="1:8" ht="130.15" customHeight="1" x14ac:dyDescent="0.35">
      <c r="B4" s="240" t="s">
        <v>5667</v>
      </c>
      <c r="C4" s="240"/>
      <c r="D4" s="240"/>
      <c r="E4" s="240"/>
    </row>
    <row r="6" spans="1:8" ht="21" customHeight="1" x14ac:dyDescent="0.35">
      <c r="B6" s="68" t="s">
        <v>4197</v>
      </c>
      <c r="C6" s="69" t="s">
        <v>5225</v>
      </c>
      <c r="D6" s="69" t="s">
        <v>5226</v>
      </c>
      <c r="E6" s="69" t="s">
        <v>5227</v>
      </c>
      <c r="F6" s="69" t="s">
        <v>5228</v>
      </c>
    </row>
    <row r="7" spans="1:8" x14ac:dyDescent="0.35">
      <c r="A7" s="20">
        <v>202001</v>
      </c>
      <c r="B7" s="17">
        <v>43831</v>
      </c>
      <c r="C7" s="15">
        <f>(SUMIFS('MAIN DATA, Orders'!$S:$S,'MAIN DATA, Orders'!$D:$D,"Germany",'MAIN DATA, Orders'!$Y:$Y,$A7,'MAIN DATA, Orders'!$AF:$AF,"0",'MAIN DATA, Orders'!$AH:$AH,"Germany")/1000000000)</f>
        <v>0</v>
      </c>
      <c r="D7" s="15">
        <f>(SUMIFS('MAIN DATA, Orders'!$S:$S,'MAIN DATA, Orders'!$D:$D,"Germany",'MAIN DATA, Orders'!$Y:$Y,$A7,'MAIN DATA, Orders'!$AF:$AF,"1")/1000000000)</f>
        <v>0</v>
      </c>
      <c r="E7" s="15">
        <f>(SUMIFS('MAIN DATA, Orders'!$S:$S,'MAIN DATA, Orders'!$D:$D,"Germany",'MAIN DATA, Orders'!$Y:$Y,$A7,'MAIN DATA, Orders'!$AC:$AC,"1",'MAIN DATA, Orders'!$AF:$AF,"0",'MAIN DATA, Orders'!$AH:$AH,"&lt;&gt;Germany")/1000000000)</f>
        <v>0</v>
      </c>
      <c r="F7" s="15">
        <f>(SUMIFS('MAIN DATA, Orders'!$S:$S,'MAIN DATA, Orders'!$D:$D,"Germany",'MAIN DATA, Orders'!$Y:$Y,$A7,'MAIN DATA, Orders'!$AC:$AC,"0",'MAIN DATA, Orders'!$AF:$AF,"0")/1000000000)</f>
        <v>0</v>
      </c>
    </row>
    <row r="8" spans="1:8" x14ac:dyDescent="0.35">
      <c r="A8" s="20">
        <v>202002</v>
      </c>
      <c r="B8" s="17">
        <v>43862</v>
      </c>
      <c r="C8" s="15">
        <f>(SUMIFS('MAIN DATA, Orders'!$S:$S,'MAIN DATA, Orders'!$D:$D,"Germany",'MAIN DATA, Orders'!$Y:$Y,$A8,'MAIN DATA, Orders'!$AF:$AF,"0",'MAIN DATA, Orders'!$AH:$AH,"Germany")/1000000000)</f>
        <v>0</v>
      </c>
      <c r="D8" s="15">
        <f>(SUMIFS('MAIN DATA, Orders'!$S:$S,'MAIN DATA, Orders'!$D:$D,"Germany",'MAIN DATA, Orders'!$Y:$Y,$A8,'MAIN DATA, Orders'!$AF:$AF,"1")/1000000000)</f>
        <v>0</v>
      </c>
      <c r="E8" s="15">
        <f>(SUMIFS('MAIN DATA, Orders'!$S:$S,'MAIN DATA, Orders'!$D:$D,"Germany",'MAIN DATA, Orders'!$Y:$Y,$A8,'MAIN DATA, Orders'!$AC:$AC,"1",'MAIN DATA, Orders'!$AF:$AF,"0",'MAIN DATA, Orders'!$AH:$AH,"&lt;&gt;Germany")/1000000000)</f>
        <v>0</v>
      </c>
      <c r="F8" s="15">
        <f>(SUMIFS('MAIN DATA, Orders'!$S:$S,'MAIN DATA, Orders'!$D:$D,"Germany",'MAIN DATA, Orders'!$Y:$Y,$A8,'MAIN DATA, Orders'!$AC:$AC,"0",'MAIN DATA, Orders'!$AF:$AF,"0")/1000000000)</f>
        <v>0</v>
      </c>
    </row>
    <row r="9" spans="1:8" x14ac:dyDescent="0.35">
      <c r="A9" s="20">
        <v>202003</v>
      </c>
      <c r="B9" s="17">
        <v>43891</v>
      </c>
      <c r="C9" s="15">
        <f>(SUMIFS('MAIN DATA, Orders'!$S:$S,'MAIN DATA, Orders'!$D:$D,"Germany",'MAIN DATA, Orders'!$Y:$Y,$A9,'MAIN DATA, Orders'!$AF:$AF,"0",'MAIN DATA, Orders'!$AH:$AH,"Germany")/1000000000)</f>
        <v>0</v>
      </c>
      <c r="D9" s="15">
        <f>(SUMIFS('MAIN DATA, Orders'!$S:$S,'MAIN DATA, Orders'!$D:$D,"Germany",'MAIN DATA, Orders'!$Y:$Y,$A9,'MAIN DATA, Orders'!$AF:$AF,"1")/1000000000)</f>
        <v>0</v>
      </c>
      <c r="E9" s="15">
        <f>(SUMIFS('MAIN DATA, Orders'!$S:$S,'MAIN DATA, Orders'!$D:$D,"Germany",'MAIN DATA, Orders'!$Y:$Y,$A9,'MAIN DATA, Orders'!$AC:$AC,"1",'MAIN DATA, Orders'!$AF:$AF,"0",'MAIN DATA, Orders'!$AH:$AH,"&lt;&gt;Germany")/1000000000)</f>
        <v>0</v>
      </c>
      <c r="F9" s="15">
        <f>(SUMIFS('MAIN DATA, Orders'!$S:$S,'MAIN DATA, Orders'!$D:$D,"Germany",'MAIN DATA, Orders'!$Y:$Y,$A9,'MAIN DATA, Orders'!$AC:$AC,"0",'MAIN DATA, Orders'!$AF:$AF,"0")/1000000000)</f>
        <v>0</v>
      </c>
    </row>
    <row r="10" spans="1:8" x14ac:dyDescent="0.35">
      <c r="A10" s="20">
        <v>202004</v>
      </c>
      <c r="B10" s="17">
        <v>43922</v>
      </c>
      <c r="C10" s="15">
        <f>(SUMIFS('MAIN DATA, Orders'!$S:$S,'MAIN DATA, Orders'!$D:$D,"Germany",'MAIN DATA, Orders'!$Y:$Y,$A10,'MAIN DATA, Orders'!$AF:$AF,"0",'MAIN DATA, Orders'!$AH:$AH,"Germany")/1000000000)</f>
        <v>0</v>
      </c>
      <c r="D10" s="15">
        <f>(SUMIFS('MAIN DATA, Orders'!$S:$S,'MAIN DATA, Orders'!$D:$D,"Germany",'MAIN DATA, Orders'!$Y:$Y,$A10,'MAIN DATA, Orders'!$AF:$AF,"1")/1000000000)</f>
        <v>0</v>
      </c>
      <c r="E10" s="15">
        <f>(SUMIFS('MAIN DATA, Orders'!$S:$S,'MAIN DATA, Orders'!$D:$D,"Germany",'MAIN DATA, Orders'!$Y:$Y,$A10,'MAIN DATA, Orders'!$AC:$AC,"1",'MAIN DATA, Orders'!$AF:$AF,"0",'MAIN DATA, Orders'!$AH:$AH,"&lt;&gt;Germany")/1000000000)</f>
        <v>0</v>
      </c>
      <c r="F10" s="15">
        <f>(SUMIFS('MAIN DATA, Orders'!$S:$S,'MAIN DATA, Orders'!$D:$D,"Germany",'MAIN DATA, Orders'!$Y:$Y,$A10,'MAIN DATA, Orders'!$AC:$AC,"0",'MAIN DATA, Orders'!$AF:$AF,"0")/1000000000)</f>
        <v>0</v>
      </c>
    </row>
    <row r="11" spans="1:8" x14ac:dyDescent="0.35">
      <c r="A11" s="20">
        <v>202005</v>
      </c>
      <c r="B11" s="17">
        <v>43952</v>
      </c>
      <c r="C11" s="15">
        <f>(SUMIFS('MAIN DATA, Orders'!$S:$S,'MAIN DATA, Orders'!$D:$D,"Germany",'MAIN DATA, Orders'!$Y:$Y,$A11,'MAIN DATA, Orders'!$AF:$AF,"0",'MAIN DATA, Orders'!$AH:$AH,"Germany")/1000000000)</f>
        <v>0</v>
      </c>
      <c r="D11" s="15">
        <f>(SUMIFS('MAIN DATA, Orders'!$S:$S,'MAIN DATA, Orders'!$D:$D,"Germany",'MAIN DATA, Orders'!$Y:$Y,$A11,'MAIN DATA, Orders'!$AF:$AF,"1")/1000000000)</f>
        <v>0.03</v>
      </c>
      <c r="E11" s="15">
        <f>(SUMIFS('MAIN DATA, Orders'!$S:$S,'MAIN DATA, Orders'!$D:$D,"Germany",'MAIN DATA, Orders'!$Y:$Y,$A11,'MAIN DATA, Orders'!$AC:$AC,"1",'MAIN DATA, Orders'!$AF:$AF,"0",'MAIN DATA, Orders'!$AH:$AH,"&lt;&gt;Germany")/1000000000)</f>
        <v>0</v>
      </c>
      <c r="F11" s="15">
        <f>(SUMIFS('MAIN DATA, Orders'!$S:$S,'MAIN DATA, Orders'!$D:$D,"Germany",'MAIN DATA, Orders'!$Y:$Y,$A11,'MAIN DATA, Orders'!$AC:$AC,"0",'MAIN DATA, Orders'!$AF:$AF,"0")/1000000000)</f>
        <v>0</v>
      </c>
    </row>
    <row r="12" spans="1:8" x14ac:dyDescent="0.35">
      <c r="A12" s="20">
        <v>202006</v>
      </c>
      <c r="B12" s="17">
        <v>43983</v>
      </c>
      <c r="C12" s="15">
        <f>(SUMIFS('MAIN DATA, Orders'!$S:$S,'MAIN DATA, Orders'!$D:$D,"Germany",'MAIN DATA, Orders'!$Y:$Y,$A12,'MAIN DATA, Orders'!$AF:$AF,"0",'MAIN DATA, Orders'!$AH:$AH,"Germany")/1000000000)</f>
        <v>4.5999999999999996</v>
      </c>
      <c r="D12" s="15">
        <f>(SUMIFS('MAIN DATA, Orders'!$S:$S,'MAIN DATA, Orders'!$D:$D,"Germany",'MAIN DATA, Orders'!$Y:$Y,$A12,'MAIN DATA, Orders'!$AF:$AF,"1")/1000000000)</f>
        <v>8.4</v>
      </c>
      <c r="E12" s="15">
        <f>(SUMIFS('MAIN DATA, Orders'!$S:$S,'MAIN DATA, Orders'!$D:$D,"Germany",'MAIN DATA, Orders'!$Y:$Y,$A12,'MAIN DATA, Orders'!$AC:$AC,"1",'MAIN DATA, Orders'!$AF:$AF,"0",'MAIN DATA, Orders'!$AH:$AH,"&lt;&gt;Germany")/1000000000)</f>
        <v>0</v>
      </c>
      <c r="F12" s="15">
        <f>(SUMIFS('MAIN DATA, Orders'!$S:$S,'MAIN DATA, Orders'!$D:$D,"Germany",'MAIN DATA, Orders'!$Y:$Y,$A12,'MAIN DATA, Orders'!$AC:$AC,"0",'MAIN DATA, Orders'!$AF:$AF,"0")/1000000000)</f>
        <v>0</v>
      </c>
    </row>
    <row r="13" spans="1:8" x14ac:dyDescent="0.35">
      <c r="A13" s="20">
        <v>202007</v>
      </c>
      <c r="B13" s="17">
        <v>44013</v>
      </c>
      <c r="C13" s="15">
        <f>(SUMIFS('MAIN DATA, Orders'!$S:$S,'MAIN DATA, Orders'!$D:$D,"Germany",'MAIN DATA, Orders'!$Y:$Y,$A13,'MAIN DATA, Orders'!$AF:$AF,"0",'MAIN DATA, Orders'!$AH:$AH,"Germany")/1000000000)</f>
        <v>0</v>
      </c>
      <c r="D13" s="15">
        <f>(SUMIFS('MAIN DATA, Orders'!$S:$S,'MAIN DATA, Orders'!$D:$D,"Germany",'MAIN DATA, Orders'!$Y:$Y,$A13,'MAIN DATA, Orders'!$AF:$AF,"1")/1000000000)</f>
        <v>0</v>
      </c>
      <c r="E13" s="15">
        <f>(SUMIFS('MAIN DATA, Orders'!$S:$S,'MAIN DATA, Orders'!$D:$D,"Germany",'MAIN DATA, Orders'!$Y:$Y,$A13,'MAIN DATA, Orders'!$AC:$AC,"1",'MAIN DATA, Orders'!$AF:$AF,"0",'MAIN DATA, Orders'!$AH:$AH,"&lt;&gt;Germany")/1000000000)</f>
        <v>0</v>
      </c>
      <c r="F13" s="15">
        <f>(SUMIFS('MAIN DATA, Orders'!$S:$S,'MAIN DATA, Orders'!$D:$D,"Germany",'MAIN DATA, Orders'!$Y:$Y,$A13,'MAIN DATA, Orders'!$AC:$AC,"0",'MAIN DATA, Orders'!$AF:$AF,"0")/1000000000)</f>
        <v>0</v>
      </c>
    </row>
    <row r="14" spans="1:8" x14ac:dyDescent="0.35">
      <c r="A14" s="20">
        <v>202008</v>
      </c>
      <c r="B14" s="17">
        <v>44044</v>
      </c>
      <c r="C14" s="15">
        <f>(SUMIFS('MAIN DATA, Orders'!$S:$S,'MAIN DATA, Orders'!$D:$D,"Germany",'MAIN DATA, Orders'!$Y:$Y,$A14,'MAIN DATA, Orders'!$AF:$AF,"0",'MAIN DATA, Orders'!$AH:$AH,"Germany")/1000000000)</f>
        <v>0.35</v>
      </c>
      <c r="D14" s="15">
        <f>(SUMIFS('MAIN DATA, Orders'!$S:$S,'MAIN DATA, Orders'!$D:$D,"Germany",'MAIN DATA, Orders'!$Y:$Y,$A14,'MAIN DATA, Orders'!$AF:$AF,"1")/1000000000)</f>
        <v>0</v>
      </c>
      <c r="E14" s="15">
        <f>(SUMIFS('MAIN DATA, Orders'!$S:$S,'MAIN DATA, Orders'!$D:$D,"Germany",'MAIN DATA, Orders'!$Y:$Y,$A14,'MAIN DATA, Orders'!$AC:$AC,"1",'MAIN DATA, Orders'!$AF:$AF,"0",'MAIN DATA, Orders'!$AH:$AH,"&lt;&gt;Germany")/1000000000)</f>
        <v>0</v>
      </c>
      <c r="F14" s="15">
        <f>(SUMIFS('MAIN DATA, Orders'!$S:$S,'MAIN DATA, Orders'!$D:$D,"Germany",'MAIN DATA, Orders'!$Y:$Y,$A14,'MAIN DATA, Orders'!$AC:$AC,"0",'MAIN DATA, Orders'!$AF:$AF,"0")/1000000000)</f>
        <v>0</v>
      </c>
    </row>
    <row r="15" spans="1:8" x14ac:dyDescent="0.35">
      <c r="A15" s="20">
        <v>202009</v>
      </c>
      <c r="B15" s="17">
        <v>44075</v>
      </c>
      <c r="C15" s="15">
        <f>(SUMIFS('MAIN DATA, Orders'!$S:$S,'MAIN DATA, Orders'!$D:$D,"Germany",'MAIN DATA, Orders'!$Y:$Y,$A15,'MAIN DATA, Orders'!$AF:$AF,"0",'MAIN DATA, Orders'!$AH:$AH,"Germany")/1000000000)</f>
        <v>1.88</v>
      </c>
      <c r="D15" s="15">
        <f>(SUMIFS('MAIN DATA, Orders'!$S:$S,'MAIN DATA, Orders'!$D:$D,"Germany",'MAIN DATA, Orders'!$Y:$Y,$A15,'MAIN DATA, Orders'!$AF:$AF,"1")/1000000000)</f>
        <v>0.504</v>
      </c>
      <c r="E15" s="15">
        <f>(SUMIFS('MAIN DATA, Orders'!$S:$S,'MAIN DATA, Orders'!$D:$D,"Germany",'MAIN DATA, Orders'!$Y:$Y,$A15,'MAIN DATA, Orders'!$AC:$AC,"1",'MAIN DATA, Orders'!$AF:$AF,"0",'MAIN DATA, Orders'!$AH:$AH,"&lt;&gt;Germany")/1000000000)</f>
        <v>0</v>
      </c>
      <c r="F15" s="15">
        <f>(SUMIFS('MAIN DATA, Orders'!$S:$S,'MAIN DATA, Orders'!$D:$D,"Germany",'MAIN DATA, Orders'!$Y:$Y,$A15,'MAIN DATA, Orders'!$AC:$AC,"0",'MAIN DATA, Orders'!$AF:$AF,"0")/1000000000)</f>
        <v>0</v>
      </c>
    </row>
    <row r="16" spans="1:8" x14ac:dyDescent="0.35">
      <c r="A16" s="20">
        <v>202010</v>
      </c>
      <c r="B16" s="17">
        <v>44105</v>
      </c>
      <c r="C16" s="15">
        <f>(SUMIFS('MAIN DATA, Orders'!$S:$S,'MAIN DATA, Orders'!$D:$D,"Germany",'MAIN DATA, Orders'!$Y:$Y,$A16,'MAIN DATA, Orders'!$AF:$AF,"0",'MAIN DATA, Orders'!$AH:$AH,"Germany")/1000000000)</f>
        <v>0.04</v>
      </c>
      <c r="D16" s="15">
        <f>(SUMIFS('MAIN DATA, Orders'!$S:$S,'MAIN DATA, Orders'!$D:$D,"Germany",'MAIN DATA, Orders'!$Y:$Y,$A16,'MAIN DATA, Orders'!$AF:$AF,"1")/1000000000)</f>
        <v>0</v>
      </c>
      <c r="E16" s="15">
        <f>(SUMIFS('MAIN DATA, Orders'!$S:$S,'MAIN DATA, Orders'!$D:$D,"Germany",'MAIN DATA, Orders'!$Y:$Y,$A16,'MAIN DATA, Orders'!$AC:$AC,"1",'MAIN DATA, Orders'!$AF:$AF,"0",'MAIN DATA, Orders'!$AH:$AH,"&lt;&gt;Germany")/1000000000)</f>
        <v>0</v>
      </c>
      <c r="F16" s="15">
        <f>(SUMIFS('MAIN DATA, Orders'!$S:$S,'MAIN DATA, Orders'!$D:$D,"Germany",'MAIN DATA, Orders'!$Y:$Y,$A16,'MAIN DATA, Orders'!$AC:$AC,"0",'MAIN DATA, Orders'!$AF:$AF,"0")/1000000000)</f>
        <v>0</v>
      </c>
    </row>
    <row r="17" spans="1:6" x14ac:dyDescent="0.35">
      <c r="A17" s="20">
        <v>202011</v>
      </c>
      <c r="B17" s="17">
        <v>44136</v>
      </c>
      <c r="C17" s="15">
        <f>(SUMIFS('MAIN DATA, Orders'!$S:$S,'MAIN DATA, Orders'!$D:$D,"Germany",'MAIN DATA, Orders'!$Y:$Y,$A17,'MAIN DATA, Orders'!$AF:$AF,"0",'MAIN DATA, Orders'!$AH:$AH,"Germany")/1000000000)</f>
        <v>0.80600000000000005</v>
      </c>
      <c r="D17" s="15">
        <f>(SUMIFS('MAIN DATA, Orders'!$S:$S,'MAIN DATA, Orders'!$D:$D,"Germany",'MAIN DATA, Orders'!$Y:$Y,$A17,'MAIN DATA, Orders'!$AF:$AF,"1")/1000000000)</f>
        <v>8.1999999999999993</v>
      </c>
      <c r="E17" s="15">
        <f>(SUMIFS('MAIN DATA, Orders'!$S:$S,'MAIN DATA, Orders'!$D:$D,"Germany",'MAIN DATA, Orders'!$Y:$Y,$A17,'MAIN DATA, Orders'!$AC:$AC,"1",'MAIN DATA, Orders'!$AF:$AF,"0",'MAIN DATA, Orders'!$AH:$AH,"&lt;&gt;Germany")/1000000000)</f>
        <v>0</v>
      </c>
      <c r="F17" s="15">
        <f>(SUMIFS('MAIN DATA, Orders'!$S:$S,'MAIN DATA, Orders'!$D:$D,"Germany",'MAIN DATA, Orders'!$Y:$Y,$A17,'MAIN DATA, Orders'!$AC:$AC,"0",'MAIN DATA, Orders'!$AF:$AF,"0")/1000000000)</f>
        <v>0</v>
      </c>
    </row>
    <row r="18" spans="1:6" x14ac:dyDescent="0.35">
      <c r="A18" s="20">
        <v>202012</v>
      </c>
      <c r="B18" s="17">
        <v>44166</v>
      </c>
      <c r="C18" s="15">
        <f>(SUMIFS('MAIN DATA, Orders'!$S:$S,'MAIN DATA, Orders'!$D:$D,"Germany",'MAIN DATA, Orders'!$Y:$Y,$A18,'MAIN DATA, Orders'!$AF:$AF,"0",'MAIN DATA, Orders'!$AH:$AH,"Germany")/1000000000)</f>
        <v>0.45</v>
      </c>
      <c r="D18" s="15">
        <f>(SUMIFS('MAIN DATA, Orders'!$S:$S,'MAIN DATA, Orders'!$D:$D,"Germany",'MAIN DATA, Orders'!$Y:$Y,$A18,'MAIN DATA, Orders'!$AF:$AF,"1")/1000000000)</f>
        <v>0</v>
      </c>
      <c r="E18" s="15">
        <f>(SUMIFS('MAIN DATA, Orders'!$S:$S,'MAIN DATA, Orders'!$D:$D,"Germany",'MAIN DATA, Orders'!$Y:$Y,$A18,'MAIN DATA, Orders'!$AC:$AC,"1",'MAIN DATA, Orders'!$AF:$AF,"0",'MAIN DATA, Orders'!$AH:$AH,"&lt;&gt;Germany")/1000000000)</f>
        <v>0</v>
      </c>
      <c r="F18" s="15">
        <f>(SUMIFS('MAIN DATA, Orders'!$S:$S,'MAIN DATA, Orders'!$D:$D,"Germany",'MAIN DATA, Orders'!$Y:$Y,$A18,'MAIN DATA, Orders'!$AC:$AC,"0",'MAIN DATA, Orders'!$AF:$AF,"0")/1000000000)</f>
        <v>0</v>
      </c>
    </row>
    <row r="19" spans="1:6" x14ac:dyDescent="0.35">
      <c r="A19" s="20">
        <v>202101</v>
      </c>
      <c r="B19" s="17">
        <v>44197</v>
      </c>
      <c r="C19" s="15">
        <f>(SUMIFS('MAIN DATA, Orders'!$S:$S,'MAIN DATA, Orders'!$D:$D,"Germany",'MAIN DATA, Orders'!$Y:$Y,$A19,'MAIN DATA, Orders'!$AF:$AF,"0",'MAIN DATA, Orders'!$AH:$AH,"Germany")/1000000000)</f>
        <v>0</v>
      </c>
      <c r="D19" s="15">
        <f>(SUMIFS('MAIN DATA, Orders'!$S:$S,'MAIN DATA, Orders'!$D:$D,"Germany",'MAIN DATA, Orders'!$Y:$Y,$A19,'MAIN DATA, Orders'!$AF:$AF,"1")/1000000000)</f>
        <v>0</v>
      </c>
      <c r="E19" s="15">
        <f>(SUMIFS('MAIN DATA, Orders'!$S:$S,'MAIN DATA, Orders'!$D:$D,"Germany",'MAIN DATA, Orders'!$Y:$Y,$A19,'MAIN DATA, Orders'!$AC:$AC,"1",'MAIN DATA, Orders'!$AF:$AF,"0",'MAIN DATA, Orders'!$AH:$AH,"&lt;&gt;Germany")/1000000000)</f>
        <v>0</v>
      </c>
      <c r="F19" s="15">
        <f>(SUMIFS('MAIN DATA, Orders'!$S:$S,'MAIN DATA, Orders'!$D:$D,"Germany",'MAIN DATA, Orders'!$Y:$Y,$A19,'MAIN DATA, Orders'!$AC:$AC,"0",'MAIN DATA, Orders'!$AF:$AF,"0")/1000000000)</f>
        <v>0</v>
      </c>
    </row>
    <row r="20" spans="1:6" x14ac:dyDescent="0.35">
      <c r="A20" s="20">
        <v>202102</v>
      </c>
      <c r="B20" s="17">
        <v>44228</v>
      </c>
      <c r="C20" s="15">
        <f>(SUMIFS('MAIN DATA, Orders'!$S:$S,'MAIN DATA, Orders'!$D:$D,"Germany",'MAIN DATA, Orders'!$Y:$Y,$A20,'MAIN DATA, Orders'!$AF:$AF,"0",'MAIN DATA, Orders'!$AH:$AH,"Germany")/1000000000)</f>
        <v>0</v>
      </c>
      <c r="D20" s="15">
        <f>(SUMIFS('MAIN DATA, Orders'!$S:$S,'MAIN DATA, Orders'!$D:$D,"Germany",'MAIN DATA, Orders'!$Y:$Y,$A20,'MAIN DATA, Orders'!$AF:$AF,"1")/1000000000)</f>
        <v>8.7999999999999995E-2</v>
      </c>
      <c r="E20" s="15">
        <f>(SUMIFS('MAIN DATA, Orders'!$S:$S,'MAIN DATA, Orders'!$D:$D,"Germany",'MAIN DATA, Orders'!$Y:$Y,$A20,'MAIN DATA, Orders'!$AC:$AC,"1",'MAIN DATA, Orders'!$AF:$AF,"0",'MAIN DATA, Orders'!$AH:$AH,"&lt;&gt;Germany")/1000000000)</f>
        <v>0</v>
      </c>
      <c r="F20" s="15">
        <f>(SUMIFS('MAIN DATA, Orders'!$S:$S,'MAIN DATA, Orders'!$D:$D,"Germany",'MAIN DATA, Orders'!$Y:$Y,$A20,'MAIN DATA, Orders'!$AC:$AC,"0",'MAIN DATA, Orders'!$AF:$AF,"0")/1000000000)</f>
        <v>0</v>
      </c>
    </row>
    <row r="21" spans="1:6" x14ac:dyDescent="0.35">
      <c r="A21" s="20">
        <v>202103</v>
      </c>
      <c r="B21" s="17">
        <v>44256</v>
      </c>
      <c r="C21" s="15">
        <f>(SUMIFS('MAIN DATA, Orders'!$S:$S,'MAIN DATA, Orders'!$D:$D,"Germany",'MAIN DATA, Orders'!$Y:$Y,$A21,'MAIN DATA, Orders'!$AF:$AF,"0",'MAIN DATA, Orders'!$AH:$AH,"Germany")/1000000000)</f>
        <v>0</v>
      </c>
      <c r="D21" s="15">
        <f>(SUMIFS('MAIN DATA, Orders'!$S:$S,'MAIN DATA, Orders'!$D:$D,"Germany",'MAIN DATA, Orders'!$Y:$Y,$A21,'MAIN DATA, Orders'!$AF:$AF,"1")/1000000000)</f>
        <v>0</v>
      </c>
      <c r="E21" s="15">
        <f>(SUMIFS('MAIN DATA, Orders'!$S:$S,'MAIN DATA, Orders'!$D:$D,"Germany",'MAIN DATA, Orders'!$Y:$Y,$A21,'MAIN DATA, Orders'!$AC:$AC,"1",'MAIN DATA, Orders'!$AF:$AF,"0",'MAIN DATA, Orders'!$AH:$AH,"&lt;&gt;Germany")/1000000000)</f>
        <v>0</v>
      </c>
      <c r="F21" s="15">
        <f>(SUMIFS('MAIN DATA, Orders'!$S:$S,'MAIN DATA, Orders'!$D:$D,"Germany",'MAIN DATA, Orders'!$Y:$Y,$A21,'MAIN DATA, Orders'!$AC:$AC,"0",'MAIN DATA, Orders'!$AF:$AF,"0")/1000000000)</f>
        <v>0</v>
      </c>
    </row>
    <row r="22" spans="1:6" x14ac:dyDescent="0.35">
      <c r="A22" s="20">
        <v>202104</v>
      </c>
      <c r="B22" s="17">
        <v>44287</v>
      </c>
      <c r="C22" s="15">
        <f>(SUMIFS('MAIN DATA, Orders'!$S:$S,'MAIN DATA, Orders'!$D:$D,"Germany",'MAIN DATA, Orders'!$Y:$Y,$A22,'MAIN DATA, Orders'!$AF:$AF,"0",'MAIN DATA, Orders'!$AH:$AH,"Germany")/1000000000)</f>
        <v>0.29499999999999998</v>
      </c>
      <c r="D22" s="15">
        <f>(SUMIFS('MAIN DATA, Orders'!$S:$S,'MAIN DATA, Orders'!$D:$D,"Germany",'MAIN DATA, Orders'!$Y:$Y,$A22,'MAIN DATA, Orders'!$AF:$AF,"1")/1000000000)</f>
        <v>3.3460000000000001</v>
      </c>
      <c r="E22" s="15">
        <f>(SUMIFS('MAIN DATA, Orders'!$S:$S,'MAIN DATA, Orders'!$D:$D,"Germany",'MAIN DATA, Orders'!$Y:$Y,$A22,'MAIN DATA, Orders'!$AC:$AC,"1",'MAIN DATA, Orders'!$AF:$AF,"0",'MAIN DATA, Orders'!$AH:$AH,"&lt;&gt;Germany")/1000000000)</f>
        <v>0</v>
      </c>
      <c r="F22" s="15">
        <f>(SUMIFS('MAIN DATA, Orders'!$S:$S,'MAIN DATA, Orders'!$D:$D,"Germany",'MAIN DATA, Orders'!$Y:$Y,$A22,'MAIN DATA, Orders'!$AC:$AC,"0",'MAIN DATA, Orders'!$AF:$AF,"0")/1000000000)</f>
        <v>0</v>
      </c>
    </row>
    <row r="23" spans="1:6" x14ac:dyDescent="0.35">
      <c r="A23" s="20">
        <v>202105</v>
      </c>
      <c r="B23" s="17">
        <v>44317</v>
      </c>
      <c r="C23" s="15">
        <f>(SUMIFS('MAIN DATA, Orders'!$S:$S,'MAIN DATA, Orders'!$D:$D,"Germany",'MAIN DATA, Orders'!$Y:$Y,$A23,'MAIN DATA, Orders'!$AF:$AF,"0",'MAIN DATA, Orders'!$AH:$AH,"Germany")/1000000000)</f>
        <v>2.4020000000000001</v>
      </c>
      <c r="D23" s="15">
        <f>(SUMIFS('MAIN DATA, Orders'!$S:$S,'MAIN DATA, Orders'!$D:$D,"Germany",'MAIN DATA, Orders'!$Y:$Y,$A23,'MAIN DATA, Orders'!$AF:$AF,"1")/1000000000)</f>
        <v>0</v>
      </c>
      <c r="E23" s="15">
        <f>(SUMIFS('MAIN DATA, Orders'!$S:$S,'MAIN DATA, Orders'!$D:$D,"Germany",'MAIN DATA, Orders'!$Y:$Y,$A23,'MAIN DATA, Orders'!$AC:$AC,"1",'MAIN DATA, Orders'!$AF:$AF,"0",'MAIN DATA, Orders'!$AH:$AH,"&lt;&gt;Germany")/1000000000)</f>
        <v>0</v>
      </c>
      <c r="F23" s="15">
        <f>(SUMIFS('MAIN DATA, Orders'!$S:$S,'MAIN DATA, Orders'!$D:$D,"Germany",'MAIN DATA, Orders'!$Y:$Y,$A23,'MAIN DATA, Orders'!$AC:$AC,"0",'MAIN DATA, Orders'!$AF:$AF,"0")/1000000000)</f>
        <v>0</v>
      </c>
    </row>
    <row r="24" spans="1:6" x14ac:dyDescent="0.35">
      <c r="A24" s="20">
        <v>202106</v>
      </c>
      <c r="B24" s="17">
        <v>44348</v>
      </c>
      <c r="C24" s="15">
        <f>(SUMIFS('MAIN DATA, Orders'!$S:$S,'MAIN DATA, Orders'!$D:$D,"Germany",'MAIN DATA, Orders'!$Y:$Y,$A24,'MAIN DATA, Orders'!$AF:$AF,"0",'MAIN DATA, Orders'!$AH:$AH,"Germany")/1000000000)</f>
        <v>5.7510000000000003</v>
      </c>
      <c r="D24" s="15">
        <f>(SUMIFS('MAIN DATA, Orders'!$S:$S,'MAIN DATA, Orders'!$D:$D,"Germany",'MAIN DATA, Orders'!$Y:$Y,$A24,'MAIN DATA, Orders'!$AF:$AF,"1")/1000000000)</f>
        <v>9.1798999999999999</v>
      </c>
      <c r="E24" s="15">
        <f>(SUMIFS('MAIN DATA, Orders'!$S:$S,'MAIN DATA, Orders'!$D:$D,"Germany",'MAIN DATA, Orders'!$Y:$Y,$A24,'MAIN DATA, Orders'!$AC:$AC,"1",'MAIN DATA, Orders'!$AF:$AF,"0",'MAIN DATA, Orders'!$AH:$AH,"&lt;&gt;Germany")/1000000000)</f>
        <v>2.4E-2</v>
      </c>
      <c r="F24" s="15">
        <f>(SUMIFS('MAIN DATA, Orders'!$S:$S,'MAIN DATA, Orders'!$D:$D,"Germany",'MAIN DATA, Orders'!$Y:$Y,$A24,'MAIN DATA, Orders'!$AC:$AC,"0",'MAIN DATA, Orders'!$AF:$AF,"0")/1000000000)</f>
        <v>1.1000000000000001</v>
      </c>
    </row>
    <row r="25" spans="1:6" x14ac:dyDescent="0.35">
      <c r="A25" s="20">
        <v>202107</v>
      </c>
      <c r="B25" s="17">
        <v>44378</v>
      </c>
      <c r="C25" s="15">
        <f>(SUMIFS('MAIN DATA, Orders'!$S:$S,'MAIN DATA, Orders'!$D:$D,"Germany",'MAIN DATA, Orders'!$Y:$Y,$A25,'MAIN DATA, Orders'!$AF:$AF,"0",'MAIN DATA, Orders'!$AH:$AH,"Germany")/1000000000)</f>
        <v>0</v>
      </c>
      <c r="D25" s="15">
        <f>(SUMIFS('MAIN DATA, Orders'!$S:$S,'MAIN DATA, Orders'!$D:$D,"Germany",'MAIN DATA, Orders'!$Y:$Y,$A25,'MAIN DATA, Orders'!$AF:$AF,"1")/1000000000)</f>
        <v>0</v>
      </c>
      <c r="E25" s="15">
        <f>(SUMIFS('MAIN DATA, Orders'!$S:$S,'MAIN DATA, Orders'!$D:$D,"Germany",'MAIN DATA, Orders'!$Y:$Y,$A25,'MAIN DATA, Orders'!$AC:$AC,"1",'MAIN DATA, Orders'!$AF:$AF,"0",'MAIN DATA, Orders'!$AH:$AH,"&lt;&gt;Germany")/1000000000)</f>
        <v>0</v>
      </c>
      <c r="F25" s="15">
        <f>(SUMIFS('MAIN DATA, Orders'!$S:$S,'MAIN DATA, Orders'!$D:$D,"Germany",'MAIN DATA, Orders'!$Y:$Y,$A25,'MAIN DATA, Orders'!$AC:$AC,"0",'MAIN DATA, Orders'!$AF:$AF,"0")/1000000000)</f>
        <v>0</v>
      </c>
    </row>
    <row r="26" spans="1:6" x14ac:dyDescent="0.35">
      <c r="A26" s="20">
        <v>202108</v>
      </c>
      <c r="B26" s="17">
        <v>44409</v>
      </c>
      <c r="C26" s="15">
        <f>(SUMIFS('MAIN DATA, Orders'!$S:$S,'MAIN DATA, Orders'!$D:$D,"Germany",'MAIN DATA, Orders'!$Y:$Y,$A26,'MAIN DATA, Orders'!$AF:$AF,"0",'MAIN DATA, Orders'!$AH:$AH,"Germany")/1000000000)</f>
        <v>0</v>
      </c>
      <c r="D26" s="15">
        <f>(SUMIFS('MAIN DATA, Orders'!$S:$S,'MAIN DATA, Orders'!$D:$D,"Germany",'MAIN DATA, Orders'!$Y:$Y,$A26,'MAIN DATA, Orders'!$AF:$AF,"1")/1000000000)</f>
        <v>0</v>
      </c>
      <c r="E26" s="15">
        <f>(SUMIFS('MAIN DATA, Orders'!$S:$S,'MAIN DATA, Orders'!$D:$D,"Germany",'MAIN DATA, Orders'!$Y:$Y,$A26,'MAIN DATA, Orders'!$AC:$AC,"1",'MAIN DATA, Orders'!$AF:$AF,"0",'MAIN DATA, Orders'!$AH:$AH,"&lt;&gt;Germany")/1000000000)</f>
        <v>0</v>
      </c>
      <c r="F26" s="15">
        <f>(SUMIFS('MAIN DATA, Orders'!$S:$S,'MAIN DATA, Orders'!$D:$D,"Germany",'MAIN DATA, Orders'!$Y:$Y,$A26,'MAIN DATA, Orders'!$AC:$AC,"0",'MAIN DATA, Orders'!$AF:$AF,"0")/1000000000)</f>
        <v>0</v>
      </c>
    </row>
    <row r="27" spans="1:6" x14ac:dyDescent="0.35">
      <c r="A27" s="20">
        <v>202109</v>
      </c>
      <c r="B27" s="17">
        <v>44440</v>
      </c>
      <c r="C27" s="15">
        <f>(SUMIFS('MAIN DATA, Orders'!$S:$S,'MAIN DATA, Orders'!$D:$D,"Germany",'MAIN DATA, Orders'!$Y:$Y,$A27,'MAIN DATA, Orders'!$AF:$AF,"0",'MAIN DATA, Orders'!$AH:$AH,"Germany")/1000000000)</f>
        <v>0</v>
      </c>
      <c r="D27" s="15">
        <f>(SUMIFS('MAIN DATA, Orders'!$S:$S,'MAIN DATA, Orders'!$D:$D,"Germany",'MAIN DATA, Orders'!$Y:$Y,$A27,'MAIN DATA, Orders'!$AF:$AF,"1")/1000000000)</f>
        <v>0</v>
      </c>
      <c r="E27" s="15">
        <f>(SUMIFS('MAIN DATA, Orders'!$S:$S,'MAIN DATA, Orders'!$D:$D,"Germany",'MAIN DATA, Orders'!$Y:$Y,$A27,'MAIN DATA, Orders'!$AC:$AC,"1",'MAIN DATA, Orders'!$AF:$AF,"0",'MAIN DATA, Orders'!$AH:$AH,"&lt;&gt;Germany")/1000000000)</f>
        <v>0</v>
      </c>
      <c r="F27" s="15">
        <f>(SUMIFS('MAIN DATA, Orders'!$S:$S,'MAIN DATA, Orders'!$D:$D,"Germany",'MAIN DATA, Orders'!$Y:$Y,$A27,'MAIN DATA, Orders'!$AC:$AC,"0",'MAIN DATA, Orders'!$AF:$AF,"0")/1000000000)</f>
        <v>0</v>
      </c>
    </row>
    <row r="28" spans="1:6" x14ac:dyDescent="0.35">
      <c r="A28" s="20">
        <v>202110</v>
      </c>
      <c r="B28" s="17">
        <v>44470</v>
      </c>
      <c r="C28" s="15">
        <f>(SUMIFS('MAIN DATA, Orders'!$S:$S,'MAIN DATA, Orders'!$D:$D,"Germany",'MAIN DATA, Orders'!$Y:$Y,$A28,'MAIN DATA, Orders'!$AF:$AF,"0",'MAIN DATA, Orders'!$AH:$AH,"Germany")/1000000000)</f>
        <v>0</v>
      </c>
      <c r="D28" s="15">
        <f>(SUMIFS('MAIN DATA, Orders'!$S:$S,'MAIN DATA, Orders'!$D:$D,"Germany",'MAIN DATA, Orders'!$Y:$Y,$A28,'MAIN DATA, Orders'!$AF:$AF,"1")/1000000000)</f>
        <v>0</v>
      </c>
      <c r="E28" s="15">
        <f>(SUMIFS('MAIN DATA, Orders'!$S:$S,'MAIN DATA, Orders'!$D:$D,"Germany",'MAIN DATA, Orders'!$Y:$Y,$A28,'MAIN DATA, Orders'!$AC:$AC,"1",'MAIN DATA, Orders'!$AF:$AF,"0",'MAIN DATA, Orders'!$AH:$AH,"&lt;&gt;Germany")/1000000000)</f>
        <v>0</v>
      </c>
      <c r="F28" s="15">
        <f>(SUMIFS('MAIN DATA, Orders'!$S:$S,'MAIN DATA, Orders'!$D:$D,"Germany",'MAIN DATA, Orders'!$Y:$Y,$A28,'MAIN DATA, Orders'!$AC:$AC,"0",'MAIN DATA, Orders'!$AF:$AF,"0")/1000000000)</f>
        <v>0</v>
      </c>
    </row>
    <row r="29" spans="1:6" x14ac:dyDescent="0.35">
      <c r="A29" s="20">
        <v>202111</v>
      </c>
      <c r="B29" s="17">
        <v>44501</v>
      </c>
      <c r="C29" s="15">
        <f>(SUMIFS('MAIN DATA, Orders'!$S:$S,'MAIN DATA, Orders'!$D:$D,"Germany",'MAIN DATA, Orders'!$Y:$Y,$A29,'MAIN DATA, Orders'!$AF:$AF,"0",'MAIN DATA, Orders'!$AH:$AH,"Germany")/1000000000)</f>
        <v>0</v>
      </c>
      <c r="D29" s="15">
        <f>(SUMIFS('MAIN DATA, Orders'!$S:$S,'MAIN DATA, Orders'!$D:$D,"Germany",'MAIN DATA, Orders'!$Y:$Y,$A29,'MAIN DATA, Orders'!$AF:$AF,"1")/1000000000)</f>
        <v>0</v>
      </c>
      <c r="E29" s="15">
        <f>(SUMIFS('MAIN DATA, Orders'!$S:$S,'MAIN DATA, Orders'!$D:$D,"Germany",'MAIN DATA, Orders'!$Y:$Y,$A29,'MAIN DATA, Orders'!$AC:$AC,"1",'MAIN DATA, Orders'!$AF:$AF,"0",'MAIN DATA, Orders'!$AH:$AH,"&lt;&gt;Germany")/1000000000)</f>
        <v>0</v>
      </c>
      <c r="F29" s="15">
        <f>(SUMIFS('MAIN DATA, Orders'!$S:$S,'MAIN DATA, Orders'!$D:$D,"Germany",'MAIN DATA, Orders'!$Y:$Y,$A29,'MAIN DATA, Orders'!$AC:$AC,"0",'MAIN DATA, Orders'!$AF:$AF,"0")/1000000000)</f>
        <v>0</v>
      </c>
    </row>
    <row r="30" spans="1:6" x14ac:dyDescent="0.35">
      <c r="A30" s="20">
        <v>202112</v>
      </c>
      <c r="B30" s="17">
        <v>44531</v>
      </c>
      <c r="C30" s="15">
        <f>(SUMIFS('MAIN DATA, Orders'!$S:$S,'MAIN DATA, Orders'!$D:$D,"Germany",'MAIN DATA, Orders'!$Y:$Y,$A30,'MAIN DATA, Orders'!$AF:$AF,"0",'MAIN DATA, Orders'!$AH:$AH,"Germany")/1000000000)</f>
        <v>0</v>
      </c>
      <c r="D30" s="15">
        <f>(SUMIFS('MAIN DATA, Orders'!$S:$S,'MAIN DATA, Orders'!$D:$D,"Germany",'MAIN DATA, Orders'!$Y:$Y,$A30,'MAIN DATA, Orders'!$AF:$AF,"1")/1000000000)</f>
        <v>0</v>
      </c>
      <c r="E30" s="15">
        <f>(SUMIFS('MAIN DATA, Orders'!$S:$S,'MAIN DATA, Orders'!$D:$D,"Germany",'MAIN DATA, Orders'!$Y:$Y,$A30,'MAIN DATA, Orders'!$AC:$AC,"1",'MAIN DATA, Orders'!$AF:$AF,"0",'MAIN DATA, Orders'!$AH:$AH,"&lt;&gt;Germany")/1000000000)</f>
        <v>0</v>
      </c>
      <c r="F30" s="15">
        <f>(SUMIFS('MAIN DATA, Orders'!$S:$S,'MAIN DATA, Orders'!$D:$D,"Germany",'MAIN DATA, Orders'!$Y:$Y,$A30,'MAIN DATA, Orders'!$AC:$AC,"0",'MAIN DATA, Orders'!$AF:$AF,"0")/1000000000)</f>
        <v>0</v>
      </c>
    </row>
    <row r="31" spans="1:6" x14ac:dyDescent="0.35">
      <c r="A31" s="20">
        <v>202201</v>
      </c>
      <c r="B31" s="17">
        <v>44562</v>
      </c>
      <c r="C31" s="15">
        <f>(SUMIFS('MAIN DATA, Orders'!$S:$S,'MAIN DATA, Orders'!$D:$D,"Germany",'MAIN DATA, Orders'!$Y:$Y,$A31,'MAIN DATA, Orders'!$AF:$AF,"0",'MAIN DATA, Orders'!$AH:$AH,"Germany")/1000000000)</f>
        <v>0</v>
      </c>
      <c r="D31" s="15">
        <f>(SUMIFS('MAIN DATA, Orders'!$S:$S,'MAIN DATA, Orders'!$D:$D,"Germany",'MAIN DATA, Orders'!$Y:$Y,$A31,'MAIN DATA, Orders'!$AF:$AF,"1")/1000000000)</f>
        <v>0</v>
      </c>
      <c r="E31" s="15">
        <f>(SUMIFS('MAIN DATA, Orders'!$S:$S,'MAIN DATA, Orders'!$D:$D,"Germany",'MAIN DATA, Orders'!$Y:$Y,$A31,'MAIN DATA, Orders'!$AC:$AC,"1",'MAIN DATA, Orders'!$AF:$AF,"0",'MAIN DATA, Orders'!$AH:$AH,"&lt;&gt;Germany")/1000000000)</f>
        <v>0</v>
      </c>
      <c r="F31" s="15">
        <f>(SUMIFS('MAIN DATA, Orders'!$S:$S,'MAIN DATA, Orders'!$D:$D,"Germany",'MAIN DATA, Orders'!$Y:$Y,$A31,'MAIN DATA, Orders'!$AC:$AC,"0",'MAIN DATA, Orders'!$AF:$AF,"0")/1000000000)</f>
        <v>0</v>
      </c>
    </row>
    <row r="32" spans="1:6" x14ac:dyDescent="0.35">
      <c r="A32" s="20">
        <v>202202</v>
      </c>
      <c r="B32" s="17">
        <v>44593</v>
      </c>
      <c r="C32" s="15">
        <f>(SUMIFS('MAIN DATA, Orders'!$S:$S,'MAIN DATA, Orders'!$D:$D,"Germany",'MAIN DATA, Orders'!$Y:$Y,$A32,'MAIN DATA, Orders'!$AF:$AF,"0",'MAIN DATA, Orders'!$AH:$AH,"Germany")/1000000000)</f>
        <v>0</v>
      </c>
      <c r="D32" s="15">
        <f>(SUMIFS('MAIN DATA, Orders'!$S:$S,'MAIN DATA, Orders'!$D:$D,"Germany",'MAIN DATA, Orders'!$Y:$Y,$A32,'MAIN DATA, Orders'!$AF:$AF,"1")/1000000000)</f>
        <v>0</v>
      </c>
      <c r="E32" s="15">
        <f>(SUMIFS('MAIN DATA, Orders'!$S:$S,'MAIN DATA, Orders'!$D:$D,"Germany",'MAIN DATA, Orders'!$Y:$Y,$A32,'MAIN DATA, Orders'!$AC:$AC,"1",'MAIN DATA, Orders'!$AF:$AF,"0",'MAIN DATA, Orders'!$AH:$AH,"&lt;&gt;Germany")/1000000000)</f>
        <v>0</v>
      </c>
      <c r="F32" s="15">
        <f>(SUMIFS('MAIN DATA, Orders'!$S:$S,'MAIN DATA, Orders'!$D:$D,"Germany",'MAIN DATA, Orders'!$Y:$Y,$A32,'MAIN DATA, Orders'!$AC:$AC,"0",'MAIN DATA, Orders'!$AF:$AF,"0")/1000000000)</f>
        <v>0</v>
      </c>
    </row>
    <row r="33" spans="1:6" x14ac:dyDescent="0.35">
      <c r="A33" s="20">
        <v>202203</v>
      </c>
      <c r="B33" s="17">
        <v>44621</v>
      </c>
      <c r="C33" s="15">
        <f>(SUMIFS('MAIN DATA, Orders'!$S:$S,'MAIN DATA, Orders'!$D:$D,"Germany",'MAIN DATA, Orders'!$Y:$Y,$A33,'MAIN DATA, Orders'!$AF:$AF,"0",'MAIN DATA, Orders'!$AH:$AH,"Germany")/1000000000)</f>
        <v>0</v>
      </c>
      <c r="D33" s="15">
        <f>(SUMIFS('MAIN DATA, Orders'!$S:$S,'MAIN DATA, Orders'!$D:$D,"Germany",'MAIN DATA, Orders'!$Y:$Y,$A33,'MAIN DATA, Orders'!$AF:$AF,"1")/1000000000)</f>
        <v>0</v>
      </c>
      <c r="E33" s="15">
        <f>(SUMIFS('MAIN DATA, Orders'!$S:$S,'MAIN DATA, Orders'!$D:$D,"Germany",'MAIN DATA, Orders'!$Y:$Y,$A33,'MAIN DATA, Orders'!$AC:$AC,"1",'MAIN DATA, Orders'!$AF:$AF,"0",'MAIN DATA, Orders'!$AH:$AH,"&lt;&gt;Germany")/1000000000)</f>
        <v>0</v>
      </c>
      <c r="F33" s="15">
        <f>(SUMIFS('MAIN DATA, Orders'!$S:$S,'MAIN DATA, Orders'!$D:$D,"Germany",'MAIN DATA, Orders'!$Y:$Y,$A33,'MAIN DATA, Orders'!$AC:$AC,"0",'MAIN DATA, Orders'!$AF:$AF,"0")/1000000000)</f>
        <v>0</v>
      </c>
    </row>
    <row r="34" spans="1:6" x14ac:dyDescent="0.35">
      <c r="A34" s="20">
        <v>202204</v>
      </c>
      <c r="B34" s="17">
        <v>44652</v>
      </c>
      <c r="C34" s="15">
        <f>(SUMIFS('MAIN DATA, Orders'!$S:$S,'MAIN DATA, Orders'!$D:$D,"Germany",'MAIN DATA, Orders'!$Y:$Y,$A34,'MAIN DATA, Orders'!$AF:$AF,"0",'MAIN DATA, Orders'!$AH:$AH,"Germany")/1000000000)</f>
        <v>0</v>
      </c>
      <c r="D34" s="15">
        <f>(SUMIFS('MAIN DATA, Orders'!$S:$S,'MAIN DATA, Orders'!$D:$D,"Germany",'MAIN DATA, Orders'!$Y:$Y,$A34,'MAIN DATA, Orders'!$AF:$AF,"1")/1000000000)</f>
        <v>0</v>
      </c>
      <c r="E34" s="15">
        <f>(SUMIFS('MAIN DATA, Orders'!$S:$S,'MAIN DATA, Orders'!$D:$D,"Germany",'MAIN DATA, Orders'!$Y:$Y,$A34,'MAIN DATA, Orders'!$AC:$AC,"1",'MAIN DATA, Orders'!$AF:$AF,"0",'MAIN DATA, Orders'!$AH:$AH,"&lt;&gt;Germany")/1000000000)</f>
        <v>0</v>
      </c>
      <c r="F34" s="15">
        <f>(SUMIFS('MAIN DATA, Orders'!$S:$S,'MAIN DATA, Orders'!$D:$D,"Germany",'MAIN DATA, Orders'!$Y:$Y,$A34,'MAIN DATA, Orders'!$AC:$AC,"0",'MAIN DATA, Orders'!$AF:$AF,"0")/1000000000)</f>
        <v>0.15</v>
      </c>
    </row>
    <row r="35" spans="1:6" x14ac:dyDescent="0.35">
      <c r="A35" s="20">
        <v>202205</v>
      </c>
      <c r="B35" s="17">
        <v>44682</v>
      </c>
      <c r="C35" s="15">
        <f>(SUMIFS('MAIN DATA, Orders'!$S:$S,'MAIN DATA, Orders'!$D:$D,"Germany",'MAIN DATA, Orders'!$Y:$Y,$A35,'MAIN DATA, Orders'!$AF:$AF,"0",'MAIN DATA, Orders'!$AH:$AH,"Germany")/1000000000)</f>
        <v>2.5139</v>
      </c>
      <c r="D35" s="15">
        <f>(SUMIFS('MAIN DATA, Orders'!$S:$S,'MAIN DATA, Orders'!$D:$D,"Germany",'MAIN DATA, Orders'!$Y:$Y,$A35,'MAIN DATA, Orders'!$AF:$AF,"1")/1000000000)</f>
        <v>0</v>
      </c>
      <c r="E35" s="15">
        <f>(SUMIFS('MAIN DATA, Orders'!$S:$S,'MAIN DATA, Orders'!$D:$D,"Germany",'MAIN DATA, Orders'!$Y:$Y,$A35,'MAIN DATA, Orders'!$AC:$AC,"1",'MAIN DATA, Orders'!$AF:$AF,"0",'MAIN DATA, Orders'!$AH:$AH,"&lt;&gt;Germany")/1000000000)</f>
        <v>0</v>
      </c>
      <c r="F35" s="15">
        <f>(SUMIFS('MAIN DATA, Orders'!$S:$S,'MAIN DATA, Orders'!$D:$D,"Germany",'MAIN DATA, Orders'!$Y:$Y,$A35,'MAIN DATA, Orders'!$AC:$AC,"0",'MAIN DATA, Orders'!$AF:$AF,"0")/1000000000)</f>
        <v>0</v>
      </c>
    </row>
    <row r="36" spans="1:6" x14ac:dyDescent="0.35">
      <c r="A36" s="20">
        <v>202206</v>
      </c>
      <c r="B36" s="17">
        <v>44713</v>
      </c>
      <c r="C36" s="15">
        <f>(SUMIFS('MAIN DATA, Orders'!$S:$S,'MAIN DATA, Orders'!$D:$D,"Germany",'MAIN DATA, Orders'!$Y:$Y,$A36,'MAIN DATA, Orders'!$AF:$AF,"0",'MAIN DATA, Orders'!$AH:$AH,"Germany")/1000000000)</f>
        <v>0</v>
      </c>
      <c r="D36" s="15">
        <f>(SUMIFS('MAIN DATA, Orders'!$S:$S,'MAIN DATA, Orders'!$D:$D,"Germany",'MAIN DATA, Orders'!$Y:$Y,$A36,'MAIN DATA, Orders'!$AF:$AF,"1")/1000000000)</f>
        <v>3.5000000000000003E-2</v>
      </c>
      <c r="E36" s="15">
        <f>(SUMIFS('MAIN DATA, Orders'!$S:$S,'MAIN DATA, Orders'!$D:$D,"Germany",'MAIN DATA, Orders'!$Y:$Y,$A36,'MAIN DATA, Orders'!$AC:$AC,"1",'MAIN DATA, Orders'!$AF:$AF,"0",'MAIN DATA, Orders'!$AH:$AH,"&lt;&gt;Germany")/1000000000)</f>
        <v>0</v>
      </c>
      <c r="F36" s="15">
        <f>(SUMIFS('MAIN DATA, Orders'!$S:$S,'MAIN DATA, Orders'!$D:$D,"Germany",'MAIN DATA, Orders'!$Y:$Y,$A36,'MAIN DATA, Orders'!$AC:$AC,"0",'MAIN DATA, Orders'!$AF:$AF,"0")/1000000000)</f>
        <v>0.10100000000000001</v>
      </c>
    </row>
    <row r="37" spans="1:6" x14ac:dyDescent="0.35">
      <c r="A37" s="20">
        <v>202207</v>
      </c>
      <c r="B37" s="17">
        <v>44743</v>
      </c>
      <c r="C37" s="15">
        <f>(SUMIFS('MAIN DATA, Orders'!$S:$S,'MAIN DATA, Orders'!$D:$D,"Germany",'MAIN DATA, Orders'!$Y:$Y,$A37,'MAIN DATA, Orders'!$AF:$AF,"0",'MAIN DATA, Orders'!$AH:$AH,"Germany")/1000000000)</f>
        <v>6.9321000000000002</v>
      </c>
      <c r="D37" s="15">
        <f>(SUMIFS('MAIN DATA, Orders'!$S:$S,'MAIN DATA, Orders'!$D:$D,"Germany",'MAIN DATA, Orders'!$Y:$Y,$A37,'MAIN DATA, Orders'!$AF:$AF,"1")/1000000000)</f>
        <v>0.24199999999999999</v>
      </c>
      <c r="E37" s="15">
        <f>(SUMIFS('MAIN DATA, Orders'!$S:$S,'MAIN DATA, Orders'!$D:$D,"Germany",'MAIN DATA, Orders'!$Y:$Y,$A37,'MAIN DATA, Orders'!$AC:$AC,"1",'MAIN DATA, Orders'!$AF:$AF,"0",'MAIN DATA, Orders'!$AH:$AH,"&lt;&gt;Germany")/1000000000)</f>
        <v>0</v>
      </c>
      <c r="F37" s="15">
        <f>(SUMIFS('MAIN DATA, Orders'!$S:$S,'MAIN DATA, Orders'!$D:$D,"Germany",'MAIN DATA, Orders'!$Y:$Y,$A37,'MAIN DATA, Orders'!$AC:$AC,"0",'MAIN DATA, Orders'!$AF:$AF,"0")/1000000000)</f>
        <v>0.34179999999999999</v>
      </c>
    </row>
    <row r="38" spans="1:6" x14ac:dyDescent="0.35">
      <c r="A38" s="20">
        <v>202208</v>
      </c>
      <c r="B38" s="17">
        <v>44774</v>
      </c>
      <c r="C38" s="15">
        <f>(SUMIFS('MAIN DATA, Orders'!$S:$S,'MAIN DATA, Orders'!$D:$D,"Germany",'MAIN DATA, Orders'!$Y:$Y,$A38,'MAIN DATA, Orders'!$AF:$AF,"0",'MAIN DATA, Orders'!$AH:$AH,"Germany")/1000000000)</f>
        <v>0</v>
      </c>
      <c r="D38" s="15">
        <f>(SUMIFS('MAIN DATA, Orders'!$S:$S,'MAIN DATA, Orders'!$D:$D,"Germany",'MAIN DATA, Orders'!$Y:$Y,$A38,'MAIN DATA, Orders'!$AF:$AF,"1")/1000000000)</f>
        <v>0</v>
      </c>
      <c r="E38" s="15">
        <f>(SUMIFS('MAIN DATA, Orders'!$S:$S,'MAIN DATA, Orders'!$D:$D,"Germany",'MAIN DATA, Orders'!$Y:$Y,$A38,'MAIN DATA, Orders'!$AC:$AC,"1",'MAIN DATA, Orders'!$AF:$AF,"0",'MAIN DATA, Orders'!$AH:$AH,"&lt;&gt;Germany")/1000000000)</f>
        <v>0</v>
      </c>
      <c r="F38" s="15">
        <f>(SUMIFS('MAIN DATA, Orders'!$S:$S,'MAIN DATA, Orders'!$D:$D,"Germany",'MAIN DATA, Orders'!$Y:$Y,$A38,'MAIN DATA, Orders'!$AC:$AC,"0",'MAIN DATA, Orders'!$AF:$AF,"0")/1000000000)</f>
        <v>0</v>
      </c>
    </row>
    <row r="39" spans="1:6" x14ac:dyDescent="0.35">
      <c r="A39" s="20">
        <v>202209</v>
      </c>
      <c r="B39" s="17">
        <v>44805</v>
      </c>
      <c r="C39" s="15">
        <f>(SUMIFS('MAIN DATA, Orders'!$S:$S,'MAIN DATA, Orders'!$D:$D,"Germany",'MAIN DATA, Orders'!$Y:$Y,$A39,'MAIN DATA, Orders'!$AF:$AF,"0",'MAIN DATA, Orders'!$AH:$AH,"Germany")/1000000000)</f>
        <v>0</v>
      </c>
      <c r="D39" s="15">
        <f>(SUMIFS('MAIN DATA, Orders'!$S:$S,'MAIN DATA, Orders'!$D:$D,"Germany",'MAIN DATA, Orders'!$Y:$Y,$A39,'MAIN DATA, Orders'!$AF:$AF,"1")/1000000000)</f>
        <v>0.63700000000000001</v>
      </c>
      <c r="E39" s="15">
        <f>(SUMIFS('MAIN DATA, Orders'!$S:$S,'MAIN DATA, Orders'!$D:$D,"Germany",'MAIN DATA, Orders'!$Y:$Y,$A39,'MAIN DATA, Orders'!$AC:$AC,"1",'MAIN DATA, Orders'!$AF:$AF,"0",'MAIN DATA, Orders'!$AH:$AH,"&lt;&gt;Germany")/1000000000)</f>
        <v>0</v>
      </c>
      <c r="F39" s="15">
        <f>(SUMIFS('MAIN DATA, Orders'!$S:$S,'MAIN DATA, Orders'!$D:$D,"Germany",'MAIN DATA, Orders'!$Y:$Y,$A39,'MAIN DATA, Orders'!$AC:$AC,"0",'MAIN DATA, Orders'!$AF:$AF,"0")/1000000000)</f>
        <v>0</v>
      </c>
    </row>
    <row r="40" spans="1:6" x14ac:dyDescent="0.35">
      <c r="A40" s="20">
        <v>202210</v>
      </c>
      <c r="B40" s="17">
        <v>44835</v>
      </c>
      <c r="C40" s="15">
        <f>(SUMIFS('MAIN DATA, Orders'!$S:$S,'MAIN DATA, Orders'!$D:$D,"Germany",'MAIN DATA, Orders'!$Y:$Y,$A40,'MAIN DATA, Orders'!$AF:$AF,"0",'MAIN DATA, Orders'!$AH:$AH,"Germany")/1000000000)</f>
        <v>0.10489999999999999</v>
      </c>
      <c r="D40" s="15">
        <f>(SUMIFS('MAIN DATA, Orders'!$S:$S,'MAIN DATA, Orders'!$D:$D,"Germany",'MAIN DATA, Orders'!$Y:$Y,$A40,'MAIN DATA, Orders'!$AF:$AF,"1")/1000000000)</f>
        <v>0</v>
      </c>
      <c r="E40" s="15">
        <f>(SUMIFS('MAIN DATA, Orders'!$S:$S,'MAIN DATA, Orders'!$D:$D,"Germany",'MAIN DATA, Orders'!$Y:$Y,$A40,'MAIN DATA, Orders'!$AC:$AC,"1",'MAIN DATA, Orders'!$AF:$AF,"0",'MAIN DATA, Orders'!$AH:$AH,"&lt;&gt;Germany")/1000000000)</f>
        <v>0</v>
      </c>
      <c r="F40" s="15">
        <f>(SUMIFS('MAIN DATA, Orders'!$S:$S,'MAIN DATA, Orders'!$D:$D,"Germany",'MAIN DATA, Orders'!$Y:$Y,$A40,'MAIN DATA, Orders'!$AC:$AC,"0",'MAIN DATA, Orders'!$AF:$AF,"0")/1000000000)</f>
        <v>0</v>
      </c>
    </row>
    <row r="41" spans="1:6" x14ac:dyDescent="0.35">
      <c r="A41" s="20">
        <v>202211</v>
      </c>
      <c r="B41" s="17">
        <v>44866</v>
      </c>
      <c r="C41" s="15">
        <f>(SUMIFS('MAIN DATA, Orders'!$S:$S,'MAIN DATA, Orders'!$D:$D,"Germany",'MAIN DATA, Orders'!$Y:$Y,$A41,'MAIN DATA, Orders'!$AF:$AF,"0",'MAIN DATA, Orders'!$AH:$AH,"Germany")/1000000000)</f>
        <v>0.05</v>
      </c>
      <c r="D41" s="15">
        <f>(SUMIFS('MAIN DATA, Orders'!$S:$S,'MAIN DATA, Orders'!$D:$D,"Germany",'MAIN DATA, Orders'!$Y:$Y,$A41,'MAIN DATA, Orders'!$AF:$AF,"1")/1000000000)</f>
        <v>2.3199999999999998E-2</v>
      </c>
      <c r="E41" s="15">
        <f>(SUMIFS('MAIN DATA, Orders'!$S:$S,'MAIN DATA, Orders'!$D:$D,"Germany",'MAIN DATA, Orders'!$Y:$Y,$A41,'MAIN DATA, Orders'!$AC:$AC,"1",'MAIN DATA, Orders'!$AF:$AF,"0",'MAIN DATA, Orders'!$AH:$AH,"&lt;&gt;Germany")/1000000000)</f>
        <v>0</v>
      </c>
      <c r="F41" s="15">
        <f>(SUMIFS('MAIN DATA, Orders'!$S:$S,'MAIN DATA, Orders'!$D:$D,"Germany",'MAIN DATA, Orders'!$Y:$Y,$A41,'MAIN DATA, Orders'!$AC:$AC,"0",'MAIN DATA, Orders'!$AF:$AF,"0")/1000000000)</f>
        <v>0</v>
      </c>
    </row>
    <row r="42" spans="1:6" x14ac:dyDescent="0.35">
      <c r="A42" s="20">
        <v>202212</v>
      </c>
      <c r="B42" s="17">
        <v>44896</v>
      </c>
      <c r="C42" s="15">
        <f>(SUMIFS('MAIN DATA, Orders'!$S:$S,'MAIN DATA, Orders'!$D:$D,"Germany",'MAIN DATA, Orders'!$Y:$Y,$A42,'MAIN DATA, Orders'!$AF:$AF,"0",'MAIN DATA, Orders'!$AH:$AH,"Germany")/1000000000)</f>
        <v>1.179</v>
      </c>
      <c r="D42" s="15">
        <f>(SUMIFS('MAIN DATA, Orders'!$S:$S,'MAIN DATA, Orders'!$D:$D,"Germany",'MAIN DATA, Orders'!$Y:$Y,$A42,'MAIN DATA, Orders'!$AF:$AF,"1")/1000000000)</f>
        <v>0</v>
      </c>
      <c r="E42" s="15">
        <f>(SUMIFS('MAIN DATA, Orders'!$S:$S,'MAIN DATA, Orders'!$D:$D,"Germany",'MAIN DATA, Orders'!$Y:$Y,$A42,'MAIN DATA, Orders'!$AC:$AC,"1",'MAIN DATA, Orders'!$AF:$AF,"0",'MAIN DATA, Orders'!$AH:$AH,"&lt;&gt;Germany")/1000000000)</f>
        <v>0.40500000000000003</v>
      </c>
      <c r="F42" s="15">
        <f>(SUMIFS('MAIN DATA, Orders'!$S:$S,'MAIN DATA, Orders'!$D:$D,"Germany",'MAIN DATA, Orders'!$Y:$Y,$A42,'MAIN DATA, Orders'!$AC:$AC,"0",'MAIN DATA, Orders'!$AF:$AF,"0")/1000000000)</f>
        <v>8.3000000000000007</v>
      </c>
    </row>
    <row r="43" spans="1:6" x14ac:dyDescent="0.35">
      <c r="A43" s="20">
        <v>202301</v>
      </c>
      <c r="B43" s="17">
        <v>44927</v>
      </c>
      <c r="C43" s="15">
        <f>(SUMIFS('MAIN DATA, Orders'!$S:$S,'MAIN DATA, Orders'!$D:$D,"Germany",'MAIN DATA, Orders'!$Y:$Y,$A43,'MAIN DATA, Orders'!$AF:$AF,"0",'MAIN DATA, Orders'!$AH:$AH,"Germany")/1000000000)</f>
        <v>0</v>
      </c>
      <c r="D43" s="15">
        <f>(SUMIFS('MAIN DATA, Orders'!$S:$S,'MAIN DATA, Orders'!$D:$D,"Germany",'MAIN DATA, Orders'!$Y:$Y,$A43,'MAIN DATA, Orders'!$AF:$AF,"1")/1000000000)</f>
        <v>0</v>
      </c>
      <c r="E43" s="15">
        <f>(SUMIFS('MAIN DATA, Orders'!$S:$S,'MAIN DATA, Orders'!$D:$D,"Germany",'MAIN DATA, Orders'!$Y:$Y,$A43,'MAIN DATA, Orders'!$AC:$AC,"1",'MAIN DATA, Orders'!$AF:$AF,"0",'MAIN DATA, Orders'!$AH:$AH,"&lt;&gt;Germany")/1000000000)</f>
        <v>0</v>
      </c>
      <c r="F43" s="15">
        <f>(SUMIFS('MAIN DATA, Orders'!$S:$S,'MAIN DATA, Orders'!$D:$D,"Germany",'MAIN DATA, Orders'!$Y:$Y,$A43,'MAIN DATA, Orders'!$AC:$AC,"0",'MAIN DATA, Orders'!$AF:$AF,"0")/1000000000)</f>
        <v>0</v>
      </c>
    </row>
    <row r="44" spans="1:6" x14ac:dyDescent="0.35">
      <c r="A44" s="20">
        <v>202302</v>
      </c>
      <c r="B44" s="17">
        <v>44958</v>
      </c>
      <c r="C44" s="15">
        <f>(SUMIFS('MAIN DATA, Orders'!$S:$S,'MAIN DATA, Orders'!$D:$D,"Germany",'MAIN DATA, Orders'!$Y:$Y,$A44,'MAIN DATA, Orders'!$AF:$AF,"0",'MAIN DATA, Orders'!$AH:$AH,"Germany")/1000000000)</f>
        <v>0.2208</v>
      </c>
      <c r="D44" s="15">
        <f>(SUMIFS('MAIN DATA, Orders'!$S:$S,'MAIN DATA, Orders'!$D:$D,"Germany",'MAIN DATA, Orders'!$Y:$Y,$A44,'MAIN DATA, Orders'!$AF:$AF,"1")/1000000000)</f>
        <v>0</v>
      </c>
      <c r="E44" s="15">
        <f>(SUMIFS('MAIN DATA, Orders'!$S:$S,'MAIN DATA, Orders'!$D:$D,"Germany",'MAIN DATA, Orders'!$Y:$Y,$A44,'MAIN DATA, Orders'!$AC:$AC,"1",'MAIN DATA, Orders'!$AF:$AF,"0",'MAIN DATA, Orders'!$AH:$AH,"&lt;&gt;Germany")/1000000000)</f>
        <v>0</v>
      </c>
      <c r="F44" s="15">
        <f>(SUMIFS('MAIN DATA, Orders'!$S:$S,'MAIN DATA, Orders'!$D:$D,"Germany",'MAIN DATA, Orders'!$Y:$Y,$A44,'MAIN DATA, Orders'!$AC:$AC,"0",'MAIN DATA, Orders'!$AF:$AF,"0")/1000000000)</f>
        <v>0</v>
      </c>
    </row>
    <row r="45" spans="1:6" x14ac:dyDescent="0.35">
      <c r="A45" s="20">
        <v>202303</v>
      </c>
      <c r="B45" s="17">
        <v>44986</v>
      </c>
      <c r="C45" s="15">
        <f>(SUMIFS('MAIN DATA, Orders'!$S:$S,'MAIN DATA, Orders'!$D:$D,"Germany",'MAIN DATA, Orders'!$Y:$Y,$A45,'MAIN DATA, Orders'!$AF:$AF,"0",'MAIN DATA, Orders'!$AH:$AH,"Germany")/1000000000)</f>
        <v>0.22600000000000001</v>
      </c>
      <c r="D45" s="15">
        <f>(SUMIFS('MAIN DATA, Orders'!$S:$S,'MAIN DATA, Orders'!$D:$D,"Germany",'MAIN DATA, Orders'!$Y:$Y,$A45,'MAIN DATA, Orders'!$AF:$AF,"1")/1000000000)</f>
        <v>1.1484000000000001</v>
      </c>
      <c r="E45" s="15">
        <f>(SUMIFS('MAIN DATA, Orders'!$S:$S,'MAIN DATA, Orders'!$D:$D,"Germany",'MAIN DATA, Orders'!$Y:$Y,$A45,'MAIN DATA, Orders'!$AC:$AC,"1",'MAIN DATA, Orders'!$AF:$AF,"0",'MAIN DATA, Orders'!$AH:$AH,"&lt;&gt;Germany")/1000000000)</f>
        <v>0</v>
      </c>
      <c r="F45" s="15">
        <f>(SUMIFS('MAIN DATA, Orders'!$S:$S,'MAIN DATA, Orders'!$D:$D,"Germany",'MAIN DATA, Orders'!$Y:$Y,$A45,'MAIN DATA, Orders'!$AC:$AC,"0",'MAIN DATA, Orders'!$AF:$AF,"0")/1000000000)</f>
        <v>0</v>
      </c>
    </row>
    <row r="46" spans="1:6" x14ac:dyDescent="0.35">
      <c r="A46" s="20">
        <v>202304</v>
      </c>
      <c r="B46" s="17">
        <v>45017</v>
      </c>
      <c r="C46" s="15">
        <f>(SUMIFS('MAIN DATA, Orders'!$S:$S,'MAIN DATA, Orders'!$D:$D,"Germany",'MAIN DATA, Orders'!$Y:$Y,$A46,'MAIN DATA, Orders'!$AF:$AF,"0",'MAIN DATA, Orders'!$AH:$AH,"Germany")/1000000000)</f>
        <v>5.0999999999999997E-2</v>
      </c>
      <c r="D46" s="15">
        <f>(SUMIFS('MAIN DATA, Orders'!$S:$S,'MAIN DATA, Orders'!$D:$D,"Germany",'MAIN DATA, Orders'!$Y:$Y,$A46,'MAIN DATA, Orders'!$AF:$AF,"1")/1000000000)</f>
        <v>0.26900000000000002</v>
      </c>
      <c r="E46" s="15">
        <f>(SUMIFS('MAIN DATA, Orders'!$S:$S,'MAIN DATA, Orders'!$D:$D,"Germany",'MAIN DATA, Orders'!$Y:$Y,$A46,'MAIN DATA, Orders'!$AC:$AC,"1",'MAIN DATA, Orders'!$AF:$AF,"0",'MAIN DATA, Orders'!$AH:$AH,"&lt;&gt;Germany")/1000000000)</f>
        <v>0</v>
      </c>
      <c r="F46" s="15">
        <f>(SUMIFS('MAIN DATA, Orders'!$S:$S,'MAIN DATA, Orders'!$D:$D,"Germany",'MAIN DATA, Orders'!$Y:$Y,$A46,'MAIN DATA, Orders'!$AC:$AC,"0",'MAIN DATA, Orders'!$AF:$AF,"0")/1000000000)</f>
        <v>0</v>
      </c>
    </row>
    <row r="47" spans="1:6" x14ac:dyDescent="0.35">
      <c r="A47" s="20">
        <v>202305</v>
      </c>
      <c r="B47" s="17">
        <v>45047</v>
      </c>
      <c r="C47" s="15">
        <f>(SUMIFS('MAIN DATA, Orders'!$S:$S,'MAIN DATA, Orders'!$D:$D,"Germany",'MAIN DATA, Orders'!$Y:$Y,$A47,'MAIN DATA, Orders'!$AF:$AF,"0",'MAIN DATA, Orders'!$AH:$AH,"Germany")/1000000000)</f>
        <v>1.8032999999999999</v>
      </c>
      <c r="D47" s="15">
        <f>(SUMIFS('MAIN DATA, Orders'!$S:$S,'MAIN DATA, Orders'!$D:$D,"Germany",'MAIN DATA, Orders'!$Y:$Y,$A47,'MAIN DATA, Orders'!$AF:$AF,"1")/1000000000)</f>
        <v>0</v>
      </c>
      <c r="E47" s="15">
        <f>(SUMIFS('MAIN DATA, Orders'!$S:$S,'MAIN DATA, Orders'!$D:$D,"Germany",'MAIN DATA, Orders'!$Y:$Y,$A47,'MAIN DATA, Orders'!$AC:$AC,"1",'MAIN DATA, Orders'!$AF:$AF,"0",'MAIN DATA, Orders'!$AH:$AH,"&lt;&gt;Germany")/1000000000)</f>
        <v>0</v>
      </c>
      <c r="F47" s="15">
        <f>(SUMIFS('MAIN DATA, Orders'!$S:$S,'MAIN DATA, Orders'!$D:$D,"Germany",'MAIN DATA, Orders'!$Y:$Y,$A47,'MAIN DATA, Orders'!$AC:$AC,"0",'MAIN DATA, Orders'!$AF:$AF,"0")/1000000000)</f>
        <v>0.18</v>
      </c>
    </row>
    <row r="48" spans="1:6" x14ac:dyDescent="0.35">
      <c r="A48" s="20">
        <v>202306</v>
      </c>
      <c r="B48" s="17">
        <v>45078</v>
      </c>
      <c r="C48" s="15">
        <f>(SUMIFS('MAIN DATA, Orders'!$S:$S,'MAIN DATA, Orders'!$D:$D,"Germany",'MAIN DATA, Orders'!$Y:$Y,$A48,'MAIN DATA, Orders'!$AF:$AF,"0",'MAIN DATA, Orders'!$AH:$AH,"Germany")/1000000000)</f>
        <v>1.8532</v>
      </c>
      <c r="D48" s="15">
        <f>(SUMIFS('MAIN DATA, Orders'!$S:$S,'MAIN DATA, Orders'!$D:$D,"Germany",'MAIN DATA, Orders'!$Y:$Y,$A48,'MAIN DATA, Orders'!$AF:$AF,"1")/1000000000)</f>
        <v>0</v>
      </c>
      <c r="E48" s="15">
        <f>(SUMIFS('MAIN DATA, Orders'!$S:$S,'MAIN DATA, Orders'!$D:$D,"Germany",'MAIN DATA, Orders'!$Y:$Y,$A48,'MAIN DATA, Orders'!$AC:$AC,"1",'MAIN DATA, Orders'!$AF:$AF,"0",'MAIN DATA, Orders'!$AH:$AH,"&lt;&gt;Germany")/1000000000)</f>
        <v>0</v>
      </c>
      <c r="F48" s="15">
        <f>(SUMIFS('MAIN DATA, Orders'!$S:$S,'MAIN DATA, Orders'!$D:$D,"Germany",'MAIN DATA, Orders'!$Y:$Y,$A48,'MAIN DATA, Orders'!$AC:$AC,"0",'MAIN DATA, Orders'!$AF:$AF,"0")/1000000000)</f>
        <v>0</v>
      </c>
    </row>
    <row r="49" spans="1:8" x14ac:dyDescent="0.35">
      <c r="A49" s="20">
        <v>202307</v>
      </c>
      <c r="B49" s="17">
        <v>45108</v>
      </c>
      <c r="C49" s="15">
        <f>(SUMIFS('MAIN DATA, Orders'!$S:$S,'MAIN DATA, Orders'!$D:$D,"Germany",'MAIN DATA, Orders'!$Y:$Y,$A49,'MAIN DATA, Orders'!$AF:$AF,"0",'MAIN DATA, Orders'!$AH:$AH,"Germany")/1000000000)</f>
        <v>2.7376</v>
      </c>
      <c r="D49" s="15">
        <f>(SUMIFS('MAIN DATA, Orders'!$S:$S,'MAIN DATA, Orders'!$D:$D,"Germany",'MAIN DATA, Orders'!$Y:$Y,$A49,'MAIN DATA, Orders'!$AF:$AF,"1")/1000000000)</f>
        <v>2.7300000000000001E-2</v>
      </c>
      <c r="E49" s="15">
        <f>(SUMIFS('MAIN DATA, Orders'!$S:$S,'MAIN DATA, Orders'!$D:$D,"Germany",'MAIN DATA, Orders'!$Y:$Y,$A49,'MAIN DATA, Orders'!$AC:$AC,"1",'MAIN DATA, Orders'!$AF:$AF,"0",'MAIN DATA, Orders'!$AH:$AH,"&lt;&gt;Germany")/1000000000)</f>
        <v>0</v>
      </c>
      <c r="F49" s="15">
        <f>(SUMIFS('MAIN DATA, Orders'!$S:$S,'MAIN DATA, Orders'!$D:$D,"Germany",'MAIN DATA, Orders'!$Y:$Y,$A49,'MAIN DATA, Orders'!$AC:$AC,"0",'MAIN DATA, Orders'!$AF:$AF,"0")/1000000000)</f>
        <v>6.98</v>
      </c>
      <c r="H49" s="3"/>
    </row>
    <row r="50" spans="1:8" x14ac:dyDescent="0.35">
      <c r="A50" s="20">
        <v>202308</v>
      </c>
      <c r="B50" s="17">
        <v>45139</v>
      </c>
      <c r="C50" s="15">
        <f>(SUMIFS('MAIN DATA, Orders'!$S:$S,'MAIN DATA, Orders'!$D:$D,"Germany",'MAIN DATA, Orders'!$Y:$Y,$A50,'MAIN DATA, Orders'!$AF:$AF,"0",'MAIN DATA, Orders'!$AH:$AH,"Germany")/1000000000)</f>
        <v>0</v>
      </c>
      <c r="D50" s="15">
        <f>(SUMIFS('MAIN DATA, Orders'!$S:$S,'MAIN DATA, Orders'!$D:$D,"Germany",'MAIN DATA, Orders'!$Y:$Y,$A50,'MAIN DATA, Orders'!$AF:$AF,"1")/1000000000)</f>
        <v>0</v>
      </c>
      <c r="E50" s="15">
        <f>(SUMIFS('MAIN DATA, Orders'!$S:$S,'MAIN DATA, Orders'!$D:$D,"Germany",'MAIN DATA, Orders'!$Y:$Y,$A50,'MAIN DATA, Orders'!$AC:$AC,"1",'MAIN DATA, Orders'!$AF:$AF,"0",'MAIN DATA, Orders'!$AH:$AH,"&lt;&gt;Germany")/1000000000)</f>
        <v>0</v>
      </c>
      <c r="F50" s="15">
        <f>(SUMIFS('MAIN DATA, Orders'!$S:$S,'MAIN DATA, Orders'!$D:$D,"Germany",'MAIN DATA, Orders'!$Y:$Y,$A50,'MAIN DATA, Orders'!$AC:$AC,"0",'MAIN DATA, Orders'!$AF:$AF,"0")/1000000000)</f>
        <v>0</v>
      </c>
      <c r="H50" s="3"/>
    </row>
    <row r="51" spans="1:8" x14ac:dyDescent="0.35">
      <c r="A51" s="20">
        <v>202309</v>
      </c>
      <c r="B51" s="17">
        <v>45170</v>
      </c>
      <c r="C51" s="15">
        <f>(SUMIFS('MAIN DATA, Orders'!$S:$S,'MAIN DATA, Orders'!$D:$D,"Germany",'MAIN DATA, Orders'!$Y:$Y,$A51,'MAIN DATA, Orders'!$AF:$AF,"0",'MAIN DATA, Orders'!$AH:$AH,"Germany")/1000000000)</f>
        <v>0.23860000000000001</v>
      </c>
      <c r="D51" s="15">
        <f>(SUMIFS('MAIN DATA, Orders'!$S:$S,'MAIN DATA, Orders'!$D:$D,"Germany",'MAIN DATA, Orders'!$Y:$Y,$A51,'MAIN DATA, Orders'!$AF:$AF,"1")/1000000000)</f>
        <v>0.19769999999999999</v>
      </c>
      <c r="E51" s="15">
        <f>(SUMIFS('MAIN DATA, Orders'!$S:$S,'MAIN DATA, Orders'!$D:$D,"Germany",'MAIN DATA, Orders'!$Y:$Y,$A51,'MAIN DATA, Orders'!$AC:$AC,"1",'MAIN DATA, Orders'!$AF:$AF,"0",'MAIN DATA, Orders'!$AH:$AH,"&lt;&gt;Germany")/1000000000)</f>
        <v>0</v>
      </c>
      <c r="F51" s="15">
        <f>(SUMIFS('MAIN DATA, Orders'!$S:$S,'MAIN DATA, Orders'!$D:$D,"Germany",'MAIN DATA, Orders'!$Y:$Y,$A51,'MAIN DATA, Orders'!$AC:$AC,"0",'MAIN DATA, Orders'!$AF:$AF,"0")/1000000000)</f>
        <v>0</v>
      </c>
      <c r="H51" s="3"/>
    </row>
    <row r="52" spans="1:8" x14ac:dyDescent="0.35">
      <c r="A52" s="20">
        <v>202310</v>
      </c>
      <c r="B52" s="17">
        <v>45200</v>
      </c>
      <c r="C52" s="15">
        <f>(SUMIFS('MAIN DATA, Orders'!$S:$S,'MAIN DATA, Orders'!$D:$D,"Germany",'MAIN DATA, Orders'!$Y:$Y,$A52,'MAIN DATA, Orders'!$AF:$AF,"0",'MAIN DATA, Orders'!$AH:$AH,"Germany")/1000000000)</f>
        <v>0.19800000000000001</v>
      </c>
      <c r="D52" s="15">
        <f>(SUMIFS('MAIN DATA, Orders'!$S:$S,'MAIN DATA, Orders'!$D:$D,"Germany",'MAIN DATA, Orders'!$Y:$Y,$A52,'MAIN DATA, Orders'!$AF:$AF,"1")/1000000000)</f>
        <v>4</v>
      </c>
      <c r="E52" s="15">
        <f>(SUMIFS('MAIN DATA, Orders'!$S:$S,'MAIN DATA, Orders'!$D:$D,"Germany",'MAIN DATA, Orders'!$Y:$Y,$A52,'MAIN DATA, Orders'!$AC:$AC,"1",'MAIN DATA, Orders'!$AF:$AF,"0",'MAIN DATA, Orders'!$AH:$AH,"&lt;&gt;Germany")/1000000000)</f>
        <v>0</v>
      </c>
      <c r="F52" s="15">
        <f>(SUMIFS('MAIN DATA, Orders'!$S:$S,'MAIN DATA, Orders'!$D:$D,"Germany",'MAIN DATA, Orders'!$Y:$Y,$A52,'MAIN DATA, Orders'!$AC:$AC,"0",'MAIN DATA, Orders'!$AF:$AF,"0")/1000000000)</f>
        <v>9.1999999999999998E-2</v>
      </c>
      <c r="H52" s="3"/>
    </row>
    <row r="53" spans="1:8" x14ac:dyDescent="0.35">
      <c r="A53" s="20">
        <v>202311</v>
      </c>
      <c r="B53" s="17">
        <v>45231</v>
      </c>
      <c r="C53" s="15">
        <f>(SUMIFS('MAIN DATA, Orders'!$S:$S,'MAIN DATA, Orders'!$D:$D,"Germany",'MAIN DATA, Orders'!$Y:$Y,$A53,'MAIN DATA, Orders'!$AF:$AF,"0",'MAIN DATA, Orders'!$AH:$AH,"Germany")/1000000000)</f>
        <v>13.7913</v>
      </c>
      <c r="D53" s="15">
        <f>(SUMIFS('MAIN DATA, Orders'!$S:$S,'MAIN DATA, Orders'!$D:$D,"Germany",'MAIN DATA, Orders'!$Y:$Y,$A53,'MAIN DATA, Orders'!$AF:$AF,"1")/1000000000)</f>
        <v>5.8999999999999997E-2</v>
      </c>
      <c r="E53" s="15">
        <f>(SUMIFS('MAIN DATA, Orders'!$S:$S,'MAIN DATA, Orders'!$D:$D,"Germany",'MAIN DATA, Orders'!$Y:$Y,$A53,'MAIN DATA, Orders'!$AC:$AC,"1",'MAIN DATA, Orders'!$AF:$AF,"0",'MAIN DATA, Orders'!$AH:$AH,"&lt;&gt;Germany")/1000000000)</f>
        <v>0</v>
      </c>
      <c r="F53" s="15">
        <f>(SUMIFS('MAIN DATA, Orders'!$S:$S,'MAIN DATA, Orders'!$D:$D,"Germany",'MAIN DATA, Orders'!$Y:$Y,$A53,'MAIN DATA, Orders'!$AC:$AC,"0",'MAIN DATA, Orders'!$AF:$AF,"0")/1000000000)</f>
        <v>1.1000000000000001</v>
      </c>
      <c r="H53" s="3"/>
    </row>
    <row r="54" spans="1:8" x14ac:dyDescent="0.35">
      <c r="A54" s="20">
        <v>202312</v>
      </c>
      <c r="B54" s="17">
        <v>45261</v>
      </c>
      <c r="C54" s="15">
        <f>(SUMIFS('MAIN DATA, Orders'!$S:$S,'MAIN DATA, Orders'!$D:$D,"Germany",'MAIN DATA, Orders'!$Y:$Y,$A54,'MAIN DATA, Orders'!$AF:$AF,"0",'MAIN DATA, Orders'!$AH:$AH,"Germany")/1000000000)</f>
        <v>0.13458000000000001</v>
      </c>
      <c r="D54" s="15">
        <f>(SUMIFS('MAIN DATA, Orders'!$S:$S,'MAIN DATA, Orders'!$D:$D,"Germany",'MAIN DATA, Orders'!$Y:$Y,$A54,'MAIN DATA, Orders'!$AF:$AF,"1")/1000000000)</f>
        <v>5.8388999999999998</v>
      </c>
      <c r="E54" s="15">
        <f>(SUMIFS('MAIN DATA, Orders'!$S:$S,'MAIN DATA, Orders'!$D:$D,"Germany",'MAIN DATA, Orders'!$Y:$Y,$A54,'MAIN DATA, Orders'!$AC:$AC,"1",'MAIN DATA, Orders'!$AF:$AF,"0",'MAIN DATA, Orders'!$AH:$AH,"&lt;&gt;Germany")/1000000000)</f>
        <v>0.27800000000000002</v>
      </c>
      <c r="F54" s="15">
        <f>(SUMIFS('MAIN DATA, Orders'!$S:$S,'MAIN DATA, Orders'!$D:$D,"Germany",'MAIN DATA, Orders'!$Y:$Y,$A54,'MAIN DATA, Orders'!$AC:$AC,"0",'MAIN DATA, Orders'!$AF:$AF,"0")/1000000000)</f>
        <v>0</v>
      </c>
      <c r="H54" s="3"/>
    </row>
    <row r="55" spans="1:8" x14ac:dyDescent="0.35">
      <c r="A55" s="20">
        <v>202401</v>
      </c>
      <c r="B55" s="17">
        <v>45292</v>
      </c>
      <c r="C55" s="15">
        <f>(SUMIFS('MAIN DATA, Orders'!$S:$S,'MAIN DATA, Orders'!$D:$D,"Germany",'MAIN DATA, Orders'!$Y:$Y,$A55,'MAIN DATA, Orders'!$AF:$AF,"0",'MAIN DATA, Orders'!$AH:$AH,"Germany")/1000000000)</f>
        <v>1.23</v>
      </c>
      <c r="D55" s="15">
        <f>(SUMIFS('MAIN DATA, Orders'!$S:$S,'MAIN DATA, Orders'!$D:$D,"Germany",'MAIN DATA, Orders'!$Y:$Y,$A55,'MAIN DATA, Orders'!$AF:$AF,"1")/1000000000)</f>
        <v>0</v>
      </c>
      <c r="E55" s="15">
        <f>(SUMIFS('MAIN DATA, Orders'!$S:$S,'MAIN DATA, Orders'!$D:$D,"Germany",'MAIN DATA, Orders'!$Y:$Y,$A55,'MAIN DATA, Orders'!$AC:$AC,"1",'MAIN DATA, Orders'!$AF:$AF,"0",'MAIN DATA, Orders'!$AH:$AH,"&lt;&gt;Germany")/1000000000)</f>
        <v>0</v>
      </c>
      <c r="F55" s="15">
        <f>(SUMIFS('MAIN DATA, Orders'!$S:$S,'MAIN DATA, Orders'!$D:$D,"Germany",'MAIN DATA, Orders'!$Y:$Y,$A55,'MAIN DATA, Orders'!$AC:$AC,"0",'MAIN DATA, Orders'!$AF:$AF,"0")/1000000000)</f>
        <v>0</v>
      </c>
      <c r="H55" s="3"/>
    </row>
    <row r="56" spans="1:8" x14ac:dyDescent="0.35">
      <c r="A56" s="20">
        <v>202402</v>
      </c>
      <c r="B56" s="17">
        <v>45323</v>
      </c>
      <c r="C56" s="15">
        <f>(SUMIFS('MAIN DATA, Orders'!$S:$S,'MAIN DATA, Orders'!$D:$D,"Germany",'MAIN DATA, Orders'!$Y:$Y,$A56,'MAIN DATA, Orders'!$AF:$AF,"0",'MAIN DATA, Orders'!$AH:$AH,"Germany")/1000000000)</f>
        <v>2.8490000000000002</v>
      </c>
      <c r="D56" s="15">
        <f>(SUMIFS('MAIN DATA, Orders'!$S:$S,'MAIN DATA, Orders'!$D:$D,"Germany",'MAIN DATA, Orders'!$Y:$Y,$A56,'MAIN DATA, Orders'!$AF:$AF,"1")/1000000000)</f>
        <v>0</v>
      </c>
      <c r="E56" s="15">
        <f>(SUMIFS('MAIN DATA, Orders'!$S:$S,'MAIN DATA, Orders'!$D:$D,"Germany",'MAIN DATA, Orders'!$Y:$Y,$A56,'MAIN DATA, Orders'!$AC:$AC,"1",'MAIN DATA, Orders'!$AF:$AF,"0",'MAIN DATA, Orders'!$AH:$AH,"&lt;&gt;Germany")/1000000000)</f>
        <v>0</v>
      </c>
      <c r="F56" s="15">
        <f>(SUMIFS('MAIN DATA, Orders'!$S:$S,'MAIN DATA, Orders'!$D:$D,"Germany",'MAIN DATA, Orders'!$Y:$Y,$A56,'MAIN DATA, Orders'!$AC:$AC,"0",'MAIN DATA, Orders'!$AF:$AF,"0")/1000000000)</f>
        <v>0</v>
      </c>
      <c r="H56" s="3"/>
    </row>
    <row r="57" spans="1:8" x14ac:dyDescent="0.35">
      <c r="A57" s="20">
        <v>202403</v>
      </c>
      <c r="B57" s="17">
        <v>45352</v>
      </c>
      <c r="C57" s="15">
        <f>(SUMIFS('MAIN DATA, Orders'!$S:$S,'MAIN DATA, Orders'!$D:$D,"Germany",'MAIN DATA, Orders'!$Y:$Y,$A57,'MAIN DATA, Orders'!$AF:$AF,"0",'MAIN DATA, Orders'!$AH:$AH,"Germany")/1000000000)</f>
        <v>2.7679</v>
      </c>
      <c r="D57" s="15">
        <f>(SUMIFS('MAIN DATA, Orders'!$S:$S,'MAIN DATA, Orders'!$D:$D,"Germany",'MAIN DATA, Orders'!$Y:$Y,$A57,'MAIN DATA, Orders'!$AF:$AF,"1")/1000000000)</f>
        <v>0.26400000000000001</v>
      </c>
      <c r="E57" s="15">
        <f>(SUMIFS('MAIN DATA, Orders'!$S:$S,'MAIN DATA, Orders'!$D:$D,"Germany",'MAIN DATA, Orders'!$Y:$Y,$A57,'MAIN DATA, Orders'!$AC:$AC,"1",'MAIN DATA, Orders'!$AF:$AF,"0",'MAIN DATA, Orders'!$AH:$AH,"&lt;&gt;Germany")/1000000000)</f>
        <v>0</v>
      </c>
      <c r="F57" s="15">
        <f>(SUMIFS('MAIN DATA, Orders'!$S:$S,'MAIN DATA, Orders'!$D:$D,"Germany",'MAIN DATA, Orders'!$Y:$Y,$A57,'MAIN DATA, Orders'!$AC:$AC,"0",'MAIN DATA, Orders'!$AF:$AF,"0")/1000000000)</f>
        <v>1.4</v>
      </c>
      <c r="H57" s="3"/>
    </row>
    <row r="58" spans="1:8" x14ac:dyDescent="0.35">
      <c r="A58" s="20">
        <v>202404</v>
      </c>
      <c r="B58" s="17">
        <v>45383</v>
      </c>
      <c r="C58" s="15">
        <f>(SUMIFS('MAIN DATA, Orders'!$S:$S,'MAIN DATA, Orders'!$D:$D,"Germany",'MAIN DATA, Orders'!$Y:$Y,$A58,'MAIN DATA, Orders'!$AF:$AF,"0",'MAIN DATA, Orders'!$AH:$AH,"Germany")/1000000000)</f>
        <v>0.17599999999999999</v>
      </c>
      <c r="D58" s="15">
        <f>(SUMIFS('MAIN DATA, Orders'!$S:$S,'MAIN DATA, Orders'!$D:$D,"Germany",'MAIN DATA, Orders'!$Y:$Y,$A58,'MAIN DATA, Orders'!$AF:$AF,"1")/1000000000)</f>
        <v>0.41099999999999998</v>
      </c>
      <c r="E58" s="15">
        <f>(SUMIFS('MAIN DATA, Orders'!$S:$S,'MAIN DATA, Orders'!$D:$D,"Germany",'MAIN DATA, Orders'!$Y:$Y,$A58,'MAIN DATA, Orders'!$AC:$AC,"1",'MAIN DATA, Orders'!$AF:$AF,"0",'MAIN DATA, Orders'!$AH:$AH,"&lt;&gt;Germany")/1000000000)</f>
        <v>0</v>
      </c>
      <c r="F58" s="15">
        <f>(SUMIFS('MAIN DATA, Orders'!$S:$S,'MAIN DATA, Orders'!$D:$D,"Germany",'MAIN DATA, Orders'!$Y:$Y,$A58,'MAIN DATA, Orders'!$AC:$AC,"0",'MAIN DATA, Orders'!$AF:$AF,"0")/1000000000)</f>
        <v>0</v>
      </c>
      <c r="H58" s="3"/>
    </row>
    <row r="59" spans="1:8" x14ac:dyDescent="0.35">
      <c r="A59" s="20">
        <v>202405</v>
      </c>
      <c r="B59" s="17">
        <v>45413</v>
      </c>
      <c r="C59" s="15">
        <f>(SUMIFS('MAIN DATA, Orders'!$S:$S,'MAIN DATA, Orders'!$D:$D,"Germany",'MAIN DATA, Orders'!$Y:$Y,$A59,'MAIN DATA, Orders'!$AF:$AF,"0",'MAIN DATA, Orders'!$AH:$AH,"Germany")/1000000000)</f>
        <v>0.32475999999999999</v>
      </c>
      <c r="D59" s="15">
        <f>(SUMIFS('MAIN DATA, Orders'!$S:$S,'MAIN DATA, Orders'!$D:$D,"Germany",'MAIN DATA, Orders'!$Y:$Y,$A59,'MAIN DATA, Orders'!$AF:$AF,"1")/1000000000)</f>
        <v>0</v>
      </c>
      <c r="E59" s="15">
        <f>(SUMIFS('MAIN DATA, Orders'!$S:$S,'MAIN DATA, Orders'!$D:$D,"Germany",'MAIN DATA, Orders'!$Y:$Y,$A59,'MAIN DATA, Orders'!$AC:$AC,"1",'MAIN DATA, Orders'!$AF:$AF,"0",'MAIN DATA, Orders'!$AH:$AH,"&lt;&gt;Germany")/1000000000)</f>
        <v>0</v>
      </c>
      <c r="F59" s="15">
        <f>(SUMIFS('MAIN DATA, Orders'!$S:$S,'MAIN DATA, Orders'!$D:$D,"Germany",'MAIN DATA, Orders'!$Y:$Y,$A59,'MAIN DATA, Orders'!$AC:$AC,"0",'MAIN DATA, Orders'!$AF:$AF,"0")/1000000000)</f>
        <v>0.17799999999999999</v>
      </c>
    </row>
    <row r="60" spans="1:8" x14ac:dyDescent="0.35">
      <c r="A60" s="20">
        <v>202406</v>
      </c>
      <c r="B60" s="17">
        <v>45444</v>
      </c>
      <c r="C60" s="15">
        <f>(SUMIFS('MAIN DATA, Orders'!$S:$S,'MAIN DATA, Orders'!$D:$D,"Germany",'MAIN DATA, Orders'!$Y:$Y,$A60,'MAIN DATA, Orders'!$AF:$AF,"0",'MAIN DATA, Orders'!$AH:$AH,"Germany")/1000000000)</f>
        <v>4.4130000000000003</v>
      </c>
      <c r="D60" s="15">
        <f>(SUMIFS('MAIN DATA, Orders'!$S:$S,'MAIN DATA, Orders'!$D:$D,"Germany",'MAIN DATA, Orders'!$Y:$Y,$A60,'MAIN DATA, Orders'!$AF:$AF,"1")/1000000000)</f>
        <v>4.1689999999999996</v>
      </c>
      <c r="E60" s="15">
        <f>(SUMIFS('MAIN DATA, Orders'!$S:$S,'MAIN DATA, Orders'!$D:$D,"Germany",'MAIN DATA, Orders'!$Y:$Y,$A60,'MAIN DATA, Orders'!$AC:$AC,"1",'MAIN DATA, Orders'!$AF:$AF,"0",'MAIN DATA, Orders'!$AH:$AH,"&lt;&gt;Germany")/1000000000)</f>
        <v>0</v>
      </c>
      <c r="F60" s="15">
        <f>(SUMIFS('MAIN DATA, Orders'!$S:$S,'MAIN DATA, Orders'!$D:$D,"Germany",'MAIN DATA, Orders'!$Y:$Y,$A60,'MAIN DATA, Orders'!$AC:$AC,"0",'MAIN DATA, Orders'!$AF:$AF,"0")/1000000000)</f>
        <v>0.62</v>
      </c>
    </row>
    <row r="61" spans="1:8" x14ac:dyDescent="0.35">
      <c r="A61" s="20">
        <v>202407</v>
      </c>
      <c r="B61" s="17">
        <v>45474</v>
      </c>
      <c r="C61" s="15">
        <f>(SUMIFS('MAIN DATA, Orders'!$S:$S,'MAIN DATA, Orders'!$D:$D,"Germany",'MAIN DATA, Orders'!$Y:$Y,$A61,'MAIN DATA, Orders'!$AF:$AF,"0",'MAIN DATA, Orders'!$AH:$AH,"Germany")/1000000000)</f>
        <v>4.2670000000000003</v>
      </c>
      <c r="D61" s="15">
        <f>(SUMIFS('MAIN DATA, Orders'!$S:$S,'MAIN DATA, Orders'!$D:$D,"Germany",'MAIN DATA, Orders'!$Y:$Y,$A61,'MAIN DATA, Orders'!$AF:$AF,"1")/1000000000)</f>
        <v>0</v>
      </c>
      <c r="E61" s="15">
        <f>(SUMIFS('MAIN DATA, Orders'!$S:$S,'MAIN DATA, Orders'!$D:$D,"Germany",'MAIN DATA, Orders'!$Y:$Y,$A61,'MAIN DATA, Orders'!$AC:$AC,"1",'MAIN DATA, Orders'!$AF:$AF,"0",'MAIN DATA, Orders'!$AH:$AH,"&lt;&gt;Germany")/1000000000)</f>
        <v>0</v>
      </c>
      <c r="F61" s="15">
        <f>(SUMIFS('MAIN DATA, Orders'!$S:$S,'MAIN DATA, Orders'!$D:$D,"Germany",'MAIN DATA, Orders'!$Y:$Y,$A61,'MAIN DATA, Orders'!$AC:$AC,"0",'MAIN DATA, Orders'!$AF:$AF,"0")/1000000000)</f>
        <v>1.6</v>
      </c>
    </row>
    <row r="62" spans="1:8" x14ac:dyDescent="0.35">
      <c r="A62" s="20">
        <v>202408</v>
      </c>
      <c r="B62" s="17">
        <v>45505</v>
      </c>
      <c r="C62" s="15">
        <f>(SUMIFS('MAIN DATA, Orders'!$S:$S,'MAIN DATA, Orders'!$D:$D,"Germany",'MAIN DATA, Orders'!$Y:$Y,$A62,'MAIN DATA, Orders'!$AF:$AF,"0",'MAIN DATA, Orders'!$AH:$AH,"Germany")/1000000000)</f>
        <v>0</v>
      </c>
      <c r="D62" s="15">
        <f>(SUMIFS('MAIN DATA, Orders'!$S:$S,'MAIN DATA, Orders'!$D:$D,"Germany",'MAIN DATA, Orders'!$Y:$Y,$A62,'MAIN DATA, Orders'!$AF:$AF,"1")/1000000000)</f>
        <v>0</v>
      </c>
      <c r="E62" s="15">
        <f>(SUMIFS('MAIN DATA, Orders'!$S:$S,'MAIN DATA, Orders'!$D:$D,"Germany",'MAIN DATA, Orders'!$Y:$Y,$A62,'MAIN DATA, Orders'!$AC:$AC,"1",'MAIN DATA, Orders'!$AF:$AF,"0",'MAIN DATA, Orders'!$AH:$AH,"&lt;&gt;Germany")/1000000000)</f>
        <v>0</v>
      </c>
      <c r="F62" s="15">
        <f>(SUMIFS('MAIN DATA, Orders'!$S:$S,'MAIN DATA, Orders'!$D:$D,"Germany",'MAIN DATA, Orders'!$Y:$Y,$A62,'MAIN DATA, Orders'!$AC:$AC,"0",'MAIN DATA, Orders'!$AF:$AF,"0")/1000000000)</f>
        <v>0</v>
      </c>
    </row>
    <row r="63" spans="1:8" x14ac:dyDescent="0.35">
      <c r="A63" s="20">
        <v>202409</v>
      </c>
      <c r="B63" s="17">
        <v>45536</v>
      </c>
      <c r="C63" s="15">
        <f>(SUMIFS('MAIN DATA, Orders'!$S:$S,'MAIN DATA, Orders'!$D:$D,"Germany",'MAIN DATA, Orders'!$Y:$Y,$A63,'MAIN DATA, Orders'!$AF:$AF,"0",'MAIN DATA, Orders'!$AH:$AH,"Germany")/1000000000)</f>
        <v>0.08</v>
      </c>
      <c r="D63" s="15">
        <f>(SUMIFS('MAIN DATA, Orders'!$S:$S,'MAIN DATA, Orders'!$D:$D,"Germany",'MAIN DATA, Orders'!$Y:$Y,$A63,'MAIN DATA, Orders'!$AF:$AF,"1")/1000000000)</f>
        <v>0.39860000000000001</v>
      </c>
      <c r="E63" s="15">
        <f>(SUMIFS('MAIN DATA, Orders'!$S:$S,'MAIN DATA, Orders'!$D:$D,"Germany",'MAIN DATA, Orders'!$Y:$Y,$A63,'MAIN DATA, Orders'!$AC:$AC,"1",'MAIN DATA, Orders'!$AF:$AF,"0",'MAIN DATA, Orders'!$AH:$AH,"&lt;&gt;Germany")/1000000000)</f>
        <v>0</v>
      </c>
      <c r="F63" s="15">
        <f>(SUMIFS('MAIN DATA, Orders'!$S:$S,'MAIN DATA, Orders'!$D:$D,"Germany",'MAIN DATA, Orders'!$Y:$Y,$A63,'MAIN DATA, Orders'!$AC:$AC,"0",'MAIN DATA, Orders'!$AF:$AF,"0")/1000000000)</f>
        <v>0.47339999999999999</v>
      </c>
    </row>
    <row r="64" spans="1:8" x14ac:dyDescent="0.35">
      <c r="A64" s="20">
        <v>202410</v>
      </c>
      <c r="B64" s="17">
        <v>45566</v>
      </c>
      <c r="C64" s="15">
        <f>(SUMIFS('MAIN DATA, Orders'!$S:$S,'MAIN DATA, Orders'!$D:$D,"Germany",'MAIN DATA, Orders'!$Y:$Y,$A64,'MAIN DATA, Orders'!$AF:$AF,"0",'MAIN DATA, Orders'!$AH:$AH,"Germany")/1000000000)</f>
        <v>6.5</v>
      </c>
      <c r="D64" s="15">
        <f>(SUMIFS('MAIN DATA, Orders'!$S:$S,'MAIN DATA, Orders'!$D:$D,"Germany",'MAIN DATA, Orders'!$Y:$Y,$A64,'MAIN DATA, Orders'!$AF:$AF,"1")/1000000000)</f>
        <v>0.19500000000000001</v>
      </c>
      <c r="E64" s="15">
        <f>(SUMIFS('MAIN DATA, Orders'!$S:$S,'MAIN DATA, Orders'!$D:$D,"Germany",'MAIN DATA, Orders'!$Y:$Y,$A64,'MAIN DATA, Orders'!$AC:$AC,"1",'MAIN DATA, Orders'!$AF:$AF,"0",'MAIN DATA, Orders'!$AH:$AH,"&lt;&gt;Germany")/1000000000)</f>
        <v>0</v>
      </c>
      <c r="F64" s="15">
        <f>(SUMIFS('MAIN DATA, Orders'!$S:$S,'MAIN DATA, Orders'!$D:$D,"Germany",'MAIN DATA, Orders'!$Y:$Y,$A64,'MAIN DATA, Orders'!$AC:$AC,"0",'MAIN DATA, Orders'!$AF:$AF,"0")/1000000000)</f>
        <v>0</v>
      </c>
    </row>
    <row r="65" spans="1:8" x14ac:dyDescent="0.35">
      <c r="A65" s="20">
        <v>202411</v>
      </c>
      <c r="B65" s="17">
        <v>45597</v>
      </c>
      <c r="C65" s="15">
        <f>(SUMIFS('MAIN DATA, Orders'!$S:$S,'MAIN DATA, Orders'!$D:$D,"Germany",'MAIN DATA, Orders'!$Y:$Y,$A65,'MAIN DATA, Orders'!$AF:$AF,"0",'MAIN DATA, Orders'!$AH:$AH,"Germany")/1000000000)</f>
        <v>1.5785</v>
      </c>
      <c r="D65" s="15">
        <f>(SUMIFS('MAIN DATA, Orders'!$S:$S,'MAIN DATA, Orders'!$D:$D,"Germany",'MAIN DATA, Orders'!$Y:$Y,$A65,'MAIN DATA, Orders'!$AF:$AF,"1")/1000000000)</f>
        <v>0.58399999999999996</v>
      </c>
      <c r="E65" s="15">
        <f>(SUMIFS('MAIN DATA, Orders'!$S:$S,'MAIN DATA, Orders'!$D:$D,"Germany",'MAIN DATA, Orders'!$Y:$Y,$A65,'MAIN DATA, Orders'!$AC:$AC,"1",'MAIN DATA, Orders'!$AF:$AF,"0",'MAIN DATA, Orders'!$AH:$AH,"&lt;&gt;Germany")/1000000000)</f>
        <v>0</v>
      </c>
      <c r="F65" s="15">
        <f>(SUMIFS('MAIN DATA, Orders'!$S:$S,'MAIN DATA, Orders'!$D:$D,"Germany",'MAIN DATA, Orders'!$Y:$Y,$A65,'MAIN DATA, Orders'!$AC:$AC,"0",'MAIN DATA, Orders'!$AF:$AF,"0")/1000000000)</f>
        <v>0</v>
      </c>
    </row>
    <row r="66" spans="1:8" x14ac:dyDescent="0.35">
      <c r="A66" s="20">
        <v>202412</v>
      </c>
      <c r="B66" s="17">
        <v>45627</v>
      </c>
      <c r="C66" s="15">
        <f>(SUMIFS('MAIN DATA, Orders'!$S:$S,'MAIN DATA, Orders'!$D:$D,"Germany",'MAIN DATA, Orders'!$Y:$Y,$A66,'MAIN DATA, Orders'!$AF:$AF,"0",'MAIN DATA, Orders'!$AH:$AH,"Germany")/1000000000)</f>
        <v>0.8</v>
      </c>
      <c r="D66" s="15">
        <f>(SUMIFS('MAIN DATA, Orders'!$S:$S,'MAIN DATA, Orders'!$D:$D,"Germany",'MAIN DATA, Orders'!$Y:$Y,$A66,'MAIN DATA, Orders'!$AF:$AF,"1")/1000000000)</f>
        <v>4.9697589999999998</v>
      </c>
      <c r="E66" s="15">
        <f>(SUMIFS('MAIN DATA, Orders'!$S:$S,'MAIN DATA, Orders'!$D:$D,"Germany",'MAIN DATA, Orders'!$Y:$Y,$A66,'MAIN DATA, Orders'!$AC:$AC,"1",'MAIN DATA, Orders'!$AF:$AF,"0",'MAIN DATA, Orders'!$AH:$AH,"&lt;&gt;Germany")/1000000000)</f>
        <v>0</v>
      </c>
      <c r="F66" s="15">
        <f>(SUMIFS('MAIN DATA, Orders'!$S:$S,'MAIN DATA, Orders'!$D:$D,"Germany",'MAIN DATA, Orders'!$Y:$Y,$A66,'MAIN DATA, Orders'!$AC:$AC,"0",'MAIN DATA, Orders'!$AF:$AF,"0")/1000000000)</f>
        <v>6.5000000000000002E-2</v>
      </c>
    </row>
    <row r="67" spans="1:8" x14ac:dyDescent="0.35">
      <c r="A67" s="20">
        <v>202501</v>
      </c>
      <c r="B67" s="17">
        <v>45658</v>
      </c>
      <c r="C67" s="15">
        <f>(SUMIFS('MAIN DATA, Orders'!$S:$S,'MAIN DATA, Orders'!$D:$D,"Germany",'MAIN DATA, Orders'!$Y:$Y,$A67,'MAIN DATA, Orders'!$AF:$AF,"0",'MAIN DATA, Orders'!$AH:$AH,"Germany")/1000000000)</f>
        <v>0.52070000000000005</v>
      </c>
      <c r="D67" s="15">
        <f>(SUMIFS('MAIN DATA, Orders'!$S:$S,'MAIN DATA, Orders'!$D:$D,"Germany",'MAIN DATA, Orders'!$Y:$Y,$A67,'MAIN DATA, Orders'!$AF:$AF,"1")/1000000000)</f>
        <v>0</v>
      </c>
      <c r="E67" s="15">
        <f>(SUMIFS('MAIN DATA, Orders'!$S:$S,'MAIN DATA, Orders'!$D:$D,"Germany",'MAIN DATA, Orders'!$Y:$Y,$A67,'MAIN DATA, Orders'!$AC:$AC,"1",'MAIN DATA, Orders'!$AF:$AF,"0",'MAIN DATA, Orders'!$AH:$AH,"&lt;&gt;Germany")/1000000000)</f>
        <v>0</v>
      </c>
      <c r="F67" s="15">
        <f>(SUMIFS('MAIN DATA, Orders'!$S:$S,'MAIN DATA, Orders'!$D:$D,"Germany",'MAIN DATA, Orders'!$Y:$Y,$A67,'MAIN DATA, Orders'!$AC:$AC,"0",'MAIN DATA, Orders'!$AF:$AF,"0")/1000000000)</f>
        <v>0</v>
      </c>
    </row>
    <row r="68" spans="1:8" x14ac:dyDescent="0.35">
      <c r="A68" s="20">
        <v>202502</v>
      </c>
      <c r="B68" s="17">
        <v>45689</v>
      </c>
      <c r="C68" s="15">
        <f>(SUMIFS('MAIN DATA, Orders'!$S:$S,'MAIN DATA, Orders'!$D:$D,"Germany",'MAIN DATA, Orders'!$Y:$Y,$A68,'MAIN DATA, Orders'!$AF:$AF,"0",'MAIN DATA, Orders'!$AH:$AH,"Germany")/1000000000)</f>
        <v>0</v>
      </c>
      <c r="D68" s="15">
        <f>(SUMIFS('MAIN DATA, Orders'!$S:$S,'MAIN DATA, Orders'!$D:$D,"Germany",'MAIN DATA, Orders'!$Y:$Y,$A68,'MAIN DATA, Orders'!$AF:$AF,"1")/1000000000)</f>
        <v>0</v>
      </c>
      <c r="E68" s="15">
        <f>(SUMIFS('MAIN DATA, Orders'!$S:$S,'MAIN DATA, Orders'!$D:$D,"Germany",'MAIN DATA, Orders'!$Y:$Y,$A68,'MAIN DATA, Orders'!$AC:$AC,"1",'MAIN DATA, Orders'!$AF:$AF,"0",'MAIN DATA, Orders'!$AH:$AH,"&lt;&gt;Germany")/1000000000)</f>
        <v>0</v>
      </c>
      <c r="F68" s="15">
        <f>(SUMIFS('MAIN DATA, Orders'!$S:$S,'MAIN DATA, Orders'!$D:$D,"Germany",'MAIN DATA, Orders'!$Y:$Y,$A68,'MAIN DATA, Orders'!$AC:$AC,"0",'MAIN DATA, Orders'!$AF:$AF,"0")/1000000000)</f>
        <v>0</v>
      </c>
    </row>
    <row r="69" spans="1:8" x14ac:dyDescent="0.35">
      <c r="A69" s="20">
        <v>202503</v>
      </c>
      <c r="B69" s="17">
        <v>45717</v>
      </c>
      <c r="C69" s="15">
        <f>(SUMIFS('MAIN DATA, Orders'!$S:$S,'MAIN DATA, Orders'!$D:$D,"Germany",'MAIN DATA, Orders'!$Y:$Y,$A69,'MAIN DATA, Orders'!$AF:$AF,"0",'MAIN DATA, Orders'!$AH:$AH,"Germany")/1000000000)</f>
        <v>0</v>
      </c>
      <c r="D69" s="15">
        <f>(SUMIFS('MAIN DATA, Orders'!$S:$S,'MAIN DATA, Orders'!$D:$D,"Germany",'MAIN DATA, Orders'!$Y:$Y,$A69,'MAIN DATA, Orders'!$AF:$AF,"1")/1000000000)</f>
        <v>0</v>
      </c>
      <c r="E69" s="15">
        <f>(SUMIFS('MAIN DATA, Orders'!$S:$S,'MAIN DATA, Orders'!$D:$D,"Germany",'MAIN DATA, Orders'!$Y:$Y,$A69,'MAIN DATA, Orders'!$AC:$AC,"1",'MAIN DATA, Orders'!$AF:$AF,"0",'MAIN DATA, Orders'!$AH:$AH,"&lt;&gt;Germany")/1000000000)</f>
        <v>0</v>
      </c>
      <c r="F69" s="15">
        <f>(SUMIFS('MAIN DATA, Orders'!$S:$S,'MAIN DATA, Orders'!$D:$D,"Germany",'MAIN DATA, Orders'!$Y:$Y,$A69,'MAIN DATA, Orders'!$AC:$AC,"0",'MAIN DATA, Orders'!$AF:$AF,"0")/1000000000)</f>
        <v>0</v>
      </c>
    </row>
    <row r="70" spans="1:8" x14ac:dyDescent="0.35">
      <c r="A70" s="20">
        <v>202504</v>
      </c>
      <c r="B70" s="17">
        <v>45748</v>
      </c>
      <c r="C70" s="15">
        <f>(SUMIFS('MAIN DATA, Orders'!$S:$S,'MAIN DATA, Orders'!$D:$D,"Germany",'MAIN DATA, Orders'!$Y:$Y,$A70,'MAIN DATA, Orders'!$AF:$AF,"0",'MAIN DATA, Orders'!$AH:$AH,"Germany")/1000000000)</f>
        <v>0</v>
      </c>
      <c r="D70" s="15">
        <f>(SUMIFS('MAIN DATA, Orders'!$S:$S,'MAIN DATA, Orders'!$D:$D,"Germany",'MAIN DATA, Orders'!$Y:$Y,$A70,'MAIN DATA, Orders'!$AF:$AF,"1")/1000000000)</f>
        <v>0</v>
      </c>
      <c r="E70" s="15">
        <f>(SUMIFS('MAIN DATA, Orders'!$S:$S,'MAIN DATA, Orders'!$D:$D,"Germany",'MAIN DATA, Orders'!$Y:$Y,$A70,'MAIN DATA, Orders'!$AC:$AC,"1",'MAIN DATA, Orders'!$AF:$AF,"0",'MAIN DATA, Orders'!$AH:$AH,"&lt;&gt;Germany")/1000000000)</f>
        <v>0</v>
      </c>
      <c r="F70" s="15">
        <f>(SUMIFS('MAIN DATA, Orders'!$S:$S,'MAIN DATA, Orders'!$D:$D,"Germany",'MAIN DATA, Orders'!$Y:$Y,$A70,'MAIN DATA, Orders'!$AC:$AC,"0",'MAIN DATA, Orders'!$AF:$AF,"0")/1000000000)</f>
        <v>0</v>
      </c>
    </row>
    <row r="71" spans="1:8" x14ac:dyDescent="0.35">
      <c r="A71" s="20">
        <v>202505</v>
      </c>
      <c r="B71" s="17">
        <v>45778</v>
      </c>
      <c r="C71" s="15">
        <f>(SUMIFS('MAIN DATA, Orders'!$S:$S,'MAIN DATA, Orders'!$D:$D,"Germany",'MAIN DATA, Orders'!$Y:$Y,$A71,'MAIN DATA, Orders'!$AF:$AF,"0",'MAIN DATA, Orders'!$AH:$AH,"Germany")/1000000000)</f>
        <v>0</v>
      </c>
      <c r="D71" s="15">
        <f>(SUMIFS('MAIN DATA, Orders'!$S:$S,'MAIN DATA, Orders'!$D:$D,"Germany",'MAIN DATA, Orders'!$Y:$Y,$A71,'MAIN DATA, Orders'!$AF:$AF,"1")/1000000000)</f>
        <v>0</v>
      </c>
      <c r="E71" s="15">
        <f>(SUMIFS('MAIN DATA, Orders'!$S:$S,'MAIN DATA, Orders'!$D:$D,"Germany",'MAIN DATA, Orders'!$Y:$Y,$A71,'MAIN DATA, Orders'!$AC:$AC,"1",'MAIN DATA, Orders'!$AF:$AF,"0",'MAIN DATA, Orders'!$AH:$AH,"&lt;&gt;Germany")/1000000000)</f>
        <v>0</v>
      </c>
      <c r="F71" s="15">
        <f>(SUMIFS('MAIN DATA, Orders'!$S:$S,'MAIN DATA, Orders'!$D:$D,"Germany",'MAIN DATA, Orders'!$Y:$Y,$A71,'MAIN DATA, Orders'!$AC:$AC,"0",'MAIN DATA, Orders'!$AF:$AF,"0")/1000000000)</f>
        <v>0</v>
      </c>
    </row>
    <row r="72" spans="1:8" x14ac:dyDescent="0.35">
      <c r="A72" s="20">
        <v>202506</v>
      </c>
      <c r="B72" s="17">
        <v>45809</v>
      </c>
      <c r="C72" s="15">
        <f>(SUMIFS('MAIN DATA, Orders'!$S:$S,'MAIN DATA, Orders'!$D:$D,"Germany",'MAIN DATA, Orders'!$Y:$Y,$A72,'MAIN DATA, Orders'!$AF:$AF,"0",'MAIN DATA, Orders'!$AH:$AH,"Germany")/1000000000)</f>
        <v>2.5</v>
      </c>
      <c r="D72" s="15">
        <f>(SUMIFS('MAIN DATA, Orders'!$S:$S,'MAIN DATA, Orders'!$D:$D,"Germany",'MAIN DATA, Orders'!$Y:$Y,$A72,'MAIN DATA, Orders'!$AF:$AF,"1")/1000000000)</f>
        <v>0.32750000000000001</v>
      </c>
      <c r="E72" s="15">
        <f>(SUMIFS('MAIN DATA, Orders'!$S:$S,'MAIN DATA, Orders'!$D:$D,"Germany",'MAIN DATA, Orders'!$Y:$Y,$A72,'MAIN DATA, Orders'!$AC:$AC,"1",'MAIN DATA, Orders'!$AF:$AF,"0",'MAIN DATA, Orders'!$AH:$AH,"&lt;&gt;Germany")/1000000000)</f>
        <v>0.92200000000000004</v>
      </c>
      <c r="F72" s="15">
        <f>(SUMIFS('MAIN DATA, Orders'!$S:$S,'MAIN DATA, Orders'!$D:$D,"Germany",'MAIN DATA, Orders'!$Y:$Y,$A72,'MAIN DATA, Orders'!$AC:$AC,"0",'MAIN DATA, Orders'!$AF:$AF,"0")/1000000000)</f>
        <v>0.26</v>
      </c>
      <c r="H72" s="88"/>
    </row>
    <row r="73" spans="1:8" x14ac:dyDescent="0.35">
      <c r="A73" s="20">
        <v>202507</v>
      </c>
      <c r="B73" s="17">
        <v>45839</v>
      </c>
      <c r="C73" s="15">
        <f>(SUMIFS('MAIN DATA, Orders'!$S:$S,'MAIN DATA, Orders'!$D:$D,"Germany",'MAIN DATA, Orders'!$Y:$Y,$A73,'MAIN DATA, Orders'!$AF:$AF,"0",'MAIN DATA, Orders'!$AH:$AH,"Germany")/1000000000)</f>
        <v>0.77</v>
      </c>
      <c r="D73" s="15">
        <f>(SUMIFS('MAIN DATA, Orders'!$S:$S,'MAIN DATA, Orders'!$D:$D,"Germany",'MAIN DATA, Orders'!$Y:$Y,$A73,'MAIN DATA, Orders'!$AF:$AF,"1")/1000000000)</f>
        <v>0</v>
      </c>
      <c r="E73" s="15">
        <f>(SUMIFS('MAIN DATA, Orders'!$S:$S,'MAIN DATA, Orders'!$D:$D,"Germany",'MAIN DATA, Orders'!$Y:$Y,$A73,'MAIN DATA, Orders'!$AC:$AC,"1",'MAIN DATA, Orders'!$AF:$AF,"0",'MAIN DATA, Orders'!$AH:$AH,"&lt;&gt;Germany")/1000000000)</f>
        <v>0</v>
      </c>
      <c r="F73" s="15">
        <f>(SUMIFS('MAIN DATA, Orders'!$S:$S,'MAIN DATA, Orders'!$D:$D,"Germany",'MAIN DATA, Orders'!$Y:$Y,$A73,'MAIN DATA, Orders'!$AC:$AC,"0",'MAIN DATA, Orders'!$AF:$AF,"0")/1000000000)</f>
        <v>0</v>
      </c>
    </row>
    <row r="74" spans="1:8" x14ac:dyDescent="0.35">
      <c r="A74" s="20">
        <v>202508</v>
      </c>
      <c r="B74" s="17">
        <v>45870</v>
      </c>
      <c r="C74" s="15">
        <f>(SUMIFS('MAIN DATA, Orders'!$S:$S,'MAIN DATA, Orders'!$D:$D,"Germany",'MAIN DATA, Orders'!$Y:$Y,$A74,'MAIN DATA, Orders'!$AF:$AF,"0",'MAIN DATA, Orders'!$AH:$AH,"Germany")/1000000000)</f>
        <v>0</v>
      </c>
      <c r="D74" s="15">
        <f>(SUMIFS('MAIN DATA, Orders'!$S:$S,'MAIN DATA, Orders'!$D:$D,"Germany",'MAIN DATA, Orders'!$Y:$Y,$A74,'MAIN DATA, Orders'!$AF:$AF,"1")/1000000000)</f>
        <v>0</v>
      </c>
      <c r="E74" s="15">
        <f>(SUMIFS('MAIN DATA, Orders'!$S:$S,'MAIN DATA, Orders'!$D:$D,"Germany",'MAIN DATA, Orders'!$Y:$Y,$A74,'MAIN DATA, Orders'!$AC:$AC,"1",'MAIN DATA, Orders'!$AF:$AF,"0",'MAIN DATA, Orders'!$AH:$AH,"&lt;&gt;Germany")/1000000000)</f>
        <v>0</v>
      </c>
      <c r="F74" s="15">
        <f>(SUMIFS('MAIN DATA, Orders'!$S:$S,'MAIN DATA, Orders'!$D:$D,"Germany",'MAIN DATA, Orders'!$Y:$Y,$A74,'MAIN DATA, Orders'!$AC:$AC,"0",'MAIN DATA, Orders'!$AF:$AF,"0")/1000000000)</f>
        <v>0</v>
      </c>
    </row>
    <row r="75" spans="1:8" x14ac:dyDescent="0.35">
      <c r="A75" s="20">
        <v>202509</v>
      </c>
      <c r="B75" s="17">
        <v>45901</v>
      </c>
      <c r="C75" s="15">
        <f>(SUMIFS('MAIN DATA, Orders'!$S:$S,'MAIN DATA, Orders'!$D:$D,"Germany",'MAIN DATA, Orders'!$Y:$Y,$A75,'MAIN DATA, Orders'!$AF:$AF,"0",'MAIN DATA, Orders'!$AH:$AH,"Germany")/1000000000)</f>
        <v>0.39900000000000002</v>
      </c>
      <c r="D75" s="15">
        <f>(SUMIFS('MAIN DATA, Orders'!$S:$S,'MAIN DATA, Orders'!$D:$D,"Germany",'MAIN DATA, Orders'!$Y:$Y,$A75,'MAIN DATA, Orders'!$AF:$AF,"1")/1000000000)</f>
        <v>2.2179000000000002</v>
      </c>
      <c r="E75" s="15">
        <f>(SUMIFS('MAIN DATA, Orders'!$S:$S,'MAIN DATA, Orders'!$D:$D,"Germany",'MAIN DATA, Orders'!$Y:$Y,$A75,'MAIN DATA, Orders'!$AC:$AC,"1",'MAIN DATA, Orders'!$AF:$AF,"0",'MAIN DATA, Orders'!$AH:$AH,"&lt;&gt;Germany")/1000000000)</f>
        <v>0</v>
      </c>
      <c r="F75" s="15">
        <f>(SUMIFS('MAIN DATA, Orders'!$S:$S,'MAIN DATA, Orders'!$D:$D,"Germany",'MAIN DATA, Orders'!$Y:$Y,$A75,'MAIN DATA, Orders'!$AC:$AC,"0",'MAIN DATA, Orders'!$AF:$AF,"0")/1000000000)</f>
        <v>0.114</v>
      </c>
    </row>
    <row r="76" spans="1:8" x14ac:dyDescent="0.35">
      <c r="A76" s="20">
        <v>202510</v>
      </c>
      <c r="B76" s="17">
        <v>45931</v>
      </c>
      <c r="C76" s="15">
        <f>(SUMIFS('MAIN DATA, Orders'!$S:$S,'MAIN DATA, Orders'!$D:$D,"Germany",'MAIN DATA, Orders'!$Y:$Y,$A76,'MAIN DATA, Orders'!$AF:$AF,"0",'MAIN DATA, Orders'!$AH:$AH,"Germany")/1000000000)</f>
        <v>3.6429999999999998</v>
      </c>
      <c r="D76" s="15">
        <f>(SUMIFS('MAIN DATA, Orders'!$S:$S,'MAIN DATA, Orders'!$D:$D,"Germany",'MAIN DATA, Orders'!$Y:$Y,$A76,'MAIN DATA, Orders'!$AF:$AF,"1")/1000000000)</f>
        <v>9.9909999999999997</v>
      </c>
      <c r="E76" s="15">
        <f>(SUMIFS('MAIN DATA, Orders'!$S:$S,'MAIN DATA, Orders'!$D:$D,"Germany",'MAIN DATA, Orders'!$Y:$Y,$A76,'MAIN DATA, Orders'!$AC:$AC,"1",'MAIN DATA, Orders'!$AF:$AF,"0",'MAIN DATA, Orders'!$AH:$AH,"&lt;&gt;Germany")/1000000000)</f>
        <v>0</v>
      </c>
      <c r="F76" s="15">
        <f>(SUMIFS('MAIN DATA, Orders'!$S:$S,'MAIN DATA, Orders'!$D:$D,"Germany",'MAIN DATA, Orders'!$Y:$Y,$A76,'MAIN DATA, Orders'!$AC:$AC,"0",'MAIN DATA, Orders'!$AF:$AF,"0")/1000000000)</f>
        <v>0.48591000000000001</v>
      </c>
    </row>
    <row r="77" spans="1:8" x14ac:dyDescent="0.35">
      <c r="A77" s="20">
        <v>202511</v>
      </c>
      <c r="B77" s="17">
        <v>45962</v>
      </c>
      <c r="C77" s="15">
        <f>(SUMIFS('MAIN DATA, Orders'!$S:$S,'MAIN DATA, Orders'!$D:$D,"Germany",'MAIN DATA, Orders'!$Y:$Y,$A77,'MAIN DATA, Orders'!$AF:$AF,"0",'MAIN DATA, Orders'!$AH:$AH,"Germany")/1000000000)</f>
        <v>0.21199999999999999</v>
      </c>
      <c r="D77" s="15">
        <f>(SUMIFS('MAIN DATA, Orders'!$S:$S,'MAIN DATA, Orders'!$D:$D,"Germany",'MAIN DATA, Orders'!$Y:$Y,$A77,'MAIN DATA, Orders'!$AF:$AF,"1")/1000000000)</f>
        <v>5.18</v>
      </c>
      <c r="E77" s="15">
        <f>(SUMIFS('MAIN DATA, Orders'!$S:$S,'MAIN DATA, Orders'!$D:$D,"Germany",'MAIN DATA, Orders'!$Y:$Y,$A77,'MAIN DATA, Orders'!$AC:$AC,"1",'MAIN DATA, Orders'!$AF:$AF,"0",'MAIN DATA, Orders'!$AH:$AH,"&lt;&gt;Germany")/1000000000)</f>
        <v>0.24</v>
      </c>
      <c r="F77" s="15">
        <f>(SUMIFS('MAIN DATA, Orders'!$S:$S,'MAIN DATA, Orders'!$D:$D,"Germany",'MAIN DATA, Orders'!$Y:$Y,$A77,'MAIN DATA, Orders'!$AC:$AC,"0",'MAIN DATA, Orders'!$AF:$AF,"0")/1000000000)</f>
        <v>0.16200000000000001</v>
      </c>
    </row>
    <row r="78" spans="1:8" x14ac:dyDescent="0.35">
      <c r="A78" s="20">
        <v>202512</v>
      </c>
      <c r="B78" s="17">
        <v>45992</v>
      </c>
      <c r="C78" s="15">
        <f>(SUMIFS('MAIN DATA, Orders'!$S:$S,'MAIN DATA, Orders'!$D:$D,"Germany",'MAIN DATA, Orders'!$Y:$Y,$A78,'MAIN DATA, Orders'!$AF:$AF,"0",'MAIN DATA, Orders'!$AH:$AH,"Germany")/1000000000)</f>
        <v>33.606688191000003</v>
      </c>
      <c r="D78" s="15">
        <f>(SUMIFS('MAIN DATA, Orders'!$S:$S,'MAIN DATA, Orders'!$D:$D,"Germany",'MAIN DATA, Orders'!$Y:$Y,$A78,'MAIN DATA, Orders'!$AF:$AF,"1")/1000000000)</f>
        <v>8.3109999999999999</v>
      </c>
      <c r="E78" s="15">
        <f>(SUMIFS('MAIN DATA, Orders'!$S:$S,'MAIN DATA, Orders'!$D:$D,"Germany",'MAIN DATA, Orders'!$Y:$Y,$A78,'MAIN DATA, Orders'!$AC:$AC,"1",'MAIN DATA, Orders'!$AF:$AF,"0",'MAIN DATA, Orders'!$AH:$AH,"&lt;&gt;Germany")/1000000000)</f>
        <v>0.54500000000000004</v>
      </c>
      <c r="F78" s="15">
        <f>(SUMIFS('MAIN DATA, Orders'!$S:$S,'MAIN DATA, Orders'!$D:$D,"Germany",'MAIN DATA, Orders'!$Y:$Y,$A78,'MAIN DATA, Orders'!$AC:$AC,"0",'MAIN DATA, Orders'!$AF:$AF,"0")/1000000000)</f>
        <v>1.9</v>
      </c>
    </row>
    <row r="79" spans="1:8" x14ac:dyDescent="0.35">
      <c r="A79" s="20">
        <v>202601</v>
      </c>
      <c r="B79" s="17">
        <v>46023</v>
      </c>
      <c r="C79" s="15">
        <f>(SUMIFS('MAIN DATA, Orders'!$S:$S,'MAIN DATA, Orders'!$D:$D,"Germany",'MAIN DATA, Orders'!$Y:$Y,$A79,'MAIN DATA, Orders'!$AF:$AF,"0",'MAIN DATA, Orders'!$AH:$AH,"Germany")/1000000000)</f>
        <v>0</v>
      </c>
      <c r="D79" s="15">
        <f>(SUMIFS('MAIN DATA, Orders'!$S:$S,'MAIN DATA, Orders'!$D:$D,"Germany",'MAIN DATA, Orders'!$Y:$Y,$A79,'MAIN DATA, Orders'!$AF:$AF,"1")/1000000000)</f>
        <v>0</v>
      </c>
      <c r="E79" s="15">
        <f>(SUMIFS('MAIN DATA, Orders'!$S:$S,'MAIN DATA, Orders'!$D:$D,"Germany",'MAIN DATA, Orders'!$Y:$Y,$A79,'MAIN DATA, Orders'!$AC:$AC,"1",'MAIN DATA, Orders'!$AF:$AF,"0",'MAIN DATA, Orders'!$AH:$AH,"&lt;&gt;Germany")/1000000000)</f>
        <v>0</v>
      </c>
      <c r="F79" s="15">
        <f>(SUMIFS('MAIN DATA, Orders'!$S:$S,'MAIN DATA, Orders'!$D:$D,"Germany",'MAIN DATA, Orders'!$Y:$Y,$A79,'MAIN DATA, Orders'!$AC:$AC,"0",'MAIN DATA, Orders'!$AF:$AF,"0")/1000000000)</f>
        <v>0</v>
      </c>
    </row>
    <row r="80" spans="1:8" x14ac:dyDescent="0.35">
      <c r="B80" s="86"/>
      <c r="C80" s="87"/>
      <c r="D80" s="87"/>
      <c r="E80" s="87"/>
      <c r="F80" s="87"/>
    </row>
    <row r="81" spans="2:6" x14ac:dyDescent="0.35">
      <c r="B81" s="9" t="s">
        <v>4219</v>
      </c>
      <c r="C81" s="18">
        <f>SUM(C7:C79)</f>
        <v>115.245828191</v>
      </c>
      <c r="D81" s="18">
        <f t="shared" ref="D81:F81" si="0">SUM(D7:D79)</f>
        <v>79.244158999999996</v>
      </c>
      <c r="E81" s="18">
        <f t="shared" si="0"/>
        <v>2.4140000000000001</v>
      </c>
      <c r="F81" s="18">
        <f t="shared" si="0"/>
        <v>25.603110000000004</v>
      </c>
    </row>
  </sheetData>
  <mergeCells count="1">
    <mergeCell ref="B4:E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3" tint="0.749992370372631"/>
  </sheetPr>
  <dimension ref="A2:AJ80"/>
  <sheetViews>
    <sheetView workbookViewId="0"/>
  </sheetViews>
  <sheetFormatPr baseColWidth="10" defaultColWidth="8.75" defaultRowHeight="15.5" x14ac:dyDescent="0.35"/>
  <cols>
    <col min="1" max="1" width="8.83203125" style="1" bestFit="1" customWidth="1"/>
    <col min="2" max="2" width="13.5" style="1" customWidth="1"/>
    <col min="3" max="3" width="24.25" style="1" customWidth="1"/>
    <col min="4" max="4" width="24.25" style="1" bestFit="1" customWidth="1"/>
    <col min="5" max="32" width="24.25" style="1" customWidth="1"/>
    <col min="33" max="33" width="8.75" style="1" customWidth="1"/>
    <col min="34" max="36" width="24.25" style="1" customWidth="1"/>
    <col min="37" max="16384" width="8.75" style="1"/>
  </cols>
  <sheetData>
    <row r="2" spans="1:36" ht="25.9" customHeight="1" x14ac:dyDescent="0.7">
      <c r="B2" s="16" t="s">
        <v>4195</v>
      </c>
      <c r="AJ2" s="5"/>
    </row>
    <row r="3" spans="1:36" x14ac:dyDescent="0.35">
      <c r="Z3" s="5"/>
      <c r="AJ3" s="5"/>
    </row>
    <row r="4" spans="1:36" ht="64.900000000000006" customHeight="1" x14ac:dyDescent="0.35">
      <c r="B4" s="232" t="s">
        <v>4196</v>
      </c>
      <c r="C4" s="232"/>
      <c r="D4" s="232"/>
      <c r="E4" s="232"/>
      <c r="F4" s="232"/>
      <c r="G4" s="232"/>
      <c r="Z4" s="5"/>
      <c r="AJ4" s="5"/>
    </row>
    <row r="6" spans="1:36" ht="21" customHeight="1" x14ac:dyDescent="0.35">
      <c r="B6" s="68" t="s">
        <v>4197</v>
      </c>
      <c r="C6" s="69" t="s">
        <v>2967</v>
      </c>
      <c r="D6" s="69" t="s">
        <v>4198</v>
      </c>
      <c r="E6" s="69" t="s">
        <v>188</v>
      </c>
      <c r="F6" s="69" t="s">
        <v>4199</v>
      </c>
      <c r="G6" s="69" t="s">
        <v>999</v>
      </c>
      <c r="H6" s="69" t="s">
        <v>4200</v>
      </c>
      <c r="I6" s="69" t="s">
        <v>4201</v>
      </c>
      <c r="J6" s="69" t="s">
        <v>4202</v>
      </c>
      <c r="K6" s="69" t="s">
        <v>3376</v>
      </c>
      <c r="L6" s="69" t="s">
        <v>4203</v>
      </c>
      <c r="M6" s="69" t="s">
        <v>2580</v>
      </c>
      <c r="N6" s="69" t="s">
        <v>4204</v>
      </c>
      <c r="O6" s="69" t="s">
        <v>608</v>
      </c>
      <c r="P6" s="69" t="s">
        <v>4205</v>
      </c>
      <c r="Q6" s="69" t="s">
        <v>1311</v>
      </c>
      <c r="R6" s="69" t="s">
        <v>4206</v>
      </c>
      <c r="S6" s="69" t="s">
        <v>4207</v>
      </c>
      <c r="T6" s="69" t="s">
        <v>4208</v>
      </c>
      <c r="U6" s="69" t="s">
        <v>4209</v>
      </c>
      <c r="V6" s="69" t="s">
        <v>4210</v>
      </c>
      <c r="W6" s="69" t="s">
        <v>4211</v>
      </c>
      <c r="X6" s="69" t="s">
        <v>4212</v>
      </c>
      <c r="Y6" s="69" t="s">
        <v>4213</v>
      </c>
      <c r="Z6" s="69" t="s">
        <v>4214</v>
      </c>
      <c r="AA6" s="69" t="s">
        <v>659</v>
      </c>
      <c r="AB6" s="69" t="s">
        <v>4215</v>
      </c>
      <c r="AC6" s="69" t="s">
        <v>2955</v>
      </c>
      <c r="AD6" s="69" t="s">
        <v>4216</v>
      </c>
      <c r="AE6" s="69" t="s">
        <v>287</v>
      </c>
      <c r="AF6" s="69" t="s">
        <v>4217</v>
      </c>
      <c r="AG6" s="69"/>
      <c r="AH6" s="69" t="s">
        <v>315</v>
      </c>
      <c r="AI6" s="69" t="s">
        <v>4218</v>
      </c>
      <c r="AJ6" s="69" t="s">
        <v>1891</v>
      </c>
    </row>
    <row r="7" spans="1:36" x14ac:dyDescent="0.35">
      <c r="A7" s="20">
        <v>202001</v>
      </c>
      <c r="B7" s="17">
        <v>43831</v>
      </c>
      <c r="C7" s="15">
        <f>(SUMIFS('MAIN DATA, Orders'!$S:$S,'MAIN DATA, Orders'!$Y:$Y,$A7,'MAIN DATA, Orders'!$D:$D,"Germany",'MAIN DATA, Orders'!$I:$I,"Air defence system")/1000000000)</f>
        <v>0</v>
      </c>
      <c r="D7" s="15">
        <f>(SUMIFS('MAIN DATA, Orders'!$S:$S,'MAIN DATA, Orders'!$Y:$Y,$A7,'MAIN DATA, Orders'!$D:$D,"Germany",'MAIN DATA, Orders'!$I:$I,"Development - Air defence system")/1000000000)</f>
        <v>0</v>
      </c>
      <c r="E7" s="15">
        <f>(SUMIFS('MAIN DATA, Orders'!$S:$S,'MAIN DATA, Orders'!$Y:$Y,$A7,'MAIN DATA, Orders'!$D:$D,"Germany",'MAIN DATA, Orders'!$I:$I,"Aircraft")/1000000000)</f>
        <v>0</v>
      </c>
      <c r="F7" s="15">
        <f>(SUMIFS('MAIN DATA, Orders'!$S:$S,'MAIN DATA, Orders'!$Y:$Y,$A7,'MAIN DATA, Orders'!$D:$D,"Germany",'MAIN DATA, Orders'!$I:$I,"Development - Aircraft")/1000000000)</f>
        <v>0</v>
      </c>
      <c r="G7" s="15">
        <f>(SUMIFS('MAIN DATA, Orders'!$S:$S,'MAIN DATA, Orders'!$Y:$Y,$A7,'MAIN DATA, Orders'!$D:$D,"Germany",'MAIN DATA, Orders'!$I:$I,"Ammunition")/1000000000)</f>
        <v>0</v>
      </c>
      <c r="H7" s="15">
        <f>(SUMIFS('MAIN DATA, Orders'!$S:$S,'MAIN DATA, Orders'!$Y:$Y,$A7,'MAIN DATA, Orders'!$D:$D,"Germany",'MAIN DATA, Orders'!$I:$I,"Development - Ammunition")/1000000000)</f>
        <v>0</v>
      </c>
      <c r="I7" s="15">
        <f>(SUMIFS('MAIN DATA, Orders'!$S:$S,'MAIN DATA, Orders'!$Y:$Y,$A7,'MAIN DATA, Orders'!$D:$D,"Germany",'MAIN DATA, Orders'!$I:$I,"Armoured vehicle")/1000000000)</f>
        <v>0</v>
      </c>
      <c r="J7" s="15">
        <f>(SUMIFS('MAIN DATA, Orders'!$S:$S,'MAIN DATA, Orders'!$Y:$Y,$A7,'MAIN DATA, Orders'!$D:$D,"Germany",'MAIN DATA, Orders'!$I:$I,"Development - Armoured vehicle")/1000000000)</f>
        <v>0</v>
      </c>
      <c r="K7" s="15">
        <f>(SUMIFS('MAIN DATA, Orders'!$S:$S,'MAIN DATA, Orders'!$Y:$Y,$A7,'MAIN DATA, Orders'!$D:$D,"Germany",'MAIN DATA, Orders'!$I:$I,"Artillery")/1000000000)</f>
        <v>0</v>
      </c>
      <c r="L7" s="15">
        <f>(SUMIFS('MAIN DATA, Orders'!$S:$S,'MAIN DATA, Orders'!$Y:$Y,$A7,'MAIN DATA, Orders'!$D:$D,"Germany",'MAIN DATA, Orders'!$I:$I,"Development - Artillery")/1000000000)</f>
        <v>0</v>
      </c>
      <c r="M7" s="15">
        <f>(SUMIFS('MAIN DATA, Orders'!$S:$S,'MAIN DATA, Orders'!$Y:$Y,$A7,'MAIN DATA, Orders'!$D:$D,"Germany",'MAIN DATA, Orders'!$I:$I,"Drone")/1000000000)</f>
        <v>0</v>
      </c>
      <c r="N7" s="15">
        <f>(SUMIFS('MAIN DATA, Orders'!$S:$S,'MAIN DATA, Orders'!$Y:$Y,$A7,'MAIN DATA, Orders'!$D:$D,"Germany",'MAIN DATA, Orders'!$I:$I,"Development - Drone")/1000000000)</f>
        <v>0</v>
      </c>
      <c r="O7" s="15">
        <f>(SUMIFS('MAIN DATA, Orders'!$S:$S,'MAIN DATA, Orders'!$Y:$Y,$A7,'MAIN DATA, Orders'!$D:$D,"Germany",'MAIN DATA, Orders'!$I:$I,"Helicopter")/1000000000)</f>
        <v>0</v>
      </c>
      <c r="P7" s="15">
        <f>(SUMIFS('MAIN DATA, Orders'!$S:$S,'MAIN DATA, Orders'!$Y:$Y,$A7,'MAIN DATA, Orders'!$D:$D,"Germany",'MAIN DATA, Orders'!$I:$I,"Development - Helicopter")/1000000000)</f>
        <v>0</v>
      </c>
      <c r="Q7" s="15">
        <f>(SUMIFS('MAIN DATA, Orders'!$S:$S,'MAIN DATA, Orders'!$Y:$Y,$A7,'MAIN DATA, Orders'!$D:$D,"Germany",'MAIN DATA, Orders'!$I:$I,"Infantry")/1000000000)</f>
        <v>0</v>
      </c>
      <c r="R7" s="15">
        <f>(SUMIFS('MAIN DATA, Orders'!$S:$S,'MAIN DATA, Orders'!$Y:$Y,$A7,'MAIN DATA, Orders'!$D:$D,"Germany",'MAIN DATA, Orders'!$I:$I,"Development - Infantry")/1000000000)</f>
        <v>0</v>
      </c>
      <c r="S7" s="15">
        <f>(SUMIFS('MAIN DATA, Orders'!$S:$S,'MAIN DATA, Orders'!$Y:$Y,$A7,'MAIN DATA, Orders'!$D:$D,"Germany",'MAIN DATA, Orders'!$I:$I,"Tank")/1000000000)</f>
        <v>0</v>
      </c>
      <c r="T7" s="15">
        <f>(SUMIFS('MAIN DATA, Orders'!$S:$S,'MAIN DATA, Orders'!$Y:$Y,$A7,'MAIN DATA, Orders'!$D:$D,"Germany",'MAIN DATA, Orders'!$I:$I,"Development - Tank")/1000000000)</f>
        <v>0</v>
      </c>
      <c r="U7" s="15">
        <f>(SUMIFS('MAIN DATA, Orders'!$S:$S,'MAIN DATA, Orders'!$Y:$Y,$A7,'MAIN DATA, Orders'!$D:$D,"Germany",'MAIN DATA, Orders'!$I:$I,"Maintenance")/1000000000)</f>
        <v>0</v>
      </c>
      <c r="V7" s="15">
        <f>(SUMIFS('MAIN DATA, Orders'!$S:$S,'MAIN DATA, Orders'!$Y:$Y,$A7,'MAIN DATA, Orders'!$D:$D,"Germany",'MAIN DATA, Orders'!$I:$I,"Development - Maintenance")/1000000000)</f>
        <v>0</v>
      </c>
      <c r="W7" s="15">
        <f>(SUMIFS('MAIN DATA, Orders'!$S:$S,'MAIN DATA, Orders'!$Y:$Y,$A7,'MAIN DATA, Orders'!$D:$D,"Germany",'MAIN DATA, Orders'!$I:$I,"Mine")/1000000000)</f>
        <v>0</v>
      </c>
      <c r="X7" s="15">
        <f>(SUMIFS('MAIN DATA, Orders'!$S:$S,'MAIN DATA, Orders'!$Y:$Y,$A7,'MAIN DATA, Orders'!$D:$D,"Germany",'MAIN DATA, Orders'!$I:$I,"Development - Mine")/1000000000)</f>
        <v>0</v>
      </c>
      <c r="Y7" s="15">
        <f>(SUMIFS('MAIN DATA, Orders'!$S:$S,'MAIN DATA, Orders'!$Y:$Y,$A7,'MAIN DATA, Orders'!$D:$D,"Germany",'MAIN DATA, Orders'!$J:$J,"6")/1000000000)</f>
        <v>0</v>
      </c>
      <c r="Z7" s="15" cm="1">
        <f t="array" ref="Z7">SUM(SUMIFS('MAIN DATA, Orders'!$S:$S,'MAIN DATA, Orders'!$Y:$Y,$A7,'MAIN DATA, Orders'!$D:$D,"Germany",'MAIN DATA, Orders'!$I:$I,{"Development - Missile (Land)","Development - Missile (Naval)","Development - Missile (Air)"})/1000000000)</f>
        <v>0</v>
      </c>
      <c r="AA7" s="15">
        <f>(SUMIFS('MAIN DATA, Orders'!$S:$S,'MAIN DATA, Orders'!$Y:$Y,$A7,'MAIN DATA, Orders'!$D:$D,"Germany",'MAIN DATA, Orders'!$I:$I,"Modernisation")/1000000000)</f>
        <v>0</v>
      </c>
      <c r="AB7" s="15">
        <f>(SUMIFS('MAIN DATA, Orders'!$S:$S,'MAIN DATA, Orders'!$Y:$Y,$A7,'MAIN DATA, Orders'!$D:$D,"Germany",'MAIN DATA, Orders'!$I:$I,"Development - Modernisation")/1000000000)</f>
        <v>0</v>
      </c>
      <c r="AC7" s="15">
        <f>(SUMIFS('MAIN DATA, Orders'!$S:$S,'MAIN DATA, Orders'!$Y:$Y,$A7,'MAIN DATA, Orders'!$D:$D,"Germany",'MAIN DATA, Orders'!$I:$I,"Naval")/1000000000)</f>
        <v>0</v>
      </c>
      <c r="AD7" s="15">
        <f>(SUMIFS('MAIN DATA, Orders'!$S:$S,'MAIN DATA, Orders'!$Y:$Y,$A7,'MAIN DATA, Orders'!$D:$D,"Germany",'MAIN DATA, Orders'!$I:$I,"Development - Naval")/1000000000)</f>
        <v>0</v>
      </c>
      <c r="AE7" s="15">
        <f>(SUMIFS('MAIN DATA, Orders'!$S:$S,'MAIN DATA, Orders'!$Y:$Y,$A7,'MAIN DATA, Orders'!$D:$D,"Germany",'MAIN DATA, Orders'!$I:$I,"Other")/1000000000)</f>
        <v>0</v>
      </c>
      <c r="AF7" s="15">
        <f>(SUMIFS('MAIN DATA, Orders'!$S:$S,'MAIN DATA, Orders'!$Y:$Y,$A7,'MAIN DATA, Orders'!$D:$D,"Germany",'MAIN DATA, Orders'!$I:$I,"Development - Other")/1000000000)</f>
        <v>0</v>
      </c>
      <c r="AG7" s="15"/>
      <c r="AH7" s="15" cm="1">
        <f t="array" ref="AH7">SUM(SUMIFS('MAIN DATA, Orders'!$S:$S,'MAIN DATA, Orders'!$Y:$Y,$A7,'MAIN DATA, Orders'!$D:$D,"Germany",'MAIN DATA, Orders'!$I:$I,{"Missile (Land)","Development - Missile (Land)"})/1000000000)</f>
        <v>0</v>
      </c>
      <c r="AI7" s="15" cm="1">
        <f t="array" ref="AI7">SUM(SUMIFS('MAIN DATA, Orders'!$S:$S,'MAIN DATA, Orders'!$D:$D,"Germany",'MAIN DATA, Orders'!$I:$I,{"Missile (Air)","Development - Missile (Air)"},'MAIN DATA, Orders'!$Y:$Y,$A7)/1000000000)</f>
        <v>0</v>
      </c>
      <c r="AJ7" s="15" cm="1">
        <f t="array" ref="AJ7">SUM(SUMIFS('MAIN DATA, Orders'!$S:$S,'MAIN DATA, Orders'!$Y:$Y,$A7,'MAIN DATA, Orders'!$D:$D,"Germany",'MAIN DATA, Orders'!$I:$I,{"Missile (Naval)","Development - Missile (Naval)"})/1000000000)</f>
        <v>0</v>
      </c>
    </row>
    <row r="8" spans="1:36" x14ac:dyDescent="0.35">
      <c r="A8" s="20">
        <v>202002</v>
      </c>
      <c r="B8" s="17">
        <v>43862</v>
      </c>
      <c r="C8" s="15">
        <f>(SUMIFS('MAIN DATA, Orders'!$S:$S,'MAIN DATA, Orders'!$Y:$Y,$A8,'MAIN DATA, Orders'!$D:$D,"Germany",'MAIN DATA, Orders'!$I:$I,"Air defence system")/1000000000)</f>
        <v>0</v>
      </c>
      <c r="D8" s="15">
        <f>(SUMIFS('MAIN DATA, Orders'!$S:$S,'MAIN DATA, Orders'!$Y:$Y,$A8,'MAIN DATA, Orders'!$D:$D,"Germany",'MAIN DATA, Orders'!$I:$I,"Development - Air defence system")/1000000000)</f>
        <v>0</v>
      </c>
      <c r="E8" s="15">
        <f>(SUMIFS('MAIN DATA, Orders'!$S:$S,'MAIN DATA, Orders'!$Y:$Y,$A8,'MAIN DATA, Orders'!$D:$D,"Germany",'MAIN DATA, Orders'!$I:$I,"Aircraft")/1000000000)</f>
        <v>0</v>
      </c>
      <c r="F8" s="15">
        <f>(SUMIFS('MAIN DATA, Orders'!$S:$S,'MAIN DATA, Orders'!$Y:$Y,$A8,'MAIN DATA, Orders'!$D:$D,"Germany",'MAIN DATA, Orders'!$I:$I,"Development - Aircraft")/1000000000)</f>
        <v>0</v>
      </c>
      <c r="G8" s="15">
        <f>(SUMIFS('MAIN DATA, Orders'!$S:$S,'MAIN DATA, Orders'!$Y:$Y,$A8,'MAIN DATA, Orders'!$D:$D,"Germany",'MAIN DATA, Orders'!$I:$I,"Ammunition")/1000000000)</f>
        <v>0</v>
      </c>
      <c r="H8" s="15">
        <f>(SUMIFS('MAIN DATA, Orders'!$S:$S,'MAIN DATA, Orders'!$Y:$Y,$A8,'MAIN DATA, Orders'!$D:$D,"Germany",'MAIN DATA, Orders'!$I:$I,"Development - Ammunition")/1000000000)</f>
        <v>0</v>
      </c>
      <c r="I8" s="15">
        <f>(SUMIFS('MAIN DATA, Orders'!$S:$S,'MAIN DATA, Orders'!$Y:$Y,$A8,'MAIN DATA, Orders'!$D:$D,"Germany",'MAIN DATA, Orders'!$I:$I,"Armoured vehicle")/1000000000)</f>
        <v>0</v>
      </c>
      <c r="J8" s="15">
        <f>(SUMIFS('MAIN DATA, Orders'!$S:$S,'MAIN DATA, Orders'!$Y:$Y,$A8,'MAIN DATA, Orders'!$D:$D,"Germany",'MAIN DATA, Orders'!$I:$I,"Development - Armoured vehicle")/1000000000)</f>
        <v>0</v>
      </c>
      <c r="K8" s="15">
        <f>(SUMIFS('MAIN DATA, Orders'!$S:$S,'MAIN DATA, Orders'!$Y:$Y,$A8,'MAIN DATA, Orders'!$D:$D,"Germany",'MAIN DATA, Orders'!$I:$I,"Artillery")/1000000000)</f>
        <v>0</v>
      </c>
      <c r="L8" s="15">
        <f>(SUMIFS('MAIN DATA, Orders'!$S:$S,'MAIN DATA, Orders'!$Y:$Y,$A8,'MAIN DATA, Orders'!$D:$D,"Germany",'MAIN DATA, Orders'!$I:$I,"Development - Artillery")/1000000000)</f>
        <v>0</v>
      </c>
      <c r="M8" s="15">
        <f>(SUMIFS('MAIN DATA, Orders'!$S:$S,'MAIN DATA, Orders'!$Y:$Y,$A8,'MAIN DATA, Orders'!$D:$D,"Germany",'MAIN DATA, Orders'!$I:$I,"Drone")/1000000000)</f>
        <v>0</v>
      </c>
      <c r="N8" s="15">
        <f>(SUMIFS('MAIN DATA, Orders'!$S:$S,'MAIN DATA, Orders'!$Y:$Y,$A8,'MAIN DATA, Orders'!$D:$D,"Germany",'MAIN DATA, Orders'!$I:$I,"Development - Drone")/1000000000)</f>
        <v>0</v>
      </c>
      <c r="O8" s="15">
        <f>(SUMIFS('MAIN DATA, Orders'!$S:$S,'MAIN DATA, Orders'!$Y:$Y,$A8,'MAIN DATA, Orders'!$D:$D,"Germany",'MAIN DATA, Orders'!$I:$I,"Helicopter")/1000000000)</f>
        <v>0</v>
      </c>
      <c r="P8" s="15">
        <f>(SUMIFS('MAIN DATA, Orders'!$S:$S,'MAIN DATA, Orders'!$Y:$Y,$A8,'MAIN DATA, Orders'!$D:$D,"Germany",'MAIN DATA, Orders'!$I:$I,"Development - Helicopter")/1000000000)</f>
        <v>0</v>
      </c>
      <c r="Q8" s="15">
        <f>(SUMIFS('MAIN DATA, Orders'!$S:$S,'MAIN DATA, Orders'!$Y:$Y,$A8,'MAIN DATA, Orders'!$D:$D,"Germany",'MAIN DATA, Orders'!$I:$I,"Infantry")/1000000000)</f>
        <v>0</v>
      </c>
      <c r="R8" s="15">
        <f>(SUMIFS('MAIN DATA, Orders'!$S:$S,'MAIN DATA, Orders'!$Y:$Y,$A8,'MAIN DATA, Orders'!$D:$D,"Germany",'MAIN DATA, Orders'!$I:$I,"Development - Infantry")/1000000000)</f>
        <v>0</v>
      </c>
      <c r="S8" s="15">
        <f>(SUMIFS('MAIN DATA, Orders'!$S:$S,'MAIN DATA, Orders'!$Y:$Y,$A8,'MAIN DATA, Orders'!$D:$D,"Germany",'MAIN DATA, Orders'!$I:$I,"Tank")/1000000000)</f>
        <v>0</v>
      </c>
      <c r="T8" s="15">
        <f>(SUMIFS('MAIN DATA, Orders'!$S:$S,'MAIN DATA, Orders'!$Y:$Y,$A8,'MAIN DATA, Orders'!$D:$D,"Germany",'MAIN DATA, Orders'!$I:$I,"Development - Tank")/1000000000)</f>
        <v>0</v>
      </c>
      <c r="U8" s="15">
        <f>(SUMIFS('MAIN DATA, Orders'!$S:$S,'MAIN DATA, Orders'!$Y:$Y,$A8,'MAIN DATA, Orders'!$D:$D,"Germany",'MAIN DATA, Orders'!$I:$I,"Maintenance")/1000000000)</f>
        <v>0</v>
      </c>
      <c r="V8" s="15">
        <f>(SUMIFS('MAIN DATA, Orders'!$S:$S,'MAIN DATA, Orders'!$Y:$Y,$A8,'MAIN DATA, Orders'!$D:$D,"Germany",'MAIN DATA, Orders'!$I:$I,"Development - Maintenance")/1000000000)</f>
        <v>0</v>
      </c>
      <c r="W8" s="15">
        <f>(SUMIFS('MAIN DATA, Orders'!$S:$S,'MAIN DATA, Orders'!$Y:$Y,$A8,'MAIN DATA, Orders'!$D:$D,"Germany",'MAIN DATA, Orders'!$I:$I,"Mine")/1000000000)</f>
        <v>0</v>
      </c>
      <c r="X8" s="15">
        <f>(SUMIFS('MAIN DATA, Orders'!$S:$S,'MAIN DATA, Orders'!$Y:$Y,$A8,'MAIN DATA, Orders'!$D:$D,"Germany",'MAIN DATA, Orders'!$I:$I,"Development - Mine")/1000000000)</f>
        <v>0</v>
      </c>
      <c r="Y8" s="15">
        <f>(SUMIFS('MAIN DATA, Orders'!$S:$S,'MAIN DATA, Orders'!$Y:$Y,$A8,'MAIN DATA, Orders'!$D:$D,"Germany",'MAIN DATA, Orders'!$J:$J,"6")/1000000000)</f>
        <v>0</v>
      </c>
      <c r="Z8" s="15" cm="1">
        <f t="array" ref="Z8">SUM(SUMIFS('MAIN DATA, Orders'!$S:$S,'MAIN DATA, Orders'!$Y:$Y,$A8,'MAIN DATA, Orders'!$D:$D,"Germany",'MAIN DATA, Orders'!$I:$I,{"Development - Missile (Land)","Development - Missile (Naval)","Development - Missile (Air)"})/1000000000)</f>
        <v>0</v>
      </c>
      <c r="AA8" s="15">
        <f>(SUMIFS('MAIN DATA, Orders'!$S:$S,'MAIN DATA, Orders'!$Y:$Y,$A8,'MAIN DATA, Orders'!$D:$D,"Germany",'MAIN DATA, Orders'!$I:$I,"Modernisation")/1000000000)</f>
        <v>0</v>
      </c>
      <c r="AB8" s="15">
        <f>(SUMIFS('MAIN DATA, Orders'!$S:$S,'MAIN DATA, Orders'!$Y:$Y,$A8,'MAIN DATA, Orders'!$D:$D,"Germany",'MAIN DATA, Orders'!$I:$I,"Development - Modernisation")/1000000000)</f>
        <v>0</v>
      </c>
      <c r="AC8" s="15">
        <f>(SUMIFS('MAIN DATA, Orders'!$S:$S,'MAIN DATA, Orders'!$Y:$Y,$A8,'MAIN DATA, Orders'!$D:$D,"Germany",'MAIN DATA, Orders'!$I:$I,"Naval")/1000000000)</f>
        <v>0</v>
      </c>
      <c r="AD8" s="15">
        <f>(SUMIFS('MAIN DATA, Orders'!$S:$S,'MAIN DATA, Orders'!$Y:$Y,$A8,'MAIN DATA, Orders'!$D:$D,"Germany",'MAIN DATA, Orders'!$I:$I,"Development - Naval")/1000000000)</f>
        <v>0</v>
      </c>
      <c r="AE8" s="15">
        <f>(SUMIFS('MAIN DATA, Orders'!$S:$S,'MAIN DATA, Orders'!$Y:$Y,$A8,'MAIN DATA, Orders'!$D:$D,"Germany",'MAIN DATA, Orders'!$I:$I,"Other")/1000000000)</f>
        <v>0</v>
      </c>
      <c r="AF8" s="15">
        <f>(SUMIFS('MAIN DATA, Orders'!$S:$S,'MAIN DATA, Orders'!$Y:$Y,$A8,'MAIN DATA, Orders'!$D:$D,"Germany",'MAIN DATA, Orders'!$I:$I,"Development - Other")/1000000000)</f>
        <v>0</v>
      </c>
      <c r="AG8" s="15"/>
      <c r="AH8" s="15" cm="1">
        <f t="array" ref="AH8">SUM(SUMIFS('MAIN DATA, Orders'!$S:$S,'MAIN DATA, Orders'!$Y:$Y,$A8,'MAIN DATA, Orders'!$D:$D,"Germany",'MAIN DATA, Orders'!$I:$I,{"Missile (Land)","Development - Missile (Land)"})/1000000000)</f>
        <v>0</v>
      </c>
      <c r="AI8" s="15" cm="1">
        <f t="array" ref="AI8">SUM(SUMIFS('MAIN DATA, Orders'!$S:$S,'MAIN DATA, Orders'!$D:$D,"Germany",'MAIN DATA, Orders'!$I:$I,{"Missile (Air)","Development - Missile (Air)"},'MAIN DATA, Orders'!$Y:$Y,$A8)/1000000000)</f>
        <v>0</v>
      </c>
      <c r="AJ8" s="15" cm="1">
        <f t="array" ref="AJ8">SUM(SUMIFS('MAIN DATA, Orders'!$S:$S,'MAIN DATA, Orders'!$Y:$Y,$A8,'MAIN DATA, Orders'!$D:$D,"Germany",'MAIN DATA, Orders'!$I:$I,{"Missile (Naval)","Development - Missile (Naval)"})/1000000000)</f>
        <v>0</v>
      </c>
    </row>
    <row r="9" spans="1:36" x14ac:dyDescent="0.35">
      <c r="A9" s="20">
        <v>202003</v>
      </c>
      <c r="B9" s="17">
        <v>43891</v>
      </c>
      <c r="C9" s="15">
        <f>(SUMIFS('MAIN DATA, Orders'!$S:$S,'MAIN DATA, Orders'!$Y:$Y,$A9,'MAIN DATA, Orders'!$D:$D,"Germany",'MAIN DATA, Orders'!$I:$I,"Air defence system")/1000000000)</f>
        <v>0</v>
      </c>
      <c r="D9" s="15">
        <f>(SUMIFS('MAIN DATA, Orders'!$S:$S,'MAIN DATA, Orders'!$Y:$Y,$A9,'MAIN DATA, Orders'!$D:$D,"Germany",'MAIN DATA, Orders'!$I:$I,"Development - Air defence system")/1000000000)</f>
        <v>0</v>
      </c>
      <c r="E9" s="15">
        <f>(SUMIFS('MAIN DATA, Orders'!$S:$S,'MAIN DATA, Orders'!$Y:$Y,$A9,'MAIN DATA, Orders'!$D:$D,"Germany",'MAIN DATA, Orders'!$I:$I,"Aircraft")/1000000000)</f>
        <v>0</v>
      </c>
      <c r="F9" s="15">
        <f>(SUMIFS('MAIN DATA, Orders'!$S:$S,'MAIN DATA, Orders'!$Y:$Y,$A9,'MAIN DATA, Orders'!$D:$D,"Germany",'MAIN DATA, Orders'!$I:$I,"Development - Aircraft")/1000000000)</f>
        <v>0</v>
      </c>
      <c r="G9" s="15">
        <f>(SUMIFS('MAIN DATA, Orders'!$S:$S,'MAIN DATA, Orders'!$Y:$Y,$A9,'MAIN DATA, Orders'!$D:$D,"Germany",'MAIN DATA, Orders'!$I:$I,"Ammunition")/1000000000)</f>
        <v>0</v>
      </c>
      <c r="H9" s="15">
        <f>(SUMIFS('MAIN DATA, Orders'!$S:$S,'MAIN DATA, Orders'!$Y:$Y,$A9,'MAIN DATA, Orders'!$D:$D,"Germany",'MAIN DATA, Orders'!$I:$I,"Development - Ammunition")/1000000000)</f>
        <v>0</v>
      </c>
      <c r="I9" s="15">
        <f>(SUMIFS('MAIN DATA, Orders'!$S:$S,'MAIN DATA, Orders'!$Y:$Y,$A9,'MAIN DATA, Orders'!$D:$D,"Germany",'MAIN DATA, Orders'!$I:$I,"Armoured vehicle")/1000000000)</f>
        <v>0</v>
      </c>
      <c r="J9" s="15">
        <f>(SUMIFS('MAIN DATA, Orders'!$S:$S,'MAIN DATA, Orders'!$Y:$Y,$A9,'MAIN DATA, Orders'!$D:$D,"Germany",'MAIN DATA, Orders'!$I:$I,"Development - Armoured vehicle")/1000000000)</f>
        <v>0</v>
      </c>
      <c r="K9" s="15">
        <f>(SUMIFS('MAIN DATA, Orders'!$S:$S,'MAIN DATA, Orders'!$Y:$Y,$A9,'MAIN DATA, Orders'!$D:$D,"Germany",'MAIN DATA, Orders'!$I:$I,"Artillery")/1000000000)</f>
        <v>0</v>
      </c>
      <c r="L9" s="15">
        <f>(SUMIFS('MAIN DATA, Orders'!$S:$S,'MAIN DATA, Orders'!$Y:$Y,$A9,'MAIN DATA, Orders'!$D:$D,"Germany",'MAIN DATA, Orders'!$I:$I,"Development - Artillery")/1000000000)</f>
        <v>0</v>
      </c>
      <c r="M9" s="15">
        <f>(SUMIFS('MAIN DATA, Orders'!$S:$S,'MAIN DATA, Orders'!$Y:$Y,$A9,'MAIN DATA, Orders'!$D:$D,"Germany",'MAIN DATA, Orders'!$I:$I,"Drone")/1000000000)</f>
        <v>0</v>
      </c>
      <c r="N9" s="15">
        <f>(SUMIFS('MAIN DATA, Orders'!$S:$S,'MAIN DATA, Orders'!$Y:$Y,$A9,'MAIN DATA, Orders'!$D:$D,"Germany",'MAIN DATA, Orders'!$I:$I,"Development - Drone")/1000000000)</f>
        <v>0</v>
      </c>
      <c r="O9" s="15">
        <f>(SUMIFS('MAIN DATA, Orders'!$S:$S,'MAIN DATA, Orders'!$Y:$Y,$A9,'MAIN DATA, Orders'!$D:$D,"Germany",'MAIN DATA, Orders'!$I:$I,"Helicopter")/1000000000)</f>
        <v>0</v>
      </c>
      <c r="P9" s="15">
        <f>(SUMIFS('MAIN DATA, Orders'!$S:$S,'MAIN DATA, Orders'!$Y:$Y,$A9,'MAIN DATA, Orders'!$D:$D,"Germany",'MAIN DATA, Orders'!$I:$I,"Development - Helicopter")/1000000000)</f>
        <v>0</v>
      </c>
      <c r="Q9" s="15">
        <f>(SUMIFS('MAIN DATA, Orders'!$S:$S,'MAIN DATA, Orders'!$Y:$Y,$A9,'MAIN DATA, Orders'!$D:$D,"Germany",'MAIN DATA, Orders'!$I:$I,"Infantry")/1000000000)</f>
        <v>0</v>
      </c>
      <c r="R9" s="15">
        <f>(SUMIFS('MAIN DATA, Orders'!$S:$S,'MAIN DATA, Orders'!$Y:$Y,$A9,'MAIN DATA, Orders'!$D:$D,"Germany",'MAIN DATA, Orders'!$I:$I,"Development - Infantry")/1000000000)</f>
        <v>0</v>
      </c>
      <c r="S9" s="15">
        <f>(SUMIFS('MAIN DATA, Orders'!$S:$S,'MAIN DATA, Orders'!$Y:$Y,$A9,'MAIN DATA, Orders'!$D:$D,"Germany",'MAIN DATA, Orders'!$I:$I,"Tank")/1000000000)</f>
        <v>0</v>
      </c>
      <c r="T9" s="15">
        <f>(SUMIFS('MAIN DATA, Orders'!$S:$S,'MAIN DATA, Orders'!$Y:$Y,$A9,'MAIN DATA, Orders'!$D:$D,"Germany",'MAIN DATA, Orders'!$I:$I,"Development - Tank")/1000000000)</f>
        <v>0</v>
      </c>
      <c r="U9" s="15">
        <f>(SUMIFS('MAIN DATA, Orders'!$S:$S,'MAIN DATA, Orders'!$Y:$Y,$A9,'MAIN DATA, Orders'!$D:$D,"Germany",'MAIN DATA, Orders'!$I:$I,"Maintenance")/1000000000)</f>
        <v>0</v>
      </c>
      <c r="V9" s="15">
        <f>(SUMIFS('MAIN DATA, Orders'!$S:$S,'MAIN DATA, Orders'!$Y:$Y,$A9,'MAIN DATA, Orders'!$D:$D,"Germany",'MAIN DATA, Orders'!$I:$I,"Development - Maintenance")/1000000000)</f>
        <v>0</v>
      </c>
      <c r="W9" s="15">
        <f>(SUMIFS('MAIN DATA, Orders'!$S:$S,'MAIN DATA, Orders'!$Y:$Y,$A9,'MAIN DATA, Orders'!$D:$D,"Germany",'MAIN DATA, Orders'!$I:$I,"Mine")/1000000000)</f>
        <v>0</v>
      </c>
      <c r="X9" s="15">
        <f>(SUMIFS('MAIN DATA, Orders'!$S:$S,'MAIN DATA, Orders'!$Y:$Y,$A9,'MAIN DATA, Orders'!$D:$D,"Germany",'MAIN DATA, Orders'!$I:$I,"Development - Mine")/1000000000)</f>
        <v>0</v>
      </c>
      <c r="Y9" s="15">
        <f>(SUMIFS('MAIN DATA, Orders'!$S:$S,'MAIN DATA, Orders'!$Y:$Y,$A9,'MAIN DATA, Orders'!$D:$D,"Germany",'MAIN DATA, Orders'!$J:$J,"6")/1000000000)</f>
        <v>0</v>
      </c>
      <c r="Z9" s="15" cm="1">
        <f t="array" ref="Z9">SUM(SUMIFS('MAIN DATA, Orders'!$S:$S,'MAIN DATA, Orders'!$Y:$Y,$A9,'MAIN DATA, Orders'!$D:$D,"Germany",'MAIN DATA, Orders'!$I:$I,{"Development - Missile (Land)","Development - Missile (Naval)","Development - Missile (Air)"})/1000000000)</f>
        <v>0</v>
      </c>
      <c r="AA9" s="15">
        <f>(SUMIFS('MAIN DATA, Orders'!$S:$S,'MAIN DATA, Orders'!$Y:$Y,$A9,'MAIN DATA, Orders'!$D:$D,"Germany",'MAIN DATA, Orders'!$I:$I,"Modernisation")/1000000000)</f>
        <v>0</v>
      </c>
      <c r="AB9" s="15">
        <f>(SUMIFS('MAIN DATA, Orders'!$S:$S,'MAIN DATA, Orders'!$Y:$Y,$A9,'MAIN DATA, Orders'!$D:$D,"Germany",'MAIN DATA, Orders'!$I:$I,"Development - Modernisation")/1000000000)</f>
        <v>0</v>
      </c>
      <c r="AC9" s="15">
        <f>(SUMIFS('MAIN DATA, Orders'!$S:$S,'MAIN DATA, Orders'!$Y:$Y,$A9,'MAIN DATA, Orders'!$D:$D,"Germany",'MAIN DATA, Orders'!$I:$I,"Naval")/1000000000)</f>
        <v>0</v>
      </c>
      <c r="AD9" s="15">
        <f>(SUMIFS('MAIN DATA, Orders'!$S:$S,'MAIN DATA, Orders'!$Y:$Y,$A9,'MAIN DATA, Orders'!$D:$D,"Germany",'MAIN DATA, Orders'!$I:$I,"Development - Naval")/1000000000)</f>
        <v>0</v>
      </c>
      <c r="AE9" s="15">
        <f>(SUMIFS('MAIN DATA, Orders'!$S:$S,'MAIN DATA, Orders'!$Y:$Y,$A9,'MAIN DATA, Orders'!$D:$D,"Germany",'MAIN DATA, Orders'!$I:$I,"Other")/1000000000)</f>
        <v>0</v>
      </c>
      <c r="AF9" s="15">
        <f>(SUMIFS('MAIN DATA, Orders'!$S:$S,'MAIN DATA, Orders'!$Y:$Y,$A9,'MAIN DATA, Orders'!$D:$D,"Germany",'MAIN DATA, Orders'!$I:$I,"Development - Other")/1000000000)</f>
        <v>0</v>
      </c>
      <c r="AG9" s="15"/>
      <c r="AH9" s="15" cm="1">
        <f t="array" ref="AH9">SUM(SUMIFS('MAIN DATA, Orders'!$S:$S,'MAIN DATA, Orders'!$Y:$Y,$A9,'MAIN DATA, Orders'!$D:$D,"Germany",'MAIN DATA, Orders'!$I:$I,{"Missile (Land)","Development - Missile (Land)"})/1000000000)</f>
        <v>0</v>
      </c>
      <c r="AI9" s="15" cm="1">
        <f t="array" ref="AI9">SUM(SUMIFS('MAIN DATA, Orders'!$S:$S,'MAIN DATA, Orders'!$D:$D,"Germany",'MAIN DATA, Orders'!$I:$I,{"Missile (Air)","Development - Missile (Air)"},'MAIN DATA, Orders'!$Y:$Y,$A9)/1000000000)</f>
        <v>0</v>
      </c>
      <c r="AJ9" s="15" cm="1">
        <f t="array" ref="AJ9">SUM(SUMIFS('MAIN DATA, Orders'!$S:$S,'MAIN DATA, Orders'!$Y:$Y,$A9,'MAIN DATA, Orders'!$D:$D,"Germany",'MAIN DATA, Orders'!$I:$I,{"Missile (Naval)","Development - Missile (Naval)"})/1000000000)</f>
        <v>0</v>
      </c>
    </row>
    <row r="10" spans="1:36" x14ac:dyDescent="0.35">
      <c r="A10" s="20">
        <v>202004</v>
      </c>
      <c r="B10" s="17">
        <v>43922</v>
      </c>
      <c r="C10" s="15">
        <f>(SUMIFS('MAIN DATA, Orders'!$S:$S,'MAIN DATA, Orders'!$Y:$Y,$A10,'MAIN DATA, Orders'!$D:$D,"Germany",'MAIN DATA, Orders'!$I:$I,"Air defence system")/1000000000)</f>
        <v>0</v>
      </c>
      <c r="D10" s="15">
        <f>(SUMIFS('MAIN DATA, Orders'!$S:$S,'MAIN DATA, Orders'!$Y:$Y,$A10,'MAIN DATA, Orders'!$D:$D,"Germany",'MAIN DATA, Orders'!$I:$I,"Development - Air defence system")/1000000000)</f>
        <v>0</v>
      </c>
      <c r="E10" s="15">
        <f>(SUMIFS('MAIN DATA, Orders'!$S:$S,'MAIN DATA, Orders'!$Y:$Y,$A10,'MAIN DATA, Orders'!$D:$D,"Germany",'MAIN DATA, Orders'!$I:$I,"Aircraft")/1000000000)</f>
        <v>0</v>
      </c>
      <c r="F10" s="15">
        <f>(SUMIFS('MAIN DATA, Orders'!$S:$S,'MAIN DATA, Orders'!$Y:$Y,$A10,'MAIN DATA, Orders'!$D:$D,"Germany",'MAIN DATA, Orders'!$I:$I,"Development - Aircraft")/1000000000)</f>
        <v>0</v>
      </c>
      <c r="G10" s="15">
        <f>(SUMIFS('MAIN DATA, Orders'!$S:$S,'MAIN DATA, Orders'!$Y:$Y,$A10,'MAIN DATA, Orders'!$D:$D,"Germany",'MAIN DATA, Orders'!$I:$I,"Ammunition")/1000000000)</f>
        <v>0</v>
      </c>
      <c r="H10" s="15">
        <f>(SUMIFS('MAIN DATA, Orders'!$S:$S,'MAIN DATA, Orders'!$Y:$Y,$A10,'MAIN DATA, Orders'!$D:$D,"Germany",'MAIN DATA, Orders'!$I:$I,"Development - Ammunition")/1000000000)</f>
        <v>0</v>
      </c>
      <c r="I10" s="15">
        <f>(SUMIFS('MAIN DATA, Orders'!$S:$S,'MAIN DATA, Orders'!$Y:$Y,$A10,'MAIN DATA, Orders'!$D:$D,"Germany",'MAIN DATA, Orders'!$I:$I,"Armoured vehicle")/1000000000)</f>
        <v>0</v>
      </c>
      <c r="J10" s="15">
        <f>(SUMIFS('MAIN DATA, Orders'!$S:$S,'MAIN DATA, Orders'!$Y:$Y,$A10,'MAIN DATA, Orders'!$D:$D,"Germany",'MAIN DATA, Orders'!$I:$I,"Development - Armoured vehicle")/1000000000)</f>
        <v>0</v>
      </c>
      <c r="K10" s="15">
        <f>(SUMIFS('MAIN DATA, Orders'!$S:$S,'MAIN DATA, Orders'!$Y:$Y,$A10,'MAIN DATA, Orders'!$D:$D,"Germany",'MAIN DATA, Orders'!$I:$I,"Artillery")/1000000000)</f>
        <v>0</v>
      </c>
      <c r="L10" s="15">
        <f>(SUMIFS('MAIN DATA, Orders'!$S:$S,'MAIN DATA, Orders'!$Y:$Y,$A10,'MAIN DATA, Orders'!$D:$D,"Germany",'MAIN DATA, Orders'!$I:$I,"Development - Artillery")/1000000000)</f>
        <v>0</v>
      </c>
      <c r="M10" s="15">
        <f>(SUMIFS('MAIN DATA, Orders'!$S:$S,'MAIN DATA, Orders'!$Y:$Y,$A10,'MAIN DATA, Orders'!$D:$D,"Germany",'MAIN DATA, Orders'!$I:$I,"Drone")/1000000000)</f>
        <v>0</v>
      </c>
      <c r="N10" s="15">
        <f>(SUMIFS('MAIN DATA, Orders'!$S:$S,'MAIN DATA, Orders'!$Y:$Y,$A10,'MAIN DATA, Orders'!$D:$D,"Germany",'MAIN DATA, Orders'!$I:$I,"Development - Drone")/1000000000)</f>
        <v>0</v>
      </c>
      <c r="O10" s="15">
        <f>(SUMIFS('MAIN DATA, Orders'!$S:$S,'MAIN DATA, Orders'!$Y:$Y,$A10,'MAIN DATA, Orders'!$D:$D,"Germany",'MAIN DATA, Orders'!$I:$I,"Helicopter")/1000000000)</f>
        <v>0</v>
      </c>
      <c r="P10" s="15">
        <f>(SUMIFS('MAIN DATA, Orders'!$S:$S,'MAIN DATA, Orders'!$Y:$Y,$A10,'MAIN DATA, Orders'!$D:$D,"Germany",'MAIN DATA, Orders'!$I:$I,"Development - Helicopter")/1000000000)</f>
        <v>0</v>
      </c>
      <c r="Q10" s="15">
        <f>(SUMIFS('MAIN DATA, Orders'!$S:$S,'MAIN DATA, Orders'!$Y:$Y,$A10,'MAIN DATA, Orders'!$D:$D,"Germany",'MAIN DATA, Orders'!$I:$I,"Infantry")/1000000000)</f>
        <v>0</v>
      </c>
      <c r="R10" s="15">
        <f>(SUMIFS('MAIN DATA, Orders'!$S:$S,'MAIN DATA, Orders'!$Y:$Y,$A10,'MAIN DATA, Orders'!$D:$D,"Germany",'MAIN DATA, Orders'!$I:$I,"Development - Infantry")/1000000000)</f>
        <v>0</v>
      </c>
      <c r="S10" s="15">
        <f>(SUMIFS('MAIN DATA, Orders'!$S:$S,'MAIN DATA, Orders'!$Y:$Y,$A10,'MAIN DATA, Orders'!$D:$D,"Germany",'MAIN DATA, Orders'!$I:$I,"Tank")/1000000000)</f>
        <v>0</v>
      </c>
      <c r="T10" s="15">
        <f>(SUMIFS('MAIN DATA, Orders'!$S:$S,'MAIN DATA, Orders'!$Y:$Y,$A10,'MAIN DATA, Orders'!$D:$D,"Germany",'MAIN DATA, Orders'!$I:$I,"Development - Tank")/1000000000)</f>
        <v>0</v>
      </c>
      <c r="U10" s="15">
        <f>(SUMIFS('MAIN DATA, Orders'!$S:$S,'MAIN DATA, Orders'!$Y:$Y,$A10,'MAIN DATA, Orders'!$D:$D,"Germany",'MAIN DATA, Orders'!$I:$I,"Maintenance")/1000000000)</f>
        <v>0</v>
      </c>
      <c r="V10" s="15">
        <f>(SUMIFS('MAIN DATA, Orders'!$S:$S,'MAIN DATA, Orders'!$Y:$Y,$A10,'MAIN DATA, Orders'!$D:$D,"Germany",'MAIN DATA, Orders'!$I:$I,"Development - Maintenance")/1000000000)</f>
        <v>0</v>
      </c>
      <c r="W10" s="15">
        <f>(SUMIFS('MAIN DATA, Orders'!$S:$S,'MAIN DATA, Orders'!$Y:$Y,$A10,'MAIN DATA, Orders'!$D:$D,"Germany",'MAIN DATA, Orders'!$I:$I,"Mine")/1000000000)</f>
        <v>0</v>
      </c>
      <c r="X10" s="15">
        <f>(SUMIFS('MAIN DATA, Orders'!$S:$S,'MAIN DATA, Orders'!$Y:$Y,$A10,'MAIN DATA, Orders'!$D:$D,"Germany",'MAIN DATA, Orders'!$I:$I,"Development - Mine")/1000000000)</f>
        <v>0</v>
      </c>
      <c r="Y10" s="15">
        <f>(SUMIFS('MAIN DATA, Orders'!$S:$S,'MAIN DATA, Orders'!$Y:$Y,$A10,'MAIN DATA, Orders'!$D:$D,"Germany",'MAIN DATA, Orders'!$J:$J,"6")/1000000000)</f>
        <v>0</v>
      </c>
      <c r="Z10" s="15" cm="1">
        <f t="array" ref="Z10">SUM(SUMIFS('MAIN DATA, Orders'!$S:$S,'MAIN DATA, Orders'!$Y:$Y,$A10,'MAIN DATA, Orders'!$D:$D,"Germany",'MAIN DATA, Orders'!$I:$I,{"Development - Missile (Land)","Development - Missile (Naval)","Development - Missile (Air)"})/1000000000)</f>
        <v>0</v>
      </c>
      <c r="AA10" s="15">
        <f>(SUMIFS('MAIN DATA, Orders'!$S:$S,'MAIN DATA, Orders'!$Y:$Y,$A10,'MAIN DATA, Orders'!$D:$D,"Germany",'MAIN DATA, Orders'!$I:$I,"Modernisation")/1000000000)</f>
        <v>0</v>
      </c>
      <c r="AB10" s="15">
        <f>(SUMIFS('MAIN DATA, Orders'!$S:$S,'MAIN DATA, Orders'!$Y:$Y,$A10,'MAIN DATA, Orders'!$D:$D,"Germany",'MAIN DATA, Orders'!$I:$I,"Development - Modernisation")/1000000000)</f>
        <v>0</v>
      </c>
      <c r="AC10" s="15">
        <f>(SUMIFS('MAIN DATA, Orders'!$S:$S,'MAIN DATA, Orders'!$Y:$Y,$A10,'MAIN DATA, Orders'!$D:$D,"Germany",'MAIN DATA, Orders'!$I:$I,"Naval")/1000000000)</f>
        <v>0</v>
      </c>
      <c r="AD10" s="15">
        <f>(SUMIFS('MAIN DATA, Orders'!$S:$S,'MAIN DATA, Orders'!$Y:$Y,$A10,'MAIN DATA, Orders'!$D:$D,"Germany",'MAIN DATA, Orders'!$I:$I,"Development - Naval")/1000000000)</f>
        <v>0</v>
      </c>
      <c r="AE10" s="15">
        <f>(SUMIFS('MAIN DATA, Orders'!$S:$S,'MAIN DATA, Orders'!$Y:$Y,$A10,'MAIN DATA, Orders'!$D:$D,"Germany",'MAIN DATA, Orders'!$I:$I,"Other")/1000000000)</f>
        <v>0</v>
      </c>
      <c r="AF10" s="15">
        <f>(SUMIFS('MAIN DATA, Orders'!$S:$S,'MAIN DATA, Orders'!$Y:$Y,$A10,'MAIN DATA, Orders'!$D:$D,"Germany",'MAIN DATA, Orders'!$I:$I,"Development - Other")/1000000000)</f>
        <v>0</v>
      </c>
      <c r="AG10" s="15"/>
      <c r="AH10" s="15" cm="1">
        <f t="array" ref="AH10">SUM(SUMIFS('MAIN DATA, Orders'!$S:$S,'MAIN DATA, Orders'!$Y:$Y,$A10,'MAIN DATA, Orders'!$D:$D,"Germany",'MAIN DATA, Orders'!$I:$I,{"Missile (Land)","Development - Missile (Land)"})/1000000000)</f>
        <v>0</v>
      </c>
      <c r="AI10" s="15" cm="1">
        <f t="array" ref="AI10">SUM(SUMIFS('MAIN DATA, Orders'!$S:$S,'MAIN DATA, Orders'!$D:$D,"Germany",'MAIN DATA, Orders'!$I:$I,{"Missile (Air)","Development - Missile (Air)"},'MAIN DATA, Orders'!$Y:$Y,$A10)/1000000000)</f>
        <v>0</v>
      </c>
      <c r="AJ10" s="15" cm="1">
        <f t="array" ref="AJ10">SUM(SUMIFS('MAIN DATA, Orders'!$S:$S,'MAIN DATA, Orders'!$Y:$Y,$A10,'MAIN DATA, Orders'!$D:$D,"Germany",'MAIN DATA, Orders'!$I:$I,{"Missile (Naval)","Development - Missile (Naval)"})/1000000000)</f>
        <v>0</v>
      </c>
    </row>
    <row r="11" spans="1:36" x14ac:dyDescent="0.35">
      <c r="A11" s="20">
        <v>202005</v>
      </c>
      <c r="B11" s="17">
        <v>43952</v>
      </c>
      <c r="C11" s="15">
        <f>(SUMIFS('MAIN DATA, Orders'!$S:$S,'MAIN DATA, Orders'!$Y:$Y,$A11,'MAIN DATA, Orders'!$D:$D,"Germany",'MAIN DATA, Orders'!$I:$I,"Air defence system")/1000000000)</f>
        <v>0</v>
      </c>
      <c r="D11" s="15">
        <f>(SUMIFS('MAIN DATA, Orders'!$S:$S,'MAIN DATA, Orders'!$Y:$Y,$A11,'MAIN DATA, Orders'!$D:$D,"Germany",'MAIN DATA, Orders'!$I:$I,"Development - Air defence system")/1000000000)</f>
        <v>0</v>
      </c>
      <c r="E11" s="15">
        <f>(SUMIFS('MAIN DATA, Orders'!$S:$S,'MAIN DATA, Orders'!$Y:$Y,$A11,'MAIN DATA, Orders'!$D:$D,"Germany",'MAIN DATA, Orders'!$I:$I,"Aircraft")/1000000000)</f>
        <v>0</v>
      </c>
      <c r="F11" s="15">
        <f>(SUMIFS('MAIN DATA, Orders'!$S:$S,'MAIN DATA, Orders'!$Y:$Y,$A11,'MAIN DATA, Orders'!$D:$D,"Germany",'MAIN DATA, Orders'!$I:$I,"Development - Aircraft")/1000000000)</f>
        <v>0</v>
      </c>
      <c r="G11" s="15">
        <f>(SUMIFS('MAIN DATA, Orders'!$S:$S,'MAIN DATA, Orders'!$Y:$Y,$A11,'MAIN DATA, Orders'!$D:$D,"Germany",'MAIN DATA, Orders'!$I:$I,"Ammunition")/1000000000)</f>
        <v>0</v>
      </c>
      <c r="H11" s="15">
        <f>(SUMIFS('MAIN DATA, Orders'!$S:$S,'MAIN DATA, Orders'!$Y:$Y,$A11,'MAIN DATA, Orders'!$D:$D,"Germany",'MAIN DATA, Orders'!$I:$I,"Development - Ammunition")/1000000000)</f>
        <v>0</v>
      </c>
      <c r="I11" s="15">
        <f>(SUMIFS('MAIN DATA, Orders'!$S:$S,'MAIN DATA, Orders'!$Y:$Y,$A11,'MAIN DATA, Orders'!$D:$D,"Germany",'MAIN DATA, Orders'!$I:$I,"Armoured vehicle")/1000000000)</f>
        <v>0</v>
      </c>
      <c r="J11" s="15">
        <f>(SUMIFS('MAIN DATA, Orders'!$S:$S,'MAIN DATA, Orders'!$Y:$Y,$A11,'MAIN DATA, Orders'!$D:$D,"Germany",'MAIN DATA, Orders'!$I:$I,"Development - Armoured vehicle")/1000000000)</f>
        <v>0</v>
      </c>
      <c r="K11" s="15">
        <f>(SUMIFS('MAIN DATA, Orders'!$S:$S,'MAIN DATA, Orders'!$Y:$Y,$A11,'MAIN DATA, Orders'!$D:$D,"Germany",'MAIN DATA, Orders'!$I:$I,"Artillery")/1000000000)</f>
        <v>0</v>
      </c>
      <c r="L11" s="15">
        <f>(SUMIFS('MAIN DATA, Orders'!$S:$S,'MAIN DATA, Orders'!$Y:$Y,$A11,'MAIN DATA, Orders'!$D:$D,"Germany",'MAIN DATA, Orders'!$I:$I,"Development - Artillery")/1000000000)</f>
        <v>0</v>
      </c>
      <c r="M11" s="15">
        <f>(SUMIFS('MAIN DATA, Orders'!$S:$S,'MAIN DATA, Orders'!$Y:$Y,$A11,'MAIN DATA, Orders'!$D:$D,"Germany",'MAIN DATA, Orders'!$I:$I,"Drone")/1000000000)</f>
        <v>0.03</v>
      </c>
      <c r="N11" s="15">
        <f>(SUMIFS('MAIN DATA, Orders'!$S:$S,'MAIN DATA, Orders'!$Y:$Y,$A11,'MAIN DATA, Orders'!$D:$D,"Germany",'MAIN DATA, Orders'!$I:$I,"Development - Drone")/1000000000)</f>
        <v>0</v>
      </c>
      <c r="O11" s="15">
        <f>(SUMIFS('MAIN DATA, Orders'!$S:$S,'MAIN DATA, Orders'!$Y:$Y,$A11,'MAIN DATA, Orders'!$D:$D,"Germany",'MAIN DATA, Orders'!$I:$I,"Helicopter")/1000000000)</f>
        <v>0</v>
      </c>
      <c r="P11" s="15">
        <f>(SUMIFS('MAIN DATA, Orders'!$S:$S,'MAIN DATA, Orders'!$Y:$Y,$A11,'MAIN DATA, Orders'!$D:$D,"Germany",'MAIN DATA, Orders'!$I:$I,"Development - Helicopter")/1000000000)</f>
        <v>0</v>
      </c>
      <c r="Q11" s="15">
        <f>(SUMIFS('MAIN DATA, Orders'!$S:$S,'MAIN DATA, Orders'!$Y:$Y,$A11,'MAIN DATA, Orders'!$D:$D,"Germany",'MAIN DATA, Orders'!$I:$I,"Infantry")/1000000000)</f>
        <v>0</v>
      </c>
      <c r="R11" s="15">
        <f>(SUMIFS('MAIN DATA, Orders'!$S:$S,'MAIN DATA, Orders'!$Y:$Y,$A11,'MAIN DATA, Orders'!$D:$D,"Germany",'MAIN DATA, Orders'!$I:$I,"Development - Infantry")/1000000000)</f>
        <v>0</v>
      </c>
      <c r="S11" s="15">
        <f>(SUMIFS('MAIN DATA, Orders'!$S:$S,'MAIN DATA, Orders'!$Y:$Y,$A11,'MAIN DATA, Orders'!$D:$D,"Germany",'MAIN DATA, Orders'!$I:$I,"Tank")/1000000000)</f>
        <v>0</v>
      </c>
      <c r="T11" s="15">
        <f>(SUMIFS('MAIN DATA, Orders'!$S:$S,'MAIN DATA, Orders'!$Y:$Y,$A11,'MAIN DATA, Orders'!$D:$D,"Germany",'MAIN DATA, Orders'!$I:$I,"Development - Tank")/1000000000)</f>
        <v>0</v>
      </c>
      <c r="U11" s="15">
        <f>(SUMIFS('MAIN DATA, Orders'!$S:$S,'MAIN DATA, Orders'!$Y:$Y,$A11,'MAIN DATA, Orders'!$D:$D,"Germany",'MAIN DATA, Orders'!$I:$I,"Maintenance")/1000000000)</f>
        <v>0</v>
      </c>
      <c r="V11" s="15">
        <f>(SUMIFS('MAIN DATA, Orders'!$S:$S,'MAIN DATA, Orders'!$Y:$Y,$A11,'MAIN DATA, Orders'!$D:$D,"Germany",'MAIN DATA, Orders'!$I:$I,"Development - Maintenance")/1000000000)</f>
        <v>0</v>
      </c>
      <c r="W11" s="15">
        <f>(SUMIFS('MAIN DATA, Orders'!$S:$S,'MAIN DATA, Orders'!$Y:$Y,$A11,'MAIN DATA, Orders'!$D:$D,"Germany",'MAIN DATA, Orders'!$I:$I,"Mine")/1000000000)</f>
        <v>0</v>
      </c>
      <c r="X11" s="15">
        <f>(SUMIFS('MAIN DATA, Orders'!$S:$S,'MAIN DATA, Orders'!$Y:$Y,$A11,'MAIN DATA, Orders'!$D:$D,"Germany",'MAIN DATA, Orders'!$I:$I,"Development - Mine")/1000000000)</f>
        <v>0</v>
      </c>
      <c r="Y11" s="15">
        <f>(SUMIFS('MAIN DATA, Orders'!$S:$S,'MAIN DATA, Orders'!$Y:$Y,$A11,'MAIN DATA, Orders'!$D:$D,"Germany",'MAIN DATA, Orders'!$J:$J,"6")/1000000000)</f>
        <v>0</v>
      </c>
      <c r="Z11" s="15" cm="1">
        <f t="array" ref="Z11">SUM(SUMIFS('MAIN DATA, Orders'!$S:$S,'MAIN DATA, Orders'!$Y:$Y,$A11,'MAIN DATA, Orders'!$D:$D,"Germany",'MAIN DATA, Orders'!$I:$I,{"Development - Missile (Land)","Development - Missile (Naval)","Development - Missile (Air)"})/1000000000)</f>
        <v>0</v>
      </c>
      <c r="AA11" s="15">
        <f>(SUMIFS('MAIN DATA, Orders'!$S:$S,'MAIN DATA, Orders'!$Y:$Y,$A11,'MAIN DATA, Orders'!$D:$D,"Germany",'MAIN DATA, Orders'!$I:$I,"Modernisation")/1000000000)</f>
        <v>0</v>
      </c>
      <c r="AB11" s="15">
        <f>(SUMIFS('MAIN DATA, Orders'!$S:$S,'MAIN DATA, Orders'!$Y:$Y,$A11,'MAIN DATA, Orders'!$D:$D,"Germany",'MAIN DATA, Orders'!$I:$I,"Development - Modernisation")/1000000000)</f>
        <v>0</v>
      </c>
      <c r="AC11" s="15">
        <f>(SUMIFS('MAIN DATA, Orders'!$S:$S,'MAIN DATA, Orders'!$Y:$Y,$A11,'MAIN DATA, Orders'!$D:$D,"Germany",'MAIN DATA, Orders'!$I:$I,"Naval")/1000000000)</f>
        <v>0</v>
      </c>
      <c r="AD11" s="15">
        <f>(SUMIFS('MAIN DATA, Orders'!$S:$S,'MAIN DATA, Orders'!$Y:$Y,$A11,'MAIN DATA, Orders'!$D:$D,"Germany",'MAIN DATA, Orders'!$I:$I,"Development - Naval")/1000000000)</f>
        <v>0</v>
      </c>
      <c r="AE11" s="15">
        <f>(SUMIFS('MAIN DATA, Orders'!$S:$S,'MAIN DATA, Orders'!$Y:$Y,$A11,'MAIN DATA, Orders'!$D:$D,"Germany",'MAIN DATA, Orders'!$I:$I,"Other")/1000000000)</f>
        <v>0</v>
      </c>
      <c r="AF11" s="15">
        <f>(SUMIFS('MAIN DATA, Orders'!$S:$S,'MAIN DATA, Orders'!$Y:$Y,$A11,'MAIN DATA, Orders'!$D:$D,"Germany",'MAIN DATA, Orders'!$I:$I,"Development - Other")/1000000000)</f>
        <v>0</v>
      </c>
      <c r="AG11" s="15"/>
      <c r="AH11" s="15" cm="1">
        <f t="array" ref="AH11">SUM(SUMIFS('MAIN DATA, Orders'!$S:$S,'MAIN DATA, Orders'!$Y:$Y,$A11,'MAIN DATA, Orders'!$D:$D,"Germany",'MAIN DATA, Orders'!$I:$I,{"Missile (Land)","Development - Missile (Land)"})/1000000000)</f>
        <v>0</v>
      </c>
      <c r="AI11" s="15" cm="1">
        <f t="array" ref="AI11">SUM(SUMIFS('MAIN DATA, Orders'!$S:$S,'MAIN DATA, Orders'!$D:$D,"Germany",'MAIN DATA, Orders'!$I:$I,{"Missile (Air)","Development - Missile (Air)"},'MAIN DATA, Orders'!$Y:$Y,$A11)/1000000000)</f>
        <v>0</v>
      </c>
      <c r="AJ11" s="15" cm="1">
        <f t="array" ref="AJ11">SUM(SUMIFS('MAIN DATA, Orders'!$S:$S,'MAIN DATA, Orders'!$Y:$Y,$A11,'MAIN DATA, Orders'!$D:$D,"Germany",'MAIN DATA, Orders'!$I:$I,{"Missile (Naval)","Development - Missile (Naval)"})/1000000000)</f>
        <v>0</v>
      </c>
    </row>
    <row r="12" spans="1:36" x14ac:dyDescent="0.35">
      <c r="A12" s="20">
        <v>202006</v>
      </c>
      <c r="B12" s="17">
        <v>43983</v>
      </c>
      <c r="C12" s="15">
        <f>(SUMIFS('MAIN DATA, Orders'!$S:$S,'MAIN DATA, Orders'!$Y:$Y,$A12,'MAIN DATA, Orders'!$D:$D,"Germany",'MAIN DATA, Orders'!$I:$I,"Air defence system")/1000000000)</f>
        <v>0</v>
      </c>
      <c r="D12" s="15">
        <f>(SUMIFS('MAIN DATA, Orders'!$S:$S,'MAIN DATA, Orders'!$Y:$Y,$A12,'MAIN DATA, Orders'!$D:$D,"Germany",'MAIN DATA, Orders'!$I:$I,"Development - Air defence system")/1000000000)</f>
        <v>0</v>
      </c>
      <c r="E12" s="15">
        <f>(SUMIFS('MAIN DATA, Orders'!$S:$S,'MAIN DATA, Orders'!$Y:$Y,$A12,'MAIN DATA, Orders'!$D:$D,"Germany",'MAIN DATA, Orders'!$I:$I,"Aircraft")/1000000000)</f>
        <v>2.8</v>
      </c>
      <c r="F12" s="15">
        <f>(SUMIFS('MAIN DATA, Orders'!$S:$S,'MAIN DATA, Orders'!$Y:$Y,$A12,'MAIN DATA, Orders'!$D:$D,"Germany",'MAIN DATA, Orders'!$I:$I,"Development - Aircraft")/1000000000)</f>
        <v>0</v>
      </c>
      <c r="G12" s="15">
        <f>(SUMIFS('MAIN DATA, Orders'!$S:$S,'MAIN DATA, Orders'!$Y:$Y,$A12,'MAIN DATA, Orders'!$D:$D,"Germany",'MAIN DATA, Orders'!$I:$I,"Ammunition")/1000000000)</f>
        <v>0</v>
      </c>
      <c r="H12" s="15">
        <f>(SUMIFS('MAIN DATA, Orders'!$S:$S,'MAIN DATA, Orders'!$Y:$Y,$A12,'MAIN DATA, Orders'!$D:$D,"Germany",'MAIN DATA, Orders'!$I:$I,"Development - Ammunition")/1000000000)</f>
        <v>0</v>
      </c>
      <c r="I12" s="15">
        <f>(SUMIFS('MAIN DATA, Orders'!$S:$S,'MAIN DATA, Orders'!$Y:$Y,$A12,'MAIN DATA, Orders'!$D:$D,"Germany",'MAIN DATA, Orders'!$I:$I,"Armoured vehicle")/1000000000)</f>
        <v>0</v>
      </c>
      <c r="J12" s="15">
        <f>(SUMIFS('MAIN DATA, Orders'!$S:$S,'MAIN DATA, Orders'!$Y:$Y,$A12,'MAIN DATA, Orders'!$D:$D,"Germany",'MAIN DATA, Orders'!$I:$I,"Development - Armoured vehicle")/1000000000)</f>
        <v>0</v>
      </c>
      <c r="K12" s="15">
        <f>(SUMIFS('MAIN DATA, Orders'!$S:$S,'MAIN DATA, Orders'!$Y:$Y,$A12,'MAIN DATA, Orders'!$D:$D,"Germany",'MAIN DATA, Orders'!$I:$I,"Artillery")/1000000000)</f>
        <v>0</v>
      </c>
      <c r="L12" s="15">
        <f>(SUMIFS('MAIN DATA, Orders'!$S:$S,'MAIN DATA, Orders'!$Y:$Y,$A12,'MAIN DATA, Orders'!$D:$D,"Germany",'MAIN DATA, Orders'!$I:$I,"Development - Artillery")/1000000000)</f>
        <v>0</v>
      </c>
      <c r="M12" s="15">
        <f>(SUMIFS('MAIN DATA, Orders'!$S:$S,'MAIN DATA, Orders'!$Y:$Y,$A12,'MAIN DATA, Orders'!$D:$D,"Germany",'MAIN DATA, Orders'!$I:$I,"Drone")/1000000000)</f>
        <v>0</v>
      </c>
      <c r="N12" s="15">
        <f>(SUMIFS('MAIN DATA, Orders'!$S:$S,'MAIN DATA, Orders'!$Y:$Y,$A12,'MAIN DATA, Orders'!$D:$D,"Germany",'MAIN DATA, Orders'!$I:$I,"Development - Drone")/1000000000)</f>
        <v>0</v>
      </c>
      <c r="O12" s="15">
        <f>(SUMIFS('MAIN DATA, Orders'!$S:$S,'MAIN DATA, Orders'!$Y:$Y,$A12,'MAIN DATA, Orders'!$D:$D,"Germany",'MAIN DATA, Orders'!$I:$I,"Helicopter")/1000000000)</f>
        <v>0</v>
      </c>
      <c r="P12" s="15">
        <f>(SUMIFS('MAIN DATA, Orders'!$S:$S,'MAIN DATA, Orders'!$Y:$Y,$A12,'MAIN DATA, Orders'!$D:$D,"Germany",'MAIN DATA, Orders'!$I:$I,"Development - Helicopter")/1000000000)</f>
        <v>0</v>
      </c>
      <c r="Q12" s="15">
        <f>(SUMIFS('MAIN DATA, Orders'!$S:$S,'MAIN DATA, Orders'!$Y:$Y,$A12,'MAIN DATA, Orders'!$D:$D,"Germany",'MAIN DATA, Orders'!$I:$I,"Infantry")/1000000000)</f>
        <v>0</v>
      </c>
      <c r="R12" s="15">
        <f>(SUMIFS('MAIN DATA, Orders'!$S:$S,'MAIN DATA, Orders'!$Y:$Y,$A12,'MAIN DATA, Orders'!$D:$D,"Germany",'MAIN DATA, Orders'!$I:$I,"Development - Infantry")/1000000000)</f>
        <v>0</v>
      </c>
      <c r="S12" s="15">
        <f>(SUMIFS('MAIN DATA, Orders'!$S:$S,'MAIN DATA, Orders'!$Y:$Y,$A12,'MAIN DATA, Orders'!$D:$D,"Germany",'MAIN DATA, Orders'!$I:$I,"Tank")/1000000000)</f>
        <v>0</v>
      </c>
      <c r="T12" s="15">
        <f>(SUMIFS('MAIN DATA, Orders'!$S:$S,'MAIN DATA, Orders'!$Y:$Y,$A12,'MAIN DATA, Orders'!$D:$D,"Germany",'MAIN DATA, Orders'!$I:$I,"Development - Tank")/1000000000)</f>
        <v>0</v>
      </c>
      <c r="U12" s="15">
        <f>(SUMIFS('MAIN DATA, Orders'!$S:$S,'MAIN DATA, Orders'!$Y:$Y,$A12,'MAIN DATA, Orders'!$D:$D,"Germany",'MAIN DATA, Orders'!$I:$I,"Maintenance")/1000000000)</f>
        <v>0</v>
      </c>
      <c r="V12" s="15">
        <f>(SUMIFS('MAIN DATA, Orders'!$S:$S,'MAIN DATA, Orders'!$Y:$Y,$A12,'MAIN DATA, Orders'!$D:$D,"Germany",'MAIN DATA, Orders'!$I:$I,"Development - Maintenance")/1000000000)</f>
        <v>0</v>
      </c>
      <c r="W12" s="15">
        <f>(SUMIFS('MAIN DATA, Orders'!$S:$S,'MAIN DATA, Orders'!$Y:$Y,$A12,'MAIN DATA, Orders'!$D:$D,"Germany",'MAIN DATA, Orders'!$I:$I,"Mine")/1000000000)</f>
        <v>0</v>
      </c>
      <c r="X12" s="15">
        <f>(SUMIFS('MAIN DATA, Orders'!$S:$S,'MAIN DATA, Orders'!$Y:$Y,$A12,'MAIN DATA, Orders'!$D:$D,"Germany",'MAIN DATA, Orders'!$I:$I,"Development - Mine")/1000000000)</f>
        <v>0</v>
      </c>
      <c r="Y12" s="15">
        <f>(SUMIFS('MAIN DATA, Orders'!$S:$S,'MAIN DATA, Orders'!$Y:$Y,$A12,'MAIN DATA, Orders'!$D:$D,"Germany",'MAIN DATA, Orders'!$J:$J,"6")/1000000000)</f>
        <v>0</v>
      </c>
      <c r="Z12" s="15" cm="1">
        <f t="array" ref="Z12">SUM(SUMIFS('MAIN DATA, Orders'!$S:$S,'MAIN DATA, Orders'!$Y:$Y,$A12,'MAIN DATA, Orders'!$D:$D,"Germany",'MAIN DATA, Orders'!$I:$I,{"Development - Missile (Land)","Development - Missile (Naval)","Development - Missile (Air)"})/1000000000)</f>
        <v>0</v>
      </c>
      <c r="AA12" s="15">
        <f>(SUMIFS('MAIN DATA, Orders'!$S:$S,'MAIN DATA, Orders'!$Y:$Y,$A12,'MAIN DATA, Orders'!$D:$D,"Germany",'MAIN DATA, Orders'!$I:$I,"Modernisation")/1000000000)</f>
        <v>4.5999999999999996</v>
      </c>
      <c r="AB12" s="15">
        <f>(SUMIFS('MAIN DATA, Orders'!$S:$S,'MAIN DATA, Orders'!$Y:$Y,$A12,'MAIN DATA, Orders'!$D:$D,"Germany",'MAIN DATA, Orders'!$I:$I,"Development - Modernisation")/1000000000)</f>
        <v>0</v>
      </c>
      <c r="AC12" s="15">
        <f>(SUMIFS('MAIN DATA, Orders'!$S:$S,'MAIN DATA, Orders'!$Y:$Y,$A12,'MAIN DATA, Orders'!$D:$D,"Germany",'MAIN DATA, Orders'!$I:$I,"Naval")/1000000000)</f>
        <v>5.6</v>
      </c>
      <c r="AD12" s="15">
        <f>(SUMIFS('MAIN DATA, Orders'!$S:$S,'MAIN DATA, Orders'!$Y:$Y,$A12,'MAIN DATA, Orders'!$D:$D,"Germany",'MAIN DATA, Orders'!$I:$I,"Development - Naval")/1000000000)</f>
        <v>0</v>
      </c>
      <c r="AE12" s="15">
        <f>(SUMIFS('MAIN DATA, Orders'!$S:$S,'MAIN DATA, Orders'!$Y:$Y,$A12,'MAIN DATA, Orders'!$D:$D,"Germany",'MAIN DATA, Orders'!$I:$I,"Other")/1000000000)</f>
        <v>0</v>
      </c>
      <c r="AF12" s="15">
        <f>(SUMIFS('MAIN DATA, Orders'!$S:$S,'MAIN DATA, Orders'!$Y:$Y,$A12,'MAIN DATA, Orders'!$D:$D,"Germany",'MAIN DATA, Orders'!$I:$I,"Development - Other")/1000000000)</f>
        <v>0</v>
      </c>
      <c r="AG12" s="15"/>
      <c r="AH12" s="15" cm="1">
        <f t="array" ref="AH12">SUM(SUMIFS('MAIN DATA, Orders'!$S:$S,'MAIN DATA, Orders'!$Y:$Y,$A12,'MAIN DATA, Orders'!$D:$D,"Germany",'MAIN DATA, Orders'!$I:$I,{"Missile (Land)","Development - Missile (Land)"})/1000000000)</f>
        <v>0</v>
      </c>
      <c r="AI12" s="15" cm="1">
        <f t="array" ref="AI12">SUM(SUMIFS('MAIN DATA, Orders'!$S:$S,'MAIN DATA, Orders'!$D:$D,"Germany",'MAIN DATA, Orders'!$I:$I,{"Missile (Air)","Development - Missile (Air)"},'MAIN DATA, Orders'!$Y:$Y,$A12)/1000000000)</f>
        <v>0</v>
      </c>
      <c r="AJ12" s="15" cm="1">
        <f t="array" ref="AJ12">SUM(SUMIFS('MAIN DATA, Orders'!$S:$S,'MAIN DATA, Orders'!$Y:$Y,$A12,'MAIN DATA, Orders'!$D:$D,"Germany",'MAIN DATA, Orders'!$I:$I,{"Missile (Naval)","Development - Missile (Naval)"})/1000000000)</f>
        <v>0</v>
      </c>
    </row>
    <row r="13" spans="1:36" x14ac:dyDescent="0.35">
      <c r="A13" s="20">
        <v>202007</v>
      </c>
      <c r="B13" s="17">
        <v>44013</v>
      </c>
      <c r="C13" s="15">
        <f>(SUMIFS('MAIN DATA, Orders'!$S:$S,'MAIN DATA, Orders'!$Y:$Y,$A13,'MAIN DATA, Orders'!$D:$D,"Germany",'MAIN DATA, Orders'!$I:$I,"Air defence system")/1000000000)</f>
        <v>0</v>
      </c>
      <c r="D13" s="15">
        <f>(SUMIFS('MAIN DATA, Orders'!$S:$S,'MAIN DATA, Orders'!$Y:$Y,$A13,'MAIN DATA, Orders'!$D:$D,"Germany",'MAIN DATA, Orders'!$I:$I,"Development - Air defence system")/1000000000)</f>
        <v>0</v>
      </c>
      <c r="E13" s="15">
        <f>(SUMIFS('MAIN DATA, Orders'!$S:$S,'MAIN DATA, Orders'!$Y:$Y,$A13,'MAIN DATA, Orders'!$D:$D,"Germany",'MAIN DATA, Orders'!$I:$I,"Aircraft")/1000000000)</f>
        <v>0</v>
      </c>
      <c r="F13" s="15">
        <f>(SUMIFS('MAIN DATA, Orders'!$S:$S,'MAIN DATA, Orders'!$Y:$Y,$A13,'MAIN DATA, Orders'!$D:$D,"Germany",'MAIN DATA, Orders'!$I:$I,"Development - Aircraft")/1000000000)</f>
        <v>0</v>
      </c>
      <c r="G13" s="15">
        <f>(SUMIFS('MAIN DATA, Orders'!$S:$S,'MAIN DATA, Orders'!$Y:$Y,$A13,'MAIN DATA, Orders'!$D:$D,"Germany",'MAIN DATA, Orders'!$I:$I,"Ammunition")/1000000000)</f>
        <v>0</v>
      </c>
      <c r="H13" s="15">
        <f>(SUMIFS('MAIN DATA, Orders'!$S:$S,'MAIN DATA, Orders'!$Y:$Y,$A13,'MAIN DATA, Orders'!$D:$D,"Germany",'MAIN DATA, Orders'!$I:$I,"Development - Ammunition")/1000000000)</f>
        <v>0</v>
      </c>
      <c r="I13" s="15">
        <f>(SUMIFS('MAIN DATA, Orders'!$S:$S,'MAIN DATA, Orders'!$Y:$Y,$A13,'MAIN DATA, Orders'!$D:$D,"Germany",'MAIN DATA, Orders'!$I:$I,"Armoured vehicle")/1000000000)</f>
        <v>0</v>
      </c>
      <c r="J13" s="15">
        <f>(SUMIFS('MAIN DATA, Orders'!$S:$S,'MAIN DATA, Orders'!$Y:$Y,$A13,'MAIN DATA, Orders'!$D:$D,"Germany",'MAIN DATA, Orders'!$I:$I,"Development - Armoured vehicle")/1000000000)</f>
        <v>0</v>
      </c>
      <c r="K13" s="15">
        <f>(SUMIFS('MAIN DATA, Orders'!$S:$S,'MAIN DATA, Orders'!$Y:$Y,$A13,'MAIN DATA, Orders'!$D:$D,"Germany",'MAIN DATA, Orders'!$I:$I,"Artillery")/1000000000)</f>
        <v>0</v>
      </c>
      <c r="L13" s="15">
        <f>(SUMIFS('MAIN DATA, Orders'!$S:$S,'MAIN DATA, Orders'!$Y:$Y,$A13,'MAIN DATA, Orders'!$D:$D,"Germany",'MAIN DATA, Orders'!$I:$I,"Development - Artillery")/1000000000)</f>
        <v>0</v>
      </c>
      <c r="M13" s="15">
        <f>(SUMIFS('MAIN DATA, Orders'!$S:$S,'MAIN DATA, Orders'!$Y:$Y,$A13,'MAIN DATA, Orders'!$D:$D,"Germany",'MAIN DATA, Orders'!$I:$I,"Drone")/1000000000)</f>
        <v>0</v>
      </c>
      <c r="N13" s="15">
        <f>(SUMIFS('MAIN DATA, Orders'!$S:$S,'MAIN DATA, Orders'!$Y:$Y,$A13,'MAIN DATA, Orders'!$D:$D,"Germany",'MAIN DATA, Orders'!$I:$I,"Development - Drone")/1000000000)</f>
        <v>0</v>
      </c>
      <c r="O13" s="15">
        <f>(SUMIFS('MAIN DATA, Orders'!$S:$S,'MAIN DATA, Orders'!$Y:$Y,$A13,'MAIN DATA, Orders'!$D:$D,"Germany",'MAIN DATA, Orders'!$I:$I,"Helicopter")/1000000000)</f>
        <v>0</v>
      </c>
      <c r="P13" s="15">
        <f>(SUMIFS('MAIN DATA, Orders'!$S:$S,'MAIN DATA, Orders'!$Y:$Y,$A13,'MAIN DATA, Orders'!$D:$D,"Germany",'MAIN DATA, Orders'!$I:$I,"Development - Helicopter")/1000000000)</f>
        <v>0</v>
      </c>
      <c r="Q13" s="15">
        <f>(SUMIFS('MAIN DATA, Orders'!$S:$S,'MAIN DATA, Orders'!$Y:$Y,$A13,'MAIN DATA, Orders'!$D:$D,"Germany",'MAIN DATA, Orders'!$I:$I,"Infantry")/1000000000)</f>
        <v>0</v>
      </c>
      <c r="R13" s="15">
        <f>(SUMIFS('MAIN DATA, Orders'!$S:$S,'MAIN DATA, Orders'!$Y:$Y,$A13,'MAIN DATA, Orders'!$D:$D,"Germany",'MAIN DATA, Orders'!$I:$I,"Development - Infantry")/1000000000)</f>
        <v>0</v>
      </c>
      <c r="S13" s="15">
        <f>(SUMIFS('MAIN DATA, Orders'!$S:$S,'MAIN DATA, Orders'!$Y:$Y,$A13,'MAIN DATA, Orders'!$D:$D,"Germany",'MAIN DATA, Orders'!$I:$I,"Tank")/1000000000)</f>
        <v>0</v>
      </c>
      <c r="T13" s="15">
        <f>(SUMIFS('MAIN DATA, Orders'!$S:$S,'MAIN DATA, Orders'!$Y:$Y,$A13,'MAIN DATA, Orders'!$D:$D,"Germany",'MAIN DATA, Orders'!$I:$I,"Development - Tank")/1000000000)</f>
        <v>0</v>
      </c>
      <c r="U13" s="15">
        <f>(SUMIFS('MAIN DATA, Orders'!$S:$S,'MAIN DATA, Orders'!$Y:$Y,$A13,'MAIN DATA, Orders'!$D:$D,"Germany",'MAIN DATA, Orders'!$I:$I,"Maintenance")/1000000000)</f>
        <v>0</v>
      </c>
      <c r="V13" s="15">
        <f>(SUMIFS('MAIN DATA, Orders'!$S:$S,'MAIN DATA, Orders'!$Y:$Y,$A13,'MAIN DATA, Orders'!$D:$D,"Germany",'MAIN DATA, Orders'!$I:$I,"Development - Maintenance")/1000000000)</f>
        <v>0</v>
      </c>
      <c r="W13" s="15">
        <f>(SUMIFS('MAIN DATA, Orders'!$S:$S,'MAIN DATA, Orders'!$Y:$Y,$A13,'MAIN DATA, Orders'!$D:$D,"Germany",'MAIN DATA, Orders'!$I:$I,"Mine")/1000000000)</f>
        <v>0</v>
      </c>
      <c r="X13" s="15">
        <f>(SUMIFS('MAIN DATA, Orders'!$S:$S,'MAIN DATA, Orders'!$Y:$Y,$A13,'MAIN DATA, Orders'!$D:$D,"Germany",'MAIN DATA, Orders'!$I:$I,"Development - Mine")/1000000000)</f>
        <v>0</v>
      </c>
      <c r="Y13" s="15">
        <f>(SUMIFS('MAIN DATA, Orders'!$S:$S,'MAIN DATA, Orders'!$Y:$Y,$A13,'MAIN DATA, Orders'!$D:$D,"Germany",'MAIN DATA, Orders'!$J:$J,"6")/1000000000)</f>
        <v>0</v>
      </c>
      <c r="Z13" s="15" cm="1">
        <f t="array" ref="Z13">SUM(SUMIFS('MAIN DATA, Orders'!$S:$S,'MAIN DATA, Orders'!$Y:$Y,$A13,'MAIN DATA, Orders'!$D:$D,"Germany",'MAIN DATA, Orders'!$I:$I,{"Development - Missile (Land)","Development - Missile (Naval)","Development - Missile (Air)"})/1000000000)</f>
        <v>0</v>
      </c>
      <c r="AA13" s="15">
        <f>(SUMIFS('MAIN DATA, Orders'!$S:$S,'MAIN DATA, Orders'!$Y:$Y,$A13,'MAIN DATA, Orders'!$D:$D,"Germany",'MAIN DATA, Orders'!$I:$I,"Modernisation")/1000000000)</f>
        <v>0</v>
      </c>
      <c r="AB13" s="15">
        <f>(SUMIFS('MAIN DATA, Orders'!$S:$S,'MAIN DATA, Orders'!$Y:$Y,$A13,'MAIN DATA, Orders'!$D:$D,"Germany",'MAIN DATA, Orders'!$I:$I,"Development - Modernisation")/1000000000)</f>
        <v>0</v>
      </c>
      <c r="AC13" s="15">
        <f>(SUMIFS('MAIN DATA, Orders'!$S:$S,'MAIN DATA, Orders'!$Y:$Y,$A13,'MAIN DATA, Orders'!$D:$D,"Germany",'MAIN DATA, Orders'!$I:$I,"Naval")/1000000000)</f>
        <v>0</v>
      </c>
      <c r="AD13" s="15">
        <f>(SUMIFS('MAIN DATA, Orders'!$S:$S,'MAIN DATA, Orders'!$Y:$Y,$A13,'MAIN DATA, Orders'!$D:$D,"Germany",'MAIN DATA, Orders'!$I:$I,"Development - Naval")/1000000000)</f>
        <v>0</v>
      </c>
      <c r="AE13" s="15">
        <f>(SUMIFS('MAIN DATA, Orders'!$S:$S,'MAIN DATA, Orders'!$Y:$Y,$A13,'MAIN DATA, Orders'!$D:$D,"Germany",'MAIN DATA, Orders'!$I:$I,"Other")/1000000000)</f>
        <v>0</v>
      </c>
      <c r="AF13" s="15">
        <f>(SUMIFS('MAIN DATA, Orders'!$S:$S,'MAIN DATA, Orders'!$Y:$Y,$A13,'MAIN DATA, Orders'!$D:$D,"Germany",'MAIN DATA, Orders'!$I:$I,"Development - Other")/1000000000)</f>
        <v>0</v>
      </c>
      <c r="AG13" s="15"/>
      <c r="AH13" s="15" cm="1">
        <f t="array" ref="AH13">SUM(SUMIFS('MAIN DATA, Orders'!$S:$S,'MAIN DATA, Orders'!$Y:$Y,$A13,'MAIN DATA, Orders'!$D:$D,"Germany",'MAIN DATA, Orders'!$I:$I,{"Missile (Land)","Development - Missile (Land)"})/1000000000)</f>
        <v>0</v>
      </c>
      <c r="AI13" s="15" cm="1">
        <f t="array" ref="AI13">SUM(SUMIFS('MAIN DATA, Orders'!$S:$S,'MAIN DATA, Orders'!$D:$D,"Germany",'MAIN DATA, Orders'!$I:$I,{"Missile (Air)","Development - Missile (Air)"},'MAIN DATA, Orders'!$Y:$Y,$A13)/1000000000)</f>
        <v>0</v>
      </c>
      <c r="AJ13" s="15" cm="1">
        <f t="array" ref="AJ13">SUM(SUMIFS('MAIN DATA, Orders'!$S:$S,'MAIN DATA, Orders'!$Y:$Y,$A13,'MAIN DATA, Orders'!$D:$D,"Germany",'MAIN DATA, Orders'!$I:$I,{"Missile (Naval)","Development - Missile (Naval)"})/1000000000)</f>
        <v>0</v>
      </c>
    </row>
    <row r="14" spans="1:36" x14ac:dyDescent="0.35">
      <c r="A14" s="20">
        <v>202008</v>
      </c>
      <c r="B14" s="17">
        <v>44044</v>
      </c>
      <c r="C14" s="15">
        <f>(SUMIFS('MAIN DATA, Orders'!$S:$S,'MAIN DATA, Orders'!$Y:$Y,$A14,'MAIN DATA, Orders'!$D:$D,"Germany",'MAIN DATA, Orders'!$I:$I,"Air defence system")/1000000000)</f>
        <v>0</v>
      </c>
      <c r="D14" s="15">
        <f>(SUMIFS('MAIN DATA, Orders'!$S:$S,'MAIN DATA, Orders'!$Y:$Y,$A14,'MAIN DATA, Orders'!$D:$D,"Germany",'MAIN DATA, Orders'!$I:$I,"Development - Air defence system")/1000000000)</f>
        <v>0</v>
      </c>
      <c r="E14" s="15">
        <f>(SUMIFS('MAIN DATA, Orders'!$S:$S,'MAIN DATA, Orders'!$Y:$Y,$A14,'MAIN DATA, Orders'!$D:$D,"Germany",'MAIN DATA, Orders'!$I:$I,"Aircraft")/1000000000)</f>
        <v>0</v>
      </c>
      <c r="F14" s="15">
        <f>(SUMIFS('MAIN DATA, Orders'!$S:$S,'MAIN DATA, Orders'!$Y:$Y,$A14,'MAIN DATA, Orders'!$D:$D,"Germany",'MAIN DATA, Orders'!$I:$I,"Development - Aircraft")/1000000000)</f>
        <v>0</v>
      </c>
      <c r="G14" s="15">
        <f>(SUMIFS('MAIN DATA, Orders'!$S:$S,'MAIN DATA, Orders'!$Y:$Y,$A14,'MAIN DATA, Orders'!$D:$D,"Germany",'MAIN DATA, Orders'!$I:$I,"Ammunition")/1000000000)</f>
        <v>0</v>
      </c>
      <c r="H14" s="15">
        <f>(SUMIFS('MAIN DATA, Orders'!$S:$S,'MAIN DATA, Orders'!$Y:$Y,$A14,'MAIN DATA, Orders'!$D:$D,"Germany",'MAIN DATA, Orders'!$I:$I,"Development - Ammunition")/1000000000)</f>
        <v>0</v>
      </c>
      <c r="I14" s="15">
        <f>(SUMIFS('MAIN DATA, Orders'!$S:$S,'MAIN DATA, Orders'!$Y:$Y,$A14,'MAIN DATA, Orders'!$D:$D,"Germany",'MAIN DATA, Orders'!$I:$I,"Armoured vehicle")/1000000000)</f>
        <v>0</v>
      </c>
      <c r="J14" s="15">
        <f>(SUMIFS('MAIN DATA, Orders'!$S:$S,'MAIN DATA, Orders'!$Y:$Y,$A14,'MAIN DATA, Orders'!$D:$D,"Germany",'MAIN DATA, Orders'!$I:$I,"Development - Armoured vehicle")/1000000000)</f>
        <v>0</v>
      </c>
      <c r="K14" s="15">
        <f>(SUMIFS('MAIN DATA, Orders'!$S:$S,'MAIN DATA, Orders'!$Y:$Y,$A14,'MAIN DATA, Orders'!$D:$D,"Germany",'MAIN DATA, Orders'!$I:$I,"Artillery")/1000000000)</f>
        <v>0</v>
      </c>
      <c r="L14" s="15">
        <f>(SUMIFS('MAIN DATA, Orders'!$S:$S,'MAIN DATA, Orders'!$Y:$Y,$A14,'MAIN DATA, Orders'!$D:$D,"Germany",'MAIN DATA, Orders'!$I:$I,"Development - Artillery")/1000000000)</f>
        <v>0</v>
      </c>
      <c r="M14" s="15">
        <f>(SUMIFS('MAIN DATA, Orders'!$S:$S,'MAIN DATA, Orders'!$Y:$Y,$A14,'MAIN DATA, Orders'!$D:$D,"Germany",'MAIN DATA, Orders'!$I:$I,"Drone")/1000000000)</f>
        <v>0</v>
      </c>
      <c r="N14" s="15">
        <f>(SUMIFS('MAIN DATA, Orders'!$S:$S,'MAIN DATA, Orders'!$Y:$Y,$A14,'MAIN DATA, Orders'!$D:$D,"Germany",'MAIN DATA, Orders'!$I:$I,"Development - Drone")/1000000000)</f>
        <v>0</v>
      </c>
      <c r="O14" s="15">
        <f>(SUMIFS('MAIN DATA, Orders'!$S:$S,'MAIN DATA, Orders'!$Y:$Y,$A14,'MAIN DATA, Orders'!$D:$D,"Germany",'MAIN DATA, Orders'!$I:$I,"Helicopter")/1000000000)</f>
        <v>0</v>
      </c>
      <c r="P14" s="15">
        <f>(SUMIFS('MAIN DATA, Orders'!$S:$S,'MAIN DATA, Orders'!$Y:$Y,$A14,'MAIN DATA, Orders'!$D:$D,"Germany",'MAIN DATA, Orders'!$I:$I,"Development - Helicopter")/1000000000)</f>
        <v>0</v>
      </c>
      <c r="Q14" s="15">
        <f>(SUMIFS('MAIN DATA, Orders'!$S:$S,'MAIN DATA, Orders'!$Y:$Y,$A14,'MAIN DATA, Orders'!$D:$D,"Germany",'MAIN DATA, Orders'!$I:$I,"Infantry")/1000000000)</f>
        <v>0</v>
      </c>
      <c r="R14" s="15">
        <f>(SUMIFS('MAIN DATA, Orders'!$S:$S,'MAIN DATA, Orders'!$Y:$Y,$A14,'MAIN DATA, Orders'!$D:$D,"Germany",'MAIN DATA, Orders'!$I:$I,"Development - Infantry")/1000000000)</f>
        <v>0</v>
      </c>
      <c r="S14" s="15">
        <f>(SUMIFS('MAIN DATA, Orders'!$S:$S,'MAIN DATA, Orders'!$Y:$Y,$A14,'MAIN DATA, Orders'!$D:$D,"Germany",'MAIN DATA, Orders'!$I:$I,"Tank")/1000000000)</f>
        <v>0</v>
      </c>
      <c r="T14" s="15">
        <f>(SUMIFS('MAIN DATA, Orders'!$S:$S,'MAIN DATA, Orders'!$Y:$Y,$A14,'MAIN DATA, Orders'!$D:$D,"Germany",'MAIN DATA, Orders'!$I:$I,"Development - Tank")/1000000000)</f>
        <v>0</v>
      </c>
      <c r="U14" s="15">
        <f>(SUMIFS('MAIN DATA, Orders'!$S:$S,'MAIN DATA, Orders'!$Y:$Y,$A14,'MAIN DATA, Orders'!$D:$D,"Germany",'MAIN DATA, Orders'!$I:$I,"Maintenance")/1000000000)</f>
        <v>0</v>
      </c>
      <c r="V14" s="15">
        <f>(SUMIFS('MAIN DATA, Orders'!$S:$S,'MAIN DATA, Orders'!$Y:$Y,$A14,'MAIN DATA, Orders'!$D:$D,"Germany",'MAIN DATA, Orders'!$I:$I,"Development - Maintenance")/1000000000)</f>
        <v>0</v>
      </c>
      <c r="W14" s="15">
        <f>(SUMIFS('MAIN DATA, Orders'!$S:$S,'MAIN DATA, Orders'!$Y:$Y,$A14,'MAIN DATA, Orders'!$D:$D,"Germany",'MAIN DATA, Orders'!$I:$I,"Mine")/1000000000)</f>
        <v>0</v>
      </c>
      <c r="X14" s="15">
        <f>(SUMIFS('MAIN DATA, Orders'!$S:$S,'MAIN DATA, Orders'!$Y:$Y,$A14,'MAIN DATA, Orders'!$D:$D,"Germany",'MAIN DATA, Orders'!$I:$I,"Development - Mine")/1000000000)</f>
        <v>0</v>
      </c>
      <c r="Y14" s="15">
        <f>(SUMIFS('MAIN DATA, Orders'!$S:$S,'MAIN DATA, Orders'!$Y:$Y,$A14,'MAIN DATA, Orders'!$D:$D,"Germany",'MAIN DATA, Orders'!$J:$J,"6")/1000000000)</f>
        <v>0</v>
      </c>
      <c r="Z14" s="15" cm="1">
        <f t="array" ref="Z14">SUM(SUMIFS('MAIN DATA, Orders'!$S:$S,'MAIN DATA, Orders'!$Y:$Y,$A14,'MAIN DATA, Orders'!$D:$D,"Germany",'MAIN DATA, Orders'!$I:$I,{"Development - Missile (Land)","Development - Missile (Naval)","Development - Missile (Air)"})/1000000000)</f>
        <v>0</v>
      </c>
      <c r="AA14" s="15">
        <f>(SUMIFS('MAIN DATA, Orders'!$S:$S,'MAIN DATA, Orders'!$Y:$Y,$A14,'MAIN DATA, Orders'!$D:$D,"Germany",'MAIN DATA, Orders'!$I:$I,"Modernisation")/1000000000)</f>
        <v>0.35</v>
      </c>
      <c r="AB14" s="15">
        <f>(SUMIFS('MAIN DATA, Orders'!$S:$S,'MAIN DATA, Orders'!$Y:$Y,$A14,'MAIN DATA, Orders'!$D:$D,"Germany",'MAIN DATA, Orders'!$I:$I,"Development - Modernisation")/1000000000)</f>
        <v>0</v>
      </c>
      <c r="AC14" s="15">
        <f>(SUMIFS('MAIN DATA, Orders'!$S:$S,'MAIN DATA, Orders'!$Y:$Y,$A14,'MAIN DATA, Orders'!$D:$D,"Germany",'MAIN DATA, Orders'!$I:$I,"Naval")/1000000000)</f>
        <v>0</v>
      </c>
      <c r="AD14" s="15">
        <f>(SUMIFS('MAIN DATA, Orders'!$S:$S,'MAIN DATA, Orders'!$Y:$Y,$A14,'MAIN DATA, Orders'!$D:$D,"Germany",'MAIN DATA, Orders'!$I:$I,"Development - Naval")/1000000000)</f>
        <v>0</v>
      </c>
      <c r="AE14" s="15">
        <f>(SUMIFS('MAIN DATA, Orders'!$S:$S,'MAIN DATA, Orders'!$Y:$Y,$A14,'MAIN DATA, Orders'!$D:$D,"Germany",'MAIN DATA, Orders'!$I:$I,"Other")/1000000000)</f>
        <v>0</v>
      </c>
      <c r="AF14" s="15">
        <f>(SUMIFS('MAIN DATA, Orders'!$S:$S,'MAIN DATA, Orders'!$Y:$Y,$A14,'MAIN DATA, Orders'!$D:$D,"Germany",'MAIN DATA, Orders'!$I:$I,"Development - Other")/1000000000)</f>
        <v>0</v>
      </c>
      <c r="AG14" s="15"/>
      <c r="AH14" s="15" cm="1">
        <f t="array" ref="AH14">SUM(SUMIFS('MAIN DATA, Orders'!$S:$S,'MAIN DATA, Orders'!$Y:$Y,$A14,'MAIN DATA, Orders'!$D:$D,"Germany",'MAIN DATA, Orders'!$I:$I,{"Missile (Land)","Development - Missile (Land)"})/1000000000)</f>
        <v>0</v>
      </c>
      <c r="AI14" s="15" cm="1">
        <f t="array" ref="AI14">SUM(SUMIFS('MAIN DATA, Orders'!$S:$S,'MAIN DATA, Orders'!$D:$D,"Germany",'MAIN DATA, Orders'!$I:$I,{"Missile (Air)","Development - Missile (Air)"},'MAIN DATA, Orders'!$Y:$Y,$A14)/1000000000)</f>
        <v>0</v>
      </c>
      <c r="AJ14" s="15" cm="1">
        <f t="array" ref="AJ14">SUM(SUMIFS('MAIN DATA, Orders'!$S:$S,'MAIN DATA, Orders'!$Y:$Y,$A14,'MAIN DATA, Orders'!$D:$D,"Germany",'MAIN DATA, Orders'!$I:$I,{"Missile (Naval)","Development - Missile (Naval)"})/1000000000)</f>
        <v>0</v>
      </c>
    </row>
    <row r="15" spans="1:36" x14ac:dyDescent="0.35">
      <c r="A15" s="20">
        <v>202009</v>
      </c>
      <c r="B15" s="17">
        <v>44075</v>
      </c>
      <c r="C15" s="15">
        <f>(SUMIFS('MAIN DATA, Orders'!$S:$S,'MAIN DATA, Orders'!$Y:$Y,$A15,'MAIN DATA, Orders'!$D:$D,"Germany",'MAIN DATA, Orders'!$I:$I,"Air defence system")/1000000000)</f>
        <v>0</v>
      </c>
      <c r="D15" s="15">
        <f>(SUMIFS('MAIN DATA, Orders'!$S:$S,'MAIN DATA, Orders'!$Y:$Y,$A15,'MAIN DATA, Orders'!$D:$D,"Germany",'MAIN DATA, Orders'!$I:$I,"Development - Air defence system")/1000000000)</f>
        <v>0</v>
      </c>
      <c r="E15" s="15">
        <f>(SUMIFS('MAIN DATA, Orders'!$S:$S,'MAIN DATA, Orders'!$Y:$Y,$A15,'MAIN DATA, Orders'!$D:$D,"Germany",'MAIN DATA, Orders'!$I:$I,"Aircraft")/1000000000)</f>
        <v>0.21299999999999999</v>
      </c>
      <c r="F15" s="15">
        <f>(SUMIFS('MAIN DATA, Orders'!$S:$S,'MAIN DATA, Orders'!$Y:$Y,$A15,'MAIN DATA, Orders'!$D:$D,"Germany",'MAIN DATA, Orders'!$I:$I,"Development - Aircraft")/1000000000)</f>
        <v>0</v>
      </c>
      <c r="G15" s="15">
        <f>(SUMIFS('MAIN DATA, Orders'!$S:$S,'MAIN DATA, Orders'!$Y:$Y,$A15,'MAIN DATA, Orders'!$D:$D,"Germany",'MAIN DATA, Orders'!$I:$I,"Ammunition")/1000000000)</f>
        <v>0</v>
      </c>
      <c r="H15" s="15">
        <f>(SUMIFS('MAIN DATA, Orders'!$S:$S,'MAIN DATA, Orders'!$Y:$Y,$A15,'MAIN DATA, Orders'!$D:$D,"Germany",'MAIN DATA, Orders'!$I:$I,"Development - Ammunition")/1000000000)</f>
        <v>0</v>
      </c>
      <c r="I15" s="15">
        <f>(SUMIFS('MAIN DATA, Orders'!$S:$S,'MAIN DATA, Orders'!$Y:$Y,$A15,'MAIN DATA, Orders'!$D:$D,"Germany",'MAIN DATA, Orders'!$I:$I,"Armoured vehicle")/1000000000)</f>
        <v>0</v>
      </c>
      <c r="J15" s="15">
        <f>(SUMIFS('MAIN DATA, Orders'!$S:$S,'MAIN DATA, Orders'!$Y:$Y,$A15,'MAIN DATA, Orders'!$D:$D,"Germany",'MAIN DATA, Orders'!$I:$I,"Development - Armoured vehicle")/1000000000)</f>
        <v>0</v>
      </c>
      <c r="K15" s="15">
        <f>(SUMIFS('MAIN DATA, Orders'!$S:$S,'MAIN DATA, Orders'!$Y:$Y,$A15,'MAIN DATA, Orders'!$D:$D,"Germany",'MAIN DATA, Orders'!$I:$I,"Artillery")/1000000000)</f>
        <v>0</v>
      </c>
      <c r="L15" s="15">
        <f>(SUMIFS('MAIN DATA, Orders'!$S:$S,'MAIN DATA, Orders'!$Y:$Y,$A15,'MAIN DATA, Orders'!$D:$D,"Germany",'MAIN DATA, Orders'!$I:$I,"Development - Artillery")/1000000000)</f>
        <v>0</v>
      </c>
      <c r="M15" s="15">
        <f>(SUMIFS('MAIN DATA, Orders'!$S:$S,'MAIN DATA, Orders'!$Y:$Y,$A15,'MAIN DATA, Orders'!$D:$D,"Germany",'MAIN DATA, Orders'!$I:$I,"Drone")/1000000000)</f>
        <v>0</v>
      </c>
      <c r="N15" s="15">
        <f>(SUMIFS('MAIN DATA, Orders'!$S:$S,'MAIN DATA, Orders'!$Y:$Y,$A15,'MAIN DATA, Orders'!$D:$D,"Germany",'MAIN DATA, Orders'!$I:$I,"Development - Drone")/1000000000)</f>
        <v>0</v>
      </c>
      <c r="O15" s="15">
        <f>(SUMIFS('MAIN DATA, Orders'!$S:$S,'MAIN DATA, Orders'!$Y:$Y,$A15,'MAIN DATA, Orders'!$D:$D,"Germany",'MAIN DATA, Orders'!$I:$I,"Helicopter")/1000000000)</f>
        <v>0</v>
      </c>
      <c r="P15" s="15">
        <f>(SUMIFS('MAIN DATA, Orders'!$S:$S,'MAIN DATA, Orders'!$Y:$Y,$A15,'MAIN DATA, Orders'!$D:$D,"Germany",'MAIN DATA, Orders'!$I:$I,"Development - Helicopter")/1000000000)</f>
        <v>0</v>
      </c>
      <c r="Q15" s="15">
        <f>(SUMIFS('MAIN DATA, Orders'!$S:$S,'MAIN DATA, Orders'!$Y:$Y,$A15,'MAIN DATA, Orders'!$D:$D,"Germany",'MAIN DATA, Orders'!$I:$I,"Infantry")/1000000000)</f>
        <v>0</v>
      </c>
      <c r="R15" s="15">
        <f>(SUMIFS('MAIN DATA, Orders'!$S:$S,'MAIN DATA, Orders'!$Y:$Y,$A15,'MAIN DATA, Orders'!$D:$D,"Germany",'MAIN DATA, Orders'!$I:$I,"Development - Infantry")/1000000000)</f>
        <v>0</v>
      </c>
      <c r="S15" s="15">
        <f>(SUMIFS('MAIN DATA, Orders'!$S:$S,'MAIN DATA, Orders'!$Y:$Y,$A15,'MAIN DATA, Orders'!$D:$D,"Germany",'MAIN DATA, Orders'!$I:$I,"Tank")/1000000000)</f>
        <v>0</v>
      </c>
      <c r="T15" s="15">
        <f>(SUMIFS('MAIN DATA, Orders'!$S:$S,'MAIN DATA, Orders'!$Y:$Y,$A15,'MAIN DATA, Orders'!$D:$D,"Germany",'MAIN DATA, Orders'!$I:$I,"Development - Tank")/1000000000)</f>
        <v>0</v>
      </c>
      <c r="U15" s="15">
        <f>(SUMIFS('MAIN DATA, Orders'!$S:$S,'MAIN DATA, Orders'!$Y:$Y,$A15,'MAIN DATA, Orders'!$D:$D,"Germany",'MAIN DATA, Orders'!$I:$I,"Maintenance")/1000000000)</f>
        <v>0</v>
      </c>
      <c r="V15" s="15">
        <f>(SUMIFS('MAIN DATA, Orders'!$S:$S,'MAIN DATA, Orders'!$Y:$Y,$A15,'MAIN DATA, Orders'!$D:$D,"Germany",'MAIN DATA, Orders'!$I:$I,"Development - Maintenance")/1000000000)</f>
        <v>0</v>
      </c>
      <c r="W15" s="15">
        <f>(SUMIFS('MAIN DATA, Orders'!$S:$S,'MAIN DATA, Orders'!$Y:$Y,$A15,'MAIN DATA, Orders'!$D:$D,"Germany",'MAIN DATA, Orders'!$I:$I,"Mine")/1000000000)</f>
        <v>0</v>
      </c>
      <c r="X15" s="15">
        <f>(SUMIFS('MAIN DATA, Orders'!$S:$S,'MAIN DATA, Orders'!$Y:$Y,$A15,'MAIN DATA, Orders'!$D:$D,"Germany",'MAIN DATA, Orders'!$I:$I,"Development - Mine")/1000000000)</f>
        <v>0</v>
      </c>
      <c r="Y15" s="15">
        <f>(SUMIFS('MAIN DATA, Orders'!$S:$S,'MAIN DATA, Orders'!$Y:$Y,$A15,'MAIN DATA, Orders'!$D:$D,"Germany",'MAIN DATA, Orders'!$J:$J,"6")/1000000000)</f>
        <v>0.29099999999999998</v>
      </c>
      <c r="Z15" s="15" cm="1">
        <f t="array" ref="Z15">SUM(SUMIFS('MAIN DATA, Orders'!$S:$S,'MAIN DATA, Orders'!$Y:$Y,$A15,'MAIN DATA, Orders'!$D:$D,"Germany",'MAIN DATA, Orders'!$I:$I,{"Development - Missile (Land)","Development - Missile (Naval)","Development - Missile (Air)"})/1000000000)</f>
        <v>0</v>
      </c>
      <c r="AA15" s="15">
        <f>(SUMIFS('MAIN DATA, Orders'!$S:$S,'MAIN DATA, Orders'!$Y:$Y,$A15,'MAIN DATA, Orders'!$D:$D,"Germany",'MAIN DATA, Orders'!$I:$I,"Modernisation")/1000000000)</f>
        <v>1.88</v>
      </c>
      <c r="AB15" s="15">
        <f>(SUMIFS('MAIN DATA, Orders'!$S:$S,'MAIN DATA, Orders'!$Y:$Y,$A15,'MAIN DATA, Orders'!$D:$D,"Germany",'MAIN DATA, Orders'!$I:$I,"Development - Modernisation")/1000000000)</f>
        <v>0</v>
      </c>
      <c r="AC15" s="15">
        <f>(SUMIFS('MAIN DATA, Orders'!$S:$S,'MAIN DATA, Orders'!$Y:$Y,$A15,'MAIN DATA, Orders'!$D:$D,"Germany",'MAIN DATA, Orders'!$I:$I,"Naval")/1000000000)</f>
        <v>0</v>
      </c>
      <c r="AD15" s="15">
        <f>(SUMIFS('MAIN DATA, Orders'!$S:$S,'MAIN DATA, Orders'!$Y:$Y,$A15,'MAIN DATA, Orders'!$D:$D,"Germany",'MAIN DATA, Orders'!$I:$I,"Development - Naval")/1000000000)</f>
        <v>0</v>
      </c>
      <c r="AE15" s="15">
        <f>(SUMIFS('MAIN DATA, Orders'!$S:$S,'MAIN DATA, Orders'!$Y:$Y,$A15,'MAIN DATA, Orders'!$D:$D,"Germany",'MAIN DATA, Orders'!$I:$I,"Other")/1000000000)</f>
        <v>0</v>
      </c>
      <c r="AF15" s="15">
        <f>(SUMIFS('MAIN DATA, Orders'!$S:$S,'MAIN DATA, Orders'!$Y:$Y,$A15,'MAIN DATA, Orders'!$D:$D,"Germany",'MAIN DATA, Orders'!$I:$I,"Development - Other")/1000000000)</f>
        <v>0</v>
      </c>
      <c r="AG15" s="15"/>
      <c r="AH15" s="15" cm="1">
        <f t="array" ref="AH15">SUM(SUMIFS('MAIN DATA, Orders'!$S:$S,'MAIN DATA, Orders'!$Y:$Y,$A15,'MAIN DATA, Orders'!$D:$D,"Germany",'MAIN DATA, Orders'!$I:$I,{"Missile (Land)","Development - Missile (Land)"})/1000000000)</f>
        <v>0</v>
      </c>
      <c r="AI15" s="15" cm="1">
        <f t="array" ref="AI15">SUM(SUMIFS('MAIN DATA, Orders'!$S:$S,'MAIN DATA, Orders'!$D:$D,"Germany",'MAIN DATA, Orders'!$I:$I,{"Missile (Air)","Development - Missile (Air)"},'MAIN DATA, Orders'!$Y:$Y,$A15)/1000000000)</f>
        <v>0</v>
      </c>
      <c r="AJ15" s="15" cm="1">
        <f t="array" ref="AJ15">SUM(SUMIFS('MAIN DATA, Orders'!$S:$S,'MAIN DATA, Orders'!$Y:$Y,$A15,'MAIN DATA, Orders'!$D:$D,"Germany",'MAIN DATA, Orders'!$I:$I,{"Missile (Naval)","Development - Missile (Naval)"})/1000000000)</f>
        <v>0.29099999999999998</v>
      </c>
    </row>
    <row r="16" spans="1:36" x14ac:dyDescent="0.35">
      <c r="A16" s="20">
        <v>202010</v>
      </c>
      <c r="B16" s="17">
        <v>44105</v>
      </c>
      <c r="C16" s="15">
        <f>(SUMIFS('MAIN DATA, Orders'!$S:$S,'MAIN DATA, Orders'!$Y:$Y,$A16,'MAIN DATA, Orders'!$D:$D,"Germany",'MAIN DATA, Orders'!$I:$I,"Air defence system")/1000000000)</f>
        <v>0</v>
      </c>
      <c r="D16" s="15">
        <f>(SUMIFS('MAIN DATA, Orders'!$S:$S,'MAIN DATA, Orders'!$Y:$Y,$A16,'MAIN DATA, Orders'!$D:$D,"Germany",'MAIN DATA, Orders'!$I:$I,"Development - Air defence system")/1000000000)</f>
        <v>0</v>
      </c>
      <c r="E16" s="15">
        <f>(SUMIFS('MAIN DATA, Orders'!$S:$S,'MAIN DATA, Orders'!$Y:$Y,$A16,'MAIN DATA, Orders'!$D:$D,"Germany",'MAIN DATA, Orders'!$I:$I,"Aircraft")/1000000000)</f>
        <v>0</v>
      </c>
      <c r="F16" s="15">
        <f>(SUMIFS('MAIN DATA, Orders'!$S:$S,'MAIN DATA, Orders'!$Y:$Y,$A16,'MAIN DATA, Orders'!$D:$D,"Germany",'MAIN DATA, Orders'!$I:$I,"Development - Aircraft")/1000000000)</f>
        <v>0</v>
      </c>
      <c r="G16" s="15">
        <f>(SUMIFS('MAIN DATA, Orders'!$S:$S,'MAIN DATA, Orders'!$Y:$Y,$A16,'MAIN DATA, Orders'!$D:$D,"Germany",'MAIN DATA, Orders'!$I:$I,"Ammunition")/1000000000)</f>
        <v>0</v>
      </c>
      <c r="H16" s="15">
        <f>(SUMIFS('MAIN DATA, Orders'!$S:$S,'MAIN DATA, Orders'!$Y:$Y,$A16,'MAIN DATA, Orders'!$D:$D,"Germany",'MAIN DATA, Orders'!$I:$I,"Development - Ammunition")/1000000000)</f>
        <v>0</v>
      </c>
      <c r="I16" s="15">
        <f>(SUMIFS('MAIN DATA, Orders'!$S:$S,'MAIN DATA, Orders'!$Y:$Y,$A16,'MAIN DATA, Orders'!$D:$D,"Germany",'MAIN DATA, Orders'!$I:$I,"Armoured vehicle")/1000000000)</f>
        <v>0</v>
      </c>
      <c r="J16" s="15">
        <f>(SUMIFS('MAIN DATA, Orders'!$S:$S,'MAIN DATA, Orders'!$Y:$Y,$A16,'MAIN DATA, Orders'!$D:$D,"Germany",'MAIN DATA, Orders'!$I:$I,"Development - Armoured vehicle")/1000000000)</f>
        <v>0</v>
      </c>
      <c r="K16" s="15">
        <f>(SUMIFS('MAIN DATA, Orders'!$S:$S,'MAIN DATA, Orders'!$Y:$Y,$A16,'MAIN DATA, Orders'!$D:$D,"Germany",'MAIN DATA, Orders'!$I:$I,"Artillery")/1000000000)</f>
        <v>0</v>
      </c>
      <c r="L16" s="15">
        <f>(SUMIFS('MAIN DATA, Orders'!$S:$S,'MAIN DATA, Orders'!$Y:$Y,$A16,'MAIN DATA, Orders'!$D:$D,"Germany",'MAIN DATA, Orders'!$I:$I,"Development - Artillery")/1000000000)</f>
        <v>0</v>
      </c>
      <c r="M16" s="15">
        <f>(SUMIFS('MAIN DATA, Orders'!$S:$S,'MAIN DATA, Orders'!$Y:$Y,$A16,'MAIN DATA, Orders'!$D:$D,"Germany",'MAIN DATA, Orders'!$I:$I,"Drone")/1000000000)</f>
        <v>0</v>
      </c>
      <c r="N16" s="15">
        <f>(SUMIFS('MAIN DATA, Orders'!$S:$S,'MAIN DATA, Orders'!$Y:$Y,$A16,'MAIN DATA, Orders'!$D:$D,"Germany",'MAIN DATA, Orders'!$I:$I,"Development - Drone")/1000000000)</f>
        <v>0</v>
      </c>
      <c r="O16" s="15">
        <f>(SUMIFS('MAIN DATA, Orders'!$S:$S,'MAIN DATA, Orders'!$Y:$Y,$A16,'MAIN DATA, Orders'!$D:$D,"Germany",'MAIN DATA, Orders'!$I:$I,"Helicopter")/1000000000)</f>
        <v>0</v>
      </c>
      <c r="P16" s="15">
        <f>(SUMIFS('MAIN DATA, Orders'!$S:$S,'MAIN DATA, Orders'!$Y:$Y,$A16,'MAIN DATA, Orders'!$D:$D,"Germany",'MAIN DATA, Orders'!$I:$I,"Development - Helicopter")/1000000000)</f>
        <v>0</v>
      </c>
      <c r="Q16" s="15">
        <f>(SUMIFS('MAIN DATA, Orders'!$S:$S,'MAIN DATA, Orders'!$Y:$Y,$A16,'MAIN DATA, Orders'!$D:$D,"Germany",'MAIN DATA, Orders'!$I:$I,"Infantry")/1000000000)</f>
        <v>0</v>
      </c>
      <c r="R16" s="15">
        <f>(SUMIFS('MAIN DATA, Orders'!$S:$S,'MAIN DATA, Orders'!$Y:$Y,$A16,'MAIN DATA, Orders'!$D:$D,"Germany",'MAIN DATA, Orders'!$I:$I,"Development - Infantry")/1000000000)</f>
        <v>0</v>
      </c>
      <c r="S16" s="15">
        <f>(SUMIFS('MAIN DATA, Orders'!$S:$S,'MAIN DATA, Orders'!$Y:$Y,$A16,'MAIN DATA, Orders'!$D:$D,"Germany",'MAIN DATA, Orders'!$I:$I,"Tank")/1000000000)</f>
        <v>0</v>
      </c>
      <c r="T16" s="15">
        <f>(SUMIFS('MAIN DATA, Orders'!$S:$S,'MAIN DATA, Orders'!$Y:$Y,$A16,'MAIN DATA, Orders'!$D:$D,"Germany",'MAIN DATA, Orders'!$I:$I,"Development - Tank")/1000000000)</f>
        <v>0</v>
      </c>
      <c r="U16" s="15">
        <f>(SUMIFS('MAIN DATA, Orders'!$S:$S,'MAIN DATA, Orders'!$Y:$Y,$A16,'MAIN DATA, Orders'!$D:$D,"Germany",'MAIN DATA, Orders'!$I:$I,"Maintenance")/1000000000)</f>
        <v>0</v>
      </c>
      <c r="V16" s="15">
        <f>(SUMIFS('MAIN DATA, Orders'!$S:$S,'MAIN DATA, Orders'!$Y:$Y,$A16,'MAIN DATA, Orders'!$D:$D,"Germany",'MAIN DATA, Orders'!$I:$I,"Development - Maintenance")/1000000000)</f>
        <v>0</v>
      </c>
      <c r="W16" s="15">
        <f>(SUMIFS('MAIN DATA, Orders'!$S:$S,'MAIN DATA, Orders'!$Y:$Y,$A16,'MAIN DATA, Orders'!$D:$D,"Germany",'MAIN DATA, Orders'!$I:$I,"Mine")/1000000000)</f>
        <v>0</v>
      </c>
      <c r="X16" s="15">
        <f>(SUMIFS('MAIN DATA, Orders'!$S:$S,'MAIN DATA, Orders'!$Y:$Y,$A16,'MAIN DATA, Orders'!$D:$D,"Germany",'MAIN DATA, Orders'!$I:$I,"Development - Mine")/1000000000)</f>
        <v>0</v>
      </c>
      <c r="Y16" s="15">
        <f>(SUMIFS('MAIN DATA, Orders'!$S:$S,'MAIN DATA, Orders'!$Y:$Y,$A16,'MAIN DATA, Orders'!$D:$D,"Germany",'MAIN DATA, Orders'!$J:$J,"6")/1000000000)</f>
        <v>0</v>
      </c>
      <c r="Z16" s="15" cm="1">
        <f t="array" ref="Z16">SUM(SUMIFS('MAIN DATA, Orders'!$S:$S,'MAIN DATA, Orders'!$Y:$Y,$A16,'MAIN DATA, Orders'!$D:$D,"Germany",'MAIN DATA, Orders'!$I:$I,{"Development - Missile (Land)","Development - Missile (Naval)","Development - Missile (Air)"})/1000000000)</f>
        <v>0</v>
      </c>
      <c r="AA16" s="15">
        <f>(SUMIFS('MAIN DATA, Orders'!$S:$S,'MAIN DATA, Orders'!$Y:$Y,$A16,'MAIN DATA, Orders'!$D:$D,"Germany",'MAIN DATA, Orders'!$I:$I,"Modernisation")/1000000000)</f>
        <v>0</v>
      </c>
      <c r="AB16" s="15">
        <f>(SUMIFS('MAIN DATA, Orders'!$S:$S,'MAIN DATA, Orders'!$Y:$Y,$A16,'MAIN DATA, Orders'!$D:$D,"Germany",'MAIN DATA, Orders'!$I:$I,"Development - Modernisation")/1000000000)</f>
        <v>0</v>
      </c>
      <c r="AC16" s="15">
        <f>(SUMIFS('MAIN DATA, Orders'!$S:$S,'MAIN DATA, Orders'!$Y:$Y,$A16,'MAIN DATA, Orders'!$D:$D,"Germany",'MAIN DATA, Orders'!$I:$I,"Naval")/1000000000)</f>
        <v>0</v>
      </c>
      <c r="AD16" s="15">
        <f>(SUMIFS('MAIN DATA, Orders'!$S:$S,'MAIN DATA, Orders'!$Y:$Y,$A16,'MAIN DATA, Orders'!$D:$D,"Germany",'MAIN DATA, Orders'!$I:$I,"Development - Naval")/1000000000)</f>
        <v>0</v>
      </c>
      <c r="AE16" s="15">
        <f>(SUMIFS('MAIN DATA, Orders'!$S:$S,'MAIN DATA, Orders'!$Y:$Y,$A16,'MAIN DATA, Orders'!$D:$D,"Germany",'MAIN DATA, Orders'!$I:$I,"Other")/1000000000)</f>
        <v>0.04</v>
      </c>
      <c r="AF16" s="15">
        <f>(SUMIFS('MAIN DATA, Orders'!$S:$S,'MAIN DATA, Orders'!$Y:$Y,$A16,'MAIN DATA, Orders'!$D:$D,"Germany",'MAIN DATA, Orders'!$I:$I,"Development - Other")/1000000000)</f>
        <v>0</v>
      </c>
      <c r="AG16" s="15"/>
      <c r="AH16" s="15" cm="1">
        <f t="array" ref="AH16">SUM(SUMIFS('MAIN DATA, Orders'!$S:$S,'MAIN DATA, Orders'!$Y:$Y,$A16,'MAIN DATA, Orders'!$D:$D,"Germany",'MAIN DATA, Orders'!$I:$I,{"Missile (Land)","Development - Missile (Land)"})/1000000000)</f>
        <v>0</v>
      </c>
      <c r="AI16" s="15" cm="1">
        <f t="array" ref="AI16">SUM(SUMIFS('MAIN DATA, Orders'!$S:$S,'MAIN DATA, Orders'!$D:$D,"Germany",'MAIN DATA, Orders'!$I:$I,{"Missile (Air)","Development - Missile (Air)"},'MAIN DATA, Orders'!$Y:$Y,$A16)/1000000000)</f>
        <v>0</v>
      </c>
      <c r="AJ16" s="15" cm="1">
        <f t="array" ref="AJ16">SUM(SUMIFS('MAIN DATA, Orders'!$S:$S,'MAIN DATA, Orders'!$Y:$Y,$A16,'MAIN DATA, Orders'!$D:$D,"Germany",'MAIN DATA, Orders'!$I:$I,{"Missile (Naval)","Development - Missile (Naval)"})/1000000000)</f>
        <v>0</v>
      </c>
    </row>
    <row r="17" spans="1:36" x14ac:dyDescent="0.35">
      <c r="A17" s="20">
        <v>202011</v>
      </c>
      <c r="B17" s="17">
        <v>44136</v>
      </c>
      <c r="C17" s="15">
        <f>(SUMIFS('MAIN DATA, Orders'!$S:$S,'MAIN DATA, Orders'!$Y:$Y,$A17,'MAIN DATA, Orders'!$D:$D,"Germany",'MAIN DATA, Orders'!$I:$I,"Air defence system")/1000000000)</f>
        <v>0</v>
      </c>
      <c r="D17" s="15">
        <f>(SUMIFS('MAIN DATA, Orders'!$S:$S,'MAIN DATA, Orders'!$Y:$Y,$A17,'MAIN DATA, Orders'!$D:$D,"Germany",'MAIN DATA, Orders'!$I:$I,"Development - Air defence system")/1000000000)</f>
        <v>0</v>
      </c>
      <c r="E17" s="15">
        <f>(SUMIFS('MAIN DATA, Orders'!$S:$S,'MAIN DATA, Orders'!$Y:$Y,$A17,'MAIN DATA, Orders'!$D:$D,"Germany",'MAIN DATA, Orders'!$I:$I,"Aircraft")/1000000000)</f>
        <v>5.5</v>
      </c>
      <c r="F17" s="15">
        <f>(SUMIFS('MAIN DATA, Orders'!$S:$S,'MAIN DATA, Orders'!$Y:$Y,$A17,'MAIN DATA, Orders'!$D:$D,"Germany",'MAIN DATA, Orders'!$I:$I,"Development - Aircraft")/1000000000)</f>
        <v>0</v>
      </c>
      <c r="G17" s="15">
        <f>(SUMIFS('MAIN DATA, Orders'!$S:$S,'MAIN DATA, Orders'!$Y:$Y,$A17,'MAIN DATA, Orders'!$D:$D,"Germany",'MAIN DATA, Orders'!$I:$I,"Ammunition")/1000000000)</f>
        <v>2.5999999999999999E-2</v>
      </c>
      <c r="H17" s="15">
        <f>(SUMIFS('MAIN DATA, Orders'!$S:$S,'MAIN DATA, Orders'!$Y:$Y,$A17,'MAIN DATA, Orders'!$D:$D,"Germany",'MAIN DATA, Orders'!$I:$I,"Development - Ammunition")/1000000000)</f>
        <v>0</v>
      </c>
      <c r="I17" s="15">
        <f>(SUMIFS('MAIN DATA, Orders'!$S:$S,'MAIN DATA, Orders'!$Y:$Y,$A17,'MAIN DATA, Orders'!$D:$D,"Germany",'MAIN DATA, Orders'!$I:$I,"Armoured vehicle")/1000000000)</f>
        <v>0.18</v>
      </c>
      <c r="J17" s="15">
        <f>(SUMIFS('MAIN DATA, Orders'!$S:$S,'MAIN DATA, Orders'!$Y:$Y,$A17,'MAIN DATA, Orders'!$D:$D,"Germany",'MAIN DATA, Orders'!$I:$I,"Development - Armoured vehicle")/1000000000)</f>
        <v>0</v>
      </c>
      <c r="K17" s="15">
        <f>(SUMIFS('MAIN DATA, Orders'!$S:$S,'MAIN DATA, Orders'!$Y:$Y,$A17,'MAIN DATA, Orders'!$D:$D,"Germany",'MAIN DATA, Orders'!$I:$I,"Artillery")/1000000000)</f>
        <v>0</v>
      </c>
      <c r="L17" s="15">
        <f>(SUMIFS('MAIN DATA, Orders'!$S:$S,'MAIN DATA, Orders'!$Y:$Y,$A17,'MAIN DATA, Orders'!$D:$D,"Germany",'MAIN DATA, Orders'!$I:$I,"Development - Artillery")/1000000000)</f>
        <v>0</v>
      </c>
      <c r="M17" s="15">
        <f>(SUMIFS('MAIN DATA, Orders'!$S:$S,'MAIN DATA, Orders'!$Y:$Y,$A17,'MAIN DATA, Orders'!$D:$D,"Germany",'MAIN DATA, Orders'!$I:$I,"Drone")/1000000000)</f>
        <v>0</v>
      </c>
      <c r="N17" s="15">
        <f>(SUMIFS('MAIN DATA, Orders'!$S:$S,'MAIN DATA, Orders'!$Y:$Y,$A17,'MAIN DATA, Orders'!$D:$D,"Germany",'MAIN DATA, Orders'!$I:$I,"Development - Drone")/1000000000)</f>
        <v>0</v>
      </c>
      <c r="O17" s="15">
        <f>(SUMIFS('MAIN DATA, Orders'!$S:$S,'MAIN DATA, Orders'!$Y:$Y,$A17,'MAIN DATA, Orders'!$D:$D,"Germany",'MAIN DATA, Orders'!$I:$I,"Helicopter")/1000000000)</f>
        <v>0</v>
      </c>
      <c r="P17" s="15">
        <f>(SUMIFS('MAIN DATA, Orders'!$S:$S,'MAIN DATA, Orders'!$Y:$Y,$A17,'MAIN DATA, Orders'!$D:$D,"Germany",'MAIN DATA, Orders'!$I:$I,"Development - Helicopter")/1000000000)</f>
        <v>0</v>
      </c>
      <c r="Q17" s="15">
        <f>(SUMIFS('MAIN DATA, Orders'!$S:$S,'MAIN DATA, Orders'!$Y:$Y,$A17,'MAIN DATA, Orders'!$D:$D,"Germany",'MAIN DATA, Orders'!$I:$I,"Infantry")/1000000000)</f>
        <v>0</v>
      </c>
      <c r="R17" s="15">
        <f>(SUMIFS('MAIN DATA, Orders'!$S:$S,'MAIN DATA, Orders'!$Y:$Y,$A17,'MAIN DATA, Orders'!$D:$D,"Germany",'MAIN DATA, Orders'!$I:$I,"Development - Infantry")/1000000000)</f>
        <v>0</v>
      </c>
      <c r="S17" s="15">
        <f>(SUMIFS('MAIN DATA, Orders'!$S:$S,'MAIN DATA, Orders'!$Y:$Y,$A17,'MAIN DATA, Orders'!$D:$D,"Germany",'MAIN DATA, Orders'!$I:$I,"Tank")/1000000000)</f>
        <v>0</v>
      </c>
      <c r="T17" s="15">
        <f>(SUMIFS('MAIN DATA, Orders'!$S:$S,'MAIN DATA, Orders'!$Y:$Y,$A17,'MAIN DATA, Orders'!$D:$D,"Germany",'MAIN DATA, Orders'!$I:$I,"Development - Tank")/1000000000)</f>
        <v>0</v>
      </c>
      <c r="U17" s="15">
        <f>(SUMIFS('MAIN DATA, Orders'!$S:$S,'MAIN DATA, Orders'!$Y:$Y,$A17,'MAIN DATA, Orders'!$D:$D,"Germany",'MAIN DATA, Orders'!$I:$I,"Maintenance")/1000000000)</f>
        <v>0</v>
      </c>
      <c r="V17" s="15">
        <f>(SUMIFS('MAIN DATA, Orders'!$S:$S,'MAIN DATA, Orders'!$Y:$Y,$A17,'MAIN DATA, Orders'!$D:$D,"Germany",'MAIN DATA, Orders'!$I:$I,"Development - Maintenance")/1000000000)</f>
        <v>0</v>
      </c>
      <c r="W17" s="15">
        <f>(SUMIFS('MAIN DATA, Orders'!$S:$S,'MAIN DATA, Orders'!$Y:$Y,$A17,'MAIN DATA, Orders'!$D:$D,"Germany",'MAIN DATA, Orders'!$I:$I,"Mine")/1000000000)</f>
        <v>0</v>
      </c>
      <c r="X17" s="15">
        <f>(SUMIFS('MAIN DATA, Orders'!$S:$S,'MAIN DATA, Orders'!$Y:$Y,$A17,'MAIN DATA, Orders'!$D:$D,"Germany",'MAIN DATA, Orders'!$I:$I,"Development - Mine")/1000000000)</f>
        <v>0</v>
      </c>
      <c r="Y17" s="15">
        <f>(SUMIFS('MAIN DATA, Orders'!$S:$S,'MAIN DATA, Orders'!$Y:$Y,$A17,'MAIN DATA, Orders'!$D:$D,"Germany",'MAIN DATA, Orders'!$J:$J,"6")/1000000000)</f>
        <v>0</v>
      </c>
      <c r="Z17" s="15" cm="1">
        <f t="array" ref="Z17">SUM(SUMIFS('MAIN DATA, Orders'!$S:$S,'MAIN DATA, Orders'!$Y:$Y,$A17,'MAIN DATA, Orders'!$D:$D,"Germany",'MAIN DATA, Orders'!$I:$I,{"Development - Missile (Land)","Development - Missile (Naval)","Development - Missile (Air)"})/1000000000)</f>
        <v>0</v>
      </c>
      <c r="AA17" s="15">
        <f>(SUMIFS('MAIN DATA, Orders'!$S:$S,'MAIN DATA, Orders'!$Y:$Y,$A17,'MAIN DATA, Orders'!$D:$D,"Germany",'MAIN DATA, Orders'!$I:$I,"Modernisation")/1000000000)</f>
        <v>0</v>
      </c>
      <c r="AB17" s="15">
        <f>(SUMIFS('MAIN DATA, Orders'!$S:$S,'MAIN DATA, Orders'!$Y:$Y,$A17,'MAIN DATA, Orders'!$D:$D,"Germany",'MAIN DATA, Orders'!$I:$I,"Development - Modernisation")/1000000000)</f>
        <v>0.11700000000000001</v>
      </c>
      <c r="AC17" s="15">
        <f>(SUMIFS('MAIN DATA, Orders'!$S:$S,'MAIN DATA, Orders'!$Y:$Y,$A17,'MAIN DATA, Orders'!$D:$D,"Germany",'MAIN DATA, Orders'!$I:$I,"Naval")/1000000000)</f>
        <v>2.7309999999999999</v>
      </c>
      <c r="AD17" s="15">
        <f>(SUMIFS('MAIN DATA, Orders'!$S:$S,'MAIN DATA, Orders'!$Y:$Y,$A17,'MAIN DATA, Orders'!$D:$D,"Germany",'MAIN DATA, Orders'!$I:$I,"Development - Naval")/1000000000)</f>
        <v>0</v>
      </c>
      <c r="AE17" s="15">
        <f>(SUMIFS('MAIN DATA, Orders'!$S:$S,'MAIN DATA, Orders'!$Y:$Y,$A17,'MAIN DATA, Orders'!$D:$D,"Germany",'MAIN DATA, Orders'!$I:$I,"Other")/1000000000)</f>
        <v>0.63200000000000001</v>
      </c>
      <c r="AF17" s="15">
        <f>(SUMIFS('MAIN DATA, Orders'!$S:$S,'MAIN DATA, Orders'!$Y:$Y,$A17,'MAIN DATA, Orders'!$D:$D,"Germany",'MAIN DATA, Orders'!$I:$I,"Development - Other")/1000000000)</f>
        <v>0</v>
      </c>
      <c r="AG17" s="15"/>
      <c r="AH17" s="15" cm="1">
        <f t="array" ref="AH17">SUM(SUMIFS('MAIN DATA, Orders'!$S:$S,'MAIN DATA, Orders'!$Y:$Y,$A17,'MAIN DATA, Orders'!$D:$D,"Germany",'MAIN DATA, Orders'!$I:$I,{"Missile (Land)","Development - Missile (Land)"})/1000000000)</f>
        <v>0</v>
      </c>
      <c r="AI17" s="15" cm="1">
        <f t="array" ref="AI17">SUM(SUMIFS('MAIN DATA, Orders'!$S:$S,'MAIN DATA, Orders'!$D:$D,"Germany",'MAIN DATA, Orders'!$I:$I,{"Missile (Air)","Development - Missile (Air)"},'MAIN DATA, Orders'!$Y:$Y,$A17)/1000000000)</f>
        <v>0</v>
      </c>
      <c r="AJ17" s="15" cm="1">
        <f t="array" ref="AJ17">SUM(SUMIFS('MAIN DATA, Orders'!$S:$S,'MAIN DATA, Orders'!$Y:$Y,$A17,'MAIN DATA, Orders'!$D:$D,"Germany",'MAIN DATA, Orders'!$I:$I,{"Missile (Naval)","Development - Missile (Naval)"})/1000000000)</f>
        <v>0</v>
      </c>
    </row>
    <row r="18" spans="1:36" x14ac:dyDescent="0.35">
      <c r="A18" s="20">
        <v>202012</v>
      </c>
      <c r="B18" s="17">
        <v>44166</v>
      </c>
      <c r="C18" s="15">
        <f>(SUMIFS('MAIN DATA, Orders'!$S:$S,'MAIN DATA, Orders'!$Y:$Y,$A18,'MAIN DATA, Orders'!$D:$D,"Germany",'MAIN DATA, Orders'!$I:$I,"Air defence system")/1000000000)</f>
        <v>0</v>
      </c>
      <c r="D18" s="15">
        <f>(SUMIFS('MAIN DATA, Orders'!$S:$S,'MAIN DATA, Orders'!$Y:$Y,$A18,'MAIN DATA, Orders'!$D:$D,"Germany",'MAIN DATA, Orders'!$I:$I,"Development - Air defence system")/1000000000)</f>
        <v>0</v>
      </c>
      <c r="E18" s="15">
        <f>(SUMIFS('MAIN DATA, Orders'!$S:$S,'MAIN DATA, Orders'!$Y:$Y,$A18,'MAIN DATA, Orders'!$D:$D,"Germany",'MAIN DATA, Orders'!$I:$I,"Aircraft")/1000000000)</f>
        <v>0</v>
      </c>
      <c r="F18" s="15">
        <f>(SUMIFS('MAIN DATA, Orders'!$S:$S,'MAIN DATA, Orders'!$Y:$Y,$A18,'MAIN DATA, Orders'!$D:$D,"Germany",'MAIN DATA, Orders'!$I:$I,"Development - Aircraft")/1000000000)</f>
        <v>0</v>
      </c>
      <c r="G18" s="15">
        <f>(SUMIFS('MAIN DATA, Orders'!$S:$S,'MAIN DATA, Orders'!$Y:$Y,$A18,'MAIN DATA, Orders'!$D:$D,"Germany",'MAIN DATA, Orders'!$I:$I,"Ammunition")/1000000000)</f>
        <v>0</v>
      </c>
      <c r="H18" s="15">
        <f>(SUMIFS('MAIN DATA, Orders'!$S:$S,'MAIN DATA, Orders'!$Y:$Y,$A18,'MAIN DATA, Orders'!$D:$D,"Germany",'MAIN DATA, Orders'!$I:$I,"Development - Ammunition")/1000000000)</f>
        <v>0</v>
      </c>
      <c r="I18" s="15">
        <f>(SUMIFS('MAIN DATA, Orders'!$S:$S,'MAIN DATA, Orders'!$Y:$Y,$A18,'MAIN DATA, Orders'!$D:$D,"Germany",'MAIN DATA, Orders'!$I:$I,"Armoured vehicle")/1000000000)</f>
        <v>0</v>
      </c>
      <c r="J18" s="15">
        <f>(SUMIFS('MAIN DATA, Orders'!$S:$S,'MAIN DATA, Orders'!$Y:$Y,$A18,'MAIN DATA, Orders'!$D:$D,"Germany",'MAIN DATA, Orders'!$I:$I,"Development - Armoured vehicle")/1000000000)</f>
        <v>0</v>
      </c>
      <c r="K18" s="15">
        <f>(SUMIFS('MAIN DATA, Orders'!$S:$S,'MAIN DATA, Orders'!$Y:$Y,$A18,'MAIN DATA, Orders'!$D:$D,"Germany",'MAIN DATA, Orders'!$I:$I,"Artillery")/1000000000)</f>
        <v>0</v>
      </c>
      <c r="L18" s="15">
        <f>(SUMIFS('MAIN DATA, Orders'!$S:$S,'MAIN DATA, Orders'!$Y:$Y,$A18,'MAIN DATA, Orders'!$D:$D,"Germany",'MAIN DATA, Orders'!$I:$I,"Development - Artillery")/1000000000)</f>
        <v>0</v>
      </c>
      <c r="M18" s="15">
        <f>(SUMIFS('MAIN DATA, Orders'!$S:$S,'MAIN DATA, Orders'!$Y:$Y,$A18,'MAIN DATA, Orders'!$D:$D,"Germany",'MAIN DATA, Orders'!$I:$I,"Drone")/1000000000)</f>
        <v>0</v>
      </c>
      <c r="N18" s="15">
        <f>(SUMIFS('MAIN DATA, Orders'!$S:$S,'MAIN DATA, Orders'!$Y:$Y,$A18,'MAIN DATA, Orders'!$D:$D,"Germany",'MAIN DATA, Orders'!$I:$I,"Development - Drone")/1000000000)</f>
        <v>0</v>
      </c>
      <c r="O18" s="15">
        <f>(SUMIFS('MAIN DATA, Orders'!$S:$S,'MAIN DATA, Orders'!$Y:$Y,$A18,'MAIN DATA, Orders'!$D:$D,"Germany",'MAIN DATA, Orders'!$I:$I,"Helicopter")/1000000000)</f>
        <v>0</v>
      </c>
      <c r="P18" s="15">
        <f>(SUMIFS('MAIN DATA, Orders'!$S:$S,'MAIN DATA, Orders'!$Y:$Y,$A18,'MAIN DATA, Orders'!$D:$D,"Germany",'MAIN DATA, Orders'!$I:$I,"Development - Helicopter")/1000000000)</f>
        <v>0</v>
      </c>
      <c r="Q18" s="15">
        <f>(SUMIFS('MAIN DATA, Orders'!$S:$S,'MAIN DATA, Orders'!$Y:$Y,$A18,'MAIN DATA, Orders'!$D:$D,"Germany",'MAIN DATA, Orders'!$I:$I,"Infantry")/1000000000)</f>
        <v>0</v>
      </c>
      <c r="R18" s="15">
        <f>(SUMIFS('MAIN DATA, Orders'!$S:$S,'MAIN DATA, Orders'!$Y:$Y,$A18,'MAIN DATA, Orders'!$D:$D,"Germany",'MAIN DATA, Orders'!$I:$I,"Development - Infantry")/1000000000)</f>
        <v>0</v>
      </c>
      <c r="S18" s="15">
        <f>(SUMIFS('MAIN DATA, Orders'!$S:$S,'MAIN DATA, Orders'!$Y:$Y,$A18,'MAIN DATA, Orders'!$D:$D,"Germany",'MAIN DATA, Orders'!$I:$I,"Tank")/1000000000)</f>
        <v>0</v>
      </c>
      <c r="T18" s="15">
        <f>(SUMIFS('MAIN DATA, Orders'!$S:$S,'MAIN DATA, Orders'!$Y:$Y,$A18,'MAIN DATA, Orders'!$D:$D,"Germany",'MAIN DATA, Orders'!$I:$I,"Development - Tank")/1000000000)</f>
        <v>0</v>
      </c>
      <c r="U18" s="15">
        <f>(SUMIFS('MAIN DATA, Orders'!$S:$S,'MAIN DATA, Orders'!$Y:$Y,$A18,'MAIN DATA, Orders'!$D:$D,"Germany",'MAIN DATA, Orders'!$I:$I,"Maintenance")/1000000000)</f>
        <v>0</v>
      </c>
      <c r="V18" s="15">
        <f>(SUMIFS('MAIN DATA, Orders'!$S:$S,'MAIN DATA, Orders'!$Y:$Y,$A18,'MAIN DATA, Orders'!$D:$D,"Germany",'MAIN DATA, Orders'!$I:$I,"Development - Maintenance")/1000000000)</f>
        <v>0</v>
      </c>
      <c r="W18" s="15">
        <f>(SUMIFS('MAIN DATA, Orders'!$S:$S,'MAIN DATA, Orders'!$Y:$Y,$A18,'MAIN DATA, Orders'!$D:$D,"Germany",'MAIN DATA, Orders'!$I:$I,"Mine")/1000000000)</f>
        <v>0</v>
      </c>
      <c r="X18" s="15">
        <f>(SUMIFS('MAIN DATA, Orders'!$S:$S,'MAIN DATA, Orders'!$Y:$Y,$A18,'MAIN DATA, Orders'!$D:$D,"Germany",'MAIN DATA, Orders'!$I:$I,"Development - Mine")/1000000000)</f>
        <v>0</v>
      </c>
      <c r="Y18" s="15">
        <f>(SUMIFS('MAIN DATA, Orders'!$S:$S,'MAIN DATA, Orders'!$Y:$Y,$A18,'MAIN DATA, Orders'!$D:$D,"Germany",'MAIN DATA, Orders'!$J:$J,"6")/1000000000)</f>
        <v>0</v>
      </c>
      <c r="Z18" s="15" cm="1">
        <f t="array" ref="Z18">SUM(SUMIFS('MAIN DATA, Orders'!$S:$S,'MAIN DATA, Orders'!$Y:$Y,$A18,'MAIN DATA, Orders'!$D:$D,"Germany",'MAIN DATA, Orders'!$I:$I,{"Development - Missile (Land)","Development - Missile (Naval)","Development - Missile (Air)"})/1000000000)</f>
        <v>0</v>
      </c>
      <c r="AA18" s="15">
        <f>(SUMIFS('MAIN DATA, Orders'!$S:$S,'MAIN DATA, Orders'!$Y:$Y,$A18,'MAIN DATA, Orders'!$D:$D,"Germany",'MAIN DATA, Orders'!$I:$I,"Modernisation")/1000000000)</f>
        <v>0</v>
      </c>
      <c r="AB18" s="15">
        <f>(SUMIFS('MAIN DATA, Orders'!$S:$S,'MAIN DATA, Orders'!$Y:$Y,$A18,'MAIN DATA, Orders'!$D:$D,"Germany",'MAIN DATA, Orders'!$I:$I,"Development - Modernisation")/1000000000)</f>
        <v>0</v>
      </c>
      <c r="AC18" s="15">
        <f>(SUMIFS('MAIN DATA, Orders'!$S:$S,'MAIN DATA, Orders'!$Y:$Y,$A18,'MAIN DATA, Orders'!$D:$D,"Germany",'MAIN DATA, Orders'!$I:$I,"Naval")/1000000000)</f>
        <v>0</v>
      </c>
      <c r="AD18" s="15">
        <f>(SUMIFS('MAIN DATA, Orders'!$S:$S,'MAIN DATA, Orders'!$Y:$Y,$A18,'MAIN DATA, Orders'!$D:$D,"Germany",'MAIN DATA, Orders'!$I:$I,"Development - Naval")/1000000000)</f>
        <v>0</v>
      </c>
      <c r="AE18" s="15">
        <f>(SUMIFS('MAIN DATA, Orders'!$S:$S,'MAIN DATA, Orders'!$Y:$Y,$A18,'MAIN DATA, Orders'!$D:$D,"Germany",'MAIN DATA, Orders'!$I:$I,"Other")/1000000000)</f>
        <v>0.45</v>
      </c>
      <c r="AF18" s="15">
        <f>(SUMIFS('MAIN DATA, Orders'!$S:$S,'MAIN DATA, Orders'!$Y:$Y,$A18,'MAIN DATA, Orders'!$D:$D,"Germany",'MAIN DATA, Orders'!$I:$I,"Development - Other")/1000000000)</f>
        <v>0</v>
      </c>
      <c r="AG18" s="15"/>
      <c r="AH18" s="15" cm="1">
        <f t="array" ref="AH18">SUM(SUMIFS('MAIN DATA, Orders'!$S:$S,'MAIN DATA, Orders'!$Y:$Y,$A18,'MAIN DATA, Orders'!$D:$D,"Germany",'MAIN DATA, Orders'!$I:$I,{"Missile (Land)","Development - Missile (Land)"})/1000000000)</f>
        <v>0</v>
      </c>
      <c r="AI18" s="15" cm="1">
        <f t="array" ref="AI18">SUM(SUMIFS('MAIN DATA, Orders'!$S:$S,'MAIN DATA, Orders'!$D:$D,"Germany",'MAIN DATA, Orders'!$I:$I,{"Missile (Air)","Development - Missile (Air)"},'MAIN DATA, Orders'!$Y:$Y,$A18)/1000000000)</f>
        <v>0</v>
      </c>
      <c r="AJ18" s="15" cm="1">
        <f t="array" ref="AJ18">SUM(SUMIFS('MAIN DATA, Orders'!$S:$S,'MAIN DATA, Orders'!$Y:$Y,$A18,'MAIN DATA, Orders'!$D:$D,"Germany",'MAIN DATA, Orders'!$I:$I,{"Missile (Naval)","Development - Missile (Naval)"})/1000000000)</f>
        <v>0</v>
      </c>
    </row>
    <row r="19" spans="1:36" x14ac:dyDescent="0.35">
      <c r="A19" s="20">
        <v>202101</v>
      </c>
      <c r="B19" s="17">
        <v>44197</v>
      </c>
      <c r="C19" s="15">
        <f>(SUMIFS('MAIN DATA, Orders'!$S:$S,'MAIN DATA, Orders'!$Y:$Y,$A19,'MAIN DATA, Orders'!$D:$D,"Germany",'MAIN DATA, Orders'!$I:$I,"Air defence system")/1000000000)</f>
        <v>0</v>
      </c>
      <c r="D19" s="15">
        <f>(SUMIFS('MAIN DATA, Orders'!$S:$S,'MAIN DATA, Orders'!$Y:$Y,$A19,'MAIN DATA, Orders'!$D:$D,"Germany",'MAIN DATA, Orders'!$I:$I,"Development - Air defence system")/1000000000)</f>
        <v>0</v>
      </c>
      <c r="E19" s="15">
        <f>(SUMIFS('MAIN DATA, Orders'!$S:$S,'MAIN DATA, Orders'!$Y:$Y,$A19,'MAIN DATA, Orders'!$D:$D,"Germany",'MAIN DATA, Orders'!$I:$I,"Aircraft")/1000000000)</f>
        <v>0</v>
      </c>
      <c r="F19" s="15">
        <f>(SUMIFS('MAIN DATA, Orders'!$S:$S,'MAIN DATA, Orders'!$Y:$Y,$A19,'MAIN DATA, Orders'!$D:$D,"Germany",'MAIN DATA, Orders'!$I:$I,"Development - Aircraft")/1000000000)</f>
        <v>0</v>
      </c>
      <c r="G19" s="15">
        <f>(SUMIFS('MAIN DATA, Orders'!$S:$S,'MAIN DATA, Orders'!$Y:$Y,$A19,'MAIN DATA, Orders'!$D:$D,"Germany",'MAIN DATA, Orders'!$I:$I,"Ammunition")/1000000000)</f>
        <v>0</v>
      </c>
      <c r="H19" s="15">
        <f>(SUMIFS('MAIN DATA, Orders'!$S:$S,'MAIN DATA, Orders'!$Y:$Y,$A19,'MAIN DATA, Orders'!$D:$D,"Germany",'MAIN DATA, Orders'!$I:$I,"Development - Ammunition")/1000000000)</f>
        <v>0</v>
      </c>
      <c r="I19" s="15">
        <f>(SUMIFS('MAIN DATA, Orders'!$S:$S,'MAIN DATA, Orders'!$Y:$Y,$A19,'MAIN DATA, Orders'!$D:$D,"Germany",'MAIN DATA, Orders'!$I:$I,"Armoured vehicle")/1000000000)</f>
        <v>0</v>
      </c>
      <c r="J19" s="15">
        <f>(SUMIFS('MAIN DATA, Orders'!$S:$S,'MAIN DATA, Orders'!$Y:$Y,$A19,'MAIN DATA, Orders'!$D:$D,"Germany",'MAIN DATA, Orders'!$I:$I,"Development - Armoured vehicle")/1000000000)</f>
        <v>0</v>
      </c>
      <c r="K19" s="15">
        <f>(SUMIFS('MAIN DATA, Orders'!$S:$S,'MAIN DATA, Orders'!$Y:$Y,$A19,'MAIN DATA, Orders'!$D:$D,"Germany",'MAIN DATA, Orders'!$I:$I,"Artillery")/1000000000)</f>
        <v>0</v>
      </c>
      <c r="L19" s="15">
        <f>(SUMIFS('MAIN DATA, Orders'!$S:$S,'MAIN DATA, Orders'!$Y:$Y,$A19,'MAIN DATA, Orders'!$D:$D,"Germany",'MAIN DATA, Orders'!$I:$I,"Development - Artillery")/1000000000)</f>
        <v>0</v>
      </c>
      <c r="M19" s="15">
        <f>(SUMIFS('MAIN DATA, Orders'!$S:$S,'MAIN DATA, Orders'!$Y:$Y,$A19,'MAIN DATA, Orders'!$D:$D,"Germany",'MAIN DATA, Orders'!$I:$I,"Drone")/1000000000)</f>
        <v>0</v>
      </c>
      <c r="N19" s="15">
        <f>(SUMIFS('MAIN DATA, Orders'!$S:$S,'MAIN DATA, Orders'!$Y:$Y,$A19,'MAIN DATA, Orders'!$D:$D,"Germany",'MAIN DATA, Orders'!$I:$I,"Development - Drone")/1000000000)</f>
        <v>0</v>
      </c>
      <c r="O19" s="15">
        <f>(SUMIFS('MAIN DATA, Orders'!$S:$S,'MAIN DATA, Orders'!$Y:$Y,$A19,'MAIN DATA, Orders'!$D:$D,"Germany",'MAIN DATA, Orders'!$I:$I,"Helicopter")/1000000000)</f>
        <v>0</v>
      </c>
      <c r="P19" s="15">
        <f>(SUMIFS('MAIN DATA, Orders'!$S:$S,'MAIN DATA, Orders'!$Y:$Y,$A19,'MAIN DATA, Orders'!$D:$D,"Germany",'MAIN DATA, Orders'!$I:$I,"Development - Helicopter")/1000000000)</f>
        <v>0</v>
      </c>
      <c r="Q19" s="15">
        <f>(SUMIFS('MAIN DATA, Orders'!$S:$S,'MAIN DATA, Orders'!$Y:$Y,$A19,'MAIN DATA, Orders'!$D:$D,"Germany",'MAIN DATA, Orders'!$I:$I,"Infantry")/1000000000)</f>
        <v>0</v>
      </c>
      <c r="R19" s="15">
        <f>(SUMIFS('MAIN DATA, Orders'!$S:$S,'MAIN DATA, Orders'!$Y:$Y,$A19,'MAIN DATA, Orders'!$D:$D,"Germany",'MAIN DATA, Orders'!$I:$I,"Development - Infantry")/1000000000)</f>
        <v>0</v>
      </c>
      <c r="S19" s="15">
        <f>(SUMIFS('MAIN DATA, Orders'!$S:$S,'MAIN DATA, Orders'!$Y:$Y,$A19,'MAIN DATA, Orders'!$D:$D,"Germany",'MAIN DATA, Orders'!$I:$I,"Tank")/1000000000)</f>
        <v>0</v>
      </c>
      <c r="T19" s="15">
        <f>(SUMIFS('MAIN DATA, Orders'!$S:$S,'MAIN DATA, Orders'!$Y:$Y,$A19,'MAIN DATA, Orders'!$D:$D,"Germany",'MAIN DATA, Orders'!$I:$I,"Development - Tank")/1000000000)</f>
        <v>0</v>
      </c>
      <c r="U19" s="15">
        <f>(SUMIFS('MAIN DATA, Orders'!$S:$S,'MAIN DATA, Orders'!$Y:$Y,$A19,'MAIN DATA, Orders'!$D:$D,"Germany",'MAIN DATA, Orders'!$I:$I,"Maintenance")/1000000000)</f>
        <v>0</v>
      </c>
      <c r="V19" s="15">
        <f>(SUMIFS('MAIN DATA, Orders'!$S:$S,'MAIN DATA, Orders'!$Y:$Y,$A19,'MAIN DATA, Orders'!$D:$D,"Germany",'MAIN DATA, Orders'!$I:$I,"Development - Maintenance")/1000000000)</f>
        <v>0</v>
      </c>
      <c r="W19" s="15">
        <f>(SUMIFS('MAIN DATA, Orders'!$S:$S,'MAIN DATA, Orders'!$Y:$Y,$A19,'MAIN DATA, Orders'!$D:$D,"Germany",'MAIN DATA, Orders'!$I:$I,"Mine")/1000000000)</f>
        <v>0</v>
      </c>
      <c r="X19" s="15">
        <f>(SUMIFS('MAIN DATA, Orders'!$S:$S,'MAIN DATA, Orders'!$Y:$Y,$A19,'MAIN DATA, Orders'!$D:$D,"Germany",'MAIN DATA, Orders'!$I:$I,"Development - Mine")/1000000000)</f>
        <v>0</v>
      </c>
      <c r="Y19" s="15">
        <f>(SUMIFS('MAIN DATA, Orders'!$S:$S,'MAIN DATA, Orders'!$Y:$Y,$A19,'MAIN DATA, Orders'!$D:$D,"Germany",'MAIN DATA, Orders'!$J:$J,"6")/1000000000)</f>
        <v>0</v>
      </c>
      <c r="Z19" s="15" cm="1">
        <f t="array" ref="Z19">SUM(SUMIFS('MAIN DATA, Orders'!$S:$S,'MAIN DATA, Orders'!$Y:$Y,$A19,'MAIN DATA, Orders'!$D:$D,"Germany",'MAIN DATA, Orders'!$I:$I,{"Development - Missile (Land)","Development - Missile (Naval)","Development - Missile (Air)"})/1000000000)</f>
        <v>0</v>
      </c>
      <c r="AA19" s="15">
        <f>(SUMIFS('MAIN DATA, Orders'!$S:$S,'MAIN DATA, Orders'!$Y:$Y,$A19,'MAIN DATA, Orders'!$D:$D,"Germany",'MAIN DATA, Orders'!$I:$I,"Modernisation")/1000000000)</f>
        <v>0</v>
      </c>
      <c r="AB19" s="15">
        <f>(SUMIFS('MAIN DATA, Orders'!$S:$S,'MAIN DATA, Orders'!$Y:$Y,$A19,'MAIN DATA, Orders'!$D:$D,"Germany",'MAIN DATA, Orders'!$I:$I,"Development - Modernisation")/1000000000)</f>
        <v>0</v>
      </c>
      <c r="AC19" s="15">
        <f>(SUMIFS('MAIN DATA, Orders'!$S:$S,'MAIN DATA, Orders'!$Y:$Y,$A19,'MAIN DATA, Orders'!$D:$D,"Germany",'MAIN DATA, Orders'!$I:$I,"Naval")/1000000000)</f>
        <v>0</v>
      </c>
      <c r="AD19" s="15">
        <f>(SUMIFS('MAIN DATA, Orders'!$S:$S,'MAIN DATA, Orders'!$Y:$Y,$A19,'MAIN DATA, Orders'!$D:$D,"Germany",'MAIN DATA, Orders'!$I:$I,"Development - Naval")/1000000000)</f>
        <v>0</v>
      </c>
      <c r="AE19" s="15">
        <f>(SUMIFS('MAIN DATA, Orders'!$S:$S,'MAIN DATA, Orders'!$Y:$Y,$A19,'MAIN DATA, Orders'!$D:$D,"Germany",'MAIN DATA, Orders'!$I:$I,"Other")/1000000000)</f>
        <v>0</v>
      </c>
      <c r="AF19" s="15">
        <f>(SUMIFS('MAIN DATA, Orders'!$S:$S,'MAIN DATA, Orders'!$Y:$Y,$A19,'MAIN DATA, Orders'!$D:$D,"Germany",'MAIN DATA, Orders'!$I:$I,"Development - Other")/1000000000)</f>
        <v>0</v>
      </c>
      <c r="AG19" s="15"/>
      <c r="AH19" s="15" cm="1">
        <f t="array" ref="AH19">SUM(SUMIFS('MAIN DATA, Orders'!$S:$S,'MAIN DATA, Orders'!$Y:$Y,$A19,'MAIN DATA, Orders'!$D:$D,"Germany",'MAIN DATA, Orders'!$I:$I,{"Missile (Land)","Development - Missile (Land)"})/1000000000)</f>
        <v>0</v>
      </c>
      <c r="AI19" s="15" cm="1">
        <f t="array" ref="AI19">SUM(SUMIFS('MAIN DATA, Orders'!$S:$S,'MAIN DATA, Orders'!$D:$D,"Germany",'MAIN DATA, Orders'!$I:$I,{"Missile (Air)","Development - Missile (Air)"},'MAIN DATA, Orders'!$Y:$Y,$A19)/1000000000)</f>
        <v>0</v>
      </c>
      <c r="AJ19" s="15" cm="1">
        <f t="array" ref="AJ19">SUM(SUMIFS('MAIN DATA, Orders'!$S:$S,'MAIN DATA, Orders'!$Y:$Y,$A19,'MAIN DATA, Orders'!$D:$D,"Germany",'MAIN DATA, Orders'!$I:$I,{"Missile (Naval)","Development - Missile (Naval)"})/1000000000)</f>
        <v>0</v>
      </c>
    </row>
    <row r="20" spans="1:36" x14ac:dyDescent="0.35">
      <c r="A20" s="20">
        <v>202102</v>
      </c>
      <c r="B20" s="17">
        <v>44228</v>
      </c>
      <c r="C20" s="15">
        <f>(SUMIFS('MAIN DATA, Orders'!$S:$S,'MAIN DATA, Orders'!$Y:$Y,$A20,'MAIN DATA, Orders'!$D:$D,"Germany",'MAIN DATA, Orders'!$I:$I,"Air defence system")/1000000000)</f>
        <v>0</v>
      </c>
      <c r="D20" s="15">
        <f>(SUMIFS('MAIN DATA, Orders'!$S:$S,'MAIN DATA, Orders'!$Y:$Y,$A20,'MAIN DATA, Orders'!$D:$D,"Germany",'MAIN DATA, Orders'!$I:$I,"Development - Air defence system")/1000000000)</f>
        <v>0</v>
      </c>
      <c r="E20" s="15">
        <f>(SUMIFS('MAIN DATA, Orders'!$S:$S,'MAIN DATA, Orders'!$Y:$Y,$A20,'MAIN DATA, Orders'!$D:$D,"Germany",'MAIN DATA, Orders'!$I:$I,"Aircraft")/1000000000)</f>
        <v>0</v>
      </c>
      <c r="F20" s="15">
        <f>(SUMIFS('MAIN DATA, Orders'!$S:$S,'MAIN DATA, Orders'!$Y:$Y,$A20,'MAIN DATA, Orders'!$D:$D,"Germany",'MAIN DATA, Orders'!$I:$I,"Development - Aircraft")/1000000000)</f>
        <v>0</v>
      </c>
      <c r="G20" s="15">
        <f>(SUMIFS('MAIN DATA, Orders'!$S:$S,'MAIN DATA, Orders'!$Y:$Y,$A20,'MAIN DATA, Orders'!$D:$D,"Germany",'MAIN DATA, Orders'!$I:$I,"Ammunition")/1000000000)</f>
        <v>0</v>
      </c>
      <c r="H20" s="15">
        <f>(SUMIFS('MAIN DATA, Orders'!$S:$S,'MAIN DATA, Orders'!$Y:$Y,$A20,'MAIN DATA, Orders'!$D:$D,"Germany",'MAIN DATA, Orders'!$I:$I,"Development - Ammunition")/1000000000)</f>
        <v>0</v>
      </c>
      <c r="I20" s="15">
        <f>(SUMIFS('MAIN DATA, Orders'!$S:$S,'MAIN DATA, Orders'!$Y:$Y,$A20,'MAIN DATA, Orders'!$D:$D,"Germany",'MAIN DATA, Orders'!$I:$I,"Armoured vehicle")/1000000000)</f>
        <v>0</v>
      </c>
      <c r="J20" s="15">
        <f>(SUMIFS('MAIN DATA, Orders'!$S:$S,'MAIN DATA, Orders'!$Y:$Y,$A20,'MAIN DATA, Orders'!$D:$D,"Germany",'MAIN DATA, Orders'!$I:$I,"Development - Armoured vehicle")/1000000000)</f>
        <v>0</v>
      </c>
      <c r="K20" s="15">
        <f>(SUMIFS('MAIN DATA, Orders'!$S:$S,'MAIN DATA, Orders'!$Y:$Y,$A20,'MAIN DATA, Orders'!$D:$D,"Germany",'MAIN DATA, Orders'!$I:$I,"Artillery")/1000000000)</f>
        <v>0</v>
      </c>
      <c r="L20" s="15">
        <f>(SUMIFS('MAIN DATA, Orders'!$S:$S,'MAIN DATA, Orders'!$Y:$Y,$A20,'MAIN DATA, Orders'!$D:$D,"Germany",'MAIN DATA, Orders'!$I:$I,"Development - Artillery")/1000000000)</f>
        <v>0</v>
      </c>
      <c r="M20" s="15">
        <f>(SUMIFS('MAIN DATA, Orders'!$S:$S,'MAIN DATA, Orders'!$Y:$Y,$A20,'MAIN DATA, Orders'!$D:$D,"Germany",'MAIN DATA, Orders'!$I:$I,"Drone")/1000000000)</f>
        <v>0</v>
      </c>
      <c r="N20" s="15">
        <f>(SUMIFS('MAIN DATA, Orders'!$S:$S,'MAIN DATA, Orders'!$Y:$Y,$A20,'MAIN DATA, Orders'!$D:$D,"Germany",'MAIN DATA, Orders'!$I:$I,"Development - Drone")/1000000000)</f>
        <v>0</v>
      </c>
      <c r="O20" s="15">
        <f>(SUMIFS('MAIN DATA, Orders'!$S:$S,'MAIN DATA, Orders'!$Y:$Y,$A20,'MAIN DATA, Orders'!$D:$D,"Germany",'MAIN DATA, Orders'!$I:$I,"Helicopter")/1000000000)</f>
        <v>0</v>
      </c>
      <c r="P20" s="15">
        <f>(SUMIFS('MAIN DATA, Orders'!$S:$S,'MAIN DATA, Orders'!$Y:$Y,$A20,'MAIN DATA, Orders'!$D:$D,"Germany",'MAIN DATA, Orders'!$I:$I,"Development - Helicopter")/1000000000)</f>
        <v>0</v>
      </c>
      <c r="Q20" s="15">
        <f>(SUMIFS('MAIN DATA, Orders'!$S:$S,'MAIN DATA, Orders'!$Y:$Y,$A20,'MAIN DATA, Orders'!$D:$D,"Germany",'MAIN DATA, Orders'!$I:$I,"Infantry")/1000000000)</f>
        <v>0</v>
      </c>
      <c r="R20" s="15">
        <f>(SUMIFS('MAIN DATA, Orders'!$S:$S,'MAIN DATA, Orders'!$Y:$Y,$A20,'MAIN DATA, Orders'!$D:$D,"Germany",'MAIN DATA, Orders'!$I:$I,"Development - Infantry")/1000000000)</f>
        <v>0</v>
      </c>
      <c r="S20" s="15">
        <f>(SUMIFS('MAIN DATA, Orders'!$S:$S,'MAIN DATA, Orders'!$Y:$Y,$A20,'MAIN DATA, Orders'!$D:$D,"Germany",'MAIN DATA, Orders'!$I:$I,"Tank")/1000000000)</f>
        <v>0</v>
      </c>
      <c r="T20" s="15">
        <f>(SUMIFS('MAIN DATA, Orders'!$S:$S,'MAIN DATA, Orders'!$Y:$Y,$A20,'MAIN DATA, Orders'!$D:$D,"Germany",'MAIN DATA, Orders'!$I:$I,"Development - Tank")/1000000000)</f>
        <v>0</v>
      </c>
      <c r="U20" s="15">
        <f>(SUMIFS('MAIN DATA, Orders'!$S:$S,'MAIN DATA, Orders'!$Y:$Y,$A20,'MAIN DATA, Orders'!$D:$D,"Germany",'MAIN DATA, Orders'!$I:$I,"Maintenance")/1000000000)</f>
        <v>0</v>
      </c>
      <c r="V20" s="15">
        <f>(SUMIFS('MAIN DATA, Orders'!$S:$S,'MAIN DATA, Orders'!$Y:$Y,$A20,'MAIN DATA, Orders'!$D:$D,"Germany",'MAIN DATA, Orders'!$I:$I,"Development - Maintenance")/1000000000)</f>
        <v>0</v>
      </c>
      <c r="W20" s="15">
        <f>(SUMIFS('MAIN DATA, Orders'!$S:$S,'MAIN DATA, Orders'!$Y:$Y,$A20,'MAIN DATA, Orders'!$D:$D,"Germany",'MAIN DATA, Orders'!$I:$I,"Mine")/1000000000)</f>
        <v>0</v>
      </c>
      <c r="X20" s="15">
        <f>(SUMIFS('MAIN DATA, Orders'!$S:$S,'MAIN DATA, Orders'!$Y:$Y,$A20,'MAIN DATA, Orders'!$D:$D,"Germany",'MAIN DATA, Orders'!$I:$I,"Development - Mine")/1000000000)</f>
        <v>0</v>
      </c>
      <c r="Y20" s="15">
        <f>(SUMIFS('MAIN DATA, Orders'!$S:$S,'MAIN DATA, Orders'!$Y:$Y,$A20,'MAIN DATA, Orders'!$D:$D,"Germany",'MAIN DATA, Orders'!$J:$J,"6")/1000000000)</f>
        <v>8.7999999999999995E-2</v>
      </c>
      <c r="Z20" s="15" cm="1">
        <f t="array" ref="Z20">SUM(SUMIFS('MAIN DATA, Orders'!$S:$S,'MAIN DATA, Orders'!$Y:$Y,$A20,'MAIN DATA, Orders'!$D:$D,"Germany",'MAIN DATA, Orders'!$I:$I,{"Development - Missile (Land)","Development - Missile (Naval)","Development - Missile (Air)"})/1000000000)</f>
        <v>0</v>
      </c>
      <c r="AA20" s="15">
        <f>(SUMIFS('MAIN DATA, Orders'!$S:$S,'MAIN DATA, Orders'!$Y:$Y,$A20,'MAIN DATA, Orders'!$D:$D,"Germany",'MAIN DATA, Orders'!$I:$I,"Modernisation")/1000000000)</f>
        <v>0</v>
      </c>
      <c r="AB20" s="15">
        <f>(SUMIFS('MAIN DATA, Orders'!$S:$S,'MAIN DATA, Orders'!$Y:$Y,$A20,'MAIN DATA, Orders'!$D:$D,"Germany",'MAIN DATA, Orders'!$I:$I,"Development - Modernisation")/1000000000)</f>
        <v>0</v>
      </c>
      <c r="AC20" s="15">
        <f>(SUMIFS('MAIN DATA, Orders'!$S:$S,'MAIN DATA, Orders'!$Y:$Y,$A20,'MAIN DATA, Orders'!$D:$D,"Germany",'MAIN DATA, Orders'!$I:$I,"Naval")/1000000000)</f>
        <v>0</v>
      </c>
      <c r="AD20" s="15">
        <f>(SUMIFS('MAIN DATA, Orders'!$S:$S,'MAIN DATA, Orders'!$Y:$Y,$A20,'MAIN DATA, Orders'!$D:$D,"Germany",'MAIN DATA, Orders'!$I:$I,"Development - Naval")/1000000000)</f>
        <v>0</v>
      </c>
      <c r="AE20" s="15">
        <f>(SUMIFS('MAIN DATA, Orders'!$S:$S,'MAIN DATA, Orders'!$Y:$Y,$A20,'MAIN DATA, Orders'!$D:$D,"Germany",'MAIN DATA, Orders'!$I:$I,"Other")/1000000000)</f>
        <v>0</v>
      </c>
      <c r="AF20" s="15">
        <f>(SUMIFS('MAIN DATA, Orders'!$S:$S,'MAIN DATA, Orders'!$Y:$Y,$A20,'MAIN DATA, Orders'!$D:$D,"Germany",'MAIN DATA, Orders'!$I:$I,"Development - Other")/1000000000)</f>
        <v>0</v>
      </c>
      <c r="AG20" s="15"/>
      <c r="AH20" s="15" cm="1">
        <f t="array" ref="AH20">SUM(SUMIFS('MAIN DATA, Orders'!$S:$S,'MAIN DATA, Orders'!$Y:$Y,$A20,'MAIN DATA, Orders'!$D:$D,"Germany",'MAIN DATA, Orders'!$I:$I,{"Missile (Land)","Development - Missile (Land)"})/1000000000)</f>
        <v>8.7999999999999995E-2</v>
      </c>
      <c r="AI20" s="15" cm="1">
        <f t="array" ref="AI20">SUM(SUMIFS('MAIN DATA, Orders'!$S:$S,'MAIN DATA, Orders'!$D:$D,"Germany",'MAIN DATA, Orders'!$I:$I,{"Missile (Air)","Development - Missile (Air)"},'MAIN DATA, Orders'!$Y:$Y,$A20)/1000000000)</f>
        <v>0</v>
      </c>
      <c r="AJ20" s="15" cm="1">
        <f t="array" ref="AJ20">SUM(SUMIFS('MAIN DATA, Orders'!$S:$S,'MAIN DATA, Orders'!$Y:$Y,$A20,'MAIN DATA, Orders'!$D:$D,"Germany",'MAIN DATA, Orders'!$I:$I,{"Missile (Naval)","Development - Missile (Naval)"})/1000000000)</f>
        <v>0</v>
      </c>
    </row>
    <row r="21" spans="1:36" x14ac:dyDescent="0.35">
      <c r="A21" s="20">
        <v>202103</v>
      </c>
      <c r="B21" s="17">
        <v>44256</v>
      </c>
      <c r="C21" s="15">
        <f>(SUMIFS('MAIN DATA, Orders'!$S:$S,'MAIN DATA, Orders'!$Y:$Y,$A21,'MAIN DATA, Orders'!$D:$D,"Germany",'MAIN DATA, Orders'!$I:$I,"Air defence system")/1000000000)</f>
        <v>0</v>
      </c>
      <c r="D21" s="15">
        <f>(SUMIFS('MAIN DATA, Orders'!$S:$S,'MAIN DATA, Orders'!$Y:$Y,$A21,'MAIN DATA, Orders'!$D:$D,"Germany",'MAIN DATA, Orders'!$I:$I,"Development - Air defence system")/1000000000)</f>
        <v>0</v>
      </c>
      <c r="E21" s="15">
        <f>(SUMIFS('MAIN DATA, Orders'!$S:$S,'MAIN DATA, Orders'!$Y:$Y,$A21,'MAIN DATA, Orders'!$D:$D,"Germany",'MAIN DATA, Orders'!$I:$I,"Aircraft")/1000000000)</f>
        <v>0</v>
      </c>
      <c r="F21" s="15">
        <f>(SUMIFS('MAIN DATA, Orders'!$S:$S,'MAIN DATA, Orders'!$Y:$Y,$A21,'MAIN DATA, Orders'!$D:$D,"Germany",'MAIN DATA, Orders'!$I:$I,"Development - Aircraft")/1000000000)</f>
        <v>0</v>
      </c>
      <c r="G21" s="15">
        <f>(SUMIFS('MAIN DATA, Orders'!$S:$S,'MAIN DATA, Orders'!$Y:$Y,$A21,'MAIN DATA, Orders'!$D:$D,"Germany",'MAIN DATA, Orders'!$I:$I,"Ammunition")/1000000000)</f>
        <v>0</v>
      </c>
      <c r="H21" s="15">
        <f>(SUMIFS('MAIN DATA, Orders'!$S:$S,'MAIN DATA, Orders'!$Y:$Y,$A21,'MAIN DATA, Orders'!$D:$D,"Germany",'MAIN DATA, Orders'!$I:$I,"Development - Ammunition")/1000000000)</f>
        <v>0</v>
      </c>
      <c r="I21" s="15">
        <f>(SUMIFS('MAIN DATA, Orders'!$S:$S,'MAIN DATA, Orders'!$Y:$Y,$A21,'MAIN DATA, Orders'!$D:$D,"Germany",'MAIN DATA, Orders'!$I:$I,"Armoured vehicle")/1000000000)</f>
        <v>0</v>
      </c>
      <c r="J21" s="15">
        <f>(SUMIFS('MAIN DATA, Orders'!$S:$S,'MAIN DATA, Orders'!$Y:$Y,$A21,'MAIN DATA, Orders'!$D:$D,"Germany",'MAIN DATA, Orders'!$I:$I,"Development - Armoured vehicle")/1000000000)</f>
        <v>0</v>
      </c>
      <c r="K21" s="15">
        <f>(SUMIFS('MAIN DATA, Orders'!$S:$S,'MAIN DATA, Orders'!$Y:$Y,$A21,'MAIN DATA, Orders'!$D:$D,"Germany",'MAIN DATA, Orders'!$I:$I,"Artillery")/1000000000)</f>
        <v>0</v>
      </c>
      <c r="L21" s="15">
        <f>(SUMIFS('MAIN DATA, Orders'!$S:$S,'MAIN DATA, Orders'!$Y:$Y,$A21,'MAIN DATA, Orders'!$D:$D,"Germany",'MAIN DATA, Orders'!$I:$I,"Development - Artillery")/1000000000)</f>
        <v>0</v>
      </c>
      <c r="M21" s="15">
        <f>(SUMIFS('MAIN DATA, Orders'!$S:$S,'MAIN DATA, Orders'!$Y:$Y,$A21,'MAIN DATA, Orders'!$D:$D,"Germany",'MAIN DATA, Orders'!$I:$I,"Drone")/1000000000)</f>
        <v>0</v>
      </c>
      <c r="N21" s="15">
        <f>(SUMIFS('MAIN DATA, Orders'!$S:$S,'MAIN DATA, Orders'!$Y:$Y,$A21,'MAIN DATA, Orders'!$D:$D,"Germany",'MAIN DATA, Orders'!$I:$I,"Development - Drone")/1000000000)</f>
        <v>0</v>
      </c>
      <c r="O21" s="15">
        <f>(SUMIFS('MAIN DATA, Orders'!$S:$S,'MAIN DATA, Orders'!$Y:$Y,$A21,'MAIN DATA, Orders'!$D:$D,"Germany",'MAIN DATA, Orders'!$I:$I,"Helicopter")/1000000000)</f>
        <v>0</v>
      </c>
      <c r="P21" s="15">
        <f>(SUMIFS('MAIN DATA, Orders'!$S:$S,'MAIN DATA, Orders'!$Y:$Y,$A21,'MAIN DATA, Orders'!$D:$D,"Germany",'MAIN DATA, Orders'!$I:$I,"Development - Helicopter")/1000000000)</f>
        <v>0</v>
      </c>
      <c r="Q21" s="15">
        <f>(SUMIFS('MAIN DATA, Orders'!$S:$S,'MAIN DATA, Orders'!$Y:$Y,$A21,'MAIN DATA, Orders'!$D:$D,"Germany",'MAIN DATA, Orders'!$I:$I,"Infantry")/1000000000)</f>
        <v>0</v>
      </c>
      <c r="R21" s="15">
        <f>(SUMIFS('MAIN DATA, Orders'!$S:$S,'MAIN DATA, Orders'!$Y:$Y,$A21,'MAIN DATA, Orders'!$D:$D,"Germany",'MAIN DATA, Orders'!$I:$I,"Development - Infantry")/1000000000)</f>
        <v>0</v>
      </c>
      <c r="S21" s="15">
        <f>(SUMIFS('MAIN DATA, Orders'!$S:$S,'MAIN DATA, Orders'!$Y:$Y,$A21,'MAIN DATA, Orders'!$D:$D,"Germany",'MAIN DATA, Orders'!$I:$I,"Tank")/1000000000)</f>
        <v>0</v>
      </c>
      <c r="T21" s="15">
        <f>(SUMIFS('MAIN DATA, Orders'!$S:$S,'MAIN DATA, Orders'!$Y:$Y,$A21,'MAIN DATA, Orders'!$D:$D,"Germany",'MAIN DATA, Orders'!$I:$I,"Development - Tank")/1000000000)</f>
        <v>0</v>
      </c>
      <c r="U21" s="15">
        <f>(SUMIFS('MAIN DATA, Orders'!$S:$S,'MAIN DATA, Orders'!$Y:$Y,$A21,'MAIN DATA, Orders'!$D:$D,"Germany",'MAIN DATA, Orders'!$I:$I,"Maintenance")/1000000000)</f>
        <v>0</v>
      </c>
      <c r="V21" s="15">
        <f>(SUMIFS('MAIN DATA, Orders'!$S:$S,'MAIN DATA, Orders'!$Y:$Y,$A21,'MAIN DATA, Orders'!$D:$D,"Germany",'MAIN DATA, Orders'!$I:$I,"Development - Maintenance")/1000000000)</f>
        <v>0</v>
      </c>
      <c r="W21" s="15">
        <f>(SUMIFS('MAIN DATA, Orders'!$S:$S,'MAIN DATA, Orders'!$Y:$Y,$A21,'MAIN DATA, Orders'!$D:$D,"Germany",'MAIN DATA, Orders'!$I:$I,"Mine")/1000000000)</f>
        <v>0</v>
      </c>
      <c r="X21" s="15">
        <f>(SUMIFS('MAIN DATA, Orders'!$S:$S,'MAIN DATA, Orders'!$Y:$Y,$A21,'MAIN DATA, Orders'!$D:$D,"Germany",'MAIN DATA, Orders'!$I:$I,"Development - Mine")/1000000000)</f>
        <v>0</v>
      </c>
      <c r="Y21" s="15">
        <f>(SUMIFS('MAIN DATA, Orders'!$S:$S,'MAIN DATA, Orders'!$Y:$Y,$A21,'MAIN DATA, Orders'!$D:$D,"Germany",'MAIN DATA, Orders'!$J:$J,"6")/1000000000)</f>
        <v>0</v>
      </c>
      <c r="Z21" s="15" cm="1">
        <f t="array" ref="Z21">SUM(SUMIFS('MAIN DATA, Orders'!$S:$S,'MAIN DATA, Orders'!$Y:$Y,$A21,'MAIN DATA, Orders'!$D:$D,"Germany",'MAIN DATA, Orders'!$I:$I,{"Development - Missile (Land)","Development - Missile (Naval)","Development - Missile (Air)"})/1000000000)</f>
        <v>0</v>
      </c>
      <c r="AA21" s="15">
        <f>(SUMIFS('MAIN DATA, Orders'!$S:$S,'MAIN DATA, Orders'!$Y:$Y,$A21,'MAIN DATA, Orders'!$D:$D,"Germany",'MAIN DATA, Orders'!$I:$I,"Modernisation")/1000000000)</f>
        <v>0</v>
      </c>
      <c r="AB21" s="15">
        <f>(SUMIFS('MAIN DATA, Orders'!$S:$S,'MAIN DATA, Orders'!$Y:$Y,$A21,'MAIN DATA, Orders'!$D:$D,"Germany",'MAIN DATA, Orders'!$I:$I,"Development - Modernisation")/1000000000)</f>
        <v>0</v>
      </c>
      <c r="AC21" s="15">
        <f>(SUMIFS('MAIN DATA, Orders'!$S:$S,'MAIN DATA, Orders'!$Y:$Y,$A21,'MAIN DATA, Orders'!$D:$D,"Germany",'MAIN DATA, Orders'!$I:$I,"Naval")/1000000000)</f>
        <v>0</v>
      </c>
      <c r="AD21" s="15">
        <f>(SUMIFS('MAIN DATA, Orders'!$S:$S,'MAIN DATA, Orders'!$Y:$Y,$A21,'MAIN DATA, Orders'!$D:$D,"Germany",'MAIN DATA, Orders'!$I:$I,"Development - Naval")/1000000000)</f>
        <v>0</v>
      </c>
      <c r="AE21" s="15">
        <f>(SUMIFS('MAIN DATA, Orders'!$S:$S,'MAIN DATA, Orders'!$Y:$Y,$A21,'MAIN DATA, Orders'!$D:$D,"Germany",'MAIN DATA, Orders'!$I:$I,"Other")/1000000000)</f>
        <v>0</v>
      </c>
      <c r="AF21" s="15">
        <f>(SUMIFS('MAIN DATA, Orders'!$S:$S,'MAIN DATA, Orders'!$Y:$Y,$A21,'MAIN DATA, Orders'!$D:$D,"Germany",'MAIN DATA, Orders'!$I:$I,"Development - Other")/1000000000)</f>
        <v>0</v>
      </c>
      <c r="AG21" s="15"/>
      <c r="AH21" s="15" cm="1">
        <f t="array" ref="AH21">SUM(SUMIFS('MAIN DATA, Orders'!$S:$S,'MAIN DATA, Orders'!$Y:$Y,$A21,'MAIN DATA, Orders'!$D:$D,"Germany",'MAIN DATA, Orders'!$I:$I,{"Missile (Land)","Development - Missile (Land)"})/1000000000)</f>
        <v>0</v>
      </c>
      <c r="AI21" s="15" cm="1">
        <f t="array" ref="AI21">SUM(SUMIFS('MAIN DATA, Orders'!$S:$S,'MAIN DATA, Orders'!$D:$D,"Germany",'MAIN DATA, Orders'!$I:$I,{"Missile (Air)","Development - Missile (Air)"},'MAIN DATA, Orders'!$Y:$Y,$A21)/1000000000)</f>
        <v>0</v>
      </c>
      <c r="AJ21" s="15" cm="1">
        <f t="array" ref="AJ21">SUM(SUMIFS('MAIN DATA, Orders'!$S:$S,'MAIN DATA, Orders'!$Y:$Y,$A21,'MAIN DATA, Orders'!$D:$D,"Germany",'MAIN DATA, Orders'!$I:$I,{"Missile (Naval)","Development - Missile (Naval)"})/1000000000)</f>
        <v>0</v>
      </c>
    </row>
    <row r="22" spans="1:36" x14ac:dyDescent="0.35">
      <c r="A22" s="20">
        <v>202104</v>
      </c>
      <c r="B22" s="17">
        <v>44287</v>
      </c>
      <c r="C22" s="15">
        <f>(SUMIFS('MAIN DATA, Orders'!$S:$S,'MAIN DATA, Orders'!$Y:$Y,$A22,'MAIN DATA, Orders'!$D:$D,"Germany",'MAIN DATA, Orders'!$I:$I,"Air defence system")/1000000000)</f>
        <v>0</v>
      </c>
      <c r="D22" s="15">
        <f>(SUMIFS('MAIN DATA, Orders'!$S:$S,'MAIN DATA, Orders'!$Y:$Y,$A22,'MAIN DATA, Orders'!$D:$D,"Germany",'MAIN DATA, Orders'!$I:$I,"Development - Air defence system")/1000000000)</f>
        <v>0</v>
      </c>
      <c r="E22" s="15">
        <f>(SUMIFS('MAIN DATA, Orders'!$S:$S,'MAIN DATA, Orders'!$Y:$Y,$A22,'MAIN DATA, Orders'!$D:$D,"Germany",'MAIN DATA, Orders'!$I:$I,"Aircraft")/1000000000)</f>
        <v>0.105</v>
      </c>
      <c r="F22" s="15">
        <f>(SUMIFS('MAIN DATA, Orders'!$S:$S,'MAIN DATA, Orders'!$Y:$Y,$A22,'MAIN DATA, Orders'!$D:$D,"Germany",'MAIN DATA, Orders'!$I:$I,"Development - Aircraft")/1000000000)</f>
        <v>0</v>
      </c>
      <c r="G22" s="15">
        <f>(SUMIFS('MAIN DATA, Orders'!$S:$S,'MAIN DATA, Orders'!$Y:$Y,$A22,'MAIN DATA, Orders'!$D:$D,"Germany",'MAIN DATA, Orders'!$I:$I,"Ammunition")/1000000000)</f>
        <v>0</v>
      </c>
      <c r="H22" s="15">
        <f>(SUMIFS('MAIN DATA, Orders'!$S:$S,'MAIN DATA, Orders'!$Y:$Y,$A22,'MAIN DATA, Orders'!$D:$D,"Germany",'MAIN DATA, Orders'!$I:$I,"Development - Ammunition")/1000000000)</f>
        <v>0</v>
      </c>
      <c r="I22" s="15">
        <f>(SUMIFS('MAIN DATA, Orders'!$S:$S,'MAIN DATA, Orders'!$Y:$Y,$A22,'MAIN DATA, Orders'!$D:$D,"Germany",'MAIN DATA, Orders'!$I:$I,"Armoured vehicle")/1000000000)</f>
        <v>0.29499999999999998</v>
      </c>
      <c r="J22" s="15">
        <f>(SUMIFS('MAIN DATA, Orders'!$S:$S,'MAIN DATA, Orders'!$Y:$Y,$A22,'MAIN DATA, Orders'!$D:$D,"Germany",'MAIN DATA, Orders'!$I:$I,"Development - Armoured vehicle")/1000000000)</f>
        <v>0</v>
      </c>
      <c r="K22" s="15">
        <f>(SUMIFS('MAIN DATA, Orders'!$S:$S,'MAIN DATA, Orders'!$Y:$Y,$A22,'MAIN DATA, Orders'!$D:$D,"Germany",'MAIN DATA, Orders'!$I:$I,"Artillery")/1000000000)</f>
        <v>0</v>
      </c>
      <c r="L22" s="15">
        <f>(SUMIFS('MAIN DATA, Orders'!$S:$S,'MAIN DATA, Orders'!$Y:$Y,$A22,'MAIN DATA, Orders'!$D:$D,"Germany",'MAIN DATA, Orders'!$I:$I,"Development - Artillery")/1000000000)</f>
        <v>0</v>
      </c>
      <c r="M22" s="15">
        <f>(SUMIFS('MAIN DATA, Orders'!$S:$S,'MAIN DATA, Orders'!$Y:$Y,$A22,'MAIN DATA, Orders'!$D:$D,"Germany",'MAIN DATA, Orders'!$I:$I,"Drone")/1000000000)</f>
        <v>0</v>
      </c>
      <c r="N22" s="15">
        <f>(SUMIFS('MAIN DATA, Orders'!$S:$S,'MAIN DATA, Orders'!$Y:$Y,$A22,'MAIN DATA, Orders'!$D:$D,"Germany",'MAIN DATA, Orders'!$I:$I,"Development - Drone")/1000000000)</f>
        <v>3.1</v>
      </c>
      <c r="O22" s="15">
        <f>(SUMIFS('MAIN DATA, Orders'!$S:$S,'MAIN DATA, Orders'!$Y:$Y,$A22,'MAIN DATA, Orders'!$D:$D,"Germany",'MAIN DATA, Orders'!$I:$I,"Helicopter")/1000000000)</f>
        <v>6.3E-2</v>
      </c>
      <c r="P22" s="15">
        <f>(SUMIFS('MAIN DATA, Orders'!$S:$S,'MAIN DATA, Orders'!$Y:$Y,$A22,'MAIN DATA, Orders'!$D:$D,"Germany",'MAIN DATA, Orders'!$I:$I,"Development - Helicopter")/1000000000)</f>
        <v>0</v>
      </c>
      <c r="Q22" s="15">
        <f>(SUMIFS('MAIN DATA, Orders'!$S:$S,'MAIN DATA, Orders'!$Y:$Y,$A22,'MAIN DATA, Orders'!$D:$D,"Germany",'MAIN DATA, Orders'!$I:$I,"Infantry")/1000000000)</f>
        <v>0</v>
      </c>
      <c r="R22" s="15">
        <f>(SUMIFS('MAIN DATA, Orders'!$S:$S,'MAIN DATA, Orders'!$Y:$Y,$A22,'MAIN DATA, Orders'!$D:$D,"Germany",'MAIN DATA, Orders'!$I:$I,"Development - Infantry")/1000000000)</f>
        <v>0</v>
      </c>
      <c r="S22" s="15">
        <f>(SUMIFS('MAIN DATA, Orders'!$S:$S,'MAIN DATA, Orders'!$Y:$Y,$A22,'MAIN DATA, Orders'!$D:$D,"Germany",'MAIN DATA, Orders'!$I:$I,"Tank")/1000000000)</f>
        <v>0</v>
      </c>
      <c r="T22" s="15">
        <f>(SUMIFS('MAIN DATA, Orders'!$S:$S,'MAIN DATA, Orders'!$Y:$Y,$A22,'MAIN DATA, Orders'!$D:$D,"Germany",'MAIN DATA, Orders'!$I:$I,"Development - Tank")/1000000000)</f>
        <v>0</v>
      </c>
      <c r="U22" s="15">
        <f>(SUMIFS('MAIN DATA, Orders'!$S:$S,'MAIN DATA, Orders'!$Y:$Y,$A22,'MAIN DATA, Orders'!$D:$D,"Germany",'MAIN DATA, Orders'!$I:$I,"Maintenance")/1000000000)</f>
        <v>0</v>
      </c>
      <c r="V22" s="15">
        <f>(SUMIFS('MAIN DATA, Orders'!$S:$S,'MAIN DATA, Orders'!$Y:$Y,$A22,'MAIN DATA, Orders'!$D:$D,"Germany",'MAIN DATA, Orders'!$I:$I,"Development - Maintenance")/1000000000)</f>
        <v>0</v>
      </c>
      <c r="W22" s="15">
        <f>(SUMIFS('MAIN DATA, Orders'!$S:$S,'MAIN DATA, Orders'!$Y:$Y,$A22,'MAIN DATA, Orders'!$D:$D,"Germany",'MAIN DATA, Orders'!$I:$I,"Mine")/1000000000)</f>
        <v>0</v>
      </c>
      <c r="X22" s="15">
        <f>(SUMIFS('MAIN DATA, Orders'!$S:$S,'MAIN DATA, Orders'!$Y:$Y,$A22,'MAIN DATA, Orders'!$D:$D,"Germany",'MAIN DATA, Orders'!$I:$I,"Development - Mine")/1000000000)</f>
        <v>0</v>
      </c>
      <c r="Y22" s="15">
        <f>(SUMIFS('MAIN DATA, Orders'!$S:$S,'MAIN DATA, Orders'!$Y:$Y,$A22,'MAIN DATA, Orders'!$D:$D,"Germany",'MAIN DATA, Orders'!$J:$J,"6")/1000000000)</f>
        <v>0</v>
      </c>
      <c r="Z22" s="15" cm="1">
        <f t="array" ref="Z22">SUM(SUMIFS('MAIN DATA, Orders'!$S:$S,'MAIN DATA, Orders'!$Y:$Y,$A22,'MAIN DATA, Orders'!$D:$D,"Germany",'MAIN DATA, Orders'!$I:$I,{"Development - Missile (Land)","Development - Missile (Naval)","Development - Missile (Air)"})/1000000000)</f>
        <v>0</v>
      </c>
      <c r="AA22" s="15">
        <f>(SUMIFS('MAIN DATA, Orders'!$S:$S,'MAIN DATA, Orders'!$Y:$Y,$A22,'MAIN DATA, Orders'!$D:$D,"Germany",'MAIN DATA, Orders'!$I:$I,"Modernisation")/1000000000)</f>
        <v>5.8999999999999997E-2</v>
      </c>
      <c r="AB22" s="15">
        <f>(SUMIFS('MAIN DATA, Orders'!$S:$S,'MAIN DATA, Orders'!$Y:$Y,$A22,'MAIN DATA, Orders'!$D:$D,"Germany",'MAIN DATA, Orders'!$I:$I,"Development - Modernisation")/1000000000)</f>
        <v>0</v>
      </c>
      <c r="AC22" s="15">
        <f>(SUMIFS('MAIN DATA, Orders'!$S:$S,'MAIN DATA, Orders'!$Y:$Y,$A22,'MAIN DATA, Orders'!$D:$D,"Germany",'MAIN DATA, Orders'!$I:$I,"Naval")/1000000000)</f>
        <v>7.8E-2</v>
      </c>
      <c r="AD22" s="15">
        <f>(SUMIFS('MAIN DATA, Orders'!$S:$S,'MAIN DATA, Orders'!$Y:$Y,$A22,'MAIN DATA, Orders'!$D:$D,"Germany",'MAIN DATA, Orders'!$I:$I,"Development - Naval")/1000000000)</f>
        <v>0</v>
      </c>
      <c r="AE22" s="15">
        <f>(SUMIFS('MAIN DATA, Orders'!$S:$S,'MAIN DATA, Orders'!$Y:$Y,$A22,'MAIN DATA, Orders'!$D:$D,"Germany",'MAIN DATA, Orders'!$I:$I,"Other")/1000000000)</f>
        <v>0</v>
      </c>
      <c r="AF22" s="15">
        <f>(SUMIFS('MAIN DATA, Orders'!$S:$S,'MAIN DATA, Orders'!$Y:$Y,$A22,'MAIN DATA, Orders'!$D:$D,"Germany",'MAIN DATA, Orders'!$I:$I,"Development - Other")/1000000000)</f>
        <v>0</v>
      </c>
      <c r="AG22" s="15"/>
      <c r="AH22" s="15" cm="1">
        <f t="array" ref="AH22">SUM(SUMIFS('MAIN DATA, Orders'!$S:$S,'MAIN DATA, Orders'!$Y:$Y,$A22,'MAIN DATA, Orders'!$D:$D,"Germany",'MAIN DATA, Orders'!$I:$I,{"Missile (Land)","Development - Missile (Land)"})/1000000000)</f>
        <v>0</v>
      </c>
      <c r="AI22" s="15" cm="1">
        <f t="array" ref="AI22">SUM(SUMIFS('MAIN DATA, Orders'!$S:$S,'MAIN DATA, Orders'!$D:$D,"Germany",'MAIN DATA, Orders'!$I:$I,{"Missile (Air)","Development - Missile (Air)"},'MAIN DATA, Orders'!$Y:$Y,$A22)/1000000000)</f>
        <v>0</v>
      </c>
      <c r="AJ22" s="15" cm="1">
        <f t="array" ref="AJ22">SUM(SUMIFS('MAIN DATA, Orders'!$S:$S,'MAIN DATA, Orders'!$Y:$Y,$A22,'MAIN DATA, Orders'!$D:$D,"Germany",'MAIN DATA, Orders'!$I:$I,{"Missile (Naval)","Development - Missile (Naval)"})/1000000000)</f>
        <v>0</v>
      </c>
    </row>
    <row r="23" spans="1:36" x14ac:dyDescent="0.35">
      <c r="A23" s="20">
        <v>202105</v>
      </c>
      <c r="B23" s="17">
        <v>44317</v>
      </c>
      <c r="C23" s="15">
        <f>(SUMIFS('MAIN DATA, Orders'!$S:$S,'MAIN DATA, Orders'!$Y:$Y,$A23,'MAIN DATA, Orders'!$D:$D,"Germany",'MAIN DATA, Orders'!$I:$I,"Air defence system")/1000000000)</f>
        <v>0</v>
      </c>
      <c r="D23" s="15">
        <f>(SUMIFS('MAIN DATA, Orders'!$S:$S,'MAIN DATA, Orders'!$Y:$Y,$A23,'MAIN DATA, Orders'!$D:$D,"Germany",'MAIN DATA, Orders'!$I:$I,"Development - Air defence system")/1000000000)</f>
        <v>0</v>
      </c>
      <c r="E23" s="15">
        <f>(SUMIFS('MAIN DATA, Orders'!$S:$S,'MAIN DATA, Orders'!$Y:$Y,$A23,'MAIN DATA, Orders'!$D:$D,"Germany",'MAIN DATA, Orders'!$I:$I,"Aircraft")/1000000000)</f>
        <v>0</v>
      </c>
      <c r="F23" s="15">
        <f>(SUMIFS('MAIN DATA, Orders'!$S:$S,'MAIN DATA, Orders'!$Y:$Y,$A23,'MAIN DATA, Orders'!$D:$D,"Germany",'MAIN DATA, Orders'!$I:$I,"Development - Aircraft")/1000000000)</f>
        <v>0</v>
      </c>
      <c r="G23" s="15">
        <f>(SUMIFS('MAIN DATA, Orders'!$S:$S,'MAIN DATA, Orders'!$Y:$Y,$A23,'MAIN DATA, Orders'!$D:$D,"Germany",'MAIN DATA, Orders'!$I:$I,"Ammunition")/1000000000)</f>
        <v>0</v>
      </c>
      <c r="H23" s="15">
        <f>(SUMIFS('MAIN DATA, Orders'!$S:$S,'MAIN DATA, Orders'!$Y:$Y,$A23,'MAIN DATA, Orders'!$D:$D,"Germany",'MAIN DATA, Orders'!$I:$I,"Development - Ammunition")/1000000000)</f>
        <v>0</v>
      </c>
      <c r="I23" s="15">
        <f>(SUMIFS('MAIN DATA, Orders'!$S:$S,'MAIN DATA, Orders'!$Y:$Y,$A23,'MAIN DATA, Orders'!$D:$D,"Germany",'MAIN DATA, Orders'!$I:$I,"Armoured vehicle")/1000000000)</f>
        <v>0</v>
      </c>
      <c r="J23" s="15">
        <f>(SUMIFS('MAIN DATA, Orders'!$S:$S,'MAIN DATA, Orders'!$Y:$Y,$A23,'MAIN DATA, Orders'!$D:$D,"Germany",'MAIN DATA, Orders'!$I:$I,"Development - Armoured vehicle")/1000000000)</f>
        <v>0</v>
      </c>
      <c r="K23" s="15">
        <f>(SUMIFS('MAIN DATA, Orders'!$S:$S,'MAIN DATA, Orders'!$Y:$Y,$A23,'MAIN DATA, Orders'!$D:$D,"Germany",'MAIN DATA, Orders'!$I:$I,"Artillery")/1000000000)</f>
        <v>0</v>
      </c>
      <c r="L23" s="15">
        <f>(SUMIFS('MAIN DATA, Orders'!$S:$S,'MAIN DATA, Orders'!$Y:$Y,$A23,'MAIN DATA, Orders'!$D:$D,"Germany",'MAIN DATA, Orders'!$I:$I,"Development - Artillery")/1000000000)</f>
        <v>0</v>
      </c>
      <c r="M23" s="15">
        <f>(SUMIFS('MAIN DATA, Orders'!$S:$S,'MAIN DATA, Orders'!$Y:$Y,$A23,'MAIN DATA, Orders'!$D:$D,"Germany",'MAIN DATA, Orders'!$I:$I,"Drone")/1000000000)</f>
        <v>0</v>
      </c>
      <c r="N23" s="15">
        <f>(SUMIFS('MAIN DATA, Orders'!$S:$S,'MAIN DATA, Orders'!$Y:$Y,$A23,'MAIN DATA, Orders'!$D:$D,"Germany",'MAIN DATA, Orders'!$I:$I,"Development - Drone")/1000000000)</f>
        <v>0</v>
      </c>
      <c r="O23" s="15">
        <f>(SUMIFS('MAIN DATA, Orders'!$S:$S,'MAIN DATA, Orders'!$Y:$Y,$A23,'MAIN DATA, Orders'!$D:$D,"Germany",'MAIN DATA, Orders'!$I:$I,"Helicopter")/1000000000)</f>
        <v>0</v>
      </c>
      <c r="P23" s="15">
        <f>(SUMIFS('MAIN DATA, Orders'!$S:$S,'MAIN DATA, Orders'!$Y:$Y,$A23,'MAIN DATA, Orders'!$D:$D,"Germany",'MAIN DATA, Orders'!$I:$I,"Development - Helicopter")/1000000000)</f>
        <v>0</v>
      </c>
      <c r="Q23" s="15">
        <f>(SUMIFS('MAIN DATA, Orders'!$S:$S,'MAIN DATA, Orders'!$Y:$Y,$A23,'MAIN DATA, Orders'!$D:$D,"Germany",'MAIN DATA, Orders'!$I:$I,"Infantry")/1000000000)</f>
        <v>0</v>
      </c>
      <c r="R23" s="15">
        <f>(SUMIFS('MAIN DATA, Orders'!$S:$S,'MAIN DATA, Orders'!$Y:$Y,$A23,'MAIN DATA, Orders'!$D:$D,"Germany",'MAIN DATA, Orders'!$I:$I,"Development - Infantry")/1000000000)</f>
        <v>0</v>
      </c>
      <c r="S23" s="15">
        <f>(SUMIFS('MAIN DATA, Orders'!$S:$S,'MAIN DATA, Orders'!$Y:$Y,$A23,'MAIN DATA, Orders'!$D:$D,"Germany",'MAIN DATA, Orders'!$I:$I,"Tank")/1000000000)</f>
        <v>0</v>
      </c>
      <c r="T23" s="15">
        <f>(SUMIFS('MAIN DATA, Orders'!$S:$S,'MAIN DATA, Orders'!$Y:$Y,$A23,'MAIN DATA, Orders'!$D:$D,"Germany",'MAIN DATA, Orders'!$I:$I,"Development - Tank")/1000000000)</f>
        <v>0</v>
      </c>
      <c r="U23" s="15">
        <f>(SUMIFS('MAIN DATA, Orders'!$S:$S,'MAIN DATA, Orders'!$Y:$Y,$A23,'MAIN DATA, Orders'!$D:$D,"Germany",'MAIN DATA, Orders'!$I:$I,"Maintenance")/1000000000)</f>
        <v>4.2000000000000003E-2</v>
      </c>
      <c r="V23" s="15">
        <f>(SUMIFS('MAIN DATA, Orders'!$S:$S,'MAIN DATA, Orders'!$Y:$Y,$A23,'MAIN DATA, Orders'!$D:$D,"Germany",'MAIN DATA, Orders'!$I:$I,"Development - Maintenance")/1000000000)</f>
        <v>0</v>
      </c>
      <c r="W23" s="15">
        <f>(SUMIFS('MAIN DATA, Orders'!$S:$S,'MAIN DATA, Orders'!$Y:$Y,$A23,'MAIN DATA, Orders'!$D:$D,"Germany",'MAIN DATA, Orders'!$I:$I,"Mine")/1000000000)</f>
        <v>0</v>
      </c>
      <c r="X23" s="15">
        <f>(SUMIFS('MAIN DATA, Orders'!$S:$S,'MAIN DATA, Orders'!$Y:$Y,$A23,'MAIN DATA, Orders'!$D:$D,"Germany",'MAIN DATA, Orders'!$I:$I,"Development - Mine")/1000000000)</f>
        <v>0</v>
      </c>
      <c r="Y23" s="15">
        <f>(SUMIFS('MAIN DATA, Orders'!$S:$S,'MAIN DATA, Orders'!$Y:$Y,$A23,'MAIN DATA, Orders'!$D:$D,"Germany",'MAIN DATA, Orders'!$J:$J,"6")/1000000000)</f>
        <v>0</v>
      </c>
      <c r="Z23" s="15" cm="1">
        <f t="array" ref="Z23">SUM(SUMIFS('MAIN DATA, Orders'!$S:$S,'MAIN DATA, Orders'!$Y:$Y,$A23,'MAIN DATA, Orders'!$D:$D,"Germany",'MAIN DATA, Orders'!$I:$I,{"Development - Missile (Land)","Development - Missile (Naval)","Development - Missile (Air)"})/1000000000)</f>
        <v>0</v>
      </c>
      <c r="AA23" s="15">
        <f>(SUMIFS('MAIN DATA, Orders'!$S:$S,'MAIN DATA, Orders'!$Y:$Y,$A23,'MAIN DATA, Orders'!$D:$D,"Germany",'MAIN DATA, Orders'!$I:$I,"Modernisation")/1000000000)</f>
        <v>2.331</v>
      </c>
      <c r="AB23" s="15">
        <f>(SUMIFS('MAIN DATA, Orders'!$S:$S,'MAIN DATA, Orders'!$Y:$Y,$A23,'MAIN DATA, Orders'!$D:$D,"Germany",'MAIN DATA, Orders'!$I:$I,"Development - Modernisation")/1000000000)</f>
        <v>0</v>
      </c>
      <c r="AC23" s="15">
        <f>(SUMIFS('MAIN DATA, Orders'!$S:$S,'MAIN DATA, Orders'!$Y:$Y,$A23,'MAIN DATA, Orders'!$D:$D,"Germany",'MAIN DATA, Orders'!$I:$I,"Naval")/1000000000)</f>
        <v>0</v>
      </c>
      <c r="AD23" s="15">
        <f>(SUMIFS('MAIN DATA, Orders'!$S:$S,'MAIN DATA, Orders'!$Y:$Y,$A23,'MAIN DATA, Orders'!$D:$D,"Germany",'MAIN DATA, Orders'!$I:$I,"Development - Naval")/1000000000)</f>
        <v>0</v>
      </c>
      <c r="AE23" s="15">
        <f>(SUMIFS('MAIN DATA, Orders'!$S:$S,'MAIN DATA, Orders'!$Y:$Y,$A23,'MAIN DATA, Orders'!$D:$D,"Germany",'MAIN DATA, Orders'!$I:$I,"Other")/1000000000)</f>
        <v>2.9000000000000001E-2</v>
      </c>
      <c r="AF23" s="15">
        <f>(SUMIFS('MAIN DATA, Orders'!$S:$S,'MAIN DATA, Orders'!$Y:$Y,$A23,'MAIN DATA, Orders'!$D:$D,"Germany",'MAIN DATA, Orders'!$I:$I,"Development - Other")/1000000000)</f>
        <v>0</v>
      </c>
      <c r="AG23" s="15"/>
      <c r="AH23" s="15" cm="1">
        <f t="array" ref="AH23">SUM(SUMIFS('MAIN DATA, Orders'!$S:$S,'MAIN DATA, Orders'!$Y:$Y,$A23,'MAIN DATA, Orders'!$D:$D,"Germany",'MAIN DATA, Orders'!$I:$I,{"Missile (Land)","Development - Missile (Land)"})/1000000000)</f>
        <v>0</v>
      </c>
      <c r="AI23" s="15" cm="1">
        <f t="array" ref="AI23">SUM(SUMIFS('MAIN DATA, Orders'!$S:$S,'MAIN DATA, Orders'!$D:$D,"Germany",'MAIN DATA, Orders'!$I:$I,{"Missile (Air)","Development - Missile (Air)"},'MAIN DATA, Orders'!$Y:$Y,$A23)/1000000000)</f>
        <v>0</v>
      </c>
      <c r="AJ23" s="15" cm="1">
        <f t="array" ref="AJ23">SUM(SUMIFS('MAIN DATA, Orders'!$S:$S,'MAIN DATA, Orders'!$Y:$Y,$A23,'MAIN DATA, Orders'!$D:$D,"Germany",'MAIN DATA, Orders'!$I:$I,{"Missile (Naval)","Development - Missile (Naval)"})/1000000000)</f>
        <v>0</v>
      </c>
    </row>
    <row r="24" spans="1:36" x14ac:dyDescent="0.35">
      <c r="A24" s="20">
        <v>202106</v>
      </c>
      <c r="B24" s="17">
        <v>44348</v>
      </c>
      <c r="C24" s="15">
        <f>(SUMIFS('MAIN DATA, Orders'!$S:$S,'MAIN DATA, Orders'!$Y:$Y,$A24,'MAIN DATA, Orders'!$D:$D,"Germany",'MAIN DATA, Orders'!$I:$I,"Air defence system")/1000000000)</f>
        <v>0</v>
      </c>
      <c r="D24" s="15">
        <f>(SUMIFS('MAIN DATA, Orders'!$S:$S,'MAIN DATA, Orders'!$Y:$Y,$A24,'MAIN DATA, Orders'!$D:$D,"Germany",'MAIN DATA, Orders'!$I:$I,"Development - Air defence system")/1000000000)</f>
        <v>0</v>
      </c>
      <c r="E24" s="15">
        <f>(SUMIFS('MAIN DATA, Orders'!$S:$S,'MAIN DATA, Orders'!$Y:$Y,$A24,'MAIN DATA, Orders'!$D:$D,"Germany",'MAIN DATA, Orders'!$I:$I,"Aircraft")/1000000000)</f>
        <v>1.8129999999999999</v>
      </c>
      <c r="F24" s="15">
        <f>(SUMIFS('MAIN DATA, Orders'!$S:$S,'MAIN DATA, Orders'!$Y:$Y,$A24,'MAIN DATA, Orders'!$D:$D,"Germany",'MAIN DATA, Orders'!$I:$I,"Development - Aircraft")/1000000000)</f>
        <v>4.4000000000000004</v>
      </c>
      <c r="G24" s="15">
        <f>(SUMIFS('MAIN DATA, Orders'!$S:$S,'MAIN DATA, Orders'!$Y:$Y,$A24,'MAIN DATA, Orders'!$D:$D,"Germany",'MAIN DATA, Orders'!$I:$I,"Ammunition")/1000000000)</f>
        <v>5.1999999999999998E-2</v>
      </c>
      <c r="H24" s="15">
        <f>(SUMIFS('MAIN DATA, Orders'!$S:$S,'MAIN DATA, Orders'!$Y:$Y,$A24,'MAIN DATA, Orders'!$D:$D,"Germany",'MAIN DATA, Orders'!$I:$I,"Development - Ammunition")/1000000000)</f>
        <v>0</v>
      </c>
      <c r="I24" s="15">
        <f>(SUMIFS('MAIN DATA, Orders'!$S:$S,'MAIN DATA, Orders'!$Y:$Y,$A24,'MAIN DATA, Orders'!$D:$D,"Germany",'MAIN DATA, Orders'!$I:$I,"Armoured vehicle")/1000000000)</f>
        <v>1.079</v>
      </c>
      <c r="J24" s="15">
        <f>(SUMIFS('MAIN DATA, Orders'!$S:$S,'MAIN DATA, Orders'!$Y:$Y,$A24,'MAIN DATA, Orders'!$D:$D,"Germany",'MAIN DATA, Orders'!$I:$I,"Development - Armoured vehicle")/1000000000)</f>
        <v>7.0000000000000007E-2</v>
      </c>
      <c r="K24" s="15">
        <f>(SUMIFS('MAIN DATA, Orders'!$S:$S,'MAIN DATA, Orders'!$Y:$Y,$A24,'MAIN DATA, Orders'!$D:$D,"Germany",'MAIN DATA, Orders'!$I:$I,"Artillery")/1000000000)</f>
        <v>0</v>
      </c>
      <c r="L24" s="15">
        <f>(SUMIFS('MAIN DATA, Orders'!$S:$S,'MAIN DATA, Orders'!$Y:$Y,$A24,'MAIN DATA, Orders'!$D:$D,"Germany",'MAIN DATA, Orders'!$I:$I,"Development - Artillery")/1000000000)</f>
        <v>0</v>
      </c>
      <c r="M24" s="15">
        <f>(SUMIFS('MAIN DATA, Orders'!$S:$S,'MAIN DATA, Orders'!$Y:$Y,$A24,'MAIN DATA, Orders'!$D:$D,"Germany",'MAIN DATA, Orders'!$I:$I,"Drone")/1000000000)</f>
        <v>0</v>
      </c>
      <c r="N24" s="15">
        <f>(SUMIFS('MAIN DATA, Orders'!$S:$S,'MAIN DATA, Orders'!$Y:$Y,$A24,'MAIN DATA, Orders'!$D:$D,"Germany",'MAIN DATA, Orders'!$I:$I,"Development - Drone")/1000000000)</f>
        <v>0</v>
      </c>
      <c r="O24" s="15">
        <f>(SUMIFS('MAIN DATA, Orders'!$S:$S,'MAIN DATA, Orders'!$Y:$Y,$A24,'MAIN DATA, Orders'!$D:$D,"Germany",'MAIN DATA, Orders'!$I:$I,"Helicopter")/1000000000)</f>
        <v>0.11600000000000001</v>
      </c>
      <c r="P24" s="15">
        <f>(SUMIFS('MAIN DATA, Orders'!$S:$S,'MAIN DATA, Orders'!$Y:$Y,$A24,'MAIN DATA, Orders'!$D:$D,"Germany",'MAIN DATA, Orders'!$I:$I,"Development - Helicopter")/1000000000)</f>
        <v>0</v>
      </c>
      <c r="Q24" s="15">
        <f>(SUMIFS('MAIN DATA, Orders'!$S:$S,'MAIN DATA, Orders'!$Y:$Y,$A24,'MAIN DATA, Orders'!$D:$D,"Germany",'MAIN DATA, Orders'!$I:$I,"Infantry")/1000000000)</f>
        <v>3.0000000000000001E-3</v>
      </c>
      <c r="R24" s="15">
        <f>(SUMIFS('MAIN DATA, Orders'!$S:$S,'MAIN DATA, Orders'!$Y:$Y,$A24,'MAIN DATA, Orders'!$D:$D,"Germany",'MAIN DATA, Orders'!$I:$I,"Development - Infantry")/1000000000)</f>
        <v>0</v>
      </c>
      <c r="S24" s="15">
        <f>(SUMIFS('MAIN DATA, Orders'!$S:$S,'MAIN DATA, Orders'!$Y:$Y,$A24,'MAIN DATA, Orders'!$D:$D,"Germany",'MAIN DATA, Orders'!$I:$I,"Tank")/1000000000)</f>
        <v>0</v>
      </c>
      <c r="T24" s="15">
        <f>(SUMIFS('MAIN DATA, Orders'!$S:$S,'MAIN DATA, Orders'!$Y:$Y,$A24,'MAIN DATA, Orders'!$D:$D,"Germany",'MAIN DATA, Orders'!$I:$I,"Development - Tank")/1000000000)</f>
        <v>0</v>
      </c>
      <c r="U24" s="15">
        <f>(SUMIFS('MAIN DATA, Orders'!$S:$S,'MAIN DATA, Orders'!$Y:$Y,$A24,'MAIN DATA, Orders'!$D:$D,"Germany",'MAIN DATA, Orders'!$I:$I,"Maintenance")/1000000000)</f>
        <v>0</v>
      </c>
      <c r="V24" s="15">
        <f>(SUMIFS('MAIN DATA, Orders'!$S:$S,'MAIN DATA, Orders'!$Y:$Y,$A24,'MAIN DATA, Orders'!$D:$D,"Germany",'MAIN DATA, Orders'!$I:$I,"Development - Maintenance")/1000000000)</f>
        <v>0</v>
      </c>
      <c r="W24" s="15">
        <f>(SUMIFS('MAIN DATA, Orders'!$S:$S,'MAIN DATA, Orders'!$Y:$Y,$A24,'MAIN DATA, Orders'!$D:$D,"Germany",'MAIN DATA, Orders'!$I:$I,"Mine")/1000000000)</f>
        <v>0</v>
      </c>
      <c r="X24" s="15">
        <f>(SUMIFS('MAIN DATA, Orders'!$S:$S,'MAIN DATA, Orders'!$Y:$Y,$A24,'MAIN DATA, Orders'!$D:$D,"Germany",'MAIN DATA, Orders'!$I:$I,"Development - Mine")/1000000000)</f>
        <v>0</v>
      </c>
      <c r="Y24" s="15">
        <f>(SUMIFS('MAIN DATA, Orders'!$S:$S,'MAIN DATA, Orders'!$Y:$Y,$A24,'MAIN DATA, Orders'!$D:$D,"Germany",'MAIN DATA, Orders'!$J:$J,"6")/1000000000)</f>
        <v>0.42499999999999999</v>
      </c>
      <c r="Z24" s="15" cm="1">
        <f t="array" ref="Z24">SUM(SUMIFS('MAIN DATA, Orders'!$S:$S,'MAIN DATA, Orders'!$Y:$Y,$A24,'MAIN DATA, Orders'!$D:$D,"Germany",'MAIN DATA, Orders'!$I:$I,{"Development - Missile (Land)","Development - Missile (Naval)","Development - Missile (Air)"})/1000000000)</f>
        <v>0</v>
      </c>
      <c r="AA24" s="15">
        <f>(SUMIFS('MAIN DATA, Orders'!$S:$S,'MAIN DATA, Orders'!$Y:$Y,$A24,'MAIN DATA, Orders'!$D:$D,"Germany",'MAIN DATA, Orders'!$I:$I,"Modernisation")/1000000000)</f>
        <v>0.874</v>
      </c>
      <c r="AB24" s="15">
        <f>(SUMIFS('MAIN DATA, Orders'!$S:$S,'MAIN DATA, Orders'!$Y:$Y,$A24,'MAIN DATA, Orders'!$D:$D,"Germany",'MAIN DATA, Orders'!$I:$I,"Development - Modernisation")/1000000000)</f>
        <v>0</v>
      </c>
      <c r="AC24" s="15">
        <f>(SUMIFS('MAIN DATA, Orders'!$S:$S,'MAIN DATA, Orders'!$Y:$Y,$A24,'MAIN DATA, Orders'!$D:$D,"Germany",'MAIN DATA, Orders'!$I:$I,"Naval")/1000000000)</f>
        <v>7.0468780000000004</v>
      </c>
      <c r="AD24" s="15">
        <f>(SUMIFS('MAIN DATA, Orders'!$S:$S,'MAIN DATA, Orders'!$Y:$Y,$A24,'MAIN DATA, Orders'!$D:$D,"Germany",'MAIN DATA, Orders'!$I:$I,"Development - Naval")/1000000000)</f>
        <v>0</v>
      </c>
      <c r="AE24" s="15">
        <f>(SUMIFS('MAIN DATA, Orders'!$S:$S,'MAIN DATA, Orders'!$Y:$Y,$A24,'MAIN DATA, Orders'!$D:$D,"Germany",'MAIN DATA, Orders'!$I:$I,"Other")/1000000000)</f>
        <v>0.26800000000000002</v>
      </c>
      <c r="AF24" s="15">
        <f>(SUMIFS('MAIN DATA, Orders'!$S:$S,'MAIN DATA, Orders'!$Y:$Y,$A24,'MAIN DATA, Orders'!$D:$D,"Germany",'MAIN DATA, Orders'!$I:$I,"Development - Other")/1000000000)</f>
        <v>0</v>
      </c>
      <c r="AG24" s="15"/>
      <c r="AH24" s="15" cm="1">
        <f t="array" ref="AH24">SUM(SUMIFS('MAIN DATA, Orders'!$S:$S,'MAIN DATA, Orders'!$Y:$Y,$A24,'MAIN DATA, Orders'!$D:$D,"Germany",'MAIN DATA, Orders'!$I:$I,{"Missile (Land)","Development - Missile (Land)"})/1000000000)</f>
        <v>0</v>
      </c>
      <c r="AI24" s="15" cm="1">
        <f t="array" ref="AI24">SUM(SUMIFS('MAIN DATA, Orders'!$S:$S,'MAIN DATA, Orders'!$D:$D,"Germany",'MAIN DATA, Orders'!$I:$I,{"Missile (Air)","Development - Missile (Air)"},'MAIN DATA, Orders'!$Y:$Y,$A24)/1000000000)</f>
        <v>0</v>
      </c>
      <c r="AJ24" s="15" cm="1">
        <f t="array" ref="AJ24">SUM(SUMIFS('MAIN DATA, Orders'!$S:$S,'MAIN DATA, Orders'!$Y:$Y,$A24,'MAIN DATA, Orders'!$D:$D,"Germany",'MAIN DATA, Orders'!$I:$I,{"Missile (Naval)","Development - Missile (Naval)"})/1000000000)</f>
        <v>0.42499999999999999</v>
      </c>
    </row>
    <row r="25" spans="1:36" x14ac:dyDescent="0.35">
      <c r="A25" s="20">
        <v>202107</v>
      </c>
      <c r="B25" s="17">
        <v>44378</v>
      </c>
      <c r="C25" s="15">
        <f>(SUMIFS('MAIN DATA, Orders'!$S:$S,'MAIN DATA, Orders'!$Y:$Y,$A25,'MAIN DATA, Orders'!$D:$D,"Germany",'MAIN DATA, Orders'!$I:$I,"Air defence system")/1000000000)</f>
        <v>0</v>
      </c>
      <c r="D25" s="15">
        <f>(SUMIFS('MAIN DATA, Orders'!$S:$S,'MAIN DATA, Orders'!$Y:$Y,$A25,'MAIN DATA, Orders'!$D:$D,"Germany",'MAIN DATA, Orders'!$I:$I,"Development - Air defence system")/1000000000)</f>
        <v>0</v>
      </c>
      <c r="E25" s="15">
        <f>(SUMIFS('MAIN DATA, Orders'!$S:$S,'MAIN DATA, Orders'!$Y:$Y,$A25,'MAIN DATA, Orders'!$D:$D,"Germany",'MAIN DATA, Orders'!$I:$I,"Aircraft")/1000000000)</f>
        <v>0</v>
      </c>
      <c r="F25" s="15">
        <f>(SUMIFS('MAIN DATA, Orders'!$S:$S,'MAIN DATA, Orders'!$Y:$Y,$A25,'MAIN DATA, Orders'!$D:$D,"Germany",'MAIN DATA, Orders'!$I:$I,"Development - Aircraft")/1000000000)</f>
        <v>0</v>
      </c>
      <c r="G25" s="15">
        <f>(SUMIFS('MAIN DATA, Orders'!$S:$S,'MAIN DATA, Orders'!$Y:$Y,$A25,'MAIN DATA, Orders'!$D:$D,"Germany",'MAIN DATA, Orders'!$I:$I,"Ammunition")/1000000000)</f>
        <v>0</v>
      </c>
      <c r="H25" s="15">
        <f>(SUMIFS('MAIN DATA, Orders'!$S:$S,'MAIN DATA, Orders'!$Y:$Y,$A25,'MAIN DATA, Orders'!$D:$D,"Germany",'MAIN DATA, Orders'!$I:$I,"Development - Ammunition")/1000000000)</f>
        <v>0</v>
      </c>
      <c r="I25" s="15">
        <f>(SUMIFS('MAIN DATA, Orders'!$S:$S,'MAIN DATA, Orders'!$Y:$Y,$A25,'MAIN DATA, Orders'!$D:$D,"Germany",'MAIN DATA, Orders'!$I:$I,"Armoured vehicle")/1000000000)</f>
        <v>0</v>
      </c>
      <c r="J25" s="15">
        <f>(SUMIFS('MAIN DATA, Orders'!$S:$S,'MAIN DATA, Orders'!$Y:$Y,$A25,'MAIN DATA, Orders'!$D:$D,"Germany",'MAIN DATA, Orders'!$I:$I,"Development - Armoured vehicle")/1000000000)</f>
        <v>0</v>
      </c>
      <c r="K25" s="15">
        <f>(SUMIFS('MAIN DATA, Orders'!$S:$S,'MAIN DATA, Orders'!$Y:$Y,$A25,'MAIN DATA, Orders'!$D:$D,"Germany",'MAIN DATA, Orders'!$I:$I,"Artillery")/1000000000)</f>
        <v>0</v>
      </c>
      <c r="L25" s="15">
        <f>(SUMIFS('MAIN DATA, Orders'!$S:$S,'MAIN DATA, Orders'!$Y:$Y,$A25,'MAIN DATA, Orders'!$D:$D,"Germany",'MAIN DATA, Orders'!$I:$I,"Development - Artillery")/1000000000)</f>
        <v>0</v>
      </c>
      <c r="M25" s="15">
        <f>(SUMIFS('MAIN DATA, Orders'!$S:$S,'MAIN DATA, Orders'!$Y:$Y,$A25,'MAIN DATA, Orders'!$D:$D,"Germany",'MAIN DATA, Orders'!$I:$I,"Drone")/1000000000)</f>
        <v>0</v>
      </c>
      <c r="N25" s="15">
        <f>(SUMIFS('MAIN DATA, Orders'!$S:$S,'MAIN DATA, Orders'!$Y:$Y,$A25,'MAIN DATA, Orders'!$D:$D,"Germany",'MAIN DATA, Orders'!$I:$I,"Development - Drone")/1000000000)</f>
        <v>0</v>
      </c>
      <c r="O25" s="15">
        <f>(SUMIFS('MAIN DATA, Orders'!$S:$S,'MAIN DATA, Orders'!$Y:$Y,$A25,'MAIN DATA, Orders'!$D:$D,"Germany",'MAIN DATA, Orders'!$I:$I,"Helicopter")/1000000000)</f>
        <v>0</v>
      </c>
      <c r="P25" s="15">
        <f>(SUMIFS('MAIN DATA, Orders'!$S:$S,'MAIN DATA, Orders'!$Y:$Y,$A25,'MAIN DATA, Orders'!$D:$D,"Germany",'MAIN DATA, Orders'!$I:$I,"Development - Helicopter")/1000000000)</f>
        <v>0</v>
      </c>
      <c r="Q25" s="15">
        <f>(SUMIFS('MAIN DATA, Orders'!$S:$S,'MAIN DATA, Orders'!$Y:$Y,$A25,'MAIN DATA, Orders'!$D:$D,"Germany",'MAIN DATA, Orders'!$I:$I,"Infantry")/1000000000)</f>
        <v>0</v>
      </c>
      <c r="R25" s="15">
        <f>(SUMIFS('MAIN DATA, Orders'!$S:$S,'MAIN DATA, Orders'!$Y:$Y,$A25,'MAIN DATA, Orders'!$D:$D,"Germany",'MAIN DATA, Orders'!$I:$I,"Development - Infantry")/1000000000)</f>
        <v>0</v>
      </c>
      <c r="S25" s="15">
        <f>(SUMIFS('MAIN DATA, Orders'!$S:$S,'MAIN DATA, Orders'!$Y:$Y,$A25,'MAIN DATA, Orders'!$D:$D,"Germany",'MAIN DATA, Orders'!$I:$I,"Tank")/1000000000)</f>
        <v>0</v>
      </c>
      <c r="T25" s="15">
        <f>(SUMIFS('MAIN DATA, Orders'!$S:$S,'MAIN DATA, Orders'!$Y:$Y,$A25,'MAIN DATA, Orders'!$D:$D,"Germany",'MAIN DATA, Orders'!$I:$I,"Development - Tank")/1000000000)</f>
        <v>0</v>
      </c>
      <c r="U25" s="15">
        <f>(SUMIFS('MAIN DATA, Orders'!$S:$S,'MAIN DATA, Orders'!$Y:$Y,$A25,'MAIN DATA, Orders'!$D:$D,"Germany",'MAIN DATA, Orders'!$I:$I,"Maintenance")/1000000000)</f>
        <v>0</v>
      </c>
      <c r="V25" s="15">
        <f>(SUMIFS('MAIN DATA, Orders'!$S:$S,'MAIN DATA, Orders'!$Y:$Y,$A25,'MAIN DATA, Orders'!$D:$D,"Germany",'MAIN DATA, Orders'!$I:$I,"Development - Maintenance")/1000000000)</f>
        <v>0</v>
      </c>
      <c r="W25" s="15">
        <f>(SUMIFS('MAIN DATA, Orders'!$S:$S,'MAIN DATA, Orders'!$Y:$Y,$A25,'MAIN DATA, Orders'!$D:$D,"Germany",'MAIN DATA, Orders'!$I:$I,"Mine")/1000000000)</f>
        <v>0</v>
      </c>
      <c r="X25" s="15">
        <f>(SUMIFS('MAIN DATA, Orders'!$S:$S,'MAIN DATA, Orders'!$Y:$Y,$A25,'MAIN DATA, Orders'!$D:$D,"Germany",'MAIN DATA, Orders'!$I:$I,"Development - Mine")/1000000000)</f>
        <v>0</v>
      </c>
      <c r="Y25" s="15">
        <f>(SUMIFS('MAIN DATA, Orders'!$S:$S,'MAIN DATA, Orders'!$Y:$Y,$A25,'MAIN DATA, Orders'!$D:$D,"Germany",'MAIN DATA, Orders'!$J:$J,"6")/1000000000)</f>
        <v>0</v>
      </c>
      <c r="Z25" s="15" cm="1">
        <f t="array" ref="Z25">SUM(SUMIFS('MAIN DATA, Orders'!$S:$S,'MAIN DATA, Orders'!$Y:$Y,$A25,'MAIN DATA, Orders'!$D:$D,"Germany",'MAIN DATA, Orders'!$I:$I,{"Development - Missile (Land)","Development - Missile (Naval)","Development - Missile (Air)"})/1000000000)</f>
        <v>0</v>
      </c>
      <c r="AA25" s="15">
        <f>(SUMIFS('MAIN DATA, Orders'!$S:$S,'MAIN DATA, Orders'!$Y:$Y,$A25,'MAIN DATA, Orders'!$D:$D,"Germany",'MAIN DATA, Orders'!$I:$I,"Modernisation")/1000000000)</f>
        <v>0</v>
      </c>
      <c r="AB25" s="15">
        <f>(SUMIFS('MAIN DATA, Orders'!$S:$S,'MAIN DATA, Orders'!$Y:$Y,$A25,'MAIN DATA, Orders'!$D:$D,"Germany",'MAIN DATA, Orders'!$I:$I,"Development - Modernisation")/1000000000)</f>
        <v>0</v>
      </c>
      <c r="AC25" s="15">
        <f>(SUMIFS('MAIN DATA, Orders'!$S:$S,'MAIN DATA, Orders'!$Y:$Y,$A25,'MAIN DATA, Orders'!$D:$D,"Germany",'MAIN DATA, Orders'!$I:$I,"Naval")/1000000000)</f>
        <v>0</v>
      </c>
      <c r="AD25" s="15">
        <f>(SUMIFS('MAIN DATA, Orders'!$S:$S,'MAIN DATA, Orders'!$Y:$Y,$A25,'MAIN DATA, Orders'!$D:$D,"Germany",'MAIN DATA, Orders'!$I:$I,"Development - Naval")/1000000000)</f>
        <v>0</v>
      </c>
      <c r="AE25" s="15">
        <f>(SUMIFS('MAIN DATA, Orders'!$S:$S,'MAIN DATA, Orders'!$Y:$Y,$A25,'MAIN DATA, Orders'!$D:$D,"Germany",'MAIN DATA, Orders'!$I:$I,"Other")/1000000000)</f>
        <v>0</v>
      </c>
      <c r="AF25" s="15">
        <f>(SUMIFS('MAIN DATA, Orders'!$S:$S,'MAIN DATA, Orders'!$Y:$Y,$A25,'MAIN DATA, Orders'!$D:$D,"Germany",'MAIN DATA, Orders'!$I:$I,"Development - Other")/1000000000)</f>
        <v>0</v>
      </c>
      <c r="AG25" s="15"/>
      <c r="AH25" s="15" cm="1">
        <f t="array" ref="AH25">SUM(SUMIFS('MAIN DATA, Orders'!$S:$S,'MAIN DATA, Orders'!$Y:$Y,$A25,'MAIN DATA, Orders'!$D:$D,"Germany",'MAIN DATA, Orders'!$I:$I,{"Missile (Land)","Development - Missile (Land)"})/1000000000)</f>
        <v>0</v>
      </c>
      <c r="AI25" s="15" cm="1">
        <f t="array" ref="AI25">SUM(SUMIFS('MAIN DATA, Orders'!$S:$S,'MAIN DATA, Orders'!$D:$D,"Germany",'MAIN DATA, Orders'!$I:$I,{"Missile (Air)","Development - Missile (Air)"},'MAIN DATA, Orders'!$Y:$Y,$A25)/1000000000)</f>
        <v>0</v>
      </c>
      <c r="AJ25" s="15" cm="1">
        <f t="array" ref="AJ25">SUM(SUMIFS('MAIN DATA, Orders'!$S:$S,'MAIN DATA, Orders'!$Y:$Y,$A25,'MAIN DATA, Orders'!$D:$D,"Germany",'MAIN DATA, Orders'!$I:$I,{"Missile (Naval)","Development - Missile (Naval)"})/1000000000)</f>
        <v>0</v>
      </c>
    </row>
    <row r="26" spans="1:36" x14ac:dyDescent="0.35">
      <c r="A26" s="20">
        <v>202108</v>
      </c>
      <c r="B26" s="17">
        <v>44409</v>
      </c>
      <c r="C26" s="15">
        <f>(SUMIFS('MAIN DATA, Orders'!$S:$S,'MAIN DATA, Orders'!$Y:$Y,$A26,'MAIN DATA, Orders'!$D:$D,"Germany",'MAIN DATA, Orders'!$I:$I,"Air defence system")/1000000000)</f>
        <v>0</v>
      </c>
      <c r="D26" s="15">
        <f>(SUMIFS('MAIN DATA, Orders'!$S:$S,'MAIN DATA, Orders'!$Y:$Y,$A26,'MAIN DATA, Orders'!$D:$D,"Germany",'MAIN DATA, Orders'!$I:$I,"Development - Air defence system")/1000000000)</f>
        <v>0</v>
      </c>
      <c r="E26" s="15">
        <f>(SUMIFS('MAIN DATA, Orders'!$S:$S,'MAIN DATA, Orders'!$Y:$Y,$A26,'MAIN DATA, Orders'!$D:$D,"Germany",'MAIN DATA, Orders'!$I:$I,"Aircraft")/1000000000)</f>
        <v>0</v>
      </c>
      <c r="F26" s="15">
        <f>(SUMIFS('MAIN DATA, Orders'!$S:$S,'MAIN DATA, Orders'!$Y:$Y,$A26,'MAIN DATA, Orders'!$D:$D,"Germany",'MAIN DATA, Orders'!$I:$I,"Development - Aircraft")/1000000000)</f>
        <v>0</v>
      </c>
      <c r="G26" s="15">
        <f>(SUMIFS('MAIN DATA, Orders'!$S:$S,'MAIN DATA, Orders'!$Y:$Y,$A26,'MAIN DATA, Orders'!$D:$D,"Germany",'MAIN DATA, Orders'!$I:$I,"Ammunition")/1000000000)</f>
        <v>0</v>
      </c>
      <c r="H26" s="15">
        <f>(SUMIFS('MAIN DATA, Orders'!$S:$S,'MAIN DATA, Orders'!$Y:$Y,$A26,'MAIN DATA, Orders'!$D:$D,"Germany",'MAIN DATA, Orders'!$I:$I,"Development - Ammunition")/1000000000)</f>
        <v>0</v>
      </c>
      <c r="I26" s="15">
        <f>(SUMIFS('MAIN DATA, Orders'!$S:$S,'MAIN DATA, Orders'!$Y:$Y,$A26,'MAIN DATA, Orders'!$D:$D,"Germany",'MAIN DATA, Orders'!$I:$I,"Armoured vehicle")/1000000000)</f>
        <v>0</v>
      </c>
      <c r="J26" s="15">
        <f>(SUMIFS('MAIN DATA, Orders'!$S:$S,'MAIN DATA, Orders'!$Y:$Y,$A26,'MAIN DATA, Orders'!$D:$D,"Germany",'MAIN DATA, Orders'!$I:$I,"Development - Armoured vehicle")/1000000000)</f>
        <v>0</v>
      </c>
      <c r="K26" s="15">
        <f>(SUMIFS('MAIN DATA, Orders'!$S:$S,'MAIN DATA, Orders'!$Y:$Y,$A26,'MAIN DATA, Orders'!$D:$D,"Germany",'MAIN DATA, Orders'!$I:$I,"Artillery")/1000000000)</f>
        <v>0</v>
      </c>
      <c r="L26" s="15">
        <f>(SUMIFS('MAIN DATA, Orders'!$S:$S,'MAIN DATA, Orders'!$Y:$Y,$A26,'MAIN DATA, Orders'!$D:$D,"Germany",'MAIN DATA, Orders'!$I:$I,"Development - Artillery")/1000000000)</f>
        <v>0</v>
      </c>
      <c r="M26" s="15">
        <f>(SUMIFS('MAIN DATA, Orders'!$S:$S,'MAIN DATA, Orders'!$Y:$Y,$A26,'MAIN DATA, Orders'!$D:$D,"Germany",'MAIN DATA, Orders'!$I:$I,"Drone")/1000000000)</f>
        <v>0</v>
      </c>
      <c r="N26" s="15">
        <f>(SUMIFS('MAIN DATA, Orders'!$S:$S,'MAIN DATA, Orders'!$Y:$Y,$A26,'MAIN DATA, Orders'!$D:$D,"Germany",'MAIN DATA, Orders'!$I:$I,"Development - Drone")/1000000000)</f>
        <v>0</v>
      </c>
      <c r="O26" s="15">
        <f>(SUMIFS('MAIN DATA, Orders'!$S:$S,'MAIN DATA, Orders'!$Y:$Y,$A26,'MAIN DATA, Orders'!$D:$D,"Germany",'MAIN DATA, Orders'!$I:$I,"Helicopter")/1000000000)</f>
        <v>0</v>
      </c>
      <c r="P26" s="15">
        <f>(SUMIFS('MAIN DATA, Orders'!$S:$S,'MAIN DATA, Orders'!$Y:$Y,$A26,'MAIN DATA, Orders'!$D:$D,"Germany",'MAIN DATA, Orders'!$I:$I,"Development - Helicopter")/1000000000)</f>
        <v>0</v>
      </c>
      <c r="Q26" s="15">
        <f>(SUMIFS('MAIN DATA, Orders'!$S:$S,'MAIN DATA, Orders'!$Y:$Y,$A26,'MAIN DATA, Orders'!$D:$D,"Germany",'MAIN DATA, Orders'!$I:$I,"Infantry")/1000000000)</f>
        <v>0</v>
      </c>
      <c r="R26" s="15">
        <f>(SUMIFS('MAIN DATA, Orders'!$S:$S,'MAIN DATA, Orders'!$Y:$Y,$A26,'MAIN DATA, Orders'!$D:$D,"Germany",'MAIN DATA, Orders'!$I:$I,"Development - Infantry")/1000000000)</f>
        <v>0</v>
      </c>
      <c r="S26" s="15">
        <f>(SUMIFS('MAIN DATA, Orders'!$S:$S,'MAIN DATA, Orders'!$Y:$Y,$A26,'MAIN DATA, Orders'!$D:$D,"Germany",'MAIN DATA, Orders'!$I:$I,"Tank")/1000000000)</f>
        <v>0</v>
      </c>
      <c r="T26" s="15">
        <f>(SUMIFS('MAIN DATA, Orders'!$S:$S,'MAIN DATA, Orders'!$Y:$Y,$A26,'MAIN DATA, Orders'!$D:$D,"Germany",'MAIN DATA, Orders'!$I:$I,"Development - Tank")/1000000000)</f>
        <v>0</v>
      </c>
      <c r="U26" s="15">
        <f>(SUMIFS('MAIN DATA, Orders'!$S:$S,'MAIN DATA, Orders'!$Y:$Y,$A26,'MAIN DATA, Orders'!$D:$D,"Germany",'MAIN DATA, Orders'!$I:$I,"Maintenance")/1000000000)</f>
        <v>0</v>
      </c>
      <c r="V26" s="15">
        <f>(SUMIFS('MAIN DATA, Orders'!$S:$S,'MAIN DATA, Orders'!$Y:$Y,$A26,'MAIN DATA, Orders'!$D:$D,"Germany",'MAIN DATA, Orders'!$I:$I,"Development - Maintenance")/1000000000)</f>
        <v>0</v>
      </c>
      <c r="W26" s="15">
        <f>(SUMIFS('MAIN DATA, Orders'!$S:$S,'MAIN DATA, Orders'!$Y:$Y,$A26,'MAIN DATA, Orders'!$D:$D,"Germany",'MAIN DATA, Orders'!$I:$I,"Mine")/1000000000)</f>
        <v>0</v>
      </c>
      <c r="X26" s="15">
        <f>(SUMIFS('MAIN DATA, Orders'!$S:$S,'MAIN DATA, Orders'!$Y:$Y,$A26,'MAIN DATA, Orders'!$D:$D,"Germany",'MAIN DATA, Orders'!$I:$I,"Development - Mine")/1000000000)</f>
        <v>0</v>
      </c>
      <c r="Y26" s="15">
        <f>(SUMIFS('MAIN DATA, Orders'!$S:$S,'MAIN DATA, Orders'!$Y:$Y,$A26,'MAIN DATA, Orders'!$D:$D,"Germany",'MAIN DATA, Orders'!$J:$J,"6")/1000000000)</f>
        <v>0</v>
      </c>
      <c r="Z26" s="15" cm="1">
        <f t="array" ref="Z26">SUM(SUMIFS('MAIN DATA, Orders'!$S:$S,'MAIN DATA, Orders'!$Y:$Y,$A26,'MAIN DATA, Orders'!$D:$D,"Germany",'MAIN DATA, Orders'!$I:$I,{"Development - Missile (Land)","Development - Missile (Naval)","Development - Missile (Air)"})/1000000000)</f>
        <v>0</v>
      </c>
      <c r="AA26" s="15">
        <f>(SUMIFS('MAIN DATA, Orders'!$S:$S,'MAIN DATA, Orders'!$Y:$Y,$A26,'MAIN DATA, Orders'!$D:$D,"Germany",'MAIN DATA, Orders'!$I:$I,"Modernisation")/1000000000)</f>
        <v>0</v>
      </c>
      <c r="AB26" s="15">
        <f>(SUMIFS('MAIN DATA, Orders'!$S:$S,'MAIN DATA, Orders'!$Y:$Y,$A26,'MAIN DATA, Orders'!$D:$D,"Germany",'MAIN DATA, Orders'!$I:$I,"Development - Modernisation")/1000000000)</f>
        <v>0</v>
      </c>
      <c r="AC26" s="15">
        <f>(SUMIFS('MAIN DATA, Orders'!$S:$S,'MAIN DATA, Orders'!$Y:$Y,$A26,'MAIN DATA, Orders'!$D:$D,"Germany",'MAIN DATA, Orders'!$I:$I,"Naval")/1000000000)</f>
        <v>0</v>
      </c>
      <c r="AD26" s="15">
        <f>(SUMIFS('MAIN DATA, Orders'!$S:$S,'MAIN DATA, Orders'!$Y:$Y,$A26,'MAIN DATA, Orders'!$D:$D,"Germany",'MAIN DATA, Orders'!$I:$I,"Development - Naval")/1000000000)</f>
        <v>0</v>
      </c>
      <c r="AE26" s="15">
        <f>(SUMIFS('MAIN DATA, Orders'!$S:$S,'MAIN DATA, Orders'!$Y:$Y,$A26,'MAIN DATA, Orders'!$D:$D,"Germany",'MAIN DATA, Orders'!$I:$I,"Other")/1000000000)</f>
        <v>0</v>
      </c>
      <c r="AF26" s="15">
        <f>(SUMIFS('MAIN DATA, Orders'!$S:$S,'MAIN DATA, Orders'!$Y:$Y,$A26,'MAIN DATA, Orders'!$D:$D,"Germany",'MAIN DATA, Orders'!$I:$I,"Development - Other")/1000000000)</f>
        <v>0</v>
      </c>
      <c r="AG26" s="15"/>
      <c r="AH26" s="15" cm="1">
        <f t="array" ref="AH26">SUM(SUMIFS('MAIN DATA, Orders'!$S:$S,'MAIN DATA, Orders'!$Y:$Y,$A26,'MAIN DATA, Orders'!$D:$D,"Germany",'MAIN DATA, Orders'!$I:$I,{"Missile (Land)","Development - Missile (Land)"})/1000000000)</f>
        <v>0</v>
      </c>
      <c r="AI26" s="15" cm="1">
        <f t="array" ref="AI26">SUM(SUMIFS('MAIN DATA, Orders'!$S:$S,'MAIN DATA, Orders'!$D:$D,"Germany",'MAIN DATA, Orders'!$I:$I,{"Missile (Air)","Development - Missile (Air)"},'MAIN DATA, Orders'!$Y:$Y,$A26)/1000000000)</f>
        <v>0</v>
      </c>
      <c r="AJ26" s="15" cm="1">
        <f t="array" ref="AJ26">SUM(SUMIFS('MAIN DATA, Orders'!$S:$S,'MAIN DATA, Orders'!$Y:$Y,$A26,'MAIN DATA, Orders'!$D:$D,"Germany",'MAIN DATA, Orders'!$I:$I,{"Missile (Naval)","Development - Missile (Naval)"})/1000000000)</f>
        <v>0</v>
      </c>
    </row>
    <row r="27" spans="1:36" x14ac:dyDescent="0.35">
      <c r="A27" s="20">
        <v>202109</v>
      </c>
      <c r="B27" s="17">
        <v>44440</v>
      </c>
      <c r="C27" s="15">
        <f>(SUMIFS('MAIN DATA, Orders'!$S:$S,'MAIN DATA, Orders'!$Y:$Y,$A27,'MAIN DATA, Orders'!$D:$D,"Germany",'MAIN DATA, Orders'!$I:$I,"Air defence system")/1000000000)</f>
        <v>0</v>
      </c>
      <c r="D27" s="15">
        <f>(SUMIFS('MAIN DATA, Orders'!$S:$S,'MAIN DATA, Orders'!$Y:$Y,$A27,'MAIN DATA, Orders'!$D:$D,"Germany",'MAIN DATA, Orders'!$I:$I,"Development - Air defence system")/1000000000)</f>
        <v>0</v>
      </c>
      <c r="E27" s="15">
        <f>(SUMIFS('MAIN DATA, Orders'!$S:$S,'MAIN DATA, Orders'!$Y:$Y,$A27,'MAIN DATA, Orders'!$D:$D,"Germany",'MAIN DATA, Orders'!$I:$I,"Aircraft")/1000000000)</f>
        <v>0</v>
      </c>
      <c r="F27" s="15">
        <f>(SUMIFS('MAIN DATA, Orders'!$S:$S,'MAIN DATA, Orders'!$Y:$Y,$A27,'MAIN DATA, Orders'!$D:$D,"Germany",'MAIN DATA, Orders'!$I:$I,"Development - Aircraft")/1000000000)</f>
        <v>0</v>
      </c>
      <c r="G27" s="15">
        <f>(SUMIFS('MAIN DATA, Orders'!$S:$S,'MAIN DATA, Orders'!$Y:$Y,$A27,'MAIN DATA, Orders'!$D:$D,"Germany",'MAIN DATA, Orders'!$I:$I,"Ammunition")/1000000000)</f>
        <v>0</v>
      </c>
      <c r="H27" s="15">
        <f>(SUMIFS('MAIN DATA, Orders'!$S:$S,'MAIN DATA, Orders'!$Y:$Y,$A27,'MAIN DATA, Orders'!$D:$D,"Germany",'MAIN DATA, Orders'!$I:$I,"Development - Ammunition")/1000000000)</f>
        <v>0</v>
      </c>
      <c r="I27" s="15">
        <f>(SUMIFS('MAIN DATA, Orders'!$S:$S,'MAIN DATA, Orders'!$Y:$Y,$A27,'MAIN DATA, Orders'!$D:$D,"Germany",'MAIN DATA, Orders'!$I:$I,"Armoured vehicle")/1000000000)</f>
        <v>0</v>
      </c>
      <c r="J27" s="15">
        <f>(SUMIFS('MAIN DATA, Orders'!$S:$S,'MAIN DATA, Orders'!$Y:$Y,$A27,'MAIN DATA, Orders'!$D:$D,"Germany",'MAIN DATA, Orders'!$I:$I,"Development - Armoured vehicle")/1000000000)</f>
        <v>0</v>
      </c>
      <c r="K27" s="15">
        <f>(SUMIFS('MAIN DATA, Orders'!$S:$S,'MAIN DATA, Orders'!$Y:$Y,$A27,'MAIN DATA, Orders'!$D:$D,"Germany",'MAIN DATA, Orders'!$I:$I,"Artillery")/1000000000)</f>
        <v>0</v>
      </c>
      <c r="L27" s="15">
        <f>(SUMIFS('MAIN DATA, Orders'!$S:$S,'MAIN DATA, Orders'!$Y:$Y,$A27,'MAIN DATA, Orders'!$D:$D,"Germany",'MAIN DATA, Orders'!$I:$I,"Development - Artillery")/1000000000)</f>
        <v>0</v>
      </c>
      <c r="M27" s="15">
        <f>(SUMIFS('MAIN DATA, Orders'!$S:$S,'MAIN DATA, Orders'!$Y:$Y,$A27,'MAIN DATA, Orders'!$D:$D,"Germany",'MAIN DATA, Orders'!$I:$I,"Drone")/1000000000)</f>
        <v>0</v>
      </c>
      <c r="N27" s="15">
        <f>(SUMIFS('MAIN DATA, Orders'!$S:$S,'MAIN DATA, Orders'!$Y:$Y,$A27,'MAIN DATA, Orders'!$D:$D,"Germany",'MAIN DATA, Orders'!$I:$I,"Development - Drone")/1000000000)</f>
        <v>0</v>
      </c>
      <c r="O27" s="15">
        <f>(SUMIFS('MAIN DATA, Orders'!$S:$S,'MAIN DATA, Orders'!$Y:$Y,$A27,'MAIN DATA, Orders'!$D:$D,"Germany",'MAIN DATA, Orders'!$I:$I,"Helicopter")/1000000000)</f>
        <v>0</v>
      </c>
      <c r="P27" s="15">
        <f>(SUMIFS('MAIN DATA, Orders'!$S:$S,'MAIN DATA, Orders'!$Y:$Y,$A27,'MAIN DATA, Orders'!$D:$D,"Germany",'MAIN DATA, Orders'!$I:$I,"Development - Helicopter")/1000000000)</f>
        <v>0</v>
      </c>
      <c r="Q27" s="15">
        <f>(SUMIFS('MAIN DATA, Orders'!$S:$S,'MAIN DATA, Orders'!$Y:$Y,$A27,'MAIN DATA, Orders'!$D:$D,"Germany",'MAIN DATA, Orders'!$I:$I,"Infantry")/1000000000)</f>
        <v>0</v>
      </c>
      <c r="R27" s="15">
        <f>(SUMIFS('MAIN DATA, Orders'!$S:$S,'MAIN DATA, Orders'!$Y:$Y,$A27,'MAIN DATA, Orders'!$D:$D,"Germany",'MAIN DATA, Orders'!$I:$I,"Development - Infantry")/1000000000)</f>
        <v>0</v>
      </c>
      <c r="S27" s="15">
        <f>(SUMIFS('MAIN DATA, Orders'!$S:$S,'MAIN DATA, Orders'!$Y:$Y,$A27,'MAIN DATA, Orders'!$D:$D,"Germany",'MAIN DATA, Orders'!$I:$I,"Tank")/1000000000)</f>
        <v>0</v>
      </c>
      <c r="T27" s="15">
        <f>(SUMIFS('MAIN DATA, Orders'!$S:$S,'MAIN DATA, Orders'!$Y:$Y,$A27,'MAIN DATA, Orders'!$D:$D,"Germany",'MAIN DATA, Orders'!$I:$I,"Development - Tank")/1000000000)</f>
        <v>0</v>
      </c>
      <c r="U27" s="15">
        <f>(SUMIFS('MAIN DATA, Orders'!$S:$S,'MAIN DATA, Orders'!$Y:$Y,$A27,'MAIN DATA, Orders'!$D:$D,"Germany",'MAIN DATA, Orders'!$I:$I,"Maintenance")/1000000000)</f>
        <v>0</v>
      </c>
      <c r="V27" s="15">
        <f>(SUMIFS('MAIN DATA, Orders'!$S:$S,'MAIN DATA, Orders'!$Y:$Y,$A27,'MAIN DATA, Orders'!$D:$D,"Germany",'MAIN DATA, Orders'!$I:$I,"Development - Maintenance")/1000000000)</f>
        <v>0</v>
      </c>
      <c r="W27" s="15">
        <f>(SUMIFS('MAIN DATA, Orders'!$S:$S,'MAIN DATA, Orders'!$Y:$Y,$A27,'MAIN DATA, Orders'!$D:$D,"Germany",'MAIN DATA, Orders'!$I:$I,"Mine")/1000000000)</f>
        <v>0</v>
      </c>
      <c r="X27" s="15">
        <f>(SUMIFS('MAIN DATA, Orders'!$S:$S,'MAIN DATA, Orders'!$Y:$Y,$A27,'MAIN DATA, Orders'!$D:$D,"Germany",'MAIN DATA, Orders'!$I:$I,"Development - Mine")/1000000000)</f>
        <v>0</v>
      </c>
      <c r="Y27" s="15">
        <f>(SUMIFS('MAIN DATA, Orders'!$S:$S,'MAIN DATA, Orders'!$Y:$Y,$A27,'MAIN DATA, Orders'!$D:$D,"Germany",'MAIN DATA, Orders'!$J:$J,"6")/1000000000)</f>
        <v>0</v>
      </c>
      <c r="Z27" s="15" cm="1">
        <f t="array" ref="Z27">SUM(SUMIFS('MAIN DATA, Orders'!$S:$S,'MAIN DATA, Orders'!$Y:$Y,$A27,'MAIN DATA, Orders'!$D:$D,"Germany",'MAIN DATA, Orders'!$I:$I,{"Development - Missile (Land)","Development - Missile (Naval)","Development - Missile (Air)"})/1000000000)</f>
        <v>0</v>
      </c>
      <c r="AA27" s="15">
        <f>(SUMIFS('MAIN DATA, Orders'!$S:$S,'MAIN DATA, Orders'!$Y:$Y,$A27,'MAIN DATA, Orders'!$D:$D,"Germany",'MAIN DATA, Orders'!$I:$I,"Modernisation")/1000000000)</f>
        <v>0</v>
      </c>
      <c r="AB27" s="15">
        <f>(SUMIFS('MAIN DATA, Orders'!$S:$S,'MAIN DATA, Orders'!$Y:$Y,$A27,'MAIN DATA, Orders'!$D:$D,"Germany",'MAIN DATA, Orders'!$I:$I,"Development - Modernisation")/1000000000)</f>
        <v>0</v>
      </c>
      <c r="AC27" s="15">
        <f>(SUMIFS('MAIN DATA, Orders'!$S:$S,'MAIN DATA, Orders'!$Y:$Y,$A27,'MAIN DATA, Orders'!$D:$D,"Germany",'MAIN DATA, Orders'!$I:$I,"Naval")/1000000000)</f>
        <v>0</v>
      </c>
      <c r="AD27" s="15">
        <f>(SUMIFS('MAIN DATA, Orders'!$S:$S,'MAIN DATA, Orders'!$Y:$Y,$A27,'MAIN DATA, Orders'!$D:$D,"Germany",'MAIN DATA, Orders'!$I:$I,"Development - Naval")/1000000000)</f>
        <v>0</v>
      </c>
      <c r="AE27" s="15">
        <f>(SUMIFS('MAIN DATA, Orders'!$S:$S,'MAIN DATA, Orders'!$Y:$Y,$A27,'MAIN DATA, Orders'!$D:$D,"Germany",'MAIN DATA, Orders'!$I:$I,"Other")/1000000000)</f>
        <v>0</v>
      </c>
      <c r="AF27" s="15">
        <f>(SUMIFS('MAIN DATA, Orders'!$S:$S,'MAIN DATA, Orders'!$Y:$Y,$A27,'MAIN DATA, Orders'!$D:$D,"Germany",'MAIN DATA, Orders'!$I:$I,"Development - Other")/1000000000)</f>
        <v>0</v>
      </c>
      <c r="AG27" s="15"/>
      <c r="AH27" s="15" cm="1">
        <f t="array" ref="AH27">SUM(SUMIFS('MAIN DATA, Orders'!$S:$S,'MAIN DATA, Orders'!$Y:$Y,$A27,'MAIN DATA, Orders'!$D:$D,"Germany",'MAIN DATA, Orders'!$I:$I,{"Missile (Land)","Development - Missile (Land)"})/1000000000)</f>
        <v>0</v>
      </c>
      <c r="AI27" s="15" cm="1">
        <f t="array" ref="AI27">SUM(SUMIFS('MAIN DATA, Orders'!$S:$S,'MAIN DATA, Orders'!$D:$D,"Germany",'MAIN DATA, Orders'!$I:$I,{"Missile (Air)","Development - Missile (Air)"},'MAIN DATA, Orders'!$Y:$Y,$A27)/1000000000)</f>
        <v>0</v>
      </c>
      <c r="AJ27" s="15" cm="1">
        <f t="array" ref="AJ27">SUM(SUMIFS('MAIN DATA, Orders'!$S:$S,'MAIN DATA, Orders'!$Y:$Y,$A27,'MAIN DATA, Orders'!$D:$D,"Germany",'MAIN DATA, Orders'!$I:$I,{"Missile (Naval)","Development - Missile (Naval)"})/1000000000)</f>
        <v>0</v>
      </c>
    </row>
    <row r="28" spans="1:36" x14ac:dyDescent="0.35">
      <c r="A28" s="20">
        <v>202110</v>
      </c>
      <c r="B28" s="17">
        <v>44470</v>
      </c>
      <c r="C28" s="15">
        <f>(SUMIFS('MAIN DATA, Orders'!$S:$S,'MAIN DATA, Orders'!$Y:$Y,$A28,'MAIN DATA, Orders'!$D:$D,"Germany",'MAIN DATA, Orders'!$I:$I,"Air defence system")/1000000000)</f>
        <v>0</v>
      </c>
      <c r="D28" s="15">
        <f>(SUMIFS('MAIN DATA, Orders'!$S:$S,'MAIN DATA, Orders'!$Y:$Y,$A28,'MAIN DATA, Orders'!$D:$D,"Germany",'MAIN DATA, Orders'!$I:$I,"Development - Air defence system")/1000000000)</f>
        <v>0</v>
      </c>
      <c r="E28" s="15">
        <f>(SUMIFS('MAIN DATA, Orders'!$S:$S,'MAIN DATA, Orders'!$Y:$Y,$A28,'MAIN DATA, Orders'!$D:$D,"Germany",'MAIN DATA, Orders'!$I:$I,"Aircraft")/1000000000)</f>
        <v>0</v>
      </c>
      <c r="F28" s="15">
        <f>(SUMIFS('MAIN DATA, Orders'!$S:$S,'MAIN DATA, Orders'!$Y:$Y,$A28,'MAIN DATA, Orders'!$D:$D,"Germany",'MAIN DATA, Orders'!$I:$I,"Development - Aircraft")/1000000000)</f>
        <v>0</v>
      </c>
      <c r="G28" s="15">
        <f>(SUMIFS('MAIN DATA, Orders'!$S:$S,'MAIN DATA, Orders'!$Y:$Y,$A28,'MAIN DATA, Orders'!$D:$D,"Germany",'MAIN DATA, Orders'!$I:$I,"Ammunition")/1000000000)</f>
        <v>0</v>
      </c>
      <c r="H28" s="15">
        <f>(SUMIFS('MAIN DATA, Orders'!$S:$S,'MAIN DATA, Orders'!$Y:$Y,$A28,'MAIN DATA, Orders'!$D:$D,"Germany",'MAIN DATA, Orders'!$I:$I,"Development - Ammunition")/1000000000)</f>
        <v>0</v>
      </c>
      <c r="I28" s="15">
        <f>(SUMIFS('MAIN DATA, Orders'!$S:$S,'MAIN DATA, Orders'!$Y:$Y,$A28,'MAIN DATA, Orders'!$D:$D,"Germany",'MAIN DATA, Orders'!$I:$I,"Armoured vehicle")/1000000000)</f>
        <v>0</v>
      </c>
      <c r="J28" s="15">
        <f>(SUMIFS('MAIN DATA, Orders'!$S:$S,'MAIN DATA, Orders'!$Y:$Y,$A28,'MAIN DATA, Orders'!$D:$D,"Germany",'MAIN DATA, Orders'!$I:$I,"Development - Armoured vehicle")/1000000000)</f>
        <v>0</v>
      </c>
      <c r="K28" s="15">
        <f>(SUMIFS('MAIN DATA, Orders'!$S:$S,'MAIN DATA, Orders'!$Y:$Y,$A28,'MAIN DATA, Orders'!$D:$D,"Germany",'MAIN DATA, Orders'!$I:$I,"Artillery")/1000000000)</f>
        <v>0</v>
      </c>
      <c r="L28" s="15">
        <f>(SUMIFS('MAIN DATA, Orders'!$S:$S,'MAIN DATA, Orders'!$Y:$Y,$A28,'MAIN DATA, Orders'!$D:$D,"Germany",'MAIN DATA, Orders'!$I:$I,"Development - Artillery")/1000000000)</f>
        <v>0</v>
      </c>
      <c r="M28" s="15">
        <f>(SUMIFS('MAIN DATA, Orders'!$S:$S,'MAIN DATA, Orders'!$Y:$Y,$A28,'MAIN DATA, Orders'!$D:$D,"Germany",'MAIN DATA, Orders'!$I:$I,"Drone")/1000000000)</f>
        <v>0</v>
      </c>
      <c r="N28" s="15">
        <f>(SUMIFS('MAIN DATA, Orders'!$S:$S,'MAIN DATA, Orders'!$Y:$Y,$A28,'MAIN DATA, Orders'!$D:$D,"Germany",'MAIN DATA, Orders'!$I:$I,"Development - Drone")/1000000000)</f>
        <v>0</v>
      </c>
      <c r="O28" s="15">
        <f>(SUMIFS('MAIN DATA, Orders'!$S:$S,'MAIN DATA, Orders'!$Y:$Y,$A28,'MAIN DATA, Orders'!$D:$D,"Germany",'MAIN DATA, Orders'!$I:$I,"Helicopter")/1000000000)</f>
        <v>0</v>
      </c>
      <c r="P28" s="15">
        <f>(SUMIFS('MAIN DATA, Orders'!$S:$S,'MAIN DATA, Orders'!$Y:$Y,$A28,'MAIN DATA, Orders'!$D:$D,"Germany",'MAIN DATA, Orders'!$I:$I,"Development - Helicopter")/1000000000)</f>
        <v>0</v>
      </c>
      <c r="Q28" s="15">
        <f>(SUMIFS('MAIN DATA, Orders'!$S:$S,'MAIN DATA, Orders'!$Y:$Y,$A28,'MAIN DATA, Orders'!$D:$D,"Germany",'MAIN DATA, Orders'!$I:$I,"Infantry")/1000000000)</f>
        <v>0</v>
      </c>
      <c r="R28" s="15">
        <f>(SUMIFS('MAIN DATA, Orders'!$S:$S,'MAIN DATA, Orders'!$Y:$Y,$A28,'MAIN DATA, Orders'!$D:$D,"Germany",'MAIN DATA, Orders'!$I:$I,"Development - Infantry")/1000000000)</f>
        <v>0</v>
      </c>
      <c r="S28" s="15">
        <f>(SUMIFS('MAIN DATA, Orders'!$S:$S,'MAIN DATA, Orders'!$Y:$Y,$A28,'MAIN DATA, Orders'!$D:$D,"Germany",'MAIN DATA, Orders'!$I:$I,"Tank")/1000000000)</f>
        <v>0</v>
      </c>
      <c r="T28" s="15">
        <f>(SUMIFS('MAIN DATA, Orders'!$S:$S,'MAIN DATA, Orders'!$Y:$Y,$A28,'MAIN DATA, Orders'!$D:$D,"Germany",'MAIN DATA, Orders'!$I:$I,"Development - Tank")/1000000000)</f>
        <v>0</v>
      </c>
      <c r="U28" s="15">
        <f>(SUMIFS('MAIN DATA, Orders'!$S:$S,'MAIN DATA, Orders'!$Y:$Y,$A28,'MAIN DATA, Orders'!$D:$D,"Germany",'MAIN DATA, Orders'!$I:$I,"Maintenance")/1000000000)</f>
        <v>0</v>
      </c>
      <c r="V28" s="15">
        <f>(SUMIFS('MAIN DATA, Orders'!$S:$S,'MAIN DATA, Orders'!$Y:$Y,$A28,'MAIN DATA, Orders'!$D:$D,"Germany",'MAIN DATA, Orders'!$I:$I,"Development - Maintenance")/1000000000)</f>
        <v>0</v>
      </c>
      <c r="W28" s="15">
        <f>(SUMIFS('MAIN DATA, Orders'!$S:$S,'MAIN DATA, Orders'!$Y:$Y,$A28,'MAIN DATA, Orders'!$D:$D,"Germany",'MAIN DATA, Orders'!$I:$I,"Mine")/1000000000)</f>
        <v>0</v>
      </c>
      <c r="X28" s="15">
        <f>(SUMIFS('MAIN DATA, Orders'!$S:$S,'MAIN DATA, Orders'!$Y:$Y,$A28,'MAIN DATA, Orders'!$D:$D,"Germany",'MAIN DATA, Orders'!$I:$I,"Development - Mine")/1000000000)</f>
        <v>0</v>
      </c>
      <c r="Y28" s="15">
        <f>(SUMIFS('MAIN DATA, Orders'!$S:$S,'MAIN DATA, Orders'!$Y:$Y,$A28,'MAIN DATA, Orders'!$D:$D,"Germany",'MAIN DATA, Orders'!$J:$J,"6")/1000000000)</f>
        <v>0</v>
      </c>
      <c r="Z28" s="15" cm="1">
        <f t="array" ref="Z28">SUM(SUMIFS('MAIN DATA, Orders'!$S:$S,'MAIN DATA, Orders'!$Y:$Y,$A28,'MAIN DATA, Orders'!$D:$D,"Germany",'MAIN DATA, Orders'!$I:$I,{"Development - Missile (Land)","Development - Missile (Naval)","Development - Missile (Air)"})/1000000000)</f>
        <v>0</v>
      </c>
      <c r="AA28" s="15">
        <f>(SUMIFS('MAIN DATA, Orders'!$S:$S,'MAIN DATA, Orders'!$Y:$Y,$A28,'MAIN DATA, Orders'!$D:$D,"Germany",'MAIN DATA, Orders'!$I:$I,"Modernisation")/1000000000)</f>
        <v>0</v>
      </c>
      <c r="AB28" s="15">
        <f>(SUMIFS('MAIN DATA, Orders'!$S:$S,'MAIN DATA, Orders'!$Y:$Y,$A28,'MAIN DATA, Orders'!$D:$D,"Germany",'MAIN DATA, Orders'!$I:$I,"Development - Modernisation")/1000000000)</f>
        <v>0</v>
      </c>
      <c r="AC28" s="15">
        <f>(SUMIFS('MAIN DATA, Orders'!$S:$S,'MAIN DATA, Orders'!$Y:$Y,$A28,'MAIN DATA, Orders'!$D:$D,"Germany",'MAIN DATA, Orders'!$I:$I,"Naval")/1000000000)</f>
        <v>0</v>
      </c>
      <c r="AD28" s="15">
        <f>(SUMIFS('MAIN DATA, Orders'!$S:$S,'MAIN DATA, Orders'!$Y:$Y,$A28,'MAIN DATA, Orders'!$D:$D,"Germany",'MAIN DATA, Orders'!$I:$I,"Development - Naval")/1000000000)</f>
        <v>0</v>
      </c>
      <c r="AE28" s="15">
        <f>(SUMIFS('MAIN DATA, Orders'!$S:$S,'MAIN DATA, Orders'!$Y:$Y,$A28,'MAIN DATA, Orders'!$D:$D,"Germany",'MAIN DATA, Orders'!$I:$I,"Other")/1000000000)</f>
        <v>0</v>
      </c>
      <c r="AF28" s="15">
        <f>(SUMIFS('MAIN DATA, Orders'!$S:$S,'MAIN DATA, Orders'!$Y:$Y,$A28,'MAIN DATA, Orders'!$D:$D,"Germany",'MAIN DATA, Orders'!$I:$I,"Development - Other")/1000000000)</f>
        <v>0</v>
      </c>
      <c r="AG28" s="15"/>
      <c r="AH28" s="15" cm="1">
        <f t="array" ref="AH28">SUM(SUMIFS('MAIN DATA, Orders'!$S:$S,'MAIN DATA, Orders'!$Y:$Y,$A28,'MAIN DATA, Orders'!$D:$D,"Germany",'MAIN DATA, Orders'!$I:$I,{"Missile (Land)","Development - Missile (Land)"})/1000000000)</f>
        <v>0</v>
      </c>
      <c r="AI28" s="15" cm="1">
        <f t="array" ref="AI28">SUM(SUMIFS('MAIN DATA, Orders'!$S:$S,'MAIN DATA, Orders'!$D:$D,"Germany",'MAIN DATA, Orders'!$I:$I,{"Missile (Air)","Development - Missile (Air)"},'MAIN DATA, Orders'!$Y:$Y,$A28)/1000000000)</f>
        <v>0</v>
      </c>
      <c r="AJ28" s="15" cm="1">
        <f t="array" ref="AJ28">SUM(SUMIFS('MAIN DATA, Orders'!$S:$S,'MAIN DATA, Orders'!$Y:$Y,$A28,'MAIN DATA, Orders'!$D:$D,"Germany",'MAIN DATA, Orders'!$I:$I,{"Missile (Naval)","Development - Missile (Naval)"})/1000000000)</f>
        <v>0</v>
      </c>
    </row>
    <row r="29" spans="1:36" x14ac:dyDescent="0.35">
      <c r="A29" s="20">
        <v>202111</v>
      </c>
      <c r="B29" s="17">
        <v>44501</v>
      </c>
      <c r="C29" s="15">
        <f>(SUMIFS('MAIN DATA, Orders'!$S:$S,'MAIN DATA, Orders'!$Y:$Y,$A29,'MAIN DATA, Orders'!$D:$D,"Germany",'MAIN DATA, Orders'!$I:$I,"Air defence system")/1000000000)</f>
        <v>0</v>
      </c>
      <c r="D29" s="15">
        <f>(SUMIFS('MAIN DATA, Orders'!$S:$S,'MAIN DATA, Orders'!$Y:$Y,$A29,'MAIN DATA, Orders'!$D:$D,"Germany",'MAIN DATA, Orders'!$I:$I,"Development - Air defence system")/1000000000)</f>
        <v>0</v>
      </c>
      <c r="E29" s="15">
        <f>(SUMIFS('MAIN DATA, Orders'!$S:$S,'MAIN DATA, Orders'!$Y:$Y,$A29,'MAIN DATA, Orders'!$D:$D,"Germany",'MAIN DATA, Orders'!$I:$I,"Aircraft")/1000000000)</f>
        <v>0</v>
      </c>
      <c r="F29" s="15">
        <f>(SUMIFS('MAIN DATA, Orders'!$S:$S,'MAIN DATA, Orders'!$Y:$Y,$A29,'MAIN DATA, Orders'!$D:$D,"Germany",'MAIN DATA, Orders'!$I:$I,"Development - Aircraft")/1000000000)</f>
        <v>0</v>
      </c>
      <c r="G29" s="15">
        <f>(SUMIFS('MAIN DATA, Orders'!$S:$S,'MAIN DATA, Orders'!$Y:$Y,$A29,'MAIN DATA, Orders'!$D:$D,"Germany",'MAIN DATA, Orders'!$I:$I,"Ammunition")/1000000000)</f>
        <v>0</v>
      </c>
      <c r="H29" s="15">
        <f>(SUMIFS('MAIN DATA, Orders'!$S:$S,'MAIN DATA, Orders'!$Y:$Y,$A29,'MAIN DATA, Orders'!$D:$D,"Germany",'MAIN DATA, Orders'!$I:$I,"Development - Ammunition")/1000000000)</f>
        <v>0</v>
      </c>
      <c r="I29" s="15">
        <f>(SUMIFS('MAIN DATA, Orders'!$S:$S,'MAIN DATA, Orders'!$Y:$Y,$A29,'MAIN DATA, Orders'!$D:$D,"Germany",'MAIN DATA, Orders'!$I:$I,"Armoured vehicle")/1000000000)</f>
        <v>0</v>
      </c>
      <c r="J29" s="15">
        <f>(SUMIFS('MAIN DATA, Orders'!$S:$S,'MAIN DATA, Orders'!$Y:$Y,$A29,'MAIN DATA, Orders'!$D:$D,"Germany",'MAIN DATA, Orders'!$I:$I,"Development - Armoured vehicle")/1000000000)</f>
        <v>0</v>
      </c>
      <c r="K29" s="15">
        <f>(SUMIFS('MAIN DATA, Orders'!$S:$S,'MAIN DATA, Orders'!$Y:$Y,$A29,'MAIN DATA, Orders'!$D:$D,"Germany",'MAIN DATA, Orders'!$I:$I,"Artillery")/1000000000)</f>
        <v>0</v>
      </c>
      <c r="L29" s="15">
        <f>(SUMIFS('MAIN DATA, Orders'!$S:$S,'MAIN DATA, Orders'!$Y:$Y,$A29,'MAIN DATA, Orders'!$D:$D,"Germany",'MAIN DATA, Orders'!$I:$I,"Development - Artillery")/1000000000)</f>
        <v>0</v>
      </c>
      <c r="M29" s="15">
        <f>(SUMIFS('MAIN DATA, Orders'!$S:$S,'MAIN DATA, Orders'!$Y:$Y,$A29,'MAIN DATA, Orders'!$D:$D,"Germany",'MAIN DATA, Orders'!$I:$I,"Drone")/1000000000)</f>
        <v>0</v>
      </c>
      <c r="N29" s="15">
        <f>(SUMIFS('MAIN DATA, Orders'!$S:$S,'MAIN DATA, Orders'!$Y:$Y,$A29,'MAIN DATA, Orders'!$D:$D,"Germany",'MAIN DATA, Orders'!$I:$I,"Development - Drone")/1000000000)</f>
        <v>0</v>
      </c>
      <c r="O29" s="15">
        <f>(SUMIFS('MAIN DATA, Orders'!$S:$S,'MAIN DATA, Orders'!$Y:$Y,$A29,'MAIN DATA, Orders'!$D:$D,"Germany",'MAIN DATA, Orders'!$I:$I,"Helicopter")/1000000000)</f>
        <v>0</v>
      </c>
      <c r="P29" s="15">
        <f>(SUMIFS('MAIN DATA, Orders'!$S:$S,'MAIN DATA, Orders'!$Y:$Y,$A29,'MAIN DATA, Orders'!$D:$D,"Germany",'MAIN DATA, Orders'!$I:$I,"Development - Helicopter")/1000000000)</f>
        <v>0</v>
      </c>
      <c r="Q29" s="15">
        <f>(SUMIFS('MAIN DATA, Orders'!$S:$S,'MAIN DATA, Orders'!$Y:$Y,$A29,'MAIN DATA, Orders'!$D:$D,"Germany",'MAIN DATA, Orders'!$I:$I,"Infantry")/1000000000)</f>
        <v>0</v>
      </c>
      <c r="R29" s="15">
        <f>(SUMIFS('MAIN DATA, Orders'!$S:$S,'MAIN DATA, Orders'!$Y:$Y,$A29,'MAIN DATA, Orders'!$D:$D,"Germany",'MAIN DATA, Orders'!$I:$I,"Development - Infantry")/1000000000)</f>
        <v>0</v>
      </c>
      <c r="S29" s="15">
        <f>(SUMIFS('MAIN DATA, Orders'!$S:$S,'MAIN DATA, Orders'!$Y:$Y,$A29,'MAIN DATA, Orders'!$D:$D,"Germany",'MAIN DATA, Orders'!$I:$I,"Tank")/1000000000)</f>
        <v>0</v>
      </c>
      <c r="T29" s="15">
        <f>(SUMIFS('MAIN DATA, Orders'!$S:$S,'MAIN DATA, Orders'!$Y:$Y,$A29,'MAIN DATA, Orders'!$D:$D,"Germany",'MAIN DATA, Orders'!$I:$I,"Development - Tank")/1000000000)</f>
        <v>0</v>
      </c>
      <c r="U29" s="15">
        <f>(SUMIFS('MAIN DATA, Orders'!$S:$S,'MAIN DATA, Orders'!$Y:$Y,$A29,'MAIN DATA, Orders'!$D:$D,"Germany",'MAIN DATA, Orders'!$I:$I,"Maintenance")/1000000000)</f>
        <v>0</v>
      </c>
      <c r="V29" s="15">
        <f>(SUMIFS('MAIN DATA, Orders'!$S:$S,'MAIN DATA, Orders'!$Y:$Y,$A29,'MAIN DATA, Orders'!$D:$D,"Germany",'MAIN DATA, Orders'!$I:$I,"Development - Maintenance")/1000000000)</f>
        <v>0</v>
      </c>
      <c r="W29" s="15">
        <f>(SUMIFS('MAIN DATA, Orders'!$S:$S,'MAIN DATA, Orders'!$Y:$Y,$A29,'MAIN DATA, Orders'!$D:$D,"Germany",'MAIN DATA, Orders'!$I:$I,"Mine")/1000000000)</f>
        <v>0</v>
      </c>
      <c r="X29" s="15">
        <f>(SUMIFS('MAIN DATA, Orders'!$S:$S,'MAIN DATA, Orders'!$Y:$Y,$A29,'MAIN DATA, Orders'!$D:$D,"Germany",'MAIN DATA, Orders'!$I:$I,"Development - Mine")/1000000000)</f>
        <v>0</v>
      </c>
      <c r="Y29" s="15">
        <f>(SUMIFS('MAIN DATA, Orders'!$S:$S,'MAIN DATA, Orders'!$Y:$Y,$A29,'MAIN DATA, Orders'!$D:$D,"Germany",'MAIN DATA, Orders'!$J:$J,"6")/1000000000)</f>
        <v>0</v>
      </c>
      <c r="Z29" s="15" cm="1">
        <f t="array" ref="Z29">SUM(SUMIFS('MAIN DATA, Orders'!$S:$S,'MAIN DATA, Orders'!$Y:$Y,$A29,'MAIN DATA, Orders'!$D:$D,"Germany",'MAIN DATA, Orders'!$I:$I,{"Development - Missile (Land)","Development - Missile (Naval)","Development - Missile (Air)"})/1000000000)</f>
        <v>0</v>
      </c>
      <c r="AA29" s="15">
        <f>(SUMIFS('MAIN DATA, Orders'!$S:$S,'MAIN DATA, Orders'!$Y:$Y,$A29,'MAIN DATA, Orders'!$D:$D,"Germany",'MAIN DATA, Orders'!$I:$I,"Modernisation")/1000000000)</f>
        <v>0</v>
      </c>
      <c r="AB29" s="15">
        <f>(SUMIFS('MAIN DATA, Orders'!$S:$S,'MAIN DATA, Orders'!$Y:$Y,$A29,'MAIN DATA, Orders'!$D:$D,"Germany",'MAIN DATA, Orders'!$I:$I,"Development - Modernisation")/1000000000)</f>
        <v>0</v>
      </c>
      <c r="AC29" s="15">
        <f>(SUMIFS('MAIN DATA, Orders'!$S:$S,'MAIN DATA, Orders'!$Y:$Y,$A29,'MAIN DATA, Orders'!$D:$D,"Germany",'MAIN DATA, Orders'!$I:$I,"Naval")/1000000000)</f>
        <v>0</v>
      </c>
      <c r="AD29" s="15">
        <f>(SUMIFS('MAIN DATA, Orders'!$S:$S,'MAIN DATA, Orders'!$Y:$Y,$A29,'MAIN DATA, Orders'!$D:$D,"Germany",'MAIN DATA, Orders'!$I:$I,"Development - Naval")/1000000000)</f>
        <v>0</v>
      </c>
      <c r="AE29" s="15">
        <f>(SUMIFS('MAIN DATA, Orders'!$S:$S,'MAIN DATA, Orders'!$Y:$Y,$A29,'MAIN DATA, Orders'!$D:$D,"Germany",'MAIN DATA, Orders'!$I:$I,"Other")/1000000000)</f>
        <v>0</v>
      </c>
      <c r="AF29" s="15">
        <f>(SUMIFS('MAIN DATA, Orders'!$S:$S,'MAIN DATA, Orders'!$Y:$Y,$A29,'MAIN DATA, Orders'!$D:$D,"Germany",'MAIN DATA, Orders'!$I:$I,"Development - Other")/1000000000)</f>
        <v>0</v>
      </c>
      <c r="AG29" s="15"/>
      <c r="AH29" s="15" cm="1">
        <f t="array" ref="AH29">SUM(SUMIFS('MAIN DATA, Orders'!$S:$S,'MAIN DATA, Orders'!$Y:$Y,$A29,'MAIN DATA, Orders'!$D:$D,"Germany",'MAIN DATA, Orders'!$I:$I,{"Missile (Land)","Development - Missile (Land)"})/1000000000)</f>
        <v>0</v>
      </c>
      <c r="AI29" s="15" cm="1">
        <f t="array" ref="AI29">SUM(SUMIFS('MAIN DATA, Orders'!$S:$S,'MAIN DATA, Orders'!$D:$D,"Germany",'MAIN DATA, Orders'!$I:$I,{"Missile (Air)","Development - Missile (Air)"},'MAIN DATA, Orders'!$Y:$Y,$A29)/1000000000)</f>
        <v>0</v>
      </c>
      <c r="AJ29" s="15" cm="1">
        <f t="array" ref="AJ29">SUM(SUMIFS('MAIN DATA, Orders'!$S:$S,'MAIN DATA, Orders'!$Y:$Y,$A29,'MAIN DATA, Orders'!$D:$D,"Germany",'MAIN DATA, Orders'!$I:$I,{"Missile (Naval)","Development - Missile (Naval)"})/1000000000)</f>
        <v>0</v>
      </c>
    </row>
    <row r="30" spans="1:36" x14ac:dyDescent="0.35">
      <c r="A30" s="20">
        <v>202112</v>
      </c>
      <c r="B30" s="17">
        <v>44531</v>
      </c>
      <c r="C30" s="15">
        <f>(SUMIFS('MAIN DATA, Orders'!$S:$S,'MAIN DATA, Orders'!$Y:$Y,$A30,'MAIN DATA, Orders'!$D:$D,"Germany",'MAIN DATA, Orders'!$I:$I,"Air defence system")/1000000000)</f>
        <v>0</v>
      </c>
      <c r="D30" s="15">
        <f>(SUMIFS('MAIN DATA, Orders'!$S:$S,'MAIN DATA, Orders'!$Y:$Y,$A30,'MAIN DATA, Orders'!$D:$D,"Germany",'MAIN DATA, Orders'!$I:$I,"Development - Air defence system")/1000000000)</f>
        <v>0</v>
      </c>
      <c r="E30" s="15">
        <f>(SUMIFS('MAIN DATA, Orders'!$S:$S,'MAIN DATA, Orders'!$Y:$Y,$A30,'MAIN DATA, Orders'!$D:$D,"Germany",'MAIN DATA, Orders'!$I:$I,"Aircraft")/1000000000)</f>
        <v>0</v>
      </c>
      <c r="F30" s="15">
        <f>(SUMIFS('MAIN DATA, Orders'!$S:$S,'MAIN DATA, Orders'!$Y:$Y,$A30,'MAIN DATA, Orders'!$D:$D,"Germany",'MAIN DATA, Orders'!$I:$I,"Development - Aircraft")/1000000000)</f>
        <v>0</v>
      </c>
      <c r="G30" s="15">
        <f>(SUMIFS('MAIN DATA, Orders'!$S:$S,'MAIN DATA, Orders'!$Y:$Y,$A30,'MAIN DATA, Orders'!$D:$D,"Germany",'MAIN DATA, Orders'!$I:$I,"Ammunition")/1000000000)</f>
        <v>0</v>
      </c>
      <c r="H30" s="15">
        <f>(SUMIFS('MAIN DATA, Orders'!$S:$S,'MAIN DATA, Orders'!$Y:$Y,$A30,'MAIN DATA, Orders'!$D:$D,"Germany",'MAIN DATA, Orders'!$I:$I,"Development - Ammunition")/1000000000)</f>
        <v>0</v>
      </c>
      <c r="I30" s="15">
        <f>(SUMIFS('MAIN DATA, Orders'!$S:$S,'MAIN DATA, Orders'!$Y:$Y,$A30,'MAIN DATA, Orders'!$D:$D,"Germany",'MAIN DATA, Orders'!$I:$I,"Armoured vehicle")/1000000000)</f>
        <v>0</v>
      </c>
      <c r="J30" s="15">
        <f>(SUMIFS('MAIN DATA, Orders'!$S:$S,'MAIN DATA, Orders'!$Y:$Y,$A30,'MAIN DATA, Orders'!$D:$D,"Germany",'MAIN DATA, Orders'!$I:$I,"Development - Armoured vehicle")/1000000000)</f>
        <v>0</v>
      </c>
      <c r="K30" s="15">
        <f>(SUMIFS('MAIN DATA, Orders'!$S:$S,'MAIN DATA, Orders'!$Y:$Y,$A30,'MAIN DATA, Orders'!$D:$D,"Germany",'MAIN DATA, Orders'!$I:$I,"Artillery")/1000000000)</f>
        <v>0</v>
      </c>
      <c r="L30" s="15">
        <f>(SUMIFS('MAIN DATA, Orders'!$S:$S,'MAIN DATA, Orders'!$Y:$Y,$A30,'MAIN DATA, Orders'!$D:$D,"Germany",'MAIN DATA, Orders'!$I:$I,"Development - Artillery")/1000000000)</f>
        <v>0</v>
      </c>
      <c r="M30" s="15">
        <f>(SUMIFS('MAIN DATA, Orders'!$S:$S,'MAIN DATA, Orders'!$Y:$Y,$A30,'MAIN DATA, Orders'!$D:$D,"Germany",'MAIN DATA, Orders'!$I:$I,"Drone")/1000000000)</f>
        <v>0</v>
      </c>
      <c r="N30" s="15">
        <f>(SUMIFS('MAIN DATA, Orders'!$S:$S,'MAIN DATA, Orders'!$Y:$Y,$A30,'MAIN DATA, Orders'!$D:$D,"Germany",'MAIN DATA, Orders'!$I:$I,"Development - Drone")/1000000000)</f>
        <v>0</v>
      </c>
      <c r="O30" s="15">
        <f>(SUMIFS('MAIN DATA, Orders'!$S:$S,'MAIN DATA, Orders'!$Y:$Y,$A30,'MAIN DATA, Orders'!$D:$D,"Germany",'MAIN DATA, Orders'!$I:$I,"Helicopter")/1000000000)</f>
        <v>0</v>
      </c>
      <c r="P30" s="15">
        <f>(SUMIFS('MAIN DATA, Orders'!$S:$S,'MAIN DATA, Orders'!$Y:$Y,$A30,'MAIN DATA, Orders'!$D:$D,"Germany",'MAIN DATA, Orders'!$I:$I,"Development - Helicopter")/1000000000)</f>
        <v>0</v>
      </c>
      <c r="Q30" s="15">
        <f>(SUMIFS('MAIN DATA, Orders'!$S:$S,'MAIN DATA, Orders'!$Y:$Y,$A30,'MAIN DATA, Orders'!$D:$D,"Germany",'MAIN DATA, Orders'!$I:$I,"Infantry")/1000000000)</f>
        <v>0</v>
      </c>
      <c r="R30" s="15">
        <f>(SUMIFS('MAIN DATA, Orders'!$S:$S,'MAIN DATA, Orders'!$Y:$Y,$A30,'MAIN DATA, Orders'!$D:$D,"Germany",'MAIN DATA, Orders'!$I:$I,"Development - Infantry")/1000000000)</f>
        <v>0</v>
      </c>
      <c r="S30" s="15">
        <f>(SUMIFS('MAIN DATA, Orders'!$S:$S,'MAIN DATA, Orders'!$Y:$Y,$A30,'MAIN DATA, Orders'!$D:$D,"Germany",'MAIN DATA, Orders'!$I:$I,"Tank")/1000000000)</f>
        <v>0</v>
      </c>
      <c r="T30" s="15">
        <f>(SUMIFS('MAIN DATA, Orders'!$S:$S,'MAIN DATA, Orders'!$Y:$Y,$A30,'MAIN DATA, Orders'!$D:$D,"Germany",'MAIN DATA, Orders'!$I:$I,"Development - Tank")/1000000000)</f>
        <v>0</v>
      </c>
      <c r="U30" s="15">
        <f>(SUMIFS('MAIN DATA, Orders'!$S:$S,'MAIN DATA, Orders'!$Y:$Y,$A30,'MAIN DATA, Orders'!$D:$D,"Germany",'MAIN DATA, Orders'!$I:$I,"Maintenance")/1000000000)</f>
        <v>0</v>
      </c>
      <c r="V30" s="15">
        <f>(SUMIFS('MAIN DATA, Orders'!$S:$S,'MAIN DATA, Orders'!$Y:$Y,$A30,'MAIN DATA, Orders'!$D:$D,"Germany",'MAIN DATA, Orders'!$I:$I,"Development - Maintenance")/1000000000)</f>
        <v>0</v>
      </c>
      <c r="W30" s="15">
        <f>(SUMIFS('MAIN DATA, Orders'!$S:$S,'MAIN DATA, Orders'!$Y:$Y,$A30,'MAIN DATA, Orders'!$D:$D,"Germany",'MAIN DATA, Orders'!$I:$I,"Mine")/1000000000)</f>
        <v>0</v>
      </c>
      <c r="X30" s="15">
        <f>(SUMIFS('MAIN DATA, Orders'!$S:$S,'MAIN DATA, Orders'!$Y:$Y,$A30,'MAIN DATA, Orders'!$D:$D,"Germany",'MAIN DATA, Orders'!$I:$I,"Development - Mine")/1000000000)</f>
        <v>0</v>
      </c>
      <c r="Y30" s="15">
        <f>(SUMIFS('MAIN DATA, Orders'!$S:$S,'MAIN DATA, Orders'!$Y:$Y,$A30,'MAIN DATA, Orders'!$D:$D,"Germany",'MAIN DATA, Orders'!$J:$J,"6")/1000000000)</f>
        <v>0</v>
      </c>
      <c r="Z30" s="15" cm="1">
        <f t="array" ref="Z30">SUM(SUMIFS('MAIN DATA, Orders'!$S:$S,'MAIN DATA, Orders'!$Y:$Y,$A30,'MAIN DATA, Orders'!$D:$D,"Germany",'MAIN DATA, Orders'!$I:$I,{"Development - Missile (Land)","Development - Missile (Naval)","Development - Missile (Air)"})/1000000000)</f>
        <v>0</v>
      </c>
      <c r="AA30" s="15">
        <f>(SUMIFS('MAIN DATA, Orders'!$S:$S,'MAIN DATA, Orders'!$Y:$Y,$A30,'MAIN DATA, Orders'!$D:$D,"Germany",'MAIN DATA, Orders'!$I:$I,"Modernisation")/1000000000)</f>
        <v>0</v>
      </c>
      <c r="AB30" s="15">
        <f>(SUMIFS('MAIN DATA, Orders'!$S:$S,'MAIN DATA, Orders'!$Y:$Y,$A30,'MAIN DATA, Orders'!$D:$D,"Germany",'MAIN DATA, Orders'!$I:$I,"Development - Modernisation")/1000000000)</f>
        <v>0</v>
      </c>
      <c r="AC30" s="15">
        <f>(SUMIFS('MAIN DATA, Orders'!$S:$S,'MAIN DATA, Orders'!$Y:$Y,$A30,'MAIN DATA, Orders'!$D:$D,"Germany",'MAIN DATA, Orders'!$I:$I,"Naval")/1000000000)</f>
        <v>0</v>
      </c>
      <c r="AD30" s="15">
        <f>(SUMIFS('MAIN DATA, Orders'!$S:$S,'MAIN DATA, Orders'!$Y:$Y,$A30,'MAIN DATA, Orders'!$D:$D,"Germany",'MAIN DATA, Orders'!$I:$I,"Development - Naval")/1000000000)</f>
        <v>0</v>
      </c>
      <c r="AE30" s="15">
        <f>(SUMIFS('MAIN DATA, Orders'!$S:$S,'MAIN DATA, Orders'!$Y:$Y,$A30,'MAIN DATA, Orders'!$D:$D,"Germany",'MAIN DATA, Orders'!$I:$I,"Other")/1000000000)</f>
        <v>0</v>
      </c>
      <c r="AF30" s="15">
        <f>(SUMIFS('MAIN DATA, Orders'!$S:$S,'MAIN DATA, Orders'!$Y:$Y,$A30,'MAIN DATA, Orders'!$D:$D,"Germany",'MAIN DATA, Orders'!$I:$I,"Development - Other")/1000000000)</f>
        <v>0</v>
      </c>
      <c r="AG30" s="15"/>
      <c r="AH30" s="15" cm="1">
        <f t="array" ref="AH30">SUM(SUMIFS('MAIN DATA, Orders'!$S:$S,'MAIN DATA, Orders'!$Y:$Y,$A30,'MAIN DATA, Orders'!$D:$D,"Germany",'MAIN DATA, Orders'!$I:$I,{"Missile (Land)","Development - Missile (Land)"})/1000000000)</f>
        <v>0</v>
      </c>
      <c r="AI30" s="15" cm="1">
        <f t="array" ref="AI30">SUM(SUMIFS('MAIN DATA, Orders'!$S:$S,'MAIN DATA, Orders'!$D:$D,"Germany",'MAIN DATA, Orders'!$I:$I,{"Missile (Air)","Development - Missile (Air)"},'MAIN DATA, Orders'!$Y:$Y,$A30)/1000000000)</f>
        <v>0</v>
      </c>
      <c r="AJ30" s="15" cm="1">
        <f t="array" ref="AJ30">SUM(SUMIFS('MAIN DATA, Orders'!$S:$S,'MAIN DATA, Orders'!$Y:$Y,$A30,'MAIN DATA, Orders'!$D:$D,"Germany",'MAIN DATA, Orders'!$I:$I,{"Missile (Naval)","Development - Missile (Naval)"})/1000000000)</f>
        <v>0</v>
      </c>
    </row>
    <row r="31" spans="1:36" x14ac:dyDescent="0.35">
      <c r="A31" s="20">
        <v>202201</v>
      </c>
      <c r="B31" s="17">
        <v>44562</v>
      </c>
      <c r="C31" s="15">
        <f>(SUMIFS('MAIN DATA, Orders'!$S:$S,'MAIN DATA, Orders'!$Y:$Y,$A31,'MAIN DATA, Orders'!$D:$D,"Germany",'MAIN DATA, Orders'!$I:$I,"Air defence system")/1000000000)</f>
        <v>0</v>
      </c>
      <c r="D31" s="15">
        <f>(SUMIFS('MAIN DATA, Orders'!$S:$S,'MAIN DATA, Orders'!$Y:$Y,$A31,'MAIN DATA, Orders'!$D:$D,"Germany",'MAIN DATA, Orders'!$I:$I,"Development - Air defence system")/1000000000)</f>
        <v>0</v>
      </c>
      <c r="E31" s="15">
        <f>(SUMIFS('MAIN DATA, Orders'!$S:$S,'MAIN DATA, Orders'!$Y:$Y,$A31,'MAIN DATA, Orders'!$D:$D,"Germany",'MAIN DATA, Orders'!$I:$I,"Aircraft")/1000000000)</f>
        <v>0</v>
      </c>
      <c r="F31" s="15">
        <f>(SUMIFS('MAIN DATA, Orders'!$S:$S,'MAIN DATA, Orders'!$Y:$Y,$A31,'MAIN DATA, Orders'!$D:$D,"Germany",'MAIN DATA, Orders'!$I:$I,"Development - Aircraft")/1000000000)</f>
        <v>0</v>
      </c>
      <c r="G31" s="15">
        <f>(SUMIFS('MAIN DATA, Orders'!$S:$S,'MAIN DATA, Orders'!$Y:$Y,$A31,'MAIN DATA, Orders'!$D:$D,"Germany",'MAIN DATA, Orders'!$I:$I,"Ammunition")/1000000000)</f>
        <v>0</v>
      </c>
      <c r="H31" s="15">
        <f>(SUMIFS('MAIN DATA, Orders'!$S:$S,'MAIN DATA, Orders'!$Y:$Y,$A31,'MAIN DATA, Orders'!$D:$D,"Germany",'MAIN DATA, Orders'!$I:$I,"Development - Ammunition")/1000000000)</f>
        <v>0</v>
      </c>
      <c r="I31" s="15">
        <f>(SUMIFS('MAIN DATA, Orders'!$S:$S,'MAIN DATA, Orders'!$Y:$Y,$A31,'MAIN DATA, Orders'!$D:$D,"Germany",'MAIN DATA, Orders'!$I:$I,"Armoured vehicle")/1000000000)</f>
        <v>0</v>
      </c>
      <c r="J31" s="15">
        <f>(SUMIFS('MAIN DATA, Orders'!$S:$S,'MAIN DATA, Orders'!$Y:$Y,$A31,'MAIN DATA, Orders'!$D:$D,"Germany",'MAIN DATA, Orders'!$I:$I,"Development - Armoured vehicle")/1000000000)</f>
        <v>0</v>
      </c>
      <c r="K31" s="15">
        <f>(SUMIFS('MAIN DATA, Orders'!$S:$S,'MAIN DATA, Orders'!$Y:$Y,$A31,'MAIN DATA, Orders'!$D:$D,"Germany",'MAIN DATA, Orders'!$I:$I,"Artillery")/1000000000)</f>
        <v>0</v>
      </c>
      <c r="L31" s="15">
        <f>(SUMIFS('MAIN DATA, Orders'!$S:$S,'MAIN DATA, Orders'!$Y:$Y,$A31,'MAIN DATA, Orders'!$D:$D,"Germany",'MAIN DATA, Orders'!$I:$I,"Development - Artillery")/1000000000)</f>
        <v>0</v>
      </c>
      <c r="M31" s="15">
        <f>(SUMIFS('MAIN DATA, Orders'!$S:$S,'MAIN DATA, Orders'!$Y:$Y,$A31,'MAIN DATA, Orders'!$D:$D,"Germany",'MAIN DATA, Orders'!$I:$I,"Drone")/1000000000)</f>
        <v>0</v>
      </c>
      <c r="N31" s="15">
        <f>(SUMIFS('MAIN DATA, Orders'!$S:$S,'MAIN DATA, Orders'!$Y:$Y,$A31,'MAIN DATA, Orders'!$D:$D,"Germany",'MAIN DATA, Orders'!$I:$I,"Development - Drone")/1000000000)</f>
        <v>0</v>
      </c>
      <c r="O31" s="15">
        <f>(SUMIFS('MAIN DATA, Orders'!$S:$S,'MAIN DATA, Orders'!$Y:$Y,$A31,'MAIN DATA, Orders'!$D:$D,"Germany",'MAIN DATA, Orders'!$I:$I,"Helicopter")/1000000000)</f>
        <v>0</v>
      </c>
      <c r="P31" s="15">
        <f>(SUMIFS('MAIN DATA, Orders'!$S:$S,'MAIN DATA, Orders'!$Y:$Y,$A31,'MAIN DATA, Orders'!$D:$D,"Germany",'MAIN DATA, Orders'!$I:$I,"Development - Helicopter")/1000000000)</f>
        <v>0</v>
      </c>
      <c r="Q31" s="15">
        <f>(SUMIFS('MAIN DATA, Orders'!$S:$S,'MAIN DATA, Orders'!$Y:$Y,$A31,'MAIN DATA, Orders'!$D:$D,"Germany",'MAIN DATA, Orders'!$I:$I,"Infantry")/1000000000)</f>
        <v>0</v>
      </c>
      <c r="R31" s="15">
        <f>(SUMIFS('MAIN DATA, Orders'!$S:$S,'MAIN DATA, Orders'!$Y:$Y,$A31,'MAIN DATA, Orders'!$D:$D,"Germany",'MAIN DATA, Orders'!$I:$I,"Development - Infantry")/1000000000)</f>
        <v>0</v>
      </c>
      <c r="S31" s="15">
        <f>(SUMIFS('MAIN DATA, Orders'!$S:$S,'MAIN DATA, Orders'!$Y:$Y,$A31,'MAIN DATA, Orders'!$D:$D,"Germany",'MAIN DATA, Orders'!$I:$I,"Tank")/1000000000)</f>
        <v>0</v>
      </c>
      <c r="T31" s="15">
        <f>(SUMIFS('MAIN DATA, Orders'!$S:$S,'MAIN DATA, Orders'!$Y:$Y,$A31,'MAIN DATA, Orders'!$D:$D,"Germany",'MAIN DATA, Orders'!$I:$I,"Development - Tank")/1000000000)</f>
        <v>0</v>
      </c>
      <c r="U31" s="15">
        <f>(SUMIFS('MAIN DATA, Orders'!$S:$S,'MAIN DATA, Orders'!$Y:$Y,$A31,'MAIN DATA, Orders'!$D:$D,"Germany",'MAIN DATA, Orders'!$I:$I,"Maintenance")/1000000000)</f>
        <v>0</v>
      </c>
      <c r="V31" s="15">
        <f>(SUMIFS('MAIN DATA, Orders'!$S:$S,'MAIN DATA, Orders'!$Y:$Y,$A31,'MAIN DATA, Orders'!$D:$D,"Germany",'MAIN DATA, Orders'!$I:$I,"Development - Maintenance")/1000000000)</f>
        <v>0</v>
      </c>
      <c r="W31" s="15">
        <f>(SUMIFS('MAIN DATA, Orders'!$S:$S,'MAIN DATA, Orders'!$Y:$Y,$A31,'MAIN DATA, Orders'!$D:$D,"Germany",'MAIN DATA, Orders'!$I:$I,"Mine")/1000000000)</f>
        <v>0</v>
      </c>
      <c r="X31" s="15">
        <f>(SUMIFS('MAIN DATA, Orders'!$S:$S,'MAIN DATA, Orders'!$Y:$Y,$A31,'MAIN DATA, Orders'!$D:$D,"Germany",'MAIN DATA, Orders'!$I:$I,"Development - Mine")/1000000000)</f>
        <v>0</v>
      </c>
      <c r="Y31" s="15">
        <f>(SUMIFS('MAIN DATA, Orders'!$S:$S,'MAIN DATA, Orders'!$Y:$Y,$A31,'MAIN DATA, Orders'!$D:$D,"Germany",'MAIN DATA, Orders'!$J:$J,"6")/1000000000)</f>
        <v>0</v>
      </c>
      <c r="Z31" s="15" cm="1">
        <f t="array" ref="Z31">SUM(SUMIFS('MAIN DATA, Orders'!$S:$S,'MAIN DATA, Orders'!$Y:$Y,$A31,'MAIN DATA, Orders'!$D:$D,"Germany",'MAIN DATA, Orders'!$I:$I,{"Development - Missile (Land)","Development - Missile (Naval)","Development - Missile (Air)"})/1000000000)</f>
        <v>0</v>
      </c>
      <c r="AA31" s="15">
        <f>(SUMIFS('MAIN DATA, Orders'!$S:$S,'MAIN DATA, Orders'!$Y:$Y,$A31,'MAIN DATA, Orders'!$D:$D,"Germany",'MAIN DATA, Orders'!$I:$I,"Modernisation")/1000000000)</f>
        <v>0</v>
      </c>
      <c r="AB31" s="15">
        <f>(SUMIFS('MAIN DATA, Orders'!$S:$S,'MAIN DATA, Orders'!$Y:$Y,$A31,'MAIN DATA, Orders'!$D:$D,"Germany",'MAIN DATA, Orders'!$I:$I,"Development - Modernisation")/1000000000)</f>
        <v>0</v>
      </c>
      <c r="AC31" s="15">
        <f>(SUMIFS('MAIN DATA, Orders'!$S:$S,'MAIN DATA, Orders'!$Y:$Y,$A31,'MAIN DATA, Orders'!$D:$D,"Germany",'MAIN DATA, Orders'!$I:$I,"Naval")/1000000000)</f>
        <v>0</v>
      </c>
      <c r="AD31" s="15">
        <f>(SUMIFS('MAIN DATA, Orders'!$S:$S,'MAIN DATA, Orders'!$Y:$Y,$A31,'MAIN DATA, Orders'!$D:$D,"Germany",'MAIN DATA, Orders'!$I:$I,"Development - Naval")/1000000000)</f>
        <v>0</v>
      </c>
      <c r="AE31" s="15">
        <f>(SUMIFS('MAIN DATA, Orders'!$S:$S,'MAIN DATA, Orders'!$Y:$Y,$A31,'MAIN DATA, Orders'!$D:$D,"Germany",'MAIN DATA, Orders'!$I:$I,"Other")/1000000000)</f>
        <v>0</v>
      </c>
      <c r="AF31" s="15">
        <f>(SUMIFS('MAIN DATA, Orders'!$S:$S,'MAIN DATA, Orders'!$Y:$Y,$A31,'MAIN DATA, Orders'!$D:$D,"Germany",'MAIN DATA, Orders'!$I:$I,"Development - Other")/1000000000)</f>
        <v>0</v>
      </c>
      <c r="AG31" s="15"/>
      <c r="AH31" s="15" cm="1">
        <f t="array" ref="AH31">SUM(SUMIFS('MAIN DATA, Orders'!$S:$S,'MAIN DATA, Orders'!$Y:$Y,$A31,'MAIN DATA, Orders'!$D:$D,"Germany",'MAIN DATA, Orders'!$I:$I,{"Missile (Land)","Development - Missile (Land)"})/1000000000)</f>
        <v>0</v>
      </c>
      <c r="AI31" s="15" cm="1">
        <f t="array" ref="AI31">SUM(SUMIFS('MAIN DATA, Orders'!$S:$S,'MAIN DATA, Orders'!$D:$D,"Germany",'MAIN DATA, Orders'!$I:$I,{"Missile (Air)","Development - Missile (Air)"},'MAIN DATA, Orders'!$Y:$Y,$A31)/1000000000)</f>
        <v>0</v>
      </c>
      <c r="AJ31" s="15" cm="1">
        <f t="array" ref="AJ31">SUM(SUMIFS('MAIN DATA, Orders'!$S:$S,'MAIN DATA, Orders'!$Y:$Y,$A31,'MAIN DATA, Orders'!$D:$D,"Germany",'MAIN DATA, Orders'!$I:$I,{"Missile (Naval)","Development - Missile (Naval)"})/1000000000)</f>
        <v>0</v>
      </c>
    </row>
    <row r="32" spans="1:36" x14ac:dyDescent="0.35">
      <c r="A32" s="20">
        <v>202202</v>
      </c>
      <c r="B32" s="17">
        <v>44593</v>
      </c>
      <c r="C32" s="15">
        <f>(SUMIFS('MAIN DATA, Orders'!$S:$S,'MAIN DATA, Orders'!$Y:$Y,$A32,'MAIN DATA, Orders'!$D:$D,"Germany",'MAIN DATA, Orders'!$I:$I,"Air defence system")/1000000000)</f>
        <v>0</v>
      </c>
      <c r="D32" s="15">
        <f>(SUMIFS('MAIN DATA, Orders'!$S:$S,'MAIN DATA, Orders'!$Y:$Y,$A32,'MAIN DATA, Orders'!$D:$D,"Germany",'MAIN DATA, Orders'!$I:$I,"Development - Air defence system")/1000000000)</f>
        <v>0</v>
      </c>
      <c r="E32" s="15">
        <f>(SUMIFS('MAIN DATA, Orders'!$S:$S,'MAIN DATA, Orders'!$Y:$Y,$A32,'MAIN DATA, Orders'!$D:$D,"Germany",'MAIN DATA, Orders'!$I:$I,"Aircraft")/1000000000)</f>
        <v>0</v>
      </c>
      <c r="F32" s="15">
        <f>(SUMIFS('MAIN DATA, Orders'!$S:$S,'MAIN DATA, Orders'!$Y:$Y,$A32,'MAIN DATA, Orders'!$D:$D,"Germany",'MAIN DATA, Orders'!$I:$I,"Development - Aircraft")/1000000000)</f>
        <v>0</v>
      </c>
      <c r="G32" s="15">
        <f>(SUMIFS('MAIN DATA, Orders'!$S:$S,'MAIN DATA, Orders'!$Y:$Y,$A32,'MAIN DATA, Orders'!$D:$D,"Germany",'MAIN DATA, Orders'!$I:$I,"Ammunition")/1000000000)</f>
        <v>0</v>
      </c>
      <c r="H32" s="15">
        <f>(SUMIFS('MAIN DATA, Orders'!$S:$S,'MAIN DATA, Orders'!$Y:$Y,$A32,'MAIN DATA, Orders'!$D:$D,"Germany",'MAIN DATA, Orders'!$I:$I,"Development - Ammunition")/1000000000)</f>
        <v>0</v>
      </c>
      <c r="I32" s="15">
        <f>(SUMIFS('MAIN DATA, Orders'!$S:$S,'MAIN DATA, Orders'!$Y:$Y,$A32,'MAIN DATA, Orders'!$D:$D,"Germany",'MAIN DATA, Orders'!$I:$I,"Armoured vehicle")/1000000000)</f>
        <v>0</v>
      </c>
      <c r="J32" s="15">
        <f>(SUMIFS('MAIN DATA, Orders'!$S:$S,'MAIN DATA, Orders'!$Y:$Y,$A32,'MAIN DATA, Orders'!$D:$D,"Germany",'MAIN DATA, Orders'!$I:$I,"Development - Armoured vehicle")/1000000000)</f>
        <v>0</v>
      </c>
      <c r="K32" s="15">
        <f>(SUMIFS('MAIN DATA, Orders'!$S:$S,'MAIN DATA, Orders'!$Y:$Y,$A32,'MAIN DATA, Orders'!$D:$D,"Germany",'MAIN DATA, Orders'!$I:$I,"Artillery")/1000000000)</f>
        <v>0</v>
      </c>
      <c r="L32" s="15">
        <f>(SUMIFS('MAIN DATA, Orders'!$S:$S,'MAIN DATA, Orders'!$Y:$Y,$A32,'MAIN DATA, Orders'!$D:$D,"Germany",'MAIN DATA, Orders'!$I:$I,"Development - Artillery")/1000000000)</f>
        <v>0</v>
      </c>
      <c r="M32" s="15">
        <f>(SUMIFS('MAIN DATA, Orders'!$S:$S,'MAIN DATA, Orders'!$Y:$Y,$A32,'MAIN DATA, Orders'!$D:$D,"Germany",'MAIN DATA, Orders'!$I:$I,"Drone")/1000000000)</f>
        <v>0</v>
      </c>
      <c r="N32" s="15">
        <f>(SUMIFS('MAIN DATA, Orders'!$S:$S,'MAIN DATA, Orders'!$Y:$Y,$A32,'MAIN DATA, Orders'!$D:$D,"Germany",'MAIN DATA, Orders'!$I:$I,"Development - Drone")/1000000000)</f>
        <v>0</v>
      </c>
      <c r="O32" s="15">
        <f>(SUMIFS('MAIN DATA, Orders'!$S:$S,'MAIN DATA, Orders'!$Y:$Y,$A32,'MAIN DATA, Orders'!$D:$D,"Germany",'MAIN DATA, Orders'!$I:$I,"Helicopter")/1000000000)</f>
        <v>0</v>
      </c>
      <c r="P32" s="15">
        <f>(SUMIFS('MAIN DATA, Orders'!$S:$S,'MAIN DATA, Orders'!$Y:$Y,$A32,'MAIN DATA, Orders'!$D:$D,"Germany",'MAIN DATA, Orders'!$I:$I,"Development - Helicopter")/1000000000)</f>
        <v>0</v>
      </c>
      <c r="Q32" s="15">
        <f>(SUMIFS('MAIN DATA, Orders'!$S:$S,'MAIN DATA, Orders'!$Y:$Y,$A32,'MAIN DATA, Orders'!$D:$D,"Germany",'MAIN DATA, Orders'!$I:$I,"Infantry")/1000000000)</f>
        <v>0</v>
      </c>
      <c r="R32" s="15">
        <f>(SUMIFS('MAIN DATA, Orders'!$S:$S,'MAIN DATA, Orders'!$Y:$Y,$A32,'MAIN DATA, Orders'!$D:$D,"Germany",'MAIN DATA, Orders'!$I:$I,"Development - Infantry")/1000000000)</f>
        <v>0</v>
      </c>
      <c r="S32" s="15">
        <f>(SUMIFS('MAIN DATA, Orders'!$S:$S,'MAIN DATA, Orders'!$Y:$Y,$A32,'MAIN DATA, Orders'!$D:$D,"Germany",'MAIN DATA, Orders'!$I:$I,"Tank")/1000000000)</f>
        <v>0</v>
      </c>
      <c r="T32" s="15">
        <f>(SUMIFS('MAIN DATA, Orders'!$S:$S,'MAIN DATA, Orders'!$Y:$Y,$A32,'MAIN DATA, Orders'!$D:$D,"Germany",'MAIN DATA, Orders'!$I:$I,"Development - Tank")/1000000000)</f>
        <v>0</v>
      </c>
      <c r="U32" s="15">
        <f>(SUMIFS('MAIN DATA, Orders'!$S:$S,'MAIN DATA, Orders'!$Y:$Y,$A32,'MAIN DATA, Orders'!$D:$D,"Germany",'MAIN DATA, Orders'!$I:$I,"Maintenance")/1000000000)</f>
        <v>0</v>
      </c>
      <c r="V32" s="15">
        <f>(SUMIFS('MAIN DATA, Orders'!$S:$S,'MAIN DATA, Orders'!$Y:$Y,$A32,'MAIN DATA, Orders'!$D:$D,"Germany",'MAIN DATA, Orders'!$I:$I,"Development - Maintenance")/1000000000)</f>
        <v>0</v>
      </c>
      <c r="W32" s="15">
        <f>(SUMIFS('MAIN DATA, Orders'!$S:$S,'MAIN DATA, Orders'!$Y:$Y,$A32,'MAIN DATA, Orders'!$D:$D,"Germany",'MAIN DATA, Orders'!$I:$I,"Mine")/1000000000)</f>
        <v>0</v>
      </c>
      <c r="X32" s="15">
        <f>(SUMIFS('MAIN DATA, Orders'!$S:$S,'MAIN DATA, Orders'!$Y:$Y,$A32,'MAIN DATA, Orders'!$D:$D,"Germany",'MAIN DATA, Orders'!$I:$I,"Development - Mine")/1000000000)</f>
        <v>0</v>
      </c>
      <c r="Y32" s="15">
        <f>(SUMIFS('MAIN DATA, Orders'!$S:$S,'MAIN DATA, Orders'!$Y:$Y,$A32,'MAIN DATA, Orders'!$D:$D,"Germany",'MAIN DATA, Orders'!$J:$J,"6")/1000000000)</f>
        <v>0</v>
      </c>
      <c r="Z32" s="15" cm="1">
        <f t="array" ref="Z32">SUM(SUMIFS('MAIN DATA, Orders'!$S:$S,'MAIN DATA, Orders'!$Y:$Y,$A32,'MAIN DATA, Orders'!$D:$D,"Germany",'MAIN DATA, Orders'!$I:$I,{"Development - Missile (Land)","Development - Missile (Naval)","Development - Missile (Air)"})/1000000000)</f>
        <v>0</v>
      </c>
      <c r="AA32" s="15">
        <f>(SUMIFS('MAIN DATA, Orders'!$S:$S,'MAIN DATA, Orders'!$Y:$Y,$A32,'MAIN DATA, Orders'!$D:$D,"Germany",'MAIN DATA, Orders'!$I:$I,"Modernisation")/1000000000)</f>
        <v>0</v>
      </c>
      <c r="AB32" s="15">
        <f>(SUMIFS('MAIN DATA, Orders'!$S:$S,'MAIN DATA, Orders'!$Y:$Y,$A32,'MAIN DATA, Orders'!$D:$D,"Germany",'MAIN DATA, Orders'!$I:$I,"Development - Modernisation")/1000000000)</f>
        <v>0</v>
      </c>
      <c r="AC32" s="15">
        <f>(SUMIFS('MAIN DATA, Orders'!$S:$S,'MAIN DATA, Orders'!$Y:$Y,$A32,'MAIN DATA, Orders'!$D:$D,"Germany",'MAIN DATA, Orders'!$I:$I,"Naval")/1000000000)</f>
        <v>0</v>
      </c>
      <c r="AD32" s="15">
        <f>(SUMIFS('MAIN DATA, Orders'!$S:$S,'MAIN DATA, Orders'!$Y:$Y,$A32,'MAIN DATA, Orders'!$D:$D,"Germany",'MAIN DATA, Orders'!$I:$I,"Development - Naval")/1000000000)</f>
        <v>0</v>
      </c>
      <c r="AE32" s="15">
        <f>(SUMIFS('MAIN DATA, Orders'!$S:$S,'MAIN DATA, Orders'!$Y:$Y,$A32,'MAIN DATA, Orders'!$D:$D,"Germany",'MAIN DATA, Orders'!$I:$I,"Other")/1000000000)</f>
        <v>0</v>
      </c>
      <c r="AF32" s="15">
        <f>(SUMIFS('MAIN DATA, Orders'!$S:$S,'MAIN DATA, Orders'!$Y:$Y,$A32,'MAIN DATA, Orders'!$D:$D,"Germany",'MAIN DATA, Orders'!$I:$I,"Development - Other")/1000000000)</f>
        <v>0</v>
      </c>
      <c r="AG32" s="15"/>
      <c r="AH32" s="15" cm="1">
        <f t="array" ref="AH32">SUM(SUMIFS('MAIN DATA, Orders'!$S:$S,'MAIN DATA, Orders'!$Y:$Y,$A32,'MAIN DATA, Orders'!$D:$D,"Germany",'MAIN DATA, Orders'!$I:$I,{"Missile (Land)","Development - Missile (Land)"})/1000000000)</f>
        <v>0</v>
      </c>
      <c r="AI32" s="15" cm="1">
        <f t="array" ref="AI32">SUM(SUMIFS('MAIN DATA, Orders'!$S:$S,'MAIN DATA, Orders'!$D:$D,"Germany",'MAIN DATA, Orders'!$I:$I,{"Missile (Air)","Development - Missile (Air)"},'MAIN DATA, Orders'!$Y:$Y,$A32)/1000000000)</f>
        <v>0</v>
      </c>
      <c r="AJ32" s="15" cm="1">
        <f t="array" ref="AJ32">SUM(SUMIFS('MAIN DATA, Orders'!$S:$S,'MAIN DATA, Orders'!$Y:$Y,$A32,'MAIN DATA, Orders'!$D:$D,"Germany",'MAIN DATA, Orders'!$I:$I,{"Missile (Naval)","Development - Missile (Naval)"})/1000000000)</f>
        <v>0</v>
      </c>
    </row>
    <row r="33" spans="1:36" x14ac:dyDescent="0.35">
      <c r="A33" s="20">
        <v>202203</v>
      </c>
      <c r="B33" s="17">
        <v>44621</v>
      </c>
      <c r="C33" s="15">
        <f>(SUMIFS('MAIN DATA, Orders'!$S:$S,'MAIN DATA, Orders'!$Y:$Y,$A33,'MAIN DATA, Orders'!$D:$D,"Germany",'MAIN DATA, Orders'!$I:$I,"Air defence system")/1000000000)</f>
        <v>0</v>
      </c>
      <c r="D33" s="15">
        <f>(SUMIFS('MAIN DATA, Orders'!$S:$S,'MAIN DATA, Orders'!$Y:$Y,$A33,'MAIN DATA, Orders'!$D:$D,"Germany",'MAIN DATA, Orders'!$I:$I,"Development - Air defence system")/1000000000)</f>
        <v>0</v>
      </c>
      <c r="E33" s="15">
        <f>(SUMIFS('MAIN DATA, Orders'!$S:$S,'MAIN DATA, Orders'!$Y:$Y,$A33,'MAIN DATA, Orders'!$D:$D,"Germany",'MAIN DATA, Orders'!$I:$I,"Aircraft")/1000000000)</f>
        <v>0</v>
      </c>
      <c r="F33" s="15">
        <f>(SUMIFS('MAIN DATA, Orders'!$S:$S,'MAIN DATA, Orders'!$Y:$Y,$A33,'MAIN DATA, Orders'!$D:$D,"Germany",'MAIN DATA, Orders'!$I:$I,"Development - Aircraft")/1000000000)</f>
        <v>0</v>
      </c>
      <c r="G33" s="15">
        <f>(SUMIFS('MAIN DATA, Orders'!$S:$S,'MAIN DATA, Orders'!$Y:$Y,$A33,'MAIN DATA, Orders'!$D:$D,"Germany",'MAIN DATA, Orders'!$I:$I,"Ammunition")/1000000000)</f>
        <v>0</v>
      </c>
      <c r="H33" s="15">
        <f>(SUMIFS('MAIN DATA, Orders'!$S:$S,'MAIN DATA, Orders'!$Y:$Y,$A33,'MAIN DATA, Orders'!$D:$D,"Germany",'MAIN DATA, Orders'!$I:$I,"Development - Ammunition")/1000000000)</f>
        <v>0</v>
      </c>
      <c r="I33" s="15">
        <f>(SUMIFS('MAIN DATA, Orders'!$S:$S,'MAIN DATA, Orders'!$Y:$Y,$A33,'MAIN DATA, Orders'!$D:$D,"Germany",'MAIN DATA, Orders'!$I:$I,"Armoured vehicle")/1000000000)</f>
        <v>0</v>
      </c>
      <c r="J33" s="15">
        <f>(SUMIFS('MAIN DATA, Orders'!$S:$S,'MAIN DATA, Orders'!$Y:$Y,$A33,'MAIN DATA, Orders'!$D:$D,"Germany",'MAIN DATA, Orders'!$I:$I,"Development - Armoured vehicle")/1000000000)</f>
        <v>0</v>
      </c>
      <c r="K33" s="15">
        <f>(SUMIFS('MAIN DATA, Orders'!$S:$S,'MAIN DATA, Orders'!$Y:$Y,$A33,'MAIN DATA, Orders'!$D:$D,"Germany",'MAIN DATA, Orders'!$I:$I,"Artillery")/1000000000)</f>
        <v>0</v>
      </c>
      <c r="L33" s="15">
        <f>(SUMIFS('MAIN DATA, Orders'!$S:$S,'MAIN DATA, Orders'!$Y:$Y,$A33,'MAIN DATA, Orders'!$D:$D,"Germany",'MAIN DATA, Orders'!$I:$I,"Development - Artillery")/1000000000)</f>
        <v>0</v>
      </c>
      <c r="M33" s="15">
        <f>(SUMIFS('MAIN DATA, Orders'!$S:$S,'MAIN DATA, Orders'!$Y:$Y,$A33,'MAIN DATA, Orders'!$D:$D,"Germany",'MAIN DATA, Orders'!$I:$I,"Drone")/1000000000)</f>
        <v>0</v>
      </c>
      <c r="N33" s="15">
        <f>(SUMIFS('MAIN DATA, Orders'!$S:$S,'MAIN DATA, Orders'!$Y:$Y,$A33,'MAIN DATA, Orders'!$D:$D,"Germany",'MAIN DATA, Orders'!$I:$I,"Development - Drone")/1000000000)</f>
        <v>0</v>
      </c>
      <c r="O33" s="15">
        <f>(SUMIFS('MAIN DATA, Orders'!$S:$S,'MAIN DATA, Orders'!$Y:$Y,$A33,'MAIN DATA, Orders'!$D:$D,"Germany",'MAIN DATA, Orders'!$I:$I,"Helicopter")/1000000000)</f>
        <v>0</v>
      </c>
      <c r="P33" s="15">
        <f>(SUMIFS('MAIN DATA, Orders'!$S:$S,'MAIN DATA, Orders'!$Y:$Y,$A33,'MAIN DATA, Orders'!$D:$D,"Germany",'MAIN DATA, Orders'!$I:$I,"Development - Helicopter")/1000000000)</f>
        <v>0</v>
      </c>
      <c r="Q33" s="15">
        <f>(SUMIFS('MAIN DATA, Orders'!$S:$S,'MAIN DATA, Orders'!$Y:$Y,$A33,'MAIN DATA, Orders'!$D:$D,"Germany",'MAIN DATA, Orders'!$I:$I,"Infantry")/1000000000)</f>
        <v>0</v>
      </c>
      <c r="R33" s="15">
        <f>(SUMIFS('MAIN DATA, Orders'!$S:$S,'MAIN DATA, Orders'!$Y:$Y,$A33,'MAIN DATA, Orders'!$D:$D,"Germany",'MAIN DATA, Orders'!$I:$I,"Development - Infantry")/1000000000)</f>
        <v>0</v>
      </c>
      <c r="S33" s="15">
        <f>(SUMIFS('MAIN DATA, Orders'!$S:$S,'MAIN DATA, Orders'!$Y:$Y,$A33,'MAIN DATA, Orders'!$D:$D,"Germany",'MAIN DATA, Orders'!$I:$I,"Tank")/1000000000)</f>
        <v>0</v>
      </c>
      <c r="T33" s="15">
        <f>(SUMIFS('MAIN DATA, Orders'!$S:$S,'MAIN DATA, Orders'!$Y:$Y,$A33,'MAIN DATA, Orders'!$D:$D,"Germany",'MAIN DATA, Orders'!$I:$I,"Development - Tank")/1000000000)</f>
        <v>0</v>
      </c>
      <c r="U33" s="15">
        <f>(SUMIFS('MAIN DATA, Orders'!$S:$S,'MAIN DATA, Orders'!$Y:$Y,$A33,'MAIN DATA, Orders'!$D:$D,"Germany",'MAIN DATA, Orders'!$I:$I,"Maintenance")/1000000000)</f>
        <v>0</v>
      </c>
      <c r="V33" s="15">
        <f>(SUMIFS('MAIN DATA, Orders'!$S:$S,'MAIN DATA, Orders'!$Y:$Y,$A33,'MAIN DATA, Orders'!$D:$D,"Germany",'MAIN DATA, Orders'!$I:$I,"Development - Maintenance")/1000000000)</f>
        <v>0</v>
      </c>
      <c r="W33" s="15">
        <f>(SUMIFS('MAIN DATA, Orders'!$S:$S,'MAIN DATA, Orders'!$Y:$Y,$A33,'MAIN DATA, Orders'!$D:$D,"Germany",'MAIN DATA, Orders'!$I:$I,"Mine")/1000000000)</f>
        <v>0</v>
      </c>
      <c r="X33" s="15">
        <f>(SUMIFS('MAIN DATA, Orders'!$S:$S,'MAIN DATA, Orders'!$Y:$Y,$A33,'MAIN DATA, Orders'!$D:$D,"Germany",'MAIN DATA, Orders'!$I:$I,"Development - Mine")/1000000000)</f>
        <v>0</v>
      </c>
      <c r="Y33" s="15">
        <f>(SUMIFS('MAIN DATA, Orders'!$S:$S,'MAIN DATA, Orders'!$Y:$Y,$A33,'MAIN DATA, Orders'!$D:$D,"Germany",'MAIN DATA, Orders'!$J:$J,"6")/1000000000)</f>
        <v>0</v>
      </c>
      <c r="Z33" s="15" cm="1">
        <f t="array" ref="Z33">SUM(SUMIFS('MAIN DATA, Orders'!$S:$S,'MAIN DATA, Orders'!$Y:$Y,$A33,'MAIN DATA, Orders'!$D:$D,"Germany",'MAIN DATA, Orders'!$I:$I,{"Development - Missile (Land)","Development - Missile (Naval)","Development - Missile (Air)"})/1000000000)</f>
        <v>0</v>
      </c>
      <c r="AA33" s="15">
        <f>(SUMIFS('MAIN DATA, Orders'!$S:$S,'MAIN DATA, Orders'!$Y:$Y,$A33,'MAIN DATA, Orders'!$D:$D,"Germany",'MAIN DATA, Orders'!$I:$I,"Modernisation")/1000000000)</f>
        <v>0</v>
      </c>
      <c r="AB33" s="15">
        <f>(SUMIFS('MAIN DATA, Orders'!$S:$S,'MAIN DATA, Orders'!$Y:$Y,$A33,'MAIN DATA, Orders'!$D:$D,"Germany",'MAIN DATA, Orders'!$I:$I,"Development - Modernisation")/1000000000)</f>
        <v>0</v>
      </c>
      <c r="AC33" s="15">
        <f>(SUMIFS('MAIN DATA, Orders'!$S:$S,'MAIN DATA, Orders'!$Y:$Y,$A33,'MAIN DATA, Orders'!$D:$D,"Germany",'MAIN DATA, Orders'!$I:$I,"Naval")/1000000000)</f>
        <v>0</v>
      </c>
      <c r="AD33" s="15">
        <f>(SUMIFS('MAIN DATA, Orders'!$S:$S,'MAIN DATA, Orders'!$Y:$Y,$A33,'MAIN DATA, Orders'!$D:$D,"Germany",'MAIN DATA, Orders'!$I:$I,"Development - Naval")/1000000000)</f>
        <v>0</v>
      </c>
      <c r="AE33" s="15">
        <f>(SUMIFS('MAIN DATA, Orders'!$S:$S,'MAIN DATA, Orders'!$Y:$Y,$A33,'MAIN DATA, Orders'!$D:$D,"Germany",'MAIN DATA, Orders'!$I:$I,"Other")/1000000000)</f>
        <v>0</v>
      </c>
      <c r="AF33" s="15">
        <f>(SUMIFS('MAIN DATA, Orders'!$S:$S,'MAIN DATA, Orders'!$Y:$Y,$A33,'MAIN DATA, Orders'!$D:$D,"Germany",'MAIN DATA, Orders'!$I:$I,"Development - Other")/1000000000)</f>
        <v>0</v>
      </c>
      <c r="AG33" s="15"/>
      <c r="AH33" s="15" cm="1">
        <f t="array" ref="AH33">SUM(SUMIFS('MAIN DATA, Orders'!$S:$S,'MAIN DATA, Orders'!$Y:$Y,$A33,'MAIN DATA, Orders'!$D:$D,"Germany",'MAIN DATA, Orders'!$I:$I,{"Missile (Land)","Development - Missile (Land)"})/1000000000)</f>
        <v>0</v>
      </c>
      <c r="AI33" s="15" cm="1">
        <f t="array" ref="AI33">SUM(SUMIFS('MAIN DATA, Orders'!$S:$S,'MAIN DATA, Orders'!$D:$D,"Germany",'MAIN DATA, Orders'!$I:$I,{"Missile (Air)","Development - Missile (Air)"},'MAIN DATA, Orders'!$Y:$Y,$A33)/1000000000)</f>
        <v>0</v>
      </c>
      <c r="AJ33" s="15" cm="1">
        <f t="array" ref="AJ33">SUM(SUMIFS('MAIN DATA, Orders'!$S:$S,'MAIN DATA, Orders'!$Y:$Y,$A33,'MAIN DATA, Orders'!$D:$D,"Germany",'MAIN DATA, Orders'!$I:$I,{"Missile (Naval)","Development - Missile (Naval)"})/1000000000)</f>
        <v>0</v>
      </c>
    </row>
    <row r="34" spans="1:36" x14ac:dyDescent="0.35">
      <c r="A34" s="20">
        <v>202204</v>
      </c>
      <c r="B34" s="17">
        <v>44652</v>
      </c>
      <c r="C34" s="15">
        <f>(SUMIFS('MAIN DATA, Orders'!$S:$S,'MAIN DATA, Orders'!$Y:$Y,$A34,'MAIN DATA, Orders'!$D:$D,"Germany",'MAIN DATA, Orders'!$I:$I,"Air defence system")/1000000000)</f>
        <v>0</v>
      </c>
      <c r="D34" s="15">
        <f>(SUMIFS('MAIN DATA, Orders'!$S:$S,'MAIN DATA, Orders'!$Y:$Y,$A34,'MAIN DATA, Orders'!$D:$D,"Germany",'MAIN DATA, Orders'!$I:$I,"Development - Air defence system")/1000000000)</f>
        <v>0</v>
      </c>
      <c r="E34" s="15">
        <f>(SUMIFS('MAIN DATA, Orders'!$S:$S,'MAIN DATA, Orders'!$Y:$Y,$A34,'MAIN DATA, Orders'!$D:$D,"Germany",'MAIN DATA, Orders'!$I:$I,"Aircraft")/1000000000)</f>
        <v>0</v>
      </c>
      <c r="F34" s="15">
        <f>(SUMIFS('MAIN DATA, Orders'!$S:$S,'MAIN DATA, Orders'!$Y:$Y,$A34,'MAIN DATA, Orders'!$D:$D,"Germany",'MAIN DATA, Orders'!$I:$I,"Development - Aircraft")/1000000000)</f>
        <v>0</v>
      </c>
      <c r="G34" s="15">
        <f>(SUMIFS('MAIN DATA, Orders'!$S:$S,'MAIN DATA, Orders'!$Y:$Y,$A34,'MAIN DATA, Orders'!$D:$D,"Germany",'MAIN DATA, Orders'!$I:$I,"Ammunition")/1000000000)</f>
        <v>0</v>
      </c>
      <c r="H34" s="15">
        <f>(SUMIFS('MAIN DATA, Orders'!$S:$S,'MAIN DATA, Orders'!$Y:$Y,$A34,'MAIN DATA, Orders'!$D:$D,"Germany",'MAIN DATA, Orders'!$I:$I,"Development - Ammunition")/1000000000)</f>
        <v>0</v>
      </c>
      <c r="I34" s="15">
        <f>(SUMIFS('MAIN DATA, Orders'!$S:$S,'MAIN DATA, Orders'!$Y:$Y,$A34,'MAIN DATA, Orders'!$D:$D,"Germany",'MAIN DATA, Orders'!$I:$I,"Armoured vehicle")/1000000000)</f>
        <v>0</v>
      </c>
      <c r="J34" s="15">
        <f>(SUMIFS('MAIN DATA, Orders'!$S:$S,'MAIN DATA, Orders'!$Y:$Y,$A34,'MAIN DATA, Orders'!$D:$D,"Germany",'MAIN DATA, Orders'!$I:$I,"Development - Armoured vehicle")/1000000000)</f>
        <v>0</v>
      </c>
      <c r="K34" s="15">
        <f>(SUMIFS('MAIN DATA, Orders'!$S:$S,'MAIN DATA, Orders'!$Y:$Y,$A34,'MAIN DATA, Orders'!$D:$D,"Germany",'MAIN DATA, Orders'!$I:$I,"Artillery")/1000000000)</f>
        <v>0</v>
      </c>
      <c r="L34" s="15">
        <f>(SUMIFS('MAIN DATA, Orders'!$S:$S,'MAIN DATA, Orders'!$Y:$Y,$A34,'MAIN DATA, Orders'!$D:$D,"Germany",'MAIN DATA, Orders'!$I:$I,"Development - Artillery")/1000000000)</f>
        <v>0</v>
      </c>
      <c r="M34" s="15">
        <f>(SUMIFS('MAIN DATA, Orders'!$S:$S,'MAIN DATA, Orders'!$Y:$Y,$A34,'MAIN DATA, Orders'!$D:$D,"Germany",'MAIN DATA, Orders'!$I:$I,"Drone")/1000000000)</f>
        <v>0</v>
      </c>
      <c r="N34" s="15">
        <f>(SUMIFS('MAIN DATA, Orders'!$S:$S,'MAIN DATA, Orders'!$Y:$Y,$A34,'MAIN DATA, Orders'!$D:$D,"Germany",'MAIN DATA, Orders'!$I:$I,"Development - Drone")/1000000000)</f>
        <v>0</v>
      </c>
      <c r="O34" s="15">
        <f>(SUMIFS('MAIN DATA, Orders'!$S:$S,'MAIN DATA, Orders'!$Y:$Y,$A34,'MAIN DATA, Orders'!$D:$D,"Germany",'MAIN DATA, Orders'!$I:$I,"Helicopter")/1000000000)</f>
        <v>0</v>
      </c>
      <c r="P34" s="15">
        <f>(SUMIFS('MAIN DATA, Orders'!$S:$S,'MAIN DATA, Orders'!$Y:$Y,$A34,'MAIN DATA, Orders'!$D:$D,"Germany",'MAIN DATA, Orders'!$I:$I,"Development - Helicopter")/1000000000)</f>
        <v>0</v>
      </c>
      <c r="Q34" s="15">
        <f>(SUMIFS('MAIN DATA, Orders'!$S:$S,'MAIN DATA, Orders'!$Y:$Y,$A34,'MAIN DATA, Orders'!$D:$D,"Germany",'MAIN DATA, Orders'!$I:$I,"Infantry")/1000000000)</f>
        <v>0</v>
      </c>
      <c r="R34" s="15">
        <f>(SUMIFS('MAIN DATA, Orders'!$S:$S,'MAIN DATA, Orders'!$Y:$Y,$A34,'MAIN DATA, Orders'!$D:$D,"Germany",'MAIN DATA, Orders'!$I:$I,"Development - Infantry")/1000000000)</f>
        <v>0</v>
      </c>
      <c r="S34" s="15">
        <f>(SUMIFS('MAIN DATA, Orders'!$S:$S,'MAIN DATA, Orders'!$Y:$Y,$A34,'MAIN DATA, Orders'!$D:$D,"Germany",'MAIN DATA, Orders'!$I:$I,"Tank")/1000000000)</f>
        <v>0</v>
      </c>
      <c r="T34" s="15">
        <f>(SUMIFS('MAIN DATA, Orders'!$S:$S,'MAIN DATA, Orders'!$Y:$Y,$A34,'MAIN DATA, Orders'!$D:$D,"Germany",'MAIN DATA, Orders'!$I:$I,"Development - Tank")/1000000000)</f>
        <v>0</v>
      </c>
      <c r="U34" s="15">
        <f>(SUMIFS('MAIN DATA, Orders'!$S:$S,'MAIN DATA, Orders'!$Y:$Y,$A34,'MAIN DATA, Orders'!$D:$D,"Germany",'MAIN DATA, Orders'!$I:$I,"Maintenance")/1000000000)</f>
        <v>0</v>
      </c>
      <c r="V34" s="15">
        <f>(SUMIFS('MAIN DATA, Orders'!$S:$S,'MAIN DATA, Orders'!$Y:$Y,$A34,'MAIN DATA, Orders'!$D:$D,"Germany",'MAIN DATA, Orders'!$I:$I,"Development - Maintenance")/1000000000)</f>
        <v>0</v>
      </c>
      <c r="W34" s="15">
        <f>(SUMIFS('MAIN DATA, Orders'!$S:$S,'MAIN DATA, Orders'!$Y:$Y,$A34,'MAIN DATA, Orders'!$D:$D,"Germany",'MAIN DATA, Orders'!$I:$I,"Mine")/1000000000)</f>
        <v>0</v>
      </c>
      <c r="X34" s="15">
        <f>(SUMIFS('MAIN DATA, Orders'!$S:$S,'MAIN DATA, Orders'!$Y:$Y,$A34,'MAIN DATA, Orders'!$D:$D,"Germany",'MAIN DATA, Orders'!$I:$I,"Development - Mine")/1000000000)</f>
        <v>0</v>
      </c>
      <c r="Y34" s="15">
        <f>(SUMIFS('MAIN DATA, Orders'!$S:$S,'MAIN DATA, Orders'!$Y:$Y,$A34,'MAIN DATA, Orders'!$D:$D,"Germany",'MAIN DATA, Orders'!$J:$J,"6")/1000000000)</f>
        <v>0.15</v>
      </c>
      <c r="Z34" s="15" cm="1">
        <f t="array" ref="Z34">SUM(SUMIFS('MAIN DATA, Orders'!$S:$S,'MAIN DATA, Orders'!$Y:$Y,$A34,'MAIN DATA, Orders'!$D:$D,"Germany",'MAIN DATA, Orders'!$I:$I,{"Development - Missile (Land)","Development - Missile (Naval)","Development - Missile (Air)"})/1000000000)</f>
        <v>0</v>
      </c>
      <c r="AA34" s="15">
        <f>(SUMIFS('MAIN DATA, Orders'!$S:$S,'MAIN DATA, Orders'!$Y:$Y,$A34,'MAIN DATA, Orders'!$D:$D,"Germany",'MAIN DATA, Orders'!$I:$I,"Modernisation")/1000000000)</f>
        <v>0</v>
      </c>
      <c r="AB34" s="15">
        <f>(SUMIFS('MAIN DATA, Orders'!$S:$S,'MAIN DATA, Orders'!$Y:$Y,$A34,'MAIN DATA, Orders'!$D:$D,"Germany",'MAIN DATA, Orders'!$I:$I,"Development - Modernisation")/1000000000)</f>
        <v>0</v>
      </c>
      <c r="AC34" s="15">
        <f>(SUMIFS('MAIN DATA, Orders'!$S:$S,'MAIN DATA, Orders'!$Y:$Y,$A34,'MAIN DATA, Orders'!$D:$D,"Germany",'MAIN DATA, Orders'!$I:$I,"Naval")/1000000000)</f>
        <v>0</v>
      </c>
      <c r="AD34" s="15">
        <f>(SUMIFS('MAIN DATA, Orders'!$S:$S,'MAIN DATA, Orders'!$Y:$Y,$A34,'MAIN DATA, Orders'!$D:$D,"Germany",'MAIN DATA, Orders'!$I:$I,"Development - Naval")/1000000000)</f>
        <v>0</v>
      </c>
      <c r="AE34" s="15">
        <f>(SUMIFS('MAIN DATA, Orders'!$S:$S,'MAIN DATA, Orders'!$Y:$Y,$A34,'MAIN DATA, Orders'!$D:$D,"Germany",'MAIN DATA, Orders'!$I:$I,"Other")/1000000000)</f>
        <v>0</v>
      </c>
      <c r="AF34" s="15">
        <f>(SUMIFS('MAIN DATA, Orders'!$S:$S,'MAIN DATA, Orders'!$Y:$Y,$A34,'MAIN DATA, Orders'!$D:$D,"Germany",'MAIN DATA, Orders'!$I:$I,"Development - Other")/1000000000)</f>
        <v>0</v>
      </c>
      <c r="AG34" s="15"/>
      <c r="AH34" s="15" cm="1">
        <f t="array" ref="AH34">SUM(SUMIFS('MAIN DATA, Orders'!$S:$S,'MAIN DATA, Orders'!$Y:$Y,$A34,'MAIN DATA, Orders'!$D:$D,"Germany",'MAIN DATA, Orders'!$I:$I,{"Missile (Land)","Development - Missile (Land)"})/1000000000)</f>
        <v>0.15</v>
      </c>
      <c r="AI34" s="15" cm="1">
        <f t="array" ref="AI34">SUM(SUMIFS('MAIN DATA, Orders'!$S:$S,'MAIN DATA, Orders'!$D:$D,"Germany",'MAIN DATA, Orders'!$I:$I,{"Missile (Air)","Development - Missile (Air)"},'MAIN DATA, Orders'!$Y:$Y,$A34)/1000000000)</f>
        <v>0</v>
      </c>
      <c r="AJ34" s="15" cm="1">
        <f t="array" ref="AJ34">SUM(SUMIFS('MAIN DATA, Orders'!$S:$S,'MAIN DATA, Orders'!$Y:$Y,$A34,'MAIN DATA, Orders'!$D:$D,"Germany",'MAIN DATA, Orders'!$I:$I,{"Missile (Naval)","Development - Missile (Naval)"})/1000000000)</f>
        <v>0</v>
      </c>
    </row>
    <row r="35" spans="1:36" x14ac:dyDescent="0.35">
      <c r="A35" s="20">
        <v>202205</v>
      </c>
      <c r="B35" s="17">
        <v>44682</v>
      </c>
      <c r="C35" s="15">
        <f>(SUMIFS('MAIN DATA, Orders'!$S:$S,'MAIN DATA, Orders'!$Y:$Y,$A35,'MAIN DATA, Orders'!$D:$D,"Germany",'MAIN DATA, Orders'!$I:$I,"Air defence system")/1000000000)</f>
        <v>0</v>
      </c>
      <c r="D35" s="15">
        <f>(SUMIFS('MAIN DATA, Orders'!$S:$S,'MAIN DATA, Orders'!$Y:$Y,$A35,'MAIN DATA, Orders'!$D:$D,"Germany",'MAIN DATA, Orders'!$I:$I,"Development - Air defence system")/1000000000)</f>
        <v>0</v>
      </c>
      <c r="E35" s="15">
        <f>(SUMIFS('MAIN DATA, Orders'!$S:$S,'MAIN DATA, Orders'!$Y:$Y,$A35,'MAIN DATA, Orders'!$D:$D,"Germany",'MAIN DATA, Orders'!$I:$I,"Aircraft")/1000000000)</f>
        <v>0</v>
      </c>
      <c r="F35" s="15">
        <f>(SUMIFS('MAIN DATA, Orders'!$S:$S,'MAIN DATA, Orders'!$Y:$Y,$A35,'MAIN DATA, Orders'!$D:$D,"Germany",'MAIN DATA, Orders'!$I:$I,"Development - Aircraft")/1000000000)</f>
        <v>0</v>
      </c>
      <c r="G35" s="15">
        <f>(SUMIFS('MAIN DATA, Orders'!$S:$S,'MAIN DATA, Orders'!$Y:$Y,$A35,'MAIN DATA, Orders'!$D:$D,"Germany",'MAIN DATA, Orders'!$I:$I,"Ammunition")/1000000000)</f>
        <v>0</v>
      </c>
      <c r="H35" s="15">
        <f>(SUMIFS('MAIN DATA, Orders'!$S:$S,'MAIN DATA, Orders'!$Y:$Y,$A35,'MAIN DATA, Orders'!$D:$D,"Germany",'MAIN DATA, Orders'!$I:$I,"Development - Ammunition")/1000000000)</f>
        <v>0</v>
      </c>
      <c r="I35" s="15">
        <f>(SUMIFS('MAIN DATA, Orders'!$S:$S,'MAIN DATA, Orders'!$Y:$Y,$A35,'MAIN DATA, Orders'!$D:$D,"Germany",'MAIN DATA, Orders'!$I:$I,"Armoured vehicle")/1000000000)</f>
        <v>0</v>
      </c>
      <c r="J35" s="15">
        <f>(SUMIFS('MAIN DATA, Orders'!$S:$S,'MAIN DATA, Orders'!$Y:$Y,$A35,'MAIN DATA, Orders'!$D:$D,"Germany",'MAIN DATA, Orders'!$I:$I,"Development - Armoured vehicle")/1000000000)</f>
        <v>0</v>
      </c>
      <c r="K35" s="15">
        <f>(SUMIFS('MAIN DATA, Orders'!$S:$S,'MAIN DATA, Orders'!$Y:$Y,$A35,'MAIN DATA, Orders'!$D:$D,"Germany",'MAIN DATA, Orders'!$I:$I,"Artillery")/1000000000)</f>
        <v>0</v>
      </c>
      <c r="L35" s="15">
        <f>(SUMIFS('MAIN DATA, Orders'!$S:$S,'MAIN DATA, Orders'!$Y:$Y,$A35,'MAIN DATA, Orders'!$D:$D,"Germany",'MAIN DATA, Orders'!$I:$I,"Development - Artillery")/1000000000)</f>
        <v>0</v>
      </c>
      <c r="M35" s="15">
        <f>(SUMIFS('MAIN DATA, Orders'!$S:$S,'MAIN DATA, Orders'!$Y:$Y,$A35,'MAIN DATA, Orders'!$D:$D,"Germany",'MAIN DATA, Orders'!$I:$I,"Drone")/1000000000)</f>
        <v>0</v>
      </c>
      <c r="N35" s="15">
        <f>(SUMIFS('MAIN DATA, Orders'!$S:$S,'MAIN DATA, Orders'!$Y:$Y,$A35,'MAIN DATA, Orders'!$D:$D,"Germany",'MAIN DATA, Orders'!$I:$I,"Development - Drone")/1000000000)</f>
        <v>0</v>
      </c>
      <c r="O35" s="15">
        <f>(SUMIFS('MAIN DATA, Orders'!$S:$S,'MAIN DATA, Orders'!$Y:$Y,$A35,'MAIN DATA, Orders'!$D:$D,"Germany",'MAIN DATA, Orders'!$I:$I,"Helicopter")/1000000000)</f>
        <v>0</v>
      </c>
      <c r="P35" s="15">
        <f>(SUMIFS('MAIN DATA, Orders'!$S:$S,'MAIN DATA, Orders'!$Y:$Y,$A35,'MAIN DATA, Orders'!$D:$D,"Germany",'MAIN DATA, Orders'!$I:$I,"Development - Helicopter")/1000000000)</f>
        <v>0</v>
      </c>
      <c r="Q35" s="15">
        <f>(SUMIFS('MAIN DATA, Orders'!$S:$S,'MAIN DATA, Orders'!$Y:$Y,$A35,'MAIN DATA, Orders'!$D:$D,"Germany",'MAIN DATA, Orders'!$I:$I,"Infantry")/1000000000)</f>
        <v>0</v>
      </c>
      <c r="R35" s="15">
        <f>(SUMIFS('MAIN DATA, Orders'!$S:$S,'MAIN DATA, Orders'!$Y:$Y,$A35,'MAIN DATA, Orders'!$D:$D,"Germany",'MAIN DATA, Orders'!$I:$I,"Development - Infantry")/1000000000)</f>
        <v>0</v>
      </c>
      <c r="S35" s="15">
        <f>(SUMIFS('MAIN DATA, Orders'!$S:$S,'MAIN DATA, Orders'!$Y:$Y,$A35,'MAIN DATA, Orders'!$D:$D,"Germany",'MAIN DATA, Orders'!$I:$I,"Tank")/1000000000)</f>
        <v>0</v>
      </c>
      <c r="T35" s="15">
        <f>(SUMIFS('MAIN DATA, Orders'!$S:$S,'MAIN DATA, Orders'!$Y:$Y,$A35,'MAIN DATA, Orders'!$D:$D,"Germany",'MAIN DATA, Orders'!$I:$I,"Development - Tank")/1000000000)</f>
        <v>0</v>
      </c>
      <c r="U35" s="15">
        <f>(SUMIFS('MAIN DATA, Orders'!$S:$S,'MAIN DATA, Orders'!$Y:$Y,$A35,'MAIN DATA, Orders'!$D:$D,"Germany",'MAIN DATA, Orders'!$I:$I,"Maintenance")/1000000000)</f>
        <v>5.1900000000000002E-2</v>
      </c>
      <c r="V35" s="15">
        <f>(SUMIFS('MAIN DATA, Orders'!$S:$S,'MAIN DATA, Orders'!$Y:$Y,$A35,'MAIN DATA, Orders'!$D:$D,"Germany",'MAIN DATA, Orders'!$I:$I,"Development - Maintenance")/1000000000)</f>
        <v>0</v>
      </c>
      <c r="W35" s="15">
        <f>(SUMIFS('MAIN DATA, Orders'!$S:$S,'MAIN DATA, Orders'!$Y:$Y,$A35,'MAIN DATA, Orders'!$D:$D,"Germany",'MAIN DATA, Orders'!$I:$I,"Mine")/1000000000)</f>
        <v>0</v>
      </c>
      <c r="X35" s="15">
        <f>(SUMIFS('MAIN DATA, Orders'!$S:$S,'MAIN DATA, Orders'!$Y:$Y,$A35,'MAIN DATA, Orders'!$D:$D,"Germany",'MAIN DATA, Orders'!$I:$I,"Development - Mine")/1000000000)</f>
        <v>0</v>
      </c>
      <c r="Y35" s="15">
        <f>(SUMIFS('MAIN DATA, Orders'!$S:$S,'MAIN DATA, Orders'!$Y:$Y,$A35,'MAIN DATA, Orders'!$D:$D,"Germany",'MAIN DATA, Orders'!$J:$J,"6")/1000000000)</f>
        <v>0</v>
      </c>
      <c r="Z35" s="15" cm="1">
        <f t="array" ref="Z35">SUM(SUMIFS('MAIN DATA, Orders'!$S:$S,'MAIN DATA, Orders'!$Y:$Y,$A35,'MAIN DATA, Orders'!$D:$D,"Germany",'MAIN DATA, Orders'!$I:$I,{"Development - Missile (Land)","Development - Missile (Naval)","Development - Missile (Air)"})/1000000000)</f>
        <v>0</v>
      </c>
      <c r="AA35" s="15">
        <f>(SUMIFS('MAIN DATA, Orders'!$S:$S,'MAIN DATA, Orders'!$Y:$Y,$A35,'MAIN DATA, Orders'!$D:$D,"Germany",'MAIN DATA, Orders'!$I:$I,"Modernisation")/1000000000)</f>
        <v>2.4620000000000002</v>
      </c>
      <c r="AB35" s="15">
        <f>(SUMIFS('MAIN DATA, Orders'!$S:$S,'MAIN DATA, Orders'!$Y:$Y,$A35,'MAIN DATA, Orders'!$D:$D,"Germany",'MAIN DATA, Orders'!$I:$I,"Development - Modernisation")/1000000000)</f>
        <v>0</v>
      </c>
      <c r="AC35" s="15">
        <f>(SUMIFS('MAIN DATA, Orders'!$S:$S,'MAIN DATA, Orders'!$Y:$Y,$A35,'MAIN DATA, Orders'!$D:$D,"Germany",'MAIN DATA, Orders'!$I:$I,"Naval")/1000000000)</f>
        <v>0</v>
      </c>
      <c r="AD35" s="15">
        <f>(SUMIFS('MAIN DATA, Orders'!$S:$S,'MAIN DATA, Orders'!$Y:$Y,$A35,'MAIN DATA, Orders'!$D:$D,"Germany",'MAIN DATA, Orders'!$I:$I,"Development - Naval")/1000000000)</f>
        <v>0</v>
      </c>
      <c r="AE35" s="15">
        <f>(SUMIFS('MAIN DATA, Orders'!$S:$S,'MAIN DATA, Orders'!$Y:$Y,$A35,'MAIN DATA, Orders'!$D:$D,"Germany",'MAIN DATA, Orders'!$I:$I,"Other")/1000000000)</f>
        <v>0</v>
      </c>
      <c r="AF35" s="15">
        <f>(SUMIFS('MAIN DATA, Orders'!$S:$S,'MAIN DATA, Orders'!$Y:$Y,$A35,'MAIN DATA, Orders'!$D:$D,"Germany",'MAIN DATA, Orders'!$I:$I,"Development - Other")/1000000000)</f>
        <v>0</v>
      </c>
      <c r="AG35" s="15"/>
      <c r="AH35" s="15" cm="1">
        <f t="array" ref="AH35">SUM(SUMIFS('MAIN DATA, Orders'!$S:$S,'MAIN DATA, Orders'!$Y:$Y,$A35,'MAIN DATA, Orders'!$D:$D,"Germany",'MAIN DATA, Orders'!$I:$I,{"Missile (Land)","Development - Missile (Land)"})/1000000000)</f>
        <v>0</v>
      </c>
      <c r="AI35" s="15" cm="1">
        <f t="array" ref="AI35">SUM(SUMIFS('MAIN DATA, Orders'!$S:$S,'MAIN DATA, Orders'!$D:$D,"Germany",'MAIN DATA, Orders'!$I:$I,{"Missile (Air)","Development - Missile (Air)"},'MAIN DATA, Orders'!$Y:$Y,$A35)/1000000000)</f>
        <v>0</v>
      </c>
      <c r="AJ35" s="15" cm="1">
        <f t="array" ref="AJ35">SUM(SUMIFS('MAIN DATA, Orders'!$S:$S,'MAIN DATA, Orders'!$Y:$Y,$A35,'MAIN DATA, Orders'!$D:$D,"Germany",'MAIN DATA, Orders'!$I:$I,{"Missile (Naval)","Development - Missile (Naval)"})/1000000000)</f>
        <v>0</v>
      </c>
    </row>
    <row r="36" spans="1:36" x14ac:dyDescent="0.35">
      <c r="A36" s="20">
        <v>202206</v>
      </c>
      <c r="B36" s="17">
        <v>44713</v>
      </c>
      <c r="C36" s="15">
        <f>(SUMIFS('MAIN DATA, Orders'!$S:$S,'MAIN DATA, Orders'!$Y:$Y,$A36,'MAIN DATA, Orders'!$D:$D,"Germany",'MAIN DATA, Orders'!$I:$I,"Air defence system")/1000000000)</f>
        <v>0</v>
      </c>
      <c r="D36" s="15">
        <f>(SUMIFS('MAIN DATA, Orders'!$S:$S,'MAIN DATA, Orders'!$Y:$Y,$A36,'MAIN DATA, Orders'!$D:$D,"Germany",'MAIN DATA, Orders'!$I:$I,"Development - Air defence system")/1000000000)</f>
        <v>0</v>
      </c>
      <c r="E36" s="15">
        <f>(SUMIFS('MAIN DATA, Orders'!$S:$S,'MAIN DATA, Orders'!$Y:$Y,$A36,'MAIN DATA, Orders'!$D:$D,"Germany",'MAIN DATA, Orders'!$I:$I,"Aircraft")/1000000000)</f>
        <v>0</v>
      </c>
      <c r="F36" s="15">
        <f>(SUMIFS('MAIN DATA, Orders'!$S:$S,'MAIN DATA, Orders'!$Y:$Y,$A36,'MAIN DATA, Orders'!$D:$D,"Germany",'MAIN DATA, Orders'!$I:$I,"Development - Aircraft")/1000000000)</f>
        <v>0</v>
      </c>
      <c r="G36" s="15">
        <f>(SUMIFS('MAIN DATA, Orders'!$S:$S,'MAIN DATA, Orders'!$Y:$Y,$A36,'MAIN DATA, Orders'!$D:$D,"Germany",'MAIN DATA, Orders'!$I:$I,"Ammunition")/1000000000)</f>
        <v>0</v>
      </c>
      <c r="H36" s="15">
        <f>(SUMIFS('MAIN DATA, Orders'!$S:$S,'MAIN DATA, Orders'!$Y:$Y,$A36,'MAIN DATA, Orders'!$D:$D,"Germany",'MAIN DATA, Orders'!$I:$I,"Development - Ammunition")/1000000000)</f>
        <v>0</v>
      </c>
      <c r="I36" s="15">
        <f>(SUMIFS('MAIN DATA, Orders'!$S:$S,'MAIN DATA, Orders'!$Y:$Y,$A36,'MAIN DATA, Orders'!$D:$D,"Germany",'MAIN DATA, Orders'!$I:$I,"Armoured vehicle")/1000000000)</f>
        <v>0</v>
      </c>
      <c r="J36" s="15">
        <f>(SUMIFS('MAIN DATA, Orders'!$S:$S,'MAIN DATA, Orders'!$Y:$Y,$A36,'MAIN DATA, Orders'!$D:$D,"Germany",'MAIN DATA, Orders'!$I:$I,"Development - Armoured vehicle")/1000000000)</f>
        <v>0</v>
      </c>
      <c r="K36" s="15">
        <f>(SUMIFS('MAIN DATA, Orders'!$S:$S,'MAIN DATA, Orders'!$Y:$Y,$A36,'MAIN DATA, Orders'!$D:$D,"Germany",'MAIN DATA, Orders'!$I:$I,"Artillery")/1000000000)</f>
        <v>0</v>
      </c>
      <c r="L36" s="15">
        <f>(SUMIFS('MAIN DATA, Orders'!$S:$S,'MAIN DATA, Orders'!$Y:$Y,$A36,'MAIN DATA, Orders'!$D:$D,"Germany",'MAIN DATA, Orders'!$I:$I,"Development - Artillery")/1000000000)</f>
        <v>0</v>
      </c>
      <c r="M36" s="15">
        <f>(SUMIFS('MAIN DATA, Orders'!$S:$S,'MAIN DATA, Orders'!$Y:$Y,$A36,'MAIN DATA, Orders'!$D:$D,"Germany",'MAIN DATA, Orders'!$I:$I,"Drone")/1000000000)</f>
        <v>0</v>
      </c>
      <c r="N36" s="15">
        <f>(SUMIFS('MAIN DATA, Orders'!$S:$S,'MAIN DATA, Orders'!$Y:$Y,$A36,'MAIN DATA, Orders'!$D:$D,"Germany",'MAIN DATA, Orders'!$I:$I,"Development - Drone")/1000000000)</f>
        <v>0</v>
      </c>
      <c r="O36" s="15">
        <f>(SUMIFS('MAIN DATA, Orders'!$S:$S,'MAIN DATA, Orders'!$Y:$Y,$A36,'MAIN DATA, Orders'!$D:$D,"Germany",'MAIN DATA, Orders'!$I:$I,"Helicopter")/1000000000)</f>
        <v>0</v>
      </c>
      <c r="P36" s="15">
        <f>(SUMIFS('MAIN DATA, Orders'!$S:$S,'MAIN DATA, Orders'!$Y:$Y,$A36,'MAIN DATA, Orders'!$D:$D,"Germany",'MAIN DATA, Orders'!$I:$I,"Development - Helicopter")/1000000000)</f>
        <v>0</v>
      </c>
      <c r="Q36" s="15">
        <f>(SUMIFS('MAIN DATA, Orders'!$S:$S,'MAIN DATA, Orders'!$Y:$Y,$A36,'MAIN DATA, Orders'!$D:$D,"Germany",'MAIN DATA, Orders'!$I:$I,"Infantry")/1000000000)</f>
        <v>0</v>
      </c>
      <c r="R36" s="15">
        <f>(SUMIFS('MAIN DATA, Orders'!$S:$S,'MAIN DATA, Orders'!$Y:$Y,$A36,'MAIN DATA, Orders'!$D:$D,"Germany",'MAIN DATA, Orders'!$I:$I,"Development - Infantry")/1000000000)</f>
        <v>0</v>
      </c>
      <c r="S36" s="15">
        <f>(SUMIFS('MAIN DATA, Orders'!$S:$S,'MAIN DATA, Orders'!$Y:$Y,$A36,'MAIN DATA, Orders'!$D:$D,"Germany",'MAIN DATA, Orders'!$I:$I,"Tank")/1000000000)</f>
        <v>0</v>
      </c>
      <c r="T36" s="15">
        <f>(SUMIFS('MAIN DATA, Orders'!$S:$S,'MAIN DATA, Orders'!$Y:$Y,$A36,'MAIN DATA, Orders'!$D:$D,"Germany",'MAIN DATA, Orders'!$I:$I,"Development - Tank")/1000000000)</f>
        <v>0</v>
      </c>
      <c r="U36" s="15">
        <f>(SUMIFS('MAIN DATA, Orders'!$S:$S,'MAIN DATA, Orders'!$Y:$Y,$A36,'MAIN DATA, Orders'!$D:$D,"Germany",'MAIN DATA, Orders'!$I:$I,"Maintenance")/1000000000)</f>
        <v>0</v>
      </c>
      <c r="V36" s="15">
        <f>(SUMIFS('MAIN DATA, Orders'!$S:$S,'MAIN DATA, Orders'!$Y:$Y,$A36,'MAIN DATA, Orders'!$D:$D,"Germany",'MAIN DATA, Orders'!$I:$I,"Development - Maintenance")/1000000000)</f>
        <v>0</v>
      </c>
      <c r="W36" s="15">
        <f>(SUMIFS('MAIN DATA, Orders'!$S:$S,'MAIN DATA, Orders'!$Y:$Y,$A36,'MAIN DATA, Orders'!$D:$D,"Germany",'MAIN DATA, Orders'!$I:$I,"Mine")/1000000000)</f>
        <v>0</v>
      </c>
      <c r="X36" s="15">
        <f>(SUMIFS('MAIN DATA, Orders'!$S:$S,'MAIN DATA, Orders'!$Y:$Y,$A36,'MAIN DATA, Orders'!$D:$D,"Germany",'MAIN DATA, Orders'!$I:$I,"Development - Mine")/1000000000)</f>
        <v>0</v>
      </c>
      <c r="Y36" s="15">
        <f>(SUMIFS('MAIN DATA, Orders'!$S:$S,'MAIN DATA, Orders'!$Y:$Y,$A36,'MAIN DATA, Orders'!$D:$D,"Germany",'MAIN DATA, Orders'!$J:$J,"6")/1000000000)</f>
        <v>0</v>
      </c>
      <c r="Z36" s="15" cm="1">
        <f t="array" ref="Z36">SUM(SUMIFS('MAIN DATA, Orders'!$S:$S,'MAIN DATA, Orders'!$Y:$Y,$A36,'MAIN DATA, Orders'!$D:$D,"Germany",'MAIN DATA, Orders'!$I:$I,{"Development - Missile (Land)","Development - Missile (Naval)","Development - Missile (Air)"})/1000000000)</f>
        <v>0</v>
      </c>
      <c r="AA36" s="15">
        <f>(SUMIFS('MAIN DATA, Orders'!$S:$S,'MAIN DATA, Orders'!$Y:$Y,$A36,'MAIN DATA, Orders'!$D:$D,"Germany",'MAIN DATA, Orders'!$I:$I,"Modernisation")/1000000000)</f>
        <v>0.10100000000000001</v>
      </c>
      <c r="AB36" s="15">
        <f>(SUMIFS('MAIN DATA, Orders'!$S:$S,'MAIN DATA, Orders'!$Y:$Y,$A36,'MAIN DATA, Orders'!$D:$D,"Germany",'MAIN DATA, Orders'!$I:$I,"Development - Modernisation")/1000000000)</f>
        <v>0</v>
      </c>
      <c r="AC36" s="15">
        <f>(SUMIFS('MAIN DATA, Orders'!$S:$S,'MAIN DATA, Orders'!$Y:$Y,$A36,'MAIN DATA, Orders'!$D:$D,"Germany",'MAIN DATA, Orders'!$I:$I,"Naval")/1000000000)</f>
        <v>3.5000000000000003E-2</v>
      </c>
      <c r="AD36" s="15">
        <f>(SUMIFS('MAIN DATA, Orders'!$S:$S,'MAIN DATA, Orders'!$Y:$Y,$A36,'MAIN DATA, Orders'!$D:$D,"Germany",'MAIN DATA, Orders'!$I:$I,"Development - Naval")/1000000000)</f>
        <v>0</v>
      </c>
      <c r="AE36" s="15">
        <f>(SUMIFS('MAIN DATA, Orders'!$S:$S,'MAIN DATA, Orders'!$Y:$Y,$A36,'MAIN DATA, Orders'!$D:$D,"Germany",'MAIN DATA, Orders'!$I:$I,"Other")/1000000000)</f>
        <v>0</v>
      </c>
      <c r="AF36" s="15">
        <f>(SUMIFS('MAIN DATA, Orders'!$S:$S,'MAIN DATA, Orders'!$Y:$Y,$A36,'MAIN DATA, Orders'!$D:$D,"Germany",'MAIN DATA, Orders'!$I:$I,"Development - Other")/1000000000)</f>
        <v>0</v>
      </c>
      <c r="AG36" s="15"/>
      <c r="AH36" s="15" cm="1">
        <f t="array" ref="AH36">SUM(SUMIFS('MAIN DATA, Orders'!$S:$S,'MAIN DATA, Orders'!$Y:$Y,$A36,'MAIN DATA, Orders'!$D:$D,"Germany",'MAIN DATA, Orders'!$I:$I,{"Missile (Land)","Development - Missile (Land)"})/1000000000)</f>
        <v>0</v>
      </c>
      <c r="AI36" s="15" cm="1">
        <f t="array" ref="AI36">SUM(SUMIFS('MAIN DATA, Orders'!$S:$S,'MAIN DATA, Orders'!$D:$D,"Germany",'MAIN DATA, Orders'!$I:$I,{"Missile (Air)","Development - Missile (Air)"},'MAIN DATA, Orders'!$Y:$Y,$A36)/1000000000)</f>
        <v>0</v>
      </c>
      <c r="AJ36" s="15" cm="1">
        <f t="array" ref="AJ36">SUM(SUMIFS('MAIN DATA, Orders'!$S:$S,'MAIN DATA, Orders'!$Y:$Y,$A36,'MAIN DATA, Orders'!$D:$D,"Germany",'MAIN DATA, Orders'!$I:$I,{"Missile (Naval)","Development - Missile (Naval)"})/1000000000)</f>
        <v>0</v>
      </c>
    </row>
    <row r="37" spans="1:36" x14ac:dyDescent="0.35">
      <c r="A37" s="20">
        <v>202207</v>
      </c>
      <c r="B37" s="17">
        <v>44743</v>
      </c>
      <c r="C37" s="15">
        <f>(SUMIFS('MAIN DATA, Orders'!$S:$S,'MAIN DATA, Orders'!$Y:$Y,$A37,'MAIN DATA, Orders'!$D:$D,"Germany",'MAIN DATA, Orders'!$I:$I,"Air defence system")/1000000000)</f>
        <v>0</v>
      </c>
      <c r="D37" s="15">
        <f>(SUMIFS('MAIN DATA, Orders'!$S:$S,'MAIN DATA, Orders'!$Y:$Y,$A37,'MAIN DATA, Orders'!$D:$D,"Germany",'MAIN DATA, Orders'!$I:$I,"Development - Air defence system")/1000000000)</f>
        <v>0</v>
      </c>
      <c r="E37" s="15">
        <f>(SUMIFS('MAIN DATA, Orders'!$S:$S,'MAIN DATA, Orders'!$Y:$Y,$A37,'MAIN DATA, Orders'!$D:$D,"Germany",'MAIN DATA, Orders'!$I:$I,"Aircraft")/1000000000)</f>
        <v>0</v>
      </c>
      <c r="F37" s="15">
        <f>(SUMIFS('MAIN DATA, Orders'!$S:$S,'MAIN DATA, Orders'!$Y:$Y,$A37,'MAIN DATA, Orders'!$D:$D,"Germany",'MAIN DATA, Orders'!$I:$I,"Development - Aircraft")/1000000000)</f>
        <v>0.24199999999999999</v>
      </c>
      <c r="G37" s="15">
        <f>(SUMIFS('MAIN DATA, Orders'!$S:$S,'MAIN DATA, Orders'!$Y:$Y,$A37,'MAIN DATA, Orders'!$D:$D,"Germany",'MAIN DATA, Orders'!$I:$I,"Ammunition")/1000000000)</f>
        <v>4.2099999999999999E-2</v>
      </c>
      <c r="H37" s="15">
        <f>(SUMIFS('MAIN DATA, Orders'!$S:$S,'MAIN DATA, Orders'!$Y:$Y,$A37,'MAIN DATA, Orders'!$D:$D,"Germany",'MAIN DATA, Orders'!$I:$I,"Development - Ammunition")/1000000000)</f>
        <v>0</v>
      </c>
      <c r="I37" s="15">
        <f>(SUMIFS('MAIN DATA, Orders'!$S:$S,'MAIN DATA, Orders'!$Y:$Y,$A37,'MAIN DATA, Orders'!$D:$D,"Germany",'MAIN DATA, Orders'!$I:$I,"Armoured vehicle")/1000000000)</f>
        <v>0</v>
      </c>
      <c r="J37" s="15">
        <f>(SUMIFS('MAIN DATA, Orders'!$S:$S,'MAIN DATA, Orders'!$Y:$Y,$A37,'MAIN DATA, Orders'!$D:$D,"Germany",'MAIN DATA, Orders'!$I:$I,"Development - Armoured vehicle")/1000000000)</f>
        <v>0</v>
      </c>
      <c r="K37" s="15">
        <f>(SUMIFS('MAIN DATA, Orders'!$S:$S,'MAIN DATA, Orders'!$Y:$Y,$A37,'MAIN DATA, Orders'!$D:$D,"Germany",'MAIN DATA, Orders'!$I:$I,"Artillery")/1000000000)</f>
        <v>0</v>
      </c>
      <c r="L37" s="15">
        <f>(SUMIFS('MAIN DATA, Orders'!$S:$S,'MAIN DATA, Orders'!$Y:$Y,$A37,'MAIN DATA, Orders'!$D:$D,"Germany",'MAIN DATA, Orders'!$I:$I,"Development - Artillery")/1000000000)</f>
        <v>0</v>
      </c>
      <c r="M37" s="15">
        <f>(SUMIFS('MAIN DATA, Orders'!$S:$S,'MAIN DATA, Orders'!$Y:$Y,$A37,'MAIN DATA, Orders'!$D:$D,"Germany",'MAIN DATA, Orders'!$I:$I,"Drone")/1000000000)</f>
        <v>0</v>
      </c>
      <c r="N37" s="15">
        <f>(SUMIFS('MAIN DATA, Orders'!$S:$S,'MAIN DATA, Orders'!$Y:$Y,$A37,'MAIN DATA, Orders'!$D:$D,"Germany",'MAIN DATA, Orders'!$I:$I,"Development - Drone")/1000000000)</f>
        <v>0</v>
      </c>
      <c r="O37" s="15">
        <f>(SUMIFS('MAIN DATA, Orders'!$S:$S,'MAIN DATA, Orders'!$Y:$Y,$A37,'MAIN DATA, Orders'!$D:$D,"Germany",'MAIN DATA, Orders'!$I:$I,"Helicopter")/1000000000)</f>
        <v>0</v>
      </c>
      <c r="P37" s="15">
        <f>(SUMIFS('MAIN DATA, Orders'!$S:$S,'MAIN DATA, Orders'!$Y:$Y,$A37,'MAIN DATA, Orders'!$D:$D,"Germany",'MAIN DATA, Orders'!$I:$I,"Development - Helicopter")/1000000000)</f>
        <v>0</v>
      </c>
      <c r="Q37" s="15">
        <f>(SUMIFS('MAIN DATA, Orders'!$S:$S,'MAIN DATA, Orders'!$Y:$Y,$A37,'MAIN DATA, Orders'!$D:$D,"Germany",'MAIN DATA, Orders'!$I:$I,"Infantry")/1000000000)</f>
        <v>0</v>
      </c>
      <c r="R37" s="15">
        <f>(SUMIFS('MAIN DATA, Orders'!$S:$S,'MAIN DATA, Orders'!$Y:$Y,$A37,'MAIN DATA, Orders'!$D:$D,"Germany",'MAIN DATA, Orders'!$I:$I,"Development - Infantry")/1000000000)</f>
        <v>0</v>
      </c>
      <c r="S37" s="15">
        <f>(SUMIFS('MAIN DATA, Orders'!$S:$S,'MAIN DATA, Orders'!$Y:$Y,$A37,'MAIN DATA, Orders'!$D:$D,"Germany",'MAIN DATA, Orders'!$I:$I,"Tank")/1000000000)</f>
        <v>0</v>
      </c>
      <c r="T37" s="15">
        <f>(SUMIFS('MAIN DATA, Orders'!$S:$S,'MAIN DATA, Orders'!$Y:$Y,$A37,'MAIN DATA, Orders'!$D:$D,"Germany",'MAIN DATA, Orders'!$I:$I,"Development - Tank")/1000000000)</f>
        <v>0</v>
      </c>
      <c r="U37" s="15">
        <f>(SUMIFS('MAIN DATA, Orders'!$S:$S,'MAIN DATA, Orders'!$Y:$Y,$A37,'MAIN DATA, Orders'!$D:$D,"Germany",'MAIN DATA, Orders'!$I:$I,"Maintenance")/1000000000)</f>
        <v>0</v>
      </c>
      <c r="V37" s="15">
        <f>(SUMIFS('MAIN DATA, Orders'!$S:$S,'MAIN DATA, Orders'!$Y:$Y,$A37,'MAIN DATA, Orders'!$D:$D,"Germany",'MAIN DATA, Orders'!$I:$I,"Development - Maintenance")/1000000000)</f>
        <v>0</v>
      </c>
      <c r="W37" s="15">
        <f>(SUMIFS('MAIN DATA, Orders'!$S:$S,'MAIN DATA, Orders'!$Y:$Y,$A37,'MAIN DATA, Orders'!$D:$D,"Germany",'MAIN DATA, Orders'!$I:$I,"Mine")/1000000000)</f>
        <v>0</v>
      </c>
      <c r="X37" s="15">
        <f>(SUMIFS('MAIN DATA, Orders'!$S:$S,'MAIN DATA, Orders'!$Y:$Y,$A37,'MAIN DATA, Orders'!$D:$D,"Germany",'MAIN DATA, Orders'!$I:$I,"Development - Mine")/1000000000)</f>
        <v>0</v>
      </c>
      <c r="Y37" s="15">
        <f>(SUMIFS('MAIN DATA, Orders'!$S:$S,'MAIN DATA, Orders'!$Y:$Y,$A37,'MAIN DATA, Orders'!$D:$D,"Germany",'MAIN DATA, Orders'!$J:$J,"6")/1000000000)</f>
        <v>0</v>
      </c>
      <c r="Z37" s="15" cm="1">
        <f t="array" ref="Z37">SUM(SUMIFS('MAIN DATA, Orders'!$S:$S,'MAIN DATA, Orders'!$Y:$Y,$A37,'MAIN DATA, Orders'!$D:$D,"Germany",'MAIN DATA, Orders'!$I:$I,{"Development - Missile (Land)","Development - Missile (Naval)","Development - Missile (Air)"})/1000000000)</f>
        <v>0</v>
      </c>
      <c r="AA37" s="15">
        <f>(SUMIFS('MAIN DATA, Orders'!$S:$S,'MAIN DATA, Orders'!$Y:$Y,$A37,'MAIN DATA, Orders'!$D:$D,"Germany",'MAIN DATA, Orders'!$I:$I,"Modernisation")/1000000000)</f>
        <v>6.89</v>
      </c>
      <c r="AB37" s="15">
        <f>(SUMIFS('MAIN DATA, Orders'!$S:$S,'MAIN DATA, Orders'!$Y:$Y,$A37,'MAIN DATA, Orders'!$D:$D,"Germany",'MAIN DATA, Orders'!$I:$I,"Development - Modernisation")/1000000000)</f>
        <v>0</v>
      </c>
      <c r="AC37" s="15">
        <f>(SUMIFS('MAIN DATA, Orders'!$S:$S,'MAIN DATA, Orders'!$Y:$Y,$A37,'MAIN DATA, Orders'!$D:$D,"Germany",'MAIN DATA, Orders'!$I:$I,"Naval")/1000000000)</f>
        <v>0.34179999999999999</v>
      </c>
      <c r="AD37" s="15">
        <f>(SUMIFS('MAIN DATA, Orders'!$S:$S,'MAIN DATA, Orders'!$Y:$Y,$A37,'MAIN DATA, Orders'!$D:$D,"Germany",'MAIN DATA, Orders'!$I:$I,"Development - Naval")/1000000000)</f>
        <v>0</v>
      </c>
      <c r="AE37" s="15">
        <f>(SUMIFS('MAIN DATA, Orders'!$S:$S,'MAIN DATA, Orders'!$Y:$Y,$A37,'MAIN DATA, Orders'!$D:$D,"Germany",'MAIN DATA, Orders'!$I:$I,"Other")/1000000000)</f>
        <v>0</v>
      </c>
      <c r="AF37" s="15">
        <f>(SUMIFS('MAIN DATA, Orders'!$S:$S,'MAIN DATA, Orders'!$Y:$Y,$A37,'MAIN DATA, Orders'!$D:$D,"Germany",'MAIN DATA, Orders'!$I:$I,"Development - Other")/1000000000)</f>
        <v>0</v>
      </c>
      <c r="AG37" s="15"/>
      <c r="AH37" s="15" cm="1">
        <f t="array" ref="AH37">SUM(SUMIFS('MAIN DATA, Orders'!$S:$S,'MAIN DATA, Orders'!$Y:$Y,$A37,'MAIN DATA, Orders'!$D:$D,"Germany",'MAIN DATA, Orders'!$I:$I,{"Missile (Land)","Development - Missile (Land)"})/1000000000)</f>
        <v>0</v>
      </c>
      <c r="AI37" s="15" cm="1">
        <f t="array" ref="AI37">SUM(SUMIFS('MAIN DATA, Orders'!$S:$S,'MAIN DATA, Orders'!$D:$D,"Germany",'MAIN DATA, Orders'!$I:$I,{"Missile (Air)","Development - Missile (Air)"},'MAIN DATA, Orders'!$Y:$Y,$A37)/1000000000)</f>
        <v>0</v>
      </c>
      <c r="AJ37" s="15" cm="1">
        <f t="array" ref="AJ37">SUM(SUMIFS('MAIN DATA, Orders'!$S:$S,'MAIN DATA, Orders'!$Y:$Y,$A37,'MAIN DATA, Orders'!$D:$D,"Germany",'MAIN DATA, Orders'!$I:$I,{"Missile (Naval)","Development - Missile (Naval)"})/1000000000)</f>
        <v>0</v>
      </c>
    </row>
    <row r="38" spans="1:36" x14ac:dyDescent="0.35">
      <c r="A38" s="20">
        <v>202208</v>
      </c>
      <c r="B38" s="17">
        <v>44774</v>
      </c>
      <c r="C38" s="15">
        <f>(SUMIFS('MAIN DATA, Orders'!$S:$S,'MAIN DATA, Orders'!$Y:$Y,$A38,'MAIN DATA, Orders'!$D:$D,"Germany",'MAIN DATA, Orders'!$I:$I,"Air defence system")/1000000000)</f>
        <v>0</v>
      </c>
      <c r="D38" s="15">
        <f>(SUMIFS('MAIN DATA, Orders'!$S:$S,'MAIN DATA, Orders'!$Y:$Y,$A38,'MAIN DATA, Orders'!$D:$D,"Germany",'MAIN DATA, Orders'!$I:$I,"Development - Air defence system")/1000000000)</f>
        <v>0</v>
      </c>
      <c r="E38" s="15">
        <f>(SUMIFS('MAIN DATA, Orders'!$S:$S,'MAIN DATA, Orders'!$Y:$Y,$A38,'MAIN DATA, Orders'!$D:$D,"Germany",'MAIN DATA, Orders'!$I:$I,"Aircraft")/1000000000)</f>
        <v>0</v>
      </c>
      <c r="F38" s="15">
        <f>(SUMIFS('MAIN DATA, Orders'!$S:$S,'MAIN DATA, Orders'!$Y:$Y,$A38,'MAIN DATA, Orders'!$D:$D,"Germany",'MAIN DATA, Orders'!$I:$I,"Development - Aircraft")/1000000000)</f>
        <v>0</v>
      </c>
      <c r="G38" s="15">
        <f>(SUMIFS('MAIN DATA, Orders'!$S:$S,'MAIN DATA, Orders'!$Y:$Y,$A38,'MAIN DATA, Orders'!$D:$D,"Germany",'MAIN DATA, Orders'!$I:$I,"Ammunition")/1000000000)</f>
        <v>0</v>
      </c>
      <c r="H38" s="15">
        <f>(SUMIFS('MAIN DATA, Orders'!$S:$S,'MAIN DATA, Orders'!$Y:$Y,$A38,'MAIN DATA, Orders'!$D:$D,"Germany",'MAIN DATA, Orders'!$I:$I,"Development - Ammunition")/1000000000)</f>
        <v>0</v>
      </c>
      <c r="I38" s="15">
        <f>(SUMIFS('MAIN DATA, Orders'!$S:$S,'MAIN DATA, Orders'!$Y:$Y,$A38,'MAIN DATA, Orders'!$D:$D,"Germany",'MAIN DATA, Orders'!$I:$I,"Armoured vehicle")/1000000000)</f>
        <v>0</v>
      </c>
      <c r="J38" s="15">
        <f>(SUMIFS('MAIN DATA, Orders'!$S:$S,'MAIN DATA, Orders'!$Y:$Y,$A38,'MAIN DATA, Orders'!$D:$D,"Germany",'MAIN DATA, Orders'!$I:$I,"Development - Armoured vehicle")/1000000000)</f>
        <v>0</v>
      </c>
      <c r="K38" s="15">
        <f>(SUMIFS('MAIN DATA, Orders'!$S:$S,'MAIN DATA, Orders'!$Y:$Y,$A38,'MAIN DATA, Orders'!$D:$D,"Germany",'MAIN DATA, Orders'!$I:$I,"Artillery")/1000000000)</f>
        <v>0</v>
      </c>
      <c r="L38" s="15">
        <f>(SUMIFS('MAIN DATA, Orders'!$S:$S,'MAIN DATA, Orders'!$Y:$Y,$A38,'MAIN DATA, Orders'!$D:$D,"Germany",'MAIN DATA, Orders'!$I:$I,"Development - Artillery")/1000000000)</f>
        <v>0</v>
      </c>
      <c r="M38" s="15">
        <f>(SUMIFS('MAIN DATA, Orders'!$S:$S,'MAIN DATA, Orders'!$Y:$Y,$A38,'MAIN DATA, Orders'!$D:$D,"Germany",'MAIN DATA, Orders'!$I:$I,"Drone")/1000000000)</f>
        <v>0</v>
      </c>
      <c r="N38" s="15">
        <f>(SUMIFS('MAIN DATA, Orders'!$S:$S,'MAIN DATA, Orders'!$Y:$Y,$A38,'MAIN DATA, Orders'!$D:$D,"Germany",'MAIN DATA, Orders'!$I:$I,"Development - Drone")/1000000000)</f>
        <v>0</v>
      </c>
      <c r="O38" s="15">
        <f>(SUMIFS('MAIN DATA, Orders'!$S:$S,'MAIN DATA, Orders'!$Y:$Y,$A38,'MAIN DATA, Orders'!$D:$D,"Germany",'MAIN DATA, Orders'!$I:$I,"Helicopter")/1000000000)</f>
        <v>0</v>
      </c>
      <c r="P38" s="15">
        <f>(SUMIFS('MAIN DATA, Orders'!$S:$S,'MAIN DATA, Orders'!$Y:$Y,$A38,'MAIN DATA, Orders'!$D:$D,"Germany",'MAIN DATA, Orders'!$I:$I,"Development - Helicopter")/1000000000)</f>
        <v>0</v>
      </c>
      <c r="Q38" s="15">
        <f>(SUMIFS('MAIN DATA, Orders'!$S:$S,'MAIN DATA, Orders'!$Y:$Y,$A38,'MAIN DATA, Orders'!$D:$D,"Germany",'MAIN DATA, Orders'!$I:$I,"Infantry")/1000000000)</f>
        <v>0</v>
      </c>
      <c r="R38" s="15">
        <f>(SUMIFS('MAIN DATA, Orders'!$S:$S,'MAIN DATA, Orders'!$Y:$Y,$A38,'MAIN DATA, Orders'!$D:$D,"Germany",'MAIN DATA, Orders'!$I:$I,"Development - Infantry")/1000000000)</f>
        <v>0</v>
      </c>
      <c r="S38" s="15">
        <f>(SUMIFS('MAIN DATA, Orders'!$S:$S,'MAIN DATA, Orders'!$Y:$Y,$A38,'MAIN DATA, Orders'!$D:$D,"Germany",'MAIN DATA, Orders'!$I:$I,"Tank")/1000000000)</f>
        <v>0</v>
      </c>
      <c r="T38" s="15">
        <f>(SUMIFS('MAIN DATA, Orders'!$S:$S,'MAIN DATA, Orders'!$Y:$Y,$A38,'MAIN DATA, Orders'!$D:$D,"Germany",'MAIN DATA, Orders'!$I:$I,"Development - Tank")/1000000000)</f>
        <v>0</v>
      </c>
      <c r="U38" s="15">
        <f>(SUMIFS('MAIN DATA, Orders'!$S:$S,'MAIN DATA, Orders'!$Y:$Y,$A38,'MAIN DATA, Orders'!$D:$D,"Germany",'MAIN DATA, Orders'!$I:$I,"Maintenance")/1000000000)</f>
        <v>0</v>
      </c>
      <c r="V38" s="15">
        <f>(SUMIFS('MAIN DATA, Orders'!$S:$S,'MAIN DATA, Orders'!$Y:$Y,$A38,'MAIN DATA, Orders'!$D:$D,"Germany",'MAIN DATA, Orders'!$I:$I,"Development - Maintenance")/1000000000)</f>
        <v>0</v>
      </c>
      <c r="W38" s="15">
        <f>(SUMIFS('MAIN DATA, Orders'!$S:$S,'MAIN DATA, Orders'!$Y:$Y,$A38,'MAIN DATA, Orders'!$D:$D,"Germany",'MAIN DATA, Orders'!$I:$I,"Mine")/1000000000)</f>
        <v>0</v>
      </c>
      <c r="X38" s="15">
        <f>(SUMIFS('MAIN DATA, Orders'!$S:$S,'MAIN DATA, Orders'!$Y:$Y,$A38,'MAIN DATA, Orders'!$D:$D,"Germany",'MAIN DATA, Orders'!$I:$I,"Development - Mine")/1000000000)</f>
        <v>0</v>
      </c>
      <c r="Y38" s="15">
        <f>(SUMIFS('MAIN DATA, Orders'!$S:$S,'MAIN DATA, Orders'!$Y:$Y,$A38,'MAIN DATA, Orders'!$D:$D,"Germany",'MAIN DATA, Orders'!$J:$J,"6")/1000000000)</f>
        <v>0</v>
      </c>
      <c r="Z38" s="15" cm="1">
        <f t="array" ref="Z38">SUM(SUMIFS('MAIN DATA, Orders'!$S:$S,'MAIN DATA, Orders'!$Y:$Y,$A38,'MAIN DATA, Orders'!$D:$D,"Germany",'MAIN DATA, Orders'!$I:$I,{"Development - Missile (Land)","Development - Missile (Naval)","Development - Missile (Air)"})/1000000000)</f>
        <v>0</v>
      </c>
      <c r="AA38" s="15">
        <f>(SUMIFS('MAIN DATA, Orders'!$S:$S,'MAIN DATA, Orders'!$Y:$Y,$A38,'MAIN DATA, Orders'!$D:$D,"Germany",'MAIN DATA, Orders'!$I:$I,"Modernisation")/1000000000)</f>
        <v>0</v>
      </c>
      <c r="AB38" s="15">
        <f>(SUMIFS('MAIN DATA, Orders'!$S:$S,'MAIN DATA, Orders'!$Y:$Y,$A38,'MAIN DATA, Orders'!$D:$D,"Germany",'MAIN DATA, Orders'!$I:$I,"Development - Modernisation")/1000000000)</f>
        <v>0</v>
      </c>
      <c r="AC38" s="15">
        <f>(SUMIFS('MAIN DATA, Orders'!$S:$S,'MAIN DATA, Orders'!$Y:$Y,$A38,'MAIN DATA, Orders'!$D:$D,"Germany",'MAIN DATA, Orders'!$I:$I,"Naval")/1000000000)</f>
        <v>0</v>
      </c>
      <c r="AD38" s="15">
        <f>(SUMIFS('MAIN DATA, Orders'!$S:$S,'MAIN DATA, Orders'!$Y:$Y,$A38,'MAIN DATA, Orders'!$D:$D,"Germany",'MAIN DATA, Orders'!$I:$I,"Development - Naval")/1000000000)</f>
        <v>0</v>
      </c>
      <c r="AE38" s="15">
        <f>(SUMIFS('MAIN DATA, Orders'!$S:$S,'MAIN DATA, Orders'!$Y:$Y,$A38,'MAIN DATA, Orders'!$D:$D,"Germany",'MAIN DATA, Orders'!$I:$I,"Other")/1000000000)</f>
        <v>0</v>
      </c>
      <c r="AF38" s="15">
        <f>(SUMIFS('MAIN DATA, Orders'!$S:$S,'MAIN DATA, Orders'!$Y:$Y,$A38,'MAIN DATA, Orders'!$D:$D,"Germany",'MAIN DATA, Orders'!$I:$I,"Development - Other")/1000000000)</f>
        <v>0</v>
      </c>
      <c r="AG38" s="15"/>
      <c r="AH38" s="15" cm="1">
        <f t="array" ref="AH38">SUM(SUMIFS('MAIN DATA, Orders'!$S:$S,'MAIN DATA, Orders'!$Y:$Y,$A38,'MAIN DATA, Orders'!$D:$D,"Germany",'MAIN DATA, Orders'!$I:$I,{"Missile (Land)","Development - Missile (Land)"})/1000000000)</f>
        <v>0</v>
      </c>
      <c r="AI38" s="15" cm="1">
        <f t="array" ref="AI38">SUM(SUMIFS('MAIN DATA, Orders'!$S:$S,'MAIN DATA, Orders'!$D:$D,"Germany",'MAIN DATA, Orders'!$I:$I,{"Missile (Air)","Development - Missile (Air)"},'MAIN DATA, Orders'!$Y:$Y,$A38)/1000000000)</f>
        <v>0</v>
      </c>
      <c r="AJ38" s="15" cm="1">
        <f t="array" ref="AJ38">SUM(SUMIFS('MAIN DATA, Orders'!$S:$S,'MAIN DATA, Orders'!$Y:$Y,$A38,'MAIN DATA, Orders'!$D:$D,"Germany",'MAIN DATA, Orders'!$I:$I,{"Missile (Naval)","Development - Missile (Naval)"})/1000000000)</f>
        <v>0</v>
      </c>
    </row>
    <row r="39" spans="1:36" x14ac:dyDescent="0.35">
      <c r="A39" s="20">
        <v>202209</v>
      </c>
      <c r="B39" s="17">
        <v>44805</v>
      </c>
      <c r="C39" s="15">
        <f>(SUMIFS('MAIN DATA, Orders'!$S:$S,'MAIN DATA, Orders'!$Y:$Y,$A39,'MAIN DATA, Orders'!$D:$D,"Germany",'MAIN DATA, Orders'!$I:$I,"Air defence system")/1000000000)</f>
        <v>0</v>
      </c>
      <c r="D39" s="15">
        <f>(SUMIFS('MAIN DATA, Orders'!$S:$S,'MAIN DATA, Orders'!$Y:$Y,$A39,'MAIN DATA, Orders'!$D:$D,"Germany",'MAIN DATA, Orders'!$I:$I,"Development - Air defence system")/1000000000)</f>
        <v>0</v>
      </c>
      <c r="E39" s="15">
        <f>(SUMIFS('MAIN DATA, Orders'!$S:$S,'MAIN DATA, Orders'!$Y:$Y,$A39,'MAIN DATA, Orders'!$D:$D,"Germany",'MAIN DATA, Orders'!$I:$I,"Aircraft")/1000000000)</f>
        <v>0</v>
      </c>
      <c r="F39" s="15">
        <f>(SUMIFS('MAIN DATA, Orders'!$S:$S,'MAIN DATA, Orders'!$Y:$Y,$A39,'MAIN DATA, Orders'!$D:$D,"Germany",'MAIN DATA, Orders'!$I:$I,"Development - Aircraft")/1000000000)</f>
        <v>0</v>
      </c>
      <c r="G39" s="15">
        <f>(SUMIFS('MAIN DATA, Orders'!$S:$S,'MAIN DATA, Orders'!$Y:$Y,$A39,'MAIN DATA, Orders'!$D:$D,"Germany",'MAIN DATA, Orders'!$I:$I,"Ammunition")/1000000000)</f>
        <v>0</v>
      </c>
      <c r="H39" s="15">
        <f>(SUMIFS('MAIN DATA, Orders'!$S:$S,'MAIN DATA, Orders'!$Y:$Y,$A39,'MAIN DATA, Orders'!$D:$D,"Germany",'MAIN DATA, Orders'!$I:$I,"Development - Ammunition")/1000000000)</f>
        <v>0</v>
      </c>
      <c r="I39" s="15">
        <f>(SUMIFS('MAIN DATA, Orders'!$S:$S,'MAIN DATA, Orders'!$Y:$Y,$A39,'MAIN DATA, Orders'!$D:$D,"Germany",'MAIN DATA, Orders'!$I:$I,"Armoured vehicle")/1000000000)</f>
        <v>0</v>
      </c>
      <c r="J39" s="15">
        <f>(SUMIFS('MAIN DATA, Orders'!$S:$S,'MAIN DATA, Orders'!$Y:$Y,$A39,'MAIN DATA, Orders'!$D:$D,"Germany",'MAIN DATA, Orders'!$I:$I,"Development - Armoured vehicle")/1000000000)</f>
        <v>0</v>
      </c>
      <c r="K39" s="15">
        <f>(SUMIFS('MAIN DATA, Orders'!$S:$S,'MAIN DATA, Orders'!$Y:$Y,$A39,'MAIN DATA, Orders'!$D:$D,"Germany",'MAIN DATA, Orders'!$I:$I,"Artillery")/1000000000)</f>
        <v>0</v>
      </c>
      <c r="L39" s="15">
        <f>(SUMIFS('MAIN DATA, Orders'!$S:$S,'MAIN DATA, Orders'!$Y:$Y,$A39,'MAIN DATA, Orders'!$D:$D,"Germany",'MAIN DATA, Orders'!$I:$I,"Development - Artillery")/1000000000)</f>
        <v>0</v>
      </c>
      <c r="M39" s="15">
        <f>(SUMIFS('MAIN DATA, Orders'!$S:$S,'MAIN DATA, Orders'!$Y:$Y,$A39,'MAIN DATA, Orders'!$D:$D,"Germany",'MAIN DATA, Orders'!$I:$I,"Drone")/1000000000)</f>
        <v>0</v>
      </c>
      <c r="N39" s="15">
        <f>(SUMIFS('MAIN DATA, Orders'!$S:$S,'MAIN DATA, Orders'!$Y:$Y,$A39,'MAIN DATA, Orders'!$D:$D,"Germany",'MAIN DATA, Orders'!$I:$I,"Development - Drone")/1000000000)</f>
        <v>0</v>
      </c>
      <c r="O39" s="15">
        <f>(SUMIFS('MAIN DATA, Orders'!$S:$S,'MAIN DATA, Orders'!$Y:$Y,$A39,'MAIN DATA, Orders'!$D:$D,"Germany",'MAIN DATA, Orders'!$I:$I,"Helicopter")/1000000000)</f>
        <v>0</v>
      </c>
      <c r="P39" s="15">
        <f>(SUMIFS('MAIN DATA, Orders'!$S:$S,'MAIN DATA, Orders'!$Y:$Y,$A39,'MAIN DATA, Orders'!$D:$D,"Germany",'MAIN DATA, Orders'!$I:$I,"Development - Helicopter")/1000000000)</f>
        <v>0</v>
      </c>
      <c r="Q39" s="15">
        <f>(SUMIFS('MAIN DATA, Orders'!$S:$S,'MAIN DATA, Orders'!$Y:$Y,$A39,'MAIN DATA, Orders'!$D:$D,"Germany",'MAIN DATA, Orders'!$I:$I,"Infantry")/1000000000)</f>
        <v>0</v>
      </c>
      <c r="R39" s="15">
        <f>(SUMIFS('MAIN DATA, Orders'!$S:$S,'MAIN DATA, Orders'!$Y:$Y,$A39,'MAIN DATA, Orders'!$D:$D,"Germany",'MAIN DATA, Orders'!$I:$I,"Development - Infantry")/1000000000)</f>
        <v>0</v>
      </c>
      <c r="S39" s="15">
        <f>(SUMIFS('MAIN DATA, Orders'!$S:$S,'MAIN DATA, Orders'!$Y:$Y,$A39,'MAIN DATA, Orders'!$D:$D,"Germany",'MAIN DATA, Orders'!$I:$I,"Tank")/1000000000)</f>
        <v>0</v>
      </c>
      <c r="T39" s="15">
        <f>(SUMIFS('MAIN DATA, Orders'!$S:$S,'MAIN DATA, Orders'!$Y:$Y,$A39,'MAIN DATA, Orders'!$D:$D,"Germany",'MAIN DATA, Orders'!$I:$I,"Development - Tank")/1000000000)</f>
        <v>0</v>
      </c>
      <c r="U39" s="15">
        <f>(SUMIFS('MAIN DATA, Orders'!$S:$S,'MAIN DATA, Orders'!$Y:$Y,$A39,'MAIN DATA, Orders'!$D:$D,"Germany",'MAIN DATA, Orders'!$I:$I,"Maintenance")/1000000000)</f>
        <v>0</v>
      </c>
      <c r="V39" s="15">
        <f>(SUMIFS('MAIN DATA, Orders'!$S:$S,'MAIN DATA, Orders'!$Y:$Y,$A39,'MAIN DATA, Orders'!$D:$D,"Germany",'MAIN DATA, Orders'!$I:$I,"Development - Maintenance")/1000000000)</f>
        <v>0</v>
      </c>
      <c r="W39" s="15">
        <f>(SUMIFS('MAIN DATA, Orders'!$S:$S,'MAIN DATA, Orders'!$Y:$Y,$A39,'MAIN DATA, Orders'!$D:$D,"Germany",'MAIN DATA, Orders'!$I:$I,"Mine")/1000000000)</f>
        <v>0</v>
      </c>
      <c r="X39" s="15">
        <f>(SUMIFS('MAIN DATA, Orders'!$S:$S,'MAIN DATA, Orders'!$Y:$Y,$A39,'MAIN DATA, Orders'!$D:$D,"Germany",'MAIN DATA, Orders'!$I:$I,"Development - Mine")/1000000000)</f>
        <v>0</v>
      </c>
      <c r="Y39" s="15">
        <f>(SUMIFS('MAIN DATA, Orders'!$S:$S,'MAIN DATA, Orders'!$Y:$Y,$A39,'MAIN DATA, Orders'!$D:$D,"Germany",'MAIN DATA, Orders'!$J:$J,"6")/1000000000)</f>
        <v>0.63700000000000001</v>
      </c>
      <c r="Z39" s="15" cm="1">
        <f t="array" ref="Z39">SUM(SUMIFS('MAIN DATA, Orders'!$S:$S,'MAIN DATA, Orders'!$Y:$Y,$A39,'MAIN DATA, Orders'!$D:$D,"Germany",'MAIN DATA, Orders'!$I:$I,{"Development - Missile (Land)","Development - Missile (Naval)","Development - Missile (Air)"})/1000000000)</f>
        <v>0</v>
      </c>
      <c r="AA39" s="15">
        <f>(SUMIFS('MAIN DATA, Orders'!$S:$S,'MAIN DATA, Orders'!$Y:$Y,$A39,'MAIN DATA, Orders'!$D:$D,"Germany",'MAIN DATA, Orders'!$I:$I,"Modernisation")/1000000000)</f>
        <v>0</v>
      </c>
      <c r="AB39" s="15">
        <f>(SUMIFS('MAIN DATA, Orders'!$S:$S,'MAIN DATA, Orders'!$Y:$Y,$A39,'MAIN DATA, Orders'!$D:$D,"Germany",'MAIN DATA, Orders'!$I:$I,"Development - Modernisation")/1000000000)</f>
        <v>0</v>
      </c>
      <c r="AC39" s="15">
        <f>(SUMIFS('MAIN DATA, Orders'!$S:$S,'MAIN DATA, Orders'!$Y:$Y,$A39,'MAIN DATA, Orders'!$D:$D,"Germany",'MAIN DATA, Orders'!$I:$I,"Naval")/1000000000)</f>
        <v>0</v>
      </c>
      <c r="AD39" s="15">
        <f>(SUMIFS('MAIN DATA, Orders'!$S:$S,'MAIN DATA, Orders'!$Y:$Y,$A39,'MAIN DATA, Orders'!$D:$D,"Germany",'MAIN DATA, Orders'!$I:$I,"Development - Naval")/1000000000)</f>
        <v>0</v>
      </c>
      <c r="AE39" s="15">
        <f>(SUMIFS('MAIN DATA, Orders'!$S:$S,'MAIN DATA, Orders'!$Y:$Y,$A39,'MAIN DATA, Orders'!$D:$D,"Germany",'MAIN DATA, Orders'!$I:$I,"Other")/1000000000)</f>
        <v>0</v>
      </c>
      <c r="AF39" s="15">
        <f>(SUMIFS('MAIN DATA, Orders'!$S:$S,'MAIN DATA, Orders'!$Y:$Y,$A39,'MAIN DATA, Orders'!$D:$D,"Germany",'MAIN DATA, Orders'!$I:$I,"Development - Other")/1000000000)</f>
        <v>0</v>
      </c>
      <c r="AG39" s="15"/>
      <c r="AH39" s="15" cm="1">
        <f t="array" ref="AH39">SUM(SUMIFS('MAIN DATA, Orders'!$S:$S,'MAIN DATA, Orders'!$Y:$Y,$A39,'MAIN DATA, Orders'!$D:$D,"Germany",'MAIN DATA, Orders'!$I:$I,{"Missile (Land)","Development - Missile (Land)"})/1000000000)</f>
        <v>0</v>
      </c>
      <c r="AI39" s="15" cm="1">
        <f t="array" ref="AI39">SUM(SUMIFS('MAIN DATA, Orders'!$S:$S,'MAIN DATA, Orders'!$D:$D,"Germany",'MAIN DATA, Orders'!$I:$I,{"Missile (Air)","Development - Missile (Air)"},'MAIN DATA, Orders'!$Y:$Y,$A39)/1000000000)</f>
        <v>0</v>
      </c>
      <c r="AJ39" s="15" cm="1">
        <f t="array" ref="AJ39">SUM(SUMIFS('MAIN DATA, Orders'!$S:$S,'MAIN DATA, Orders'!$Y:$Y,$A39,'MAIN DATA, Orders'!$D:$D,"Germany",'MAIN DATA, Orders'!$I:$I,{"Missile (Naval)","Development - Missile (Naval)"})/1000000000)</f>
        <v>0.63700000000000001</v>
      </c>
    </row>
    <row r="40" spans="1:36" x14ac:dyDescent="0.35">
      <c r="A40" s="20">
        <v>202210</v>
      </c>
      <c r="B40" s="17">
        <v>44835</v>
      </c>
      <c r="C40" s="15">
        <f>(SUMIFS('MAIN DATA, Orders'!$S:$S,'MAIN DATA, Orders'!$Y:$Y,$A40,'MAIN DATA, Orders'!$D:$D,"Germany",'MAIN DATA, Orders'!$I:$I,"Air defence system")/1000000000)</f>
        <v>0</v>
      </c>
      <c r="D40" s="15">
        <f>(SUMIFS('MAIN DATA, Orders'!$S:$S,'MAIN DATA, Orders'!$Y:$Y,$A40,'MAIN DATA, Orders'!$D:$D,"Germany",'MAIN DATA, Orders'!$I:$I,"Development - Air defence system")/1000000000)</f>
        <v>0</v>
      </c>
      <c r="E40" s="15">
        <f>(SUMIFS('MAIN DATA, Orders'!$S:$S,'MAIN DATA, Orders'!$Y:$Y,$A40,'MAIN DATA, Orders'!$D:$D,"Germany",'MAIN DATA, Orders'!$I:$I,"Aircraft")/1000000000)</f>
        <v>0</v>
      </c>
      <c r="F40" s="15">
        <f>(SUMIFS('MAIN DATA, Orders'!$S:$S,'MAIN DATA, Orders'!$Y:$Y,$A40,'MAIN DATA, Orders'!$D:$D,"Germany",'MAIN DATA, Orders'!$I:$I,"Development - Aircraft")/1000000000)</f>
        <v>0</v>
      </c>
      <c r="G40" s="15">
        <f>(SUMIFS('MAIN DATA, Orders'!$S:$S,'MAIN DATA, Orders'!$Y:$Y,$A40,'MAIN DATA, Orders'!$D:$D,"Germany",'MAIN DATA, Orders'!$I:$I,"Ammunition")/1000000000)</f>
        <v>0</v>
      </c>
      <c r="H40" s="15">
        <f>(SUMIFS('MAIN DATA, Orders'!$S:$S,'MAIN DATA, Orders'!$Y:$Y,$A40,'MAIN DATA, Orders'!$D:$D,"Germany",'MAIN DATA, Orders'!$I:$I,"Development - Ammunition")/1000000000)</f>
        <v>9.74E-2</v>
      </c>
      <c r="I40" s="15">
        <f>(SUMIFS('MAIN DATA, Orders'!$S:$S,'MAIN DATA, Orders'!$Y:$Y,$A40,'MAIN DATA, Orders'!$D:$D,"Germany",'MAIN DATA, Orders'!$I:$I,"Armoured vehicle")/1000000000)</f>
        <v>0</v>
      </c>
      <c r="J40" s="15">
        <f>(SUMIFS('MAIN DATA, Orders'!$S:$S,'MAIN DATA, Orders'!$Y:$Y,$A40,'MAIN DATA, Orders'!$D:$D,"Germany",'MAIN DATA, Orders'!$I:$I,"Development - Armoured vehicle")/1000000000)</f>
        <v>0</v>
      </c>
      <c r="K40" s="15">
        <f>(SUMIFS('MAIN DATA, Orders'!$S:$S,'MAIN DATA, Orders'!$Y:$Y,$A40,'MAIN DATA, Orders'!$D:$D,"Germany",'MAIN DATA, Orders'!$I:$I,"Artillery")/1000000000)</f>
        <v>0</v>
      </c>
      <c r="L40" s="15">
        <f>(SUMIFS('MAIN DATA, Orders'!$S:$S,'MAIN DATA, Orders'!$Y:$Y,$A40,'MAIN DATA, Orders'!$D:$D,"Germany",'MAIN DATA, Orders'!$I:$I,"Development - Artillery")/1000000000)</f>
        <v>0</v>
      </c>
      <c r="M40" s="15">
        <f>(SUMIFS('MAIN DATA, Orders'!$S:$S,'MAIN DATA, Orders'!$Y:$Y,$A40,'MAIN DATA, Orders'!$D:$D,"Germany",'MAIN DATA, Orders'!$I:$I,"Drone")/1000000000)</f>
        <v>0</v>
      </c>
      <c r="N40" s="15">
        <f>(SUMIFS('MAIN DATA, Orders'!$S:$S,'MAIN DATA, Orders'!$Y:$Y,$A40,'MAIN DATA, Orders'!$D:$D,"Germany",'MAIN DATA, Orders'!$I:$I,"Development - Drone")/1000000000)</f>
        <v>0</v>
      </c>
      <c r="O40" s="15">
        <f>(SUMIFS('MAIN DATA, Orders'!$S:$S,'MAIN DATA, Orders'!$Y:$Y,$A40,'MAIN DATA, Orders'!$D:$D,"Germany",'MAIN DATA, Orders'!$I:$I,"Helicopter")/1000000000)</f>
        <v>0</v>
      </c>
      <c r="P40" s="15">
        <f>(SUMIFS('MAIN DATA, Orders'!$S:$S,'MAIN DATA, Orders'!$Y:$Y,$A40,'MAIN DATA, Orders'!$D:$D,"Germany",'MAIN DATA, Orders'!$I:$I,"Development - Helicopter")/1000000000)</f>
        <v>0</v>
      </c>
      <c r="Q40" s="15">
        <f>(SUMIFS('MAIN DATA, Orders'!$S:$S,'MAIN DATA, Orders'!$Y:$Y,$A40,'MAIN DATA, Orders'!$D:$D,"Germany",'MAIN DATA, Orders'!$I:$I,"Infantry")/1000000000)</f>
        <v>0</v>
      </c>
      <c r="R40" s="15">
        <f>(SUMIFS('MAIN DATA, Orders'!$S:$S,'MAIN DATA, Orders'!$Y:$Y,$A40,'MAIN DATA, Orders'!$D:$D,"Germany",'MAIN DATA, Orders'!$I:$I,"Development - Infantry")/1000000000)</f>
        <v>0</v>
      </c>
      <c r="S40" s="15">
        <f>(SUMIFS('MAIN DATA, Orders'!$S:$S,'MAIN DATA, Orders'!$Y:$Y,$A40,'MAIN DATA, Orders'!$D:$D,"Germany",'MAIN DATA, Orders'!$I:$I,"Tank")/1000000000)</f>
        <v>0</v>
      </c>
      <c r="T40" s="15">
        <f>(SUMIFS('MAIN DATA, Orders'!$S:$S,'MAIN DATA, Orders'!$Y:$Y,$A40,'MAIN DATA, Orders'!$D:$D,"Germany",'MAIN DATA, Orders'!$I:$I,"Development - Tank")/1000000000)</f>
        <v>0</v>
      </c>
      <c r="U40" s="15">
        <f>(SUMIFS('MAIN DATA, Orders'!$S:$S,'MAIN DATA, Orders'!$Y:$Y,$A40,'MAIN DATA, Orders'!$D:$D,"Germany",'MAIN DATA, Orders'!$I:$I,"Maintenance")/1000000000)</f>
        <v>0</v>
      </c>
      <c r="V40" s="15">
        <f>(SUMIFS('MAIN DATA, Orders'!$S:$S,'MAIN DATA, Orders'!$Y:$Y,$A40,'MAIN DATA, Orders'!$D:$D,"Germany",'MAIN DATA, Orders'!$I:$I,"Development - Maintenance")/1000000000)</f>
        <v>0</v>
      </c>
      <c r="W40" s="15">
        <f>(SUMIFS('MAIN DATA, Orders'!$S:$S,'MAIN DATA, Orders'!$Y:$Y,$A40,'MAIN DATA, Orders'!$D:$D,"Germany",'MAIN DATA, Orders'!$I:$I,"Mine")/1000000000)</f>
        <v>0</v>
      </c>
      <c r="X40" s="15">
        <f>(SUMIFS('MAIN DATA, Orders'!$S:$S,'MAIN DATA, Orders'!$Y:$Y,$A40,'MAIN DATA, Orders'!$D:$D,"Germany",'MAIN DATA, Orders'!$I:$I,"Development - Mine")/1000000000)</f>
        <v>0</v>
      </c>
      <c r="Y40" s="15">
        <f>(SUMIFS('MAIN DATA, Orders'!$S:$S,'MAIN DATA, Orders'!$Y:$Y,$A40,'MAIN DATA, Orders'!$D:$D,"Germany",'MAIN DATA, Orders'!$J:$J,"6")/1000000000)</f>
        <v>0</v>
      </c>
      <c r="Z40" s="15" cm="1">
        <f t="array" ref="Z40">SUM(SUMIFS('MAIN DATA, Orders'!$S:$S,'MAIN DATA, Orders'!$Y:$Y,$A40,'MAIN DATA, Orders'!$D:$D,"Germany",'MAIN DATA, Orders'!$I:$I,{"Development - Missile (Land)","Development - Missile (Naval)","Development - Missile (Air)"})/1000000000)</f>
        <v>0</v>
      </c>
      <c r="AA40" s="15">
        <f>(SUMIFS('MAIN DATA, Orders'!$S:$S,'MAIN DATA, Orders'!$Y:$Y,$A40,'MAIN DATA, Orders'!$D:$D,"Germany",'MAIN DATA, Orders'!$I:$I,"Modernisation")/1000000000)</f>
        <v>7.4999999999999997E-3</v>
      </c>
      <c r="AB40" s="15">
        <f>(SUMIFS('MAIN DATA, Orders'!$S:$S,'MAIN DATA, Orders'!$Y:$Y,$A40,'MAIN DATA, Orders'!$D:$D,"Germany",'MAIN DATA, Orders'!$I:$I,"Development - Modernisation")/1000000000)</f>
        <v>0</v>
      </c>
      <c r="AC40" s="15">
        <f>(SUMIFS('MAIN DATA, Orders'!$S:$S,'MAIN DATA, Orders'!$Y:$Y,$A40,'MAIN DATA, Orders'!$D:$D,"Germany",'MAIN DATA, Orders'!$I:$I,"Naval")/1000000000)</f>
        <v>0</v>
      </c>
      <c r="AD40" s="15">
        <f>(SUMIFS('MAIN DATA, Orders'!$S:$S,'MAIN DATA, Orders'!$Y:$Y,$A40,'MAIN DATA, Orders'!$D:$D,"Germany",'MAIN DATA, Orders'!$I:$I,"Development - Naval")/1000000000)</f>
        <v>0</v>
      </c>
      <c r="AE40" s="15">
        <f>(SUMIFS('MAIN DATA, Orders'!$S:$S,'MAIN DATA, Orders'!$Y:$Y,$A40,'MAIN DATA, Orders'!$D:$D,"Germany",'MAIN DATA, Orders'!$I:$I,"Other")/1000000000)</f>
        <v>0</v>
      </c>
      <c r="AF40" s="15">
        <f>(SUMIFS('MAIN DATA, Orders'!$S:$S,'MAIN DATA, Orders'!$Y:$Y,$A40,'MAIN DATA, Orders'!$D:$D,"Germany",'MAIN DATA, Orders'!$I:$I,"Development - Other")/1000000000)</f>
        <v>0</v>
      </c>
      <c r="AG40" s="15"/>
      <c r="AH40" s="15" cm="1">
        <f t="array" ref="AH40">SUM(SUMIFS('MAIN DATA, Orders'!$S:$S,'MAIN DATA, Orders'!$Y:$Y,$A40,'MAIN DATA, Orders'!$D:$D,"Germany",'MAIN DATA, Orders'!$I:$I,{"Missile (Land)","Development - Missile (Land)"})/1000000000)</f>
        <v>0</v>
      </c>
      <c r="AI40" s="15" cm="1">
        <f t="array" ref="AI40">SUM(SUMIFS('MAIN DATA, Orders'!$S:$S,'MAIN DATA, Orders'!$D:$D,"Germany",'MAIN DATA, Orders'!$I:$I,{"Missile (Air)","Development - Missile (Air)"},'MAIN DATA, Orders'!$Y:$Y,$A40)/1000000000)</f>
        <v>0</v>
      </c>
      <c r="AJ40" s="15" cm="1">
        <f t="array" ref="AJ40">SUM(SUMIFS('MAIN DATA, Orders'!$S:$S,'MAIN DATA, Orders'!$Y:$Y,$A40,'MAIN DATA, Orders'!$D:$D,"Germany",'MAIN DATA, Orders'!$I:$I,{"Missile (Naval)","Development - Missile (Naval)"})/1000000000)</f>
        <v>0</v>
      </c>
    </row>
    <row r="41" spans="1:36" x14ac:dyDescent="0.35">
      <c r="A41" s="20">
        <v>202211</v>
      </c>
      <c r="B41" s="17">
        <v>44866</v>
      </c>
      <c r="C41" s="15">
        <f>(SUMIFS('MAIN DATA, Orders'!$S:$S,'MAIN DATA, Orders'!$Y:$Y,$A41,'MAIN DATA, Orders'!$D:$D,"Germany",'MAIN DATA, Orders'!$I:$I,"Air defence system")/1000000000)</f>
        <v>0</v>
      </c>
      <c r="D41" s="15">
        <f>(SUMIFS('MAIN DATA, Orders'!$S:$S,'MAIN DATA, Orders'!$Y:$Y,$A41,'MAIN DATA, Orders'!$D:$D,"Germany",'MAIN DATA, Orders'!$I:$I,"Development - Air defence system")/1000000000)</f>
        <v>0</v>
      </c>
      <c r="E41" s="15">
        <f>(SUMIFS('MAIN DATA, Orders'!$S:$S,'MAIN DATA, Orders'!$Y:$Y,$A41,'MAIN DATA, Orders'!$D:$D,"Germany",'MAIN DATA, Orders'!$I:$I,"Aircraft")/1000000000)</f>
        <v>0</v>
      </c>
      <c r="F41" s="15">
        <f>(SUMIFS('MAIN DATA, Orders'!$S:$S,'MAIN DATA, Orders'!$Y:$Y,$A41,'MAIN DATA, Orders'!$D:$D,"Germany",'MAIN DATA, Orders'!$I:$I,"Development - Aircraft")/1000000000)</f>
        <v>0</v>
      </c>
      <c r="G41" s="15">
        <f>(SUMIFS('MAIN DATA, Orders'!$S:$S,'MAIN DATA, Orders'!$Y:$Y,$A41,'MAIN DATA, Orders'!$D:$D,"Germany",'MAIN DATA, Orders'!$I:$I,"Ammunition")/1000000000)</f>
        <v>0</v>
      </c>
      <c r="H41" s="15">
        <f>(SUMIFS('MAIN DATA, Orders'!$S:$S,'MAIN DATA, Orders'!$Y:$Y,$A41,'MAIN DATA, Orders'!$D:$D,"Germany",'MAIN DATA, Orders'!$I:$I,"Development - Ammunition")/1000000000)</f>
        <v>0</v>
      </c>
      <c r="I41" s="15">
        <f>(SUMIFS('MAIN DATA, Orders'!$S:$S,'MAIN DATA, Orders'!$Y:$Y,$A41,'MAIN DATA, Orders'!$D:$D,"Germany",'MAIN DATA, Orders'!$I:$I,"Armoured vehicle")/1000000000)</f>
        <v>0</v>
      </c>
      <c r="J41" s="15">
        <f>(SUMIFS('MAIN DATA, Orders'!$S:$S,'MAIN DATA, Orders'!$Y:$Y,$A41,'MAIN DATA, Orders'!$D:$D,"Germany",'MAIN DATA, Orders'!$I:$I,"Development - Armoured vehicle")/1000000000)</f>
        <v>0</v>
      </c>
      <c r="K41" s="15">
        <f>(SUMIFS('MAIN DATA, Orders'!$S:$S,'MAIN DATA, Orders'!$Y:$Y,$A41,'MAIN DATA, Orders'!$D:$D,"Germany",'MAIN DATA, Orders'!$I:$I,"Artillery")/1000000000)</f>
        <v>0</v>
      </c>
      <c r="L41" s="15">
        <f>(SUMIFS('MAIN DATA, Orders'!$S:$S,'MAIN DATA, Orders'!$Y:$Y,$A41,'MAIN DATA, Orders'!$D:$D,"Germany",'MAIN DATA, Orders'!$I:$I,"Development - Artillery")/1000000000)</f>
        <v>0</v>
      </c>
      <c r="M41" s="15">
        <f>(SUMIFS('MAIN DATA, Orders'!$S:$S,'MAIN DATA, Orders'!$Y:$Y,$A41,'MAIN DATA, Orders'!$D:$D,"Germany",'MAIN DATA, Orders'!$I:$I,"Drone")/1000000000)</f>
        <v>0</v>
      </c>
      <c r="N41" s="15">
        <f>(SUMIFS('MAIN DATA, Orders'!$S:$S,'MAIN DATA, Orders'!$Y:$Y,$A41,'MAIN DATA, Orders'!$D:$D,"Germany",'MAIN DATA, Orders'!$I:$I,"Development - Drone")/1000000000)</f>
        <v>0</v>
      </c>
      <c r="O41" s="15">
        <f>(SUMIFS('MAIN DATA, Orders'!$S:$S,'MAIN DATA, Orders'!$Y:$Y,$A41,'MAIN DATA, Orders'!$D:$D,"Germany",'MAIN DATA, Orders'!$I:$I,"Helicopter")/1000000000)</f>
        <v>0</v>
      </c>
      <c r="P41" s="15">
        <f>(SUMIFS('MAIN DATA, Orders'!$S:$S,'MAIN DATA, Orders'!$Y:$Y,$A41,'MAIN DATA, Orders'!$D:$D,"Germany",'MAIN DATA, Orders'!$I:$I,"Development - Helicopter")/1000000000)</f>
        <v>0</v>
      </c>
      <c r="Q41" s="15">
        <f>(SUMIFS('MAIN DATA, Orders'!$S:$S,'MAIN DATA, Orders'!$Y:$Y,$A41,'MAIN DATA, Orders'!$D:$D,"Germany",'MAIN DATA, Orders'!$I:$I,"Infantry")/1000000000)</f>
        <v>0</v>
      </c>
      <c r="R41" s="15">
        <f>(SUMIFS('MAIN DATA, Orders'!$S:$S,'MAIN DATA, Orders'!$Y:$Y,$A41,'MAIN DATA, Orders'!$D:$D,"Germany",'MAIN DATA, Orders'!$I:$I,"Development - Infantry")/1000000000)</f>
        <v>0</v>
      </c>
      <c r="S41" s="15">
        <f>(SUMIFS('MAIN DATA, Orders'!$S:$S,'MAIN DATA, Orders'!$Y:$Y,$A41,'MAIN DATA, Orders'!$D:$D,"Germany",'MAIN DATA, Orders'!$I:$I,"Tank")/1000000000)</f>
        <v>0</v>
      </c>
      <c r="T41" s="15">
        <f>(SUMIFS('MAIN DATA, Orders'!$S:$S,'MAIN DATA, Orders'!$Y:$Y,$A41,'MAIN DATA, Orders'!$D:$D,"Germany",'MAIN DATA, Orders'!$I:$I,"Development - Tank")/1000000000)</f>
        <v>0</v>
      </c>
      <c r="U41" s="15">
        <f>(SUMIFS('MAIN DATA, Orders'!$S:$S,'MAIN DATA, Orders'!$Y:$Y,$A41,'MAIN DATA, Orders'!$D:$D,"Germany",'MAIN DATA, Orders'!$I:$I,"Maintenance")/1000000000)</f>
        <v>0</v>
      </c>
      <c r="V41" s="15">
        <f>(SUMIFS('MAIN DATA, Orders'!$S:$S,'MAIN DATA, Orders'!$Y:$Y,$A41,'MAIN DATA, Orders'!$D:$D,"Germany",'MAIN DATA, Orders'!$I:$I,"Development - Maintenance")/1000000000)</f>
        <v>0</v>
      </c>
      <c r="W41" s="15">
        <f>(SUMIFS('MAIN DATA, Orders'!$S:$S,'MAIN DATA, Orders'!$Y:$Y,$A41,'MAIN DATA, Orders'!$D:$D,"Germany",'MAIN DATA, Orders'!$I:$I,"Mine")/1000000000)</f>
        <v>0</v>
      </c>
      <c r="X41" s="15">
        <f>(SUMIFS('MAIN DATA, Orders'!$S:$S,'MAIN DATA, Orders'!$Y:$Y,$A41,'MAIN DATA, Orders'!$D:$D,"Germany",'MAIN DATA, Orders'!$I:$I,"Development - Mine")/1000000000)</f>
        <v>0</v>
      </c>
      <c r="Y41" s="15">
        <f>(SUMIFS('MAIN DATA, Orders'!$S:$S,'MAIN DATA, Orders'!$Y:$Y,$A41,'MAIN DATA, Orders'!$D:$D,"Germany",'MAIN DATA, Orders'!$J:$J,"6")/1000000000)</f>
        <v>0</v>
      </c>
      <c r="Z41" s="15" cm="1">
        <f t="array" ref="Z41">SUM(SUMIFS('MAIN DATA, Orders'!$S:$S,'MAIN DATA, Orders'!$Y:$Y,$A41,'MAIN DATA, Orders'!$D:$D,"Germany",'MAIN DATA, Orders'!$I:$I,{"Development - Missile (Land)","Development - Missile (Naval)","Development - Missile (Air)"})/1000000000)</f>
        <v>0</v>
      </c>
      <c r="AA41" s="15">
        <f>(SUMIFS('MAIN DATA, Orders'!$S:$S,'MAIN DATA, Orders'!$Y:$Y,$A41,'MAIN DATA, Orders'!$D:$D,"Germany",'MAIN DATA, Orders'!$I:$I,"Modernisation")/1000000000)</f>
        <v>0.15545</v>
      </c>
      <c r="AB41" s="15">
        <f>(SUMIFS('MAIN DATA, Orders'!$S:$S,'MAIN DATA, Orders'!$Y:$Y,$A41,'MAIN DATA, Orders'!$D:$D,"Germany",'MAIN DATA, Orders'!$I:$I,"Development - Modernisation")/1000000000)</f>
        <v>0</v>
      </c>
      <c r="AC41" s="15">
        <f>(SUMIFS('MAIN DATA, Orders'!$S:$S,'MAIN DATA, Orders'!$Y:$Y,$A41,'MAIN DATA, Orders'!$D:$D,"Germany",'MAIN DATA, Orders'!$I:$I,"Naval")/1000000000)</f>
        <v>0</v>
      </c>
      <c r="AD41" s="15">
        <f>(SUMIFS('MAIN DATA, Orders'!$S:$S,'MAIN DATA, Orders'!$Y:$Y,$A41,'MAIN DATA, Orders'!$D:$D,"Germany",'MAIN DATA, Orders'!$I:$I,"Development - Naval")/1000000000)</f>
        <v>0</v>
      </c>
      <c r="AE41" s="15">
        <f>(SUMIFS('MAIN DATA, Orders'!$S:$S,'MAIN DATA, Orders'!$Y:$Y,$A41,'MAIN DATA, Orders'!$D:$D,"Germany",'MAIN DATA, Orders'!$I:$I,"Other")/1000000000)</f>
        <v>0</v>
      </c>
      <c r="AF41" s="15">
        <f>(SUMIFS('MAIN DATA, Orders'!$S:$S,'MAIN DATA, Orders'!$Y:$Y,$A41,'MAIN DATA, Orders'!$D:$D,"Germany",'MAIN DATA, Orders'!$I:$I,"Development - Other")/1000000000)</f>
        <v>0</v>
      </c>
      <c r="AG41" s="15"/>
      <c r="AH41" s="15" cm="1">
        <f t="array" ref="AH41">SUM(SUMIFS('MAIN DATA, Orders'!$S:$S,'MAIN DATA, Orders'!$Y:$Y,$A41,'MAIN DATA, Orders'!$D:$D,"Germany",'MAIN DATA, Orders'!$I:$I,{"Missile (Land)","Development - Missile (Land)"})/1000000000)</f>
        <v>0</v>
      </c>
      <c r="AI41" s="15" cm="1">
        <f t="array" ref="AI41">SUM(SUMIFS('MAIN DATA, Orders'!$S:$S,'MAIN DATA, Orders'!$D:$D,"Germany",'MAIN DATA, Orders'!$I:$I,{"Missile (Air)","Development - Missile (Air)"},'MAIN DATA, Orders'!$Y:$Y,$A41)/1000000000)</f>
        <v>0</v>
      </c>
      <c r="AJ41" s="15" cm="1">
        <f t="array" ref="AJ41">SUM(SUMIFS('MAIN DATA, Orders'!$S:$S,'MAIN DATA, Orders'!$Y:$Y,$A41,'MAIN DATA, Orders'!$D:$D,"Germany",'MAIN DATA, Orders'!$I:$I,{"Missile (Naval)","Development - Missile (Naval)"})/1000000000)</f>
        <v>0</v>
      </c>
    </row>
    <row r="42" spans="1:36" x14ac:dyDescent="0.35">
      <c r="A42" s="20">
        <v>202212</v>
      </c>
      <c r="B42" s="17">
        <v>44896</v>
      </c>
      <c r="C42" s="15">
        <f>(SUMIFS('MAIN DATA, Orders'!$S:$S,'MAIN DATA, Orders'!$Y:$Y,$A42,'MAIN DATA, Orders'!$D:$D,"Germany",'MAIN DATA, Orders'!$I:$I,"Air defence system")/1000000000)</f>
        <v>0</v>
      </c>
      <c r="D42" s="15">
        <f>(SUMIFS('MAIN DATA, Orders'!$S:$S,'MAIN DATA, Orders'!$Y:$Y,$A42,'MAIN DATA, Orders'!$D:$D,"Germany",'MAIN DATA, Orders'!$I:$I,"Development - Air defence system")/1000000000)</f>
        <v>0</v>
      </c>
      <c r="E42" s="15">
        <f>(SUMIFS('MAIN DATA, Orders'!$S:$S,'MAIN DATA, Orders'!$Y:$Y,$A42,'MAIN DATA, Orders'!$D:$D,"Germany",'MAIN DATA, Orders'!$I:$I,"Aircraft")/1000000000)</f>
        <v>8.3000000000000007</v>
      </c>
      <c r="F42" s="15">
        <f>(SUMIFS('MAIN DATA, Orders'!$S:$S,'MAIN DATA, Orders'!$Y:$Y,$A42,'MAIN DATA, Orders'!$D:$D,"Germany",'MAIN DATA, Orders'!$I:$I,"Development - Aircraft")/1000000000)</f>
        <v>0</v>
      </c>
      <c r="G42" s="15">
        <f>(SUMIFS('MAIN DATA, Orders'!$S:$S,'MAIN DATA, Orders'!$Y:$Y,$A42,'MAIN DATA, Orders'!$D:$D,"Germany",'MAIN DATA, Orders'!$I:$I,"Ammunition")/1000000000)</f>
        <v>0</v>
      </c>
      <c r="H42" s="15">
        <f>(SUMIFS('MAIN DATA, Orders'!$S:$S,'MAIN DATA, Orders'!$Y:$Y,$A42,'MAIN DATA, Orders'!$D:$D,"Germany",'MAIN DATA, Orders'!$I:$I,"Development - Ammunition")/1000000000)</f>
        <v>0</v>
      </c>
      <c r="I42" s="15">
        <f>(SUMIFS('MAIN DATA, Orders'!$S:$S,'MAIN DATA, Orders'!$Y:$Y,$A42,'MAIN DATA, Orders'!$D:$D,"Germany",'MAIN DATA, Orders'!$I:$I,"Armoured vehicle")/1000000000)</f>
        <v>1.2549999999999999</v>
      </c>
      <c r="J42" s="15">
        <f>(SUMIFS('MAIN DATA, Orders'!$S:$S,'MAIN DATA, Orders'!$Y:$Y,$A42,'MAIN DATA, Orders'!$D:$D,"Germany",'MAIN DATA, Orders'!$I:$I,"Development - Armoured vehicle")/1000000000)</f>
        <v>0</v>
      </c>
      <c r="K42" s="15">
        <f>(SUMIFS('MAIN DATA, Orders'!$S:$S,'MAIN DATA, Orders'!$Y:$Y,$A42,'MAIN DATA, Orders'!$D:$D,"Germany",'MAIN DATA, Orders'!$I:$I,"Artillery")/1000000000)</f>
        <v>0</v>
      </c>
      <c r="L42" s="15">
        <f>(SUMIFS('MAIN DATA, Orders'!$S:$S,'MAIN DATA, Orders'!$Y:$Y,$A42,'MAIN DATA, Orders'!$D:$D,"Germany",'MAIN DATA, Orders'!$I:$I,"Development - Artillery")/1000000000)</f>
        <v>0</v>
      </c>
      <c r="M42" s="15">
        <f>(SUMIFS('MAIN DATA, Orders'!$S:$S,'MAIN DATA, Orders'!$Y:$Y,$A42,'MAIN DATA, Orders'!$D:$D,"Germany",'MAIN DATA, Orders'!$I:$I,"Drone")/1000000000)</f>
        <v>0</v>
      </c>
      <c r="N42" s="15">
        <f>(SUMIFS('MAIN DATA, Orders'!$S:$S,'MAIN DATA, Orders'!$Y:$Y,$A42,'MAIN DATA, Orders'!$D:$D,"Germany",'MAIN DATA, Orders'!$I:$I,"Development - Drone")/1000000000)</f>
        <v>0</v>
      </c>
      <c r="O42" s="15">
        <f>(SUMIFS('MAIN DATA, Orders'!$S:$S,'MAIN DATA, Orders'!$Y:$Y,$A42,'MAIN DATA, Orders'!$D:$D,"Germany",'MAIN DATA, Orders'!$I:$I,"Helicopter")/1000000000)</f>
        <v>0</v>
      </c>
      <c r="P42" s="15">
        <f>(SUMIFS('MAIN DATA, Orders'!$S:$S,'MAIN DATA, Orders'!$Y:$Y,$A42,'MAIN DATA, Orders'!$D:$D,"Germany",'MAIN DATA, Orders'!$I:$I,"Development - Helicopter")/1000000000)</f>
        <v>0</v>
      </c>
      <c r="Q42" s="15">
        <f>(SUMIFS('MAIN DATA, Orders'!$S:$S,'MAIN DATA, Orders'!$Y:$Y,$A42,'MAIN DATA, Orders'!$D:$D,"Germany",'MAIN DATA, Orders'!$I:$I,"Infantry")/1000000000)</f>
        <v>0.20899999999999999</v>
      </c>
      <c r="R42" s="15">
        <f>(SUMIFS('MAIN DATA, Orders'!$S:$S,'MAIN DATA, Orders'!$Y:$Y,$A42,'MAIN DATA, Orders'!$D:$D,"Germany",'MAIN DATA, Orders'!$I:$I,"Development - Infantry")/1000000000)</f>
        <v>0</v>
      </c>
      <c r="S42" s="15">
        <f>(SUMIFS('MAIN DATA, Orders'!$S:$S,'MAIN DATA, Orders'!$Y:$Y,$A42,'MAIN DATA, Orders'!$D:$D,"Germany",'MAIN DATA, Orders'!$I:$I,"Tank")/1000000000)</f>
        <v>0</v>
      </c>
      <c r="T42" s="15">
        <f>(SUMIFS('MAIN DATA, Orders'!$S:$S,'MAIN DATA, Orders'!$Y:$Y,$A42,'MAIN DATA, Orders'!$D:$D,"Germany",'MAIN DATA, Orders'!$I:$I,"Development - Tank")/1000000000)</f>
        <v>0</v>
      </c>
      <c r="U42" s="15">
        <f>(SUMIFS('MAIN DATA, Orders'!$S:$S,'MAIN DATA, Orders'!$Y:$Y,$A42,'MAIN DATA, Orders'!$D:$D,"Germany",'MAIN DATA, Orders'!$I:$I,"Maintenance")/1000000000)</f>
        <v>0</v>
      </c>
      <c r="V42" s="15">
        <f>(SUMIFS('MAIN DATA, Orders'!$S:$S,'MAIN DATA, Orders'!$Y:$Y,$A42,'MAIN DATA, Orders'!$D:$D,"Germany",'MAIN DATA, Orders'!$I:$I,"Development - Maintenance")/1000000000)</f>
        <v>0</v>
      </c>
      <c r="W42" s="15">
        <f>(SUMIFS('MAIN DATA, Orders'!$S:$S,'MAIN DATA, Orders'!$Y:$Y,$A42,'MAIN DATA, Orders'!$D:$D,"Germany",'MAIN DATA, Orders'!$I:$I,"Mine")/1000000000)</f>
        <v>0</v>
      </c>
      <c r="X42" s="15">
        <f>(SUMIFS('MAIN DATA, Orders'!$S:$S,'MAIN DATA, Orders'!$Y:$Y,$A42,'MAIN DATA, Orders'!$D:$D,"Germany",'MAIN DATA, Orders'!$I:$I,"Development - Mine")/1000000000)</f>
        <v>0</v>
      </c>
      <c r="Y42" s="15">
        <f>(SUMIFS('MAIN DATA, Orders'!$S:$S,'MAIN DATA, Orders'!$Y:$Y,$A42,'MAIN DATA, Orders'!$D:$D,"Germany",'MAIN DATA, Orders'!$J:$J,"6")/1000000000)</f>
        <v>0</v>
      </c>
      <c r="Z42" s="15" cm="1">
        <f t="array" ref="Z42">SUM(SUMIFS('MAIN DATA, Orders'!$S:$S,'MAIN DATA, Orders'!$Y:$Y,$A42,'MAIN DATA, Orders'!$D:$D,"Germany",'MAIN DATA, Orders'!$I:$I,{"Development - Missile (Land)","Development - Missile (Naval)","Development - Missile (Air)"})/1000000000)</f>
        <v>0</v>
      </c>
      <c r="AA42" s="15">
        <f>(SUMIFS('MAIN DATA, Orders'!$S:$S,'MAIN DATA, Orders'!$Y:$Y,$A42,'MAIN DATA, Orders'!$D:$D,"Germany",'MAIN DATA, Orders'!$I:$I,"Modernisation")/1000000000)</f>
        <v>5.0999999999999997E-2</v>
      </c>
      <c r="AB42" s="15">
        <f>(SUMIFS('MAIN DATA, Orders'!$S:$S,'MAIN DATA, Orders'!$Y:$Y,$A42,'MAIN DATA, Orders'!$D:$D,"Germany",'MAIN DATA, Orders'!$I:$I,"Development - Modernisation")/1000000000)</f>
        <v>0</v>
      </c>
      <c r="AC42" s="15">
        <f>(SUMIFS('MAIN DATA, Orders'!$S:$S,'MAIN DATA, Orders'!$Y:$Y,$A42,'MAIN DATA, Orders'!$D:$D,"Germany",'MAIN DATA, Orders'!$I:$I,"Naval")/1000000000)</f>
        <v>0</v>
      </c>
      <c r="AD42" s="15">
        <f>(SUMIFS('MAIN DATA, Orders'!$S:$S,'MAIN DATA, Orders'!$Y:$Y,$A42,'MAIN DATA, Orders'!$D:$D,"Germany",'MAIN DATA, Orders'!$I:$I,"Development - Naval")/1000000000)</f>
        <v>0</v>
      </c>
      <c r="AE42" s="15">
        <f>(SUMIFS('MAIN DATA, Orders'!$S:$S,'MAIN DATA, Orders'!$Y:$Y,$A42,'MAIN DATA, Orders'!$D:$D,"Germany",'MAIN DATA, Orders'!$I:$I,"Other")/1000000000)</f>
        <v>6.9000000000000006E-2</v>
      </c>
      <c r="AF42" s="15">
        <f>(SUMIFS('MAIN DATA, Orders'!$S:$S,'MAIN DATA, Orders'!$Y:$Y,$A42,'MAIN DATA, Orders'!$D:$D,"Germany",'MAIN DATA, Orders'!$I:$I,"Development - Other")/1000000000)</f>
        <v>0</v>
      </c>
      <c r="AG42" s="15"/>
      <c r="AH42" s="15" cm="1">
        <f t="array" ref="AH42">SUM(SUMIFS('MAIN DATA, Orders'!$S:$S,'MAIN DATA, Orders'!$Y:$Y,$A42,'MAIN DATA, Orders'!$D:$D,"Germany",'MAIN DATA, Orders'!$I:$I,{"Missile (Land)","Development - Missile (Land)"})/1000000000)</f>
        <v>0</v>
      </c>
      <c r="AI42" s="15" cm="1">
        <f t="array" ref="AI42">SUM(SUMIFS('MAIN DATA, Orders'!$S:$S,'MAIN DATA, Orders'!$D:$D,"Germany",'MAIN DATA, Orders'!$I:$I,{"Missile (Air)","Development - Missile (Air)"},'MAIN DATA, Orders'!$Y:$Y,$A42)/1000000000)</f>
        <v>0</v>
      </c>
      <c r="AJ42" s="15" cm="1">
        <f t="array" ref="AJ42">SUM(SUMIFS('MAIN DATA, Orders'!$S:$S,'MAIN DATA, Orders'!$Y:$Y,$A42,'MAIN DATA, Orders'!$D:$D,"Germany",'MAIN DATA, Orders'!$I:$I,{"Missile (Naval)","Development - Missile (Naval)"})/1000000000)</f>
        <v>0</v>
      </c>
    </row>
    <row r="43" spans="1:36" x14ac:dyDescent="0.35">
      <c r="A43" s="20">
        <v>202301</v>
      </c>
      <c r="B43" s="17">
        <v>44927</v>
      </c>
      <c r="C43" s="15">
        <f>(SUMIFS('MAIN DATA, Orders'!$S:$S,'MAIN DATA, Orders'!$Y:$Y,$A43,'MAIN DATA, Orders'!$D:$D,"Germany",'MAIN DATA, Orders'!$I:$I,"Air defence system")/1000000000)</f>
        <v>0</v>
      </c>
      <c r="D43" s="15">
        <f>(SUMIFS('MAIN DATA, Orders'!$S:$S,'MAIN DATA, Orders'!$Y:$Y,$A43,'MAIN DATA, Orders'!$D:$D,"Germany",'MAIN DATA, Orders'!$I:$I,"Development - Air defence system")/1000000000)</f>
        <v>0</v>
      </c>
      <c r="E43" s="15">
        <f>(SUMIFS('MAIN DATA, Orders'!$S:$S,'MAIN DATA, Orders'!$Y:$Y,$A43,'MAIN DATA, Orders'!$D:$D,"Germany",'MAIN DATA, Orders'!$I:$I,"Aircraft")/1000000000)</f>
        <v>0</v>
      </c>
      <c r="F43" s="15">
        <f>(SUMIFS('MAIN DATA, Orders'!$S:$S,'MAIN DATA, Orders'!$Y:$Y,$A43,'MAIN DATA, Orders'!$D:$D,"Germany",'MAIN DATA, Orders'!$I:$I,"Development - Aircraft")/1000000000)</f>
        <v>0</v>
      </c>
      <c r="G43" s="15">
        <f>(SUMIFS('MAIN DATA, Orders'!$S:$S,'MAIN DATA, Orders'!$Y:$Y,$A43,'MAIN DATA, Orders'!$D:$D,"Germany",'MAIN DATA, Orders'!$I:$I,"Ammunition")/1000000000)</f>
        <v>0</v>
      </c>
      <c r="H43" s="15">
        <f>(SUMIFS('MAIN DATA, Orders'!$S:$S,'MAIN DATA, Orders'!$Y:$Y,$A43,'MAIN DATA, Orders'!$D:$D,"Germany",'MAIN DATA, Orders'!$I:$I,"Development - Ammunition")/1000000000)</f>
        <v>0</v>
      </c>
      <c r="I43" s="15">
        <f>(SUMIFS('MAIN DATA, Orders'!$S:$S,'MAIN DATA, Orders'!$Y:$Y,$A43,'MAIN DATA, Orders'!$D:$D,"Germany",'MAIN DATA, Orders'!$I:$I,"Armoured vehicle")/1000000000)</f>
        <v>0</v>
      </c>
      <c r="J43" s="15">
        <f>(SUMIFS('MAIN DATA, Orders'!$S:$S,'MAIN DATA, Orders'!$Y:$Y,$A43,'MAIN DATA, Orders'!$D:$D,"Germany",'MAIN DATA, Orders'!$I:$I,"Development - Armoured vehicle")/1000000000)</f>
        <v>0</v>
      </c>
      <c r="K43" s="15">
        <f>(SUMIFS('MAIN DATA, Orders'!$S:$S,'MAIN DATA, Orders'!$Y:$Y,$A43,'MAIN DATA, Orders'!$D:$D,"Germany",'MAIN DATA, Orders'!$I:$I,"Artillery")/1000000000)</f>
        <v>0</v>
      </c>
      <c r="L43" s="15">
        <f>(SUMIFS('MAIN DATA, Orders'!$S:$S,'MAIN DATA, Orders'!$Y:$Y,$A43,'MAIN DATA, Orders'!$D:$D,"Germany",'MAIN DATA, Orders'!$I:$I,"Development - Artillery")/1000000000)</f>
        <v>0</v>
      </c>
      <c r="M43" s="15">
        <f>(SUMIFS('MAIN DATA, Orders'!$S:$S,'MAIN DATA, Orders'!$Y:$Y,$A43,'MAIN DATA, Orders'!$D:$D,"Germany",'MAIN DATA, Orders'!$I:$I,"Drone")/1000000000)</f>
        <v>0</v>
      </c>
      <c r="N43" s="15">
        <f>(SUMIFS('MAIN DATA, Orders'!$S:$S,'MAIN DATA, Orders'!$Y:$Y,$A43,'MAIN DATA, Orders'!$D:$D,"Germany",'MAIN DATA, Orders'!$I:$I,"Development - Drone")/1000000000)</f>
        <v>0</v>
      </c>
      <c r="O43" s="15">
        <f>(SUMIFS('MAIN DATA, Orders'!$S:$S,'MAIN DATA, Orders'!$Y:$Y,$A43,'MAIN DATA, Orders'!$D:$D,"Germany",'MAIN DATA, Orders'!$I:$I,"Helicopter")/1000000000)</f>
        <v>0</v>
      </c>
      <c r="P43" s="15">
        <f>(SUMIFS('MAIN DATA, Orders'!$S:$S,'MAIN DATA, Orders'!$Y:$Y,$A43,'MAIN DATA, Orders'!$D:$D,"Germany",'MAIN DATA, Orders'!$I:$I,"Development - Helicopter")/1000000000)</f>
        <v>0</v>
      </c>
      <c r="Q43" s="15">
        <f>(SUMIFS('MAIN DATA, Orders'!$S:$S,'MAIN DATA, Orders'!$Y:$Y,$A43,'MAIN DATA, Orders'!$D:$D,"Germany",'MAIN DATA, Orders'!$I:$I,"Infantry")/1000000000)</f>
        <v>0</v>
      </c>
      <c r="R43" s="15">
        <f>(SUMIFS('MAIN DATA, Orders'!$S:$S,'MAIN DATA, Orders'!$Y:$Y,$A43,'MAIN DATA, Orders'!$D:$D,"Germany",'MAIN DATA, Orders'!$I:$I,"Development - Infantry")/1000000000)</f>
        <v>0</v>
      </c>
      <c r="S43" s="15">
        <f>(SUMIFS('MAIN DATA, Orders'!$S:$S,'MAIN DATA, Orders'!$Y:$Y,$A43,'MAIN DATA, Orders'!$D:$D,"Germany",'MAIN DATA, Orders'!$I:$I,"Tank")/1000000000)</f>
        <v>0</v>
      </c>
      <c r="T43" s="15">
        <f>(SUMIFS('MAIN DATA, Orders'!$S:$S,'MAIN DATA, Orders'!$Y:$Y,$A43,'MAIN DATA, Orders'!$D:$D,"Germany",'MAIN DATA, Orders'!$I:$I,"Development - Tank")/1000000000)</f>
        <v>0</v>
      </c>
      <c r="U43" s="15">
        <f>(SUMIFS('MAIN DATA, Orders'!$S:$S,'MAIN DATA, Orders'!$Y:$Y,$A43,'MAIN DATA, Orders'!$D:$D,"Germany",'MAIN DATA, Orders'!$I:$I,"Maintenance")/1000000000)</f>
        <v>0</v>
      </c>
      <c r="V43" s="15">
        <f>(SUMIFS('MAIN DATA, Orders'!$S:$S,'MAIN DATA, Orders'!$Y:$Y,$A43,'MAIN DATA, Orders'!$D:$D,"Germany",'MAIN DATA, Orders'!$I:$I,"Development - Maintenance")/1000000000)</f>
        <v>0</v>
      </c>
      <c r="W43" s="15">
        <f>(SUMIFS('MAIN DATA, Orders'!$S:$S,'MAIN DATA, Orders'!$Y:$Y,$A43,'MAIN DATA, Orders'!$D:$D,"Germany",'MAIN DATA, Orders'!$I:$I,"Mine")/1000000000)</f>
        <v>0</v>
      </c>
      <c r="X43" s="15">
        <f>(SUMIFS('MAIN DATA, Orders'!$S:$S,'MAIN DATA, Orders'!$Y:$Y,$A43,'MAIN DATA, Orders'!$D:$D,"Germany",'MAIN DATA, Orders'!$I:$I,"Development - Mine")/1000000000)</f>
        <v>0</v>
      </c>
      <c r="Y43" s="15">
        <f>(SUMIFS('MAIN DATA, Orders'!$S:$S,'MAIN DATA, Orders'!$Y:$Y,$A43,'MAIN DATA, Orders'!$D:$D,"Germany",'MAIN DATA, Orders'!$J:$J,"6")/1000000000)</f>
        <v>0</v>
      </c>
      <c r="Z43" s="15" cm="1">
        <f t="array" ref="Z43">SUM(SUMIFS('MAIN DATA, Orders'!$S:$S,'MAIN DATA, Orders'!$Y:$Y,$A43,'MAIN DATA, Orders'!$D:$D,"Germany",'MAIN DATA, Orders'!$I:$I,{"Development - Missile (Land)","Development - Missile (Naval)","Development - Missile (Air)"})/1000000000)</f>
        <v>0</v>
      </c>
      <c r="AA43" s="15">
        <f>(SUMIFS('MAIN DATA, Orders'!$S:$S,'MAIN DATA, Orders'!$Y:$Y,$A43,'MAIN DATA, Orders'!$D:$D,"Germany",'MAIN DATA, Orders'!$I:$I,"Modernisation")/1000000000)</f>
        <v>0</v>
      </c>
      <c r="AB43" s="15">
        <f>(SUMIFS('MAIN DATA, Orders'!$S:$S,'MAIN DATA, Orders'!$Y:$Y,$A43,'MAIN DATA, Orders'!$D:$D,"Germany",'MAIN DATA, Orders'!$I:$I,"Development - Modernisation")/1000000000)</f>
        <v>0</v>
      </c>
      <c r="AC43" s="15">
        <f>(SUMIFS('MAIN DATA, Orders'!$S:$S,'MAIN DATA, Orders'!$Y:$Y,$A43,'MAIN DATA, Orders'!$D:$D,"Germany",'MAIN DATA, Orders'!$I:$I,"Naval")/1000000000)</f>
        <v>0</v>
      </c>
      <c r="AD43" s="15">
        <f>(SUMIFS('MAIN DATA, Orders'!$S:$S,'MAIN DATA, Orders'!$Y:$Y,$A43,'MAIN DATA, Orders'!$D:$D,"Germany",'MAIN DATA, Orders'!$I:$I,"Development - Naval")/1000000000)</f>
        <v>0</v>
      </c>
      <c r="AE43" s="15">
        <f>(SUMIFS('MAIN DATA, Orders'!$S:$S,'MAIN DATA, Orders'!$Y:$Y,$A43,'MAIN DATA, Orders'!$D:$D,"Germany",'MAIN DATA, Orders'!$I:$I,"Other")/1000000000)</f>
        <v>0</v>
      </c>
      <c r="AF43" s="15">
        <f>(SUMIFS('MAIN DATA, Orders'!$S:$S,'MAIN DATA, Orders'!$Y:$Y,$A43,'MAIN DATA, Orders'!$D:$D,"Germany",'MAIN DATA, Orders'!$I:$I,"Development - Other")/1000000000)</f>
        <v>0</v>
      </c>
      <c r="AG43" s="15"/>
      <c r="AH43" s="15" cm="1">
        <f t="array" ref="AH43">SUM(SUMIFS('MAIN DATA, Orders'!$S:$S,'MAIN DATA, Orders'!$Y:$Y,$A43,'MAIN DATA, Orders'!$D:$D,"Germany",'MAIN DATA, Orders'!$I:$I,{"Missile (Land)","Development - Missile (Land)"})/1000000000)</f>
        <v>0</v>
      </c>
      <c r="AI43" s="15" cm="1">
        <f t="array" ref="AI43">SUM(SUMIFS('MAIN DATA, Orders'!$S:$S,'MAIN DATA, Orders'!$D:$D,"Germany",'MAIN DATA, Orders'!$I:$I,{"Missile (Air)","Development - Missile (Air)"},'MAIN DATA, Orders'!$Y:$Y,$A43)/1000000000)</f>
        <v>0</v>
      </c>
      <c r="AJ43" s="15" cm="1">
        <f t="array" ref="AJ43">SUM(SUMIFS('MAIN DATA, Orders'!$S:$S,'MAIN DATA, Orders'!$Y:$Y,$A43,'MAIN DATA, Orders'!$D:$D,"Germany",'MAIN DATA, Orders'!$I:$I,{"Missile (Naval)","Development - Missile (Naval)"})/1000000000)</f>
        <v>0</v>
      </c>
    </row>
    <row r="44" spans="1:36" x14ac:dyDescent="0.35">
      <c r="A44" s="20">
        <v>202302</v>
      </c>
      <c r="B44" s="17">
        <v>44958</v>
      </c>
      <c r="C44" s="15">
        <f>(SUMIFS('MAIN DATA, Orders'!$S:$S,'MAIN DATA, Orders'!$Y:$Y,$A44,'MAIN DATA, Orders'!$D:$D,"Germany",'MAIN DATA, Orders'!$I:$I,"Air defence system")/1000000000)</f>
        <v>0</v>
      </c>
      <c r="D44" s="15">
        <f>(SUMIFS('MAIN DATA, Orders'!$S:$S,'MAIN DATA, Orders'!$Y:$Y,$A44,'MAIN DATA, Orders'!$D:$D,"Germany",'MAIN DATA, Orders'!$I:$I,"Development - Air defence system")/1000000000)</f>
        <v>0</v>
      </c>
      <c r="E44" s="15">
        <f>(SUMIFS('MAIN DATA, Orders'!$S:$S,'MAIN DATA, Orders'!$Y:$Y,$A44,'MAIN DATA, Orders'!$D:$D,"Germany",'MAIN DATA, Orders'!$I:$I,"Aircraft")/1000000000)</f>
        <v>0</v>
      </c>
      <c r="F44" s="15">
        <f>(SUMIFS('MAIN DATA, Orders'!$S:$S,'MAIN DATA, Orders'!$Y:$Y,$A44,'MAIN DATA, Orders'!$D:$D,"Germany",'MAIN DATA, Orders'!$I:$I,"Development - Aircraft")/1000000000)</f>
        <v>0</v>
      </c>
      <c r="G44" s="15">
        <f>(SUMIFS('MAIN DATA, Orders'!$S:$S,'MAIN DATA, Orders'!$Y:$Y,$A44,'MAIN DATA, Orders'!$D:$D,"Germany",'MAIN DATA, Orders'!$I:$I,"Ammunition")/1000000000)</f>
        <v>0.16800000000000001</v>
      </c>
      <c r="H44" s="15">
        <f>(SUMIFS('MAIN DATA, Orders'!$S:$S,'MAIN DATA, Orders'!$Y:$Y,$A44,'MAIN DATA, Orders'!$D:$D,"Germany",'MAIN DATA, Orders'!$I:$I,"Development - Ammunition")/1000000000)</f>
        <v>0</v>
      </c>
      <c r="I44" s="15">
        <f>(SUMIFS('MAIN DATA, Orders'!$S:$S,'MAIN DATA, Orders'!$Y:$Y,$A44,'MAIN DATA, Orders'!$D:$D,"Germany",'MAIN DATA, Orders'!$I:$I,"Armoured vehicle")/1000000000)</f>
        <v>0</v>
      </c>
      <c r="J44" s="15">
        <f>(SUMIFS('MAIN DATA, Orders'!$S:$S,'MAIN DATA, Orders'!$Y:$Y,$A44,'MAIN DATA, Orders'!$D:$D,"Germany",'MAIN DATA, Orders'!$I:$I,"Development - Armoured vehicle")/1000000000)</f>
        <v>0</v>
      </c>
      <c r="K44" s="15">
        <f>(SUMIFS('MAIN DATA, Orders'!$S:$S,'MAIN DATA, Orders'!$Y:$Y,$A44,'MAIN DATA, Orders'!$D:$D,"Germany",'MAIN DATA, Orders'!$I:$I,"Artillery")/1000000000)</f>
        <v>0</v>
      </c>
      <c r="L44" s="15">
        <f>(SUMIFS('MAIN DATA, Orders'!$S:$S,'MAIN DATA, Orders'!$Y:$Y,$A44,'MAIN DATA, Orders'!$D:$D,"Germany",'MAIN DATA, Orders'!$I:$I,"Development - Artillery")/1000000000)</f>
        <v>0</v>
      </c>
      <c r="M44" s="15">
        <f>(SUMIFS('MAIN DATA, Orders'!$S:$S,'MAIN DATA, Orders'!$Y:$Y,$A44,'MAIN DATA, Orders'!$D:$D,"Germany",'MAIN DATA, Orders'!$I:$I,"Drone")/1000000000)</f>
        <v>0</v>
      </c>
      <c r="N44" s="15">
        <f>(SUMIFS('MAIN DATA, Orders'!$S:$S,'MAIN DATA, Orders'!$Y:$Y,$A44,'MAIN DATA, Orders'!$D:$D,"Germany",'MAIN DATA, Orders'!$I:$I,"Development - Drone")/1000000000)</f>
        <v>0</v>
      </c>
      <c r="O44" s="15">
        <f>(SUMIFS('MAIN DATA, Orders'!$S:$S,'MAIN DATA, Orders'!$Y:$Y,$A44,'MAIN DATA, Orders'!$D:$D,"Germany",'MAIN DATA, Orders'!$I:$I,"Helicopter")/1000000000)</f>
        <v>0</v>
      </c>
      <c r="P44" s="15">
        <f>(SUMIFS('MAIN DATA, Orders'!$S:$S,'MAIN DATA, Orders'!$Y:$Y,$A44,'MAIN DATA, Orders'!$D:$D,"Germany",'MAIN DATA, Orders'!$I:$I,"Development - Helicopter")/1000000000)</f>
        <v>0</v>
      </c>
      <c r="Q44" s="15">
        <f>(SUMIFS('MAIN DATA, Orders'!$S:$S,'MAIN DATA, Orders'!$Y:$Y,$A44,'MAIN DATA, Orders'!$D:$D,"Germany",'MAIN DATA, Orders'!$I:$I,"Infantry")/1000000000)</f>
        <v>0</v>
      </c>
      <c r="R44" s="15">
        <f>(SUMIFS('MAIN DATA, Orders'!$S:$S,'MAIN DATA, Orders'!$Y:$Y,$A44,'MAIN DATA, Orders'!$D:$D,"Germany",'MAIN DATA, Orders'!$I:$I,"Development - Infantry")/1000000000)</f>
        <v>0</v>
      </c>
      <c r="S44" s="15">
        <f>(SUMIFS('MAIN DATA, Orders'!$S:$S,'MAIN DATA, Orders'!$Y:$Y,$A44,'MAIN DATA, Orders'!$D:$D,"Germany",'MAIN DATA, Orders'!$I:$I,"Tank")/1000000000)</f>
        <v>0</v>
      </c>
      <c r="T44" s="15">
        <f>(SUMIFS('MAIN DATA, Orders'!$S:$S,'MAIN DATA, Orders'!$Y:$Y,$A44,'MAIN DATA, Orders'!$D:$D,"Germany",'MAIN DATA, Orders'!$I:$I,"Development - Tank")/1000000000)</f>
        <v>0</v>
      </c>
      <c r="U44" s="15">
        <f>(SUMIFS('MAIN DATA, Orders'!$S:$S,'MAIN DATA, Orders'!$Y:$Y,$A44,'MAIN DATA, Orders'!$D:$D,"Germany",'MAIN DATA, Orders'!$I:$I,"Maintenance")/1000000000)</f>
        <v>0</v>
      </c>
      <c r="V44" s="15">
        <f>(SUMIFS('MAIN DATA, Orders'!$S:$S,'MAIN DATA, Orders'!$Y:$Y,$A44,'MAIN DATA, Orders'!$D:$D,"Germany",'MAIN DATA, Orders'!$I:$I,"Development - Maintenance")/1000000000)</f>
        <v>0</v>
      </c>
      <c r="W44" s="15">
        <f>(SUMIFS('MAIN DATA, Orders'!$S:$S,'MAIN DATA, Orders'!$Y:$Y,$A44,'MAIN DATA, Orders'!$D:$D,"Germany",'MAIN DATA, Orders'!$I:$I,"Mine")/1000000000)</f>
        <v>0</v>
      </c>
      <c r="X44" s="15">
        <f>(SUMIFS('MAIN DATA, Orders'!$S:$S,'MAIN DATA, Orders'!$Y:$Y,$A44,'MAIN DATA, Orders'!$D:$D,"Germany",'MAIN DATA, Orders'!$I:$I,"Development - Mine")/1000000000)</f>
        <v>0</v>
      </c>
      <c r="Y44" s="15">
        <f>(SUMIFS('MAIN DATA, Orders'!$S:$S,'MAIN DATA, Orders'!$Y:$Y,$A44,'MAIN DATA, Orders'!$D:$D,"Germany",'MAIN DATA, Orders'!$J:$J,"6")/1000000000)</f>
        <v>0</v>
      </c>
      <c r="Z44" s="15" cm="1">
        <f t="array" ref="Z44">SUM(SUMIFS('MAIN DATA, Orders'!$S:$S,'MAIN DATA, Orders'!$Y:$Y,$A44,'MAIN DATA, Orders'!$D:$D,"Germany",'MAIN DATA, Orders'!$I:$I,{"Development - Missile (Land)","Development - Missile (Naval)","Development - Missile (Air)"})/1000000000)</f>
        <v>0</v>
      </c>
      <c r="AA44" s="15">
        <f>(SUMIFS('MAIN DATA, Orders'!$S:$S,'MAIN DATA, Orders'!$Y:$Y,$A44,'MAIN DATA, Orders'!$D:$D,"Germany",'MAIN DATA, Orders'!$I:$I,"Modernisation")/1000000000)</f>
        <v>5.28E-2</v>
      </c>
      <c r="AB44" s="15">
        <f>(SUMIFS('MAIN DATA, Orders'!$S:$S,'MAIN DATA, Orders'!$Y:$Y,$A44,'MAIN DATA, Orders'!$D:$D,"Germany",'MAIN DATA, Orders'!$I:$I,"Development - Modernisation")/1000000000)</f>
        <v>0</v>
      </c>
      <c r="AC44" s="15">
        <f>(SUMIFS('MAIN DATA, Orders'!$S:$S,'MAIN DATA, Orders'!$Y:$Y,$A44,'MAIN DATA, Orders'!$D:$D,"Germany",'MAIN DATA, Orders'!$I:$I,"Naval")/1000000000)</f>
        <v>0</v>
      </c>
      <c r="AD44" s="15">
        <f>(SUMIFS('MAIN DATA, Orders'!$S:$S,'MAIN DATA, Orders'!$Y:$Y,$A44,'MAIN DATA, Orders'!$D:$D,"Germany",'MAIN DATA, Orders'!$I:$I,"Development - Naval")/1000000000)</f>
        <v>0</v>
      </c>
      <c r="AE44" s="15">
        <f>(SUMIFS('MAIN DATA, Orders'!$S:$S,'MAIN DATA, Orders'!$Y:$Y,$A44,'MAIN DATA, Orders'!$D:$D,"Germany",'MAIN DATA, Orders'!$I:$I,"Other")/1000000000)</f>
        <v>0</v>
      </c>
      <c r="AF44" s="15">
        <f>(SUMIFS('MAIN DATA, Orders'!$S:$S,'MAIN DATA, Orders'!$Y:$Y,$A44,'MAIN DATA, Orders'!$D:$D,"Germany",'MAIN DATA, Orders'!$I:$I,"Development - Other")/1000000000)</f>
        <v>0</v>
      </c>
      <c r="AG44" s="15"/>
      <c r="AH44" s="15" cm="1">
        <f t="array" ref="AH44">SUM(SUMIFS('MAIN DATA, Orders'!$S:$S,'MAIN DATA, Orders'!$Y:$Y,$A44,'MAIN DATA, Orders'!$D:$D,"Germany",'MAIN DATA, Orders'!$I:$I,{"Missile (Land)","Development - Missile (Land)"})/1000000000)</f>
        <v>0</v>
      </c>
      <c r="AI44" s="15" cm="1">
        <f t="array" ref="AI44">SUM(SUMIFS('MAIN DATA, Orders'!$S:$S,'MAIN DATA, Orders'!$D:$D,"Germany",'MAIN DATA, Orders'!$I:$I,{"Missile (Air)","Development - Missile (Air)"},'MAIN DATA, Orders'!$Y:$Y,$A44)/1000000000)</f>
        <v>0</v>
      </c>
      <c r="AJ44" s="15" cm="1">
        <f t="array" ref="AJ44">SUM(SUMIFS('MAIN DATA, Orders'!$S:$S,'MAIN DATA, Orders'!$Y:$Y,$A44,'MAIN DATA, Orders'!$D:$D,"Germany",'MAIN DATA, Orders'!$I:$I,{"Missile (Naval)","Development - Missile (Naval)"})/1000000000)</f>
        <v>0</v>
      </c>
    </row>
    <row r="45" spans="1:36" x14ac:dyDescent="0.35">
      <c r="A45" s="20">
        <v>202303</v>
      </c>
      <c r="B45" s="17">
        <v>44986</v>
      </c>
      <c r="C45" s="15">
        <f>(SUMIFS('MAIN DATA, Orders'!$S:$S,'MAIN DATA, Orders'!$Y:$Y,$A45,'MAIN DATA, Orders'!$D:$D,"Germany",'MAIN DATA, Orders'!$I:$I,"Air defence system")/1000000000)</f>
        <v>0</v>
      </c>
      <c r="D45" s="15">
        <f>(SUMIFS('MAIN DATA, Orders'!$S:$S,'MAIN DATA, Orders'!$Y:$Y,$A45,'MAIN DATA, Orders'!$D:$D,"Germany",'MAIN DATA, Orders'!$I:$I,"Development - Air defence system")/1000000000)</f>
        <v>0</v>
      </c>
      <c r="E45" s="15">
        <f>(SUMIFS('MAIN DATA, Orders'!$S:$S,'MAIN DATA, Orders'!$Y:$Y,$A45,'MAIN DATA, Orders'!$D:$D,"Germany",'MAIN DATA, Orders'!$I:$I,"Aircraft")/1000000000)</f>
        <v>0</v>
      </c>
      <c r="F45" s="15">
        <f>(SUMIFS('MAIN DATA, Orders'!$S:$S,'MAIN DATA, Orders'!$Y:$Y,$A45,'MAIN DATA, Orders'!$D:$D,"Germany",'MAIN DATA, Orders'!$I:$I,"Development - Aircraft")/1000000000)</f>
        <v>0</v>
      </c>
      <c r="G45" s="15">
        <f>(SUMIFS('MAIN DATA, Orders'!$S:$S,'MAIN DATA, Orders'!$Y:$Y,$A45,'MAIN DATA, Orders'!$D:$D,"Germany",'MAIN DATA, Orders'!$I:$I,"Ammunition")/1000000000)</f>
        <v>0</v>
      </c>
      <c r="H45" s="15">
        <f>(SUMIFS('MAIN DATA, Orders'!$S:$S,'MAIN DATA, Orders'!$Y:$Y,$A45,'MAIN DATA, Orders'!$D:$D,"Germany",'MAIN DATA, Orders'!$I:$I,"Development - Ammunition")/1000000000)</f>
        <v>0</v>
      </c>
      <c r="I45" s="15">
        <f>(SUMIFS('MAIN DATA, Orders'!$S:$S,'MAIN DATA, Orders'!$Y:$Y,$A45,'MAIN DATA, Orders'!$D:$D,"Germany",'MAIN DATA, Orders'!$I:$I,"Armoured vehicle")/1000000000)</f>
        <v>1.1152</v>
      </c>
      <c r="J45" s="15">
        <f>(SUMIFS('MAIN DATA, Orders'!$S:$S,'MAIN DATA, Orders'!$Y:$Y,$A45,'MAIN DATA, Orders'!$D:$D,"Germany",'MAIN DATA, Orders'!$I:$I,"Development - Armoured vehicle")/1000000000)</f>
        <v>0</v>
      </c>
      <c r="K45" s="15">
        <f>(SUMIFS('MAIN DATA, Orders'!$S:$S,'MAIN DATA, Orders'!$Y:$Y,$A45,'MAIN DATA, Orders'!$D:$D,"Germany",'MAIN DATA, Orders'!$I:$I,"Artillery")/1000000000)</f>
        <v>0.184</v>
      </c>
      <c r="L45" s="15">
        <f>(SUMIFS('MAIN DATA, Orders'!$S:$S,'MAIN DATA, Orders'!$Y:$Y,$A45,'MAIN DATA, Orders'!$D:$D,"Germany",'MAIN DATA, Orders'!$I:$I,"Development - Artillery")/1000000000)</f>
        <v>0</v>
      </c>
      <c r="M45" s="15">
        <f>(SUMIFS('MAIN DATA, Orders'!$S:$S,'MAIN DATA, Orders'!$Y:$Y,$A45,'MAIN DATA, Orders'!$D:$D,"Germany",'MAIN DATA, Orders'!$I:$I,"Drone")/1000000000)</f>
        <v>0</v>
      </c>
      <c r="N45" s="15">
        <f>(SUMIFS('MAIN DATA, Orders'!$S:$S,'MAIN DATA, Orders'!$Y:$Y,$A45,'MAIN DATA, Orders'!$D:$D,"Germany",'MAIN DATA, Orders'!$I:$I,"Development - Drone")/1000000000)</f>
        <v>0</v>
      </c>
      <c r="O45" s="15">
        <f>(SUMIFS('MAIN DATA, Orders'!$S:$S,'MAIN DATA, Orders'!$Y:$Y,$A45,'MAIN DATA, Orders'!$D:$D,"Germany",'MAIN DATA, Orders'!$I:$I,"Helicopter")/1000000000)</f>
        <v>0</v>
      </c>
      <c r="P45" s="15">
        <f>(SUMIFS('MAIN DATA, Orders'!$S:$S,'MAIN DATA, Orders'!$Y:$Y,$A45,'MAIN DATA, Orders'!$D:$D,"Germany",'MAIN DATA, Orders'!$I:$I,"Development - Helicopter")/1000000000)</f>
        <v>0</v>
      </c>
      <c r="Q45" s="15">
        <f>(SUMIFS('MAIN DATA, Orders'!$S:$S,'MAIN DATA, Orders'!$Y:$Y,$A45,'MAIN DATA, Orders'!$D:$D,"Germany",'MAIN DATA, Orders'!$I:$I,"Infantry")/1000000000)</f>
        <v>0</v>
      </c>
      <c r="R45" s="15">
        <f>(SUMIFS('MAIN DATA, Orders'!$S:$S,'MAIN DATA, Orders'!$Y:$Y,$A45,'MAIN DATA, Orders'!$D:$D,"Germany",'MAIN DATA, Orders'!$I:$I,"Development - Infantry")/1000000000)</f>
        <v>0</v>
      </c>
      <c r="S45" s="15">
        <f>(SUMIFS('MAIN DATA, Orders'!$S:$S,'MAIN DATA, Orders'!$Y:$Y,$A45,'MAIN DATA, Orders'!$D:$D,"Germany",'MAIN DATA, Orders'!$I:$I,"Tank")/1000000000)</f>
        <v>0</v>
      </c>
      <c r="T45" s="15">
        <f>(SUMIFS('MAIN DATA, Orders'!$S:$S,'MAIN DATA, Orders'!$Y:$Y,$A45,'MAIN DATA, Orders'!$D:$D,"Germany",'MAIN DATA, Orders'!$I:$I,"Development - Tank")/1000000000)</f>
        <v>0</v>
      </c>
      <c r="U45" s="15">
        <f>(SUMIFS('MAIN DATA, Orders'!$S:$S,'MAIN DATA, Orders'!$Y:$Y,$A45,'MAIN DATA, Orders'!$D:$D,"Germany",'MAIN DATA, Orders'!$I:$I,"Maintenance")/1000000000)</f>
        <v>0</v>
      </c>
      <c r="V45" s="15">
        <f>(SUMIFS('MAIN DATA, Orders'!$S:$S,'MAIN DATA, Orders'!$Y:$Y,$A45,'MAIN DATA, Orders'!$D:$D,"Germany",'MAIN DATA, Orders'!$I:$I,"Development - Maintenance")/1000000000)</f>
        <v>0</v>
      </c>
      <c r="W45" s="15">
        <f>(SUMIFS('MAIN DATA, Orders'!$S:$S,'MAIN DATA, Orders'!$Y:$Y,$A45,'MAIN DATA, Orders'!$D:$D,"Germany",'MAIN DATA, Orders'!$I:$I,"Mine")/1000000000)</f>
        <v>0</v>
      </c>
      <c r="X45" s="15">
        <f>(SUMIFS('MAIN DATA, Orders'!$S:$S,'MAIN DATA, Orders'!$Y:$Y,$A45,'MAIN DATA, Orders'!$D:$D,"Germany",'MAIN DATA, Orders'!$I:$I,"Development - Mine")/1000000000)</f>
        <v>0</v>
      </c>
      <c r="Y45" s="15">
        <f>(SUMIFS('MAIN DATA, Orders'!$S:$S,'MAIN DATA, Orders'!$Y:$Y,$A45,'MAIN DATA, Orders'!$D:$D,"Germany",'MAIN DATA, Orders'!$J:$J,"6")/1000000000)</f>
        <v>0</v>
      </c>
      <c r="Z45" s="15" cm="1">
        <f t="array" ref="Z45">SUM(SUMIFS('MAIN DATA, Orders'!$S:$S,'MAIN DATA, Orders'!$Y:$Y,$A45,'MAIN DATA, Orders'!$D:$D,"Germany",'MAIN DATA, Orders'!$I:$I,{"Development - Missile (Land)","Development - Missile (Naval)","Development - Missile (Air)"})/1000000000)</f>
        <v>0</v>
      </c>
      <c r="AA45" s="15">
        <f>(SUMIFS('MAIN DATA, Orders'!$S:$S,'MAIN DATA, Orders'!$Y:$Y,$A45,'MAIN DATA, Orders'!$D:$D,"Germany",'MAIN DATA, Orders'!$I:$I,"Modernisation")/1000000000)</f>
        <v>3.32E-2</v>
      </c>
      <c r="AB45" s="15">
        <f>(SUMIFS('MAIN DATA, Orders'!$S:$S,'MAIN DATA, Orders'!$Y:$Y,$A45,'MAIN DATA, Orders'!$D:$D,"Germany",'MAIN DATA, Orders'!$I:$I,"Development - Modernisation")/1000000000)</f>
        <v>0</v>
      </c>
      <c r="AC45" s="15">
        <f>(SUMIFS('MAIN DATA, Orders'!$S:$S,'MAIN DATA, Orders'!$Y:$Y,$A45,'MAIN DATA, Orders'!$D:$D,"Germany",'MAIN DATA, Orders'!$I:$I,"Naval")/1000000000)</f>
        <v>4.2000000000000003E-2</v>
      </c>
      <c r="AD45" s="15">
        <f>(SUMIFS('MAIN DATA, Orders'!$S:$S,'MAIN DATA, Orders'!$Y:$Y,$A45,'MAIN DATA, Orders'!$D:$D,"Germany",'MAIN DATA, Orders'!$I:$I,"Development - Naval")/1000000000)</f>
        <v>0</v>
      </c>
      <c r="AE45" s="15">
        <f>(SUMIFS('MAIN DATA, Orders'!$S:$S,'MAIN DATA, Orders'!$Y:$Y,$A45,'MAIN DATA, Orders'!$D:$D,"Germany",'MAIN DATA, Orders'!$I:$I,"Other")/1000000000)</f>
        <v>0</v>
      </c>
      <c r="AF45" s="15">
        <f>(SUMIFS('MAIN DATA, Orders'!$S:$S,'MAIN DATA, Orders'!$Y:$Y,$A45,'MAIN DATA, Orders'!$D:$D,"Germany",'MAIN DATA, Orders'!$I:$I,"Development - Other")/1000000000)</f>
        <v>0</v>
      </c>
      <c r="AG45" s="15"/>
      <c r="AH45" s="15" cm="1">
        <f t="array" ref="AH45">SUM(SUMIFS('MAIN DATA, Orders'!$S:$S,'MAIN DATA, Orders'!$Y:$Y,$A45,'MAIN DATA, Orders'!$D:$D,"Germany",'MAIN DATA, Orders'!$I:$I,{"Missile (Land)","Development - Missile (Land)"})/1000000000)</f>
        <v>0</v>
      </c>
      <c r="AI45" s="15" cm="1">
        <f t="array" ref="AI45">SUM(SUMIFS('MAIN DATA, Orders'!$S:$S,'MAIN DATA, Orders'!$D:$D,"Germany",'MAIN DATA, Orders'!$I:$I,{"Missile (Air)","Development - Missile (Air)"},'MAIN DATA, Orders'!$Y:$Y,$A45)/1000000000)</f>
        <v>0</v>
      </c>
      <c r="AJ45" s="15" cm="1">
        <f t="array" ref="AJ45">SUM(SUMIFS('MAIN DATA, Orders'!$S:$S,'MAIN DATA, Orders'!$Y:$Y,$A45,'MAIN DATA, Orders'!$D:$D,"Germany",'MAIN DATA, Orders'!$I:$I,{"Missile (Naval)","Development - Missile (Naval)"})/1000000000)</f>
        <v>0</v>
      </c>
    </row>
    <row r="46" spans="1:36" x14ac:dyDescent="0.35">
      <c r="A46" s="20">
        <v>202304</v>
      </c>
      <c r="B46" s="17">
        <v>45017</v>
      </c>
      <c r="C46" s="15">
        <f>(SUMIFS('MAIN DATA, Orders'!$S:$S,'MAIN DATA, Orders'!$Y:$Y,$A46,'MAIN DATA, Orders'!$D:$D,"Germany",'MAIN DATA, Orders'!$I:$I,"Air defence system")/1000000000)</f>
        <v>0</v>
      </c>
      <c r="D46" s="15">
        <f>(SUMIFS('MAIN DATA, Orders'!$S:$S,'MAIN DATA, Orders'!$Y:$Y,$A46,'MAIN DATA, Orders'!$D:$D,"Germany",'MAIN DATA, Orders'!$I:$I,"Development - Air defence system")/1000000000)</f>
        <v>0</v>
      </c>
      <c r="E46" s="15">
        <f>(SUMIFS('MAIN DATA, Orders'!$S:$S,'MAIN DATA, Orders'!$Y:$Y,$A46,'MAIN DATA, Orders'!$D:$D,"Germany",'MAIN DATA, Orders'!$I:$I,"Aircraft")/1000000000)</f>
        <v>0</v>
      </c>
      <c r="F46" s="15">
        <f>(SUMIFS('MAIN DATA, Orders'!$S:$S,'MAIN DATA, Orders'!$Y:$Y,$A46,'MAIN DATA, Orders'!$D:$D,"Germany",'MAIN DATA, Orders'!$I:$I,"Development - Aircraft")/1000000000)</f>
        <v>0</v>
      </c>
      <c r="G46" s="15">
        <f>(SUMIFS('MAIN DATA, Orders'!$S:$S,'MAIN DATA, Orders'!$Y:$Y,$A46,'MAIN DATA, Orders'!$D:$D,"Germany",'MAIN DATA, Orders'!$I:$I,"Ammunition")/1000000000)</f>
        <v>0</v>
      </c>
      <c r="H46" s="15">
        <f>(SUMIFS('MAIN DATA, Orders'!$S:$S,'MAIN DATA, Orders'!$Y:$Y,$A46,'MAIN DATA, Orders'!$D:$D,"Germany",'MAIN DATA, Orders'!$I:$I,"Development - Ammunition")/1000000000)</f>
        <v>0</v>
      </c>
      <c r="I46" s="15">
        <f>(SUMIFS('MAIN DATA, Orders'!$S:$S,'MAIN DATA, Orders'!$Y:$Y,$A46,'MAIN DATA, Orders'!$D:$D,"Germany",'MAIN DATA, Orders'!$I:$I,"Armoured vehicle")/1000000000)</f>
        <v>0</v>
      </c>
      <c r="J46" s="15">
        <f>(SUMIFS('MAIN DATA, Orders'!$S:$S,'MAIN DATA, Orders'!$Y:$Y,$A46,'MAIN DATA, Orders'!$D:$D,"Germany",'MAIN DATA, Orders'!$I:$I,"Development - Armoured vehicle")/1000000000)</f>
        <v>0</v>
      </c>
      <c r="K46" s="15">
        <f>(SUMIFS('MAIN DATA, Orders'!$S:$S,'MAIN DATA, Orders'!$Y:$Y,$A46,'MAIN DATA, Orders'!$D:$D,"Germany",'MAIN DATA, Orders'!$I:$I,"Artillery")/1000000000)</f>
        <v>0</v>
      </c>
      <c r="L46" s="15">
        <f>(SUMIFS('MAIN DATA, Orders'!$S:$S,'MAIN DATA, Orders'!$Y:$Y,$A46,'MAIN DATA, Orders'!$D:$D,"Germany",'MAIN DATA, Orders'!$I:$I,"Development - Artillery")/1000000000)</f>
        <v>0</v>
      </c>
      <c r="M46" s="15">
        <f>(SUMIFS('MAIN DATA, Orders'!$S:$S,'MAIN DATA, Orders'!$Y:$Y,$A46,'MAIN DATA, Orders'!$D:$D,"Germany",'MAIN DATA, Orders'!$I:$I,"Drone")/1000000000)</f>
        <v>0</v>
      </c>
      <c r="N46" s="15">
        <f>(SUMIFS('MAIN DATA, Orders'!$S:$S,'MAIN DATA, Orders'!$Y:$Y,$A46,'MAIN DATA, Orders'!$D:$D,"Germany",'MAIN DATA, Orders'!$I:$I,"Development - Drone")/1000000000)</f>
        <v>0</v>
      </c>
      <c r="O46" s="15">
        <f>(SUMIFS('MAIN DATA, Orders'!$S:$S,'MAIN DATA, Orders'!$Y:$Y,$A46,'MAIN DATA, Orders'!$D:$D,"Germany",'MAIN DATA, Orders'!$I:$I,"Helicopter")/1000000000)</f>
        <v>0</v>
      </c>
      <c r="P46" s="15">
        <f>(SUMIFS('MAIN DATA, Orders'!$S:$S,'MAIN DATA, Orders'!$Y:$Y,$A46,'MAIN DATA, Orders'!$D:$D,"Germany",'MAIN DATA, Orders'!$I:$I,"Development - Helicopter")/1000000000)</f>
        <v>0</v>
      </c>
      <c r="Q46" s="15">
        <f>(SUMIFS('MAIN DATA, Orders'!$S:$S,'MAIN DATA, Orders'!$Y:$Y,$A46,'MAIN DATA, Orders'!$D:$D,"Germany",'MAIN DATA, Orders'!$I:$I,"Infantry")/1000000000)</f>
        <v>0</v>
      </c>
      <c r="R46" s="15">
        <f>(SUMIFS('MAIN DATA, Orders'!$S:$S,'MAIN DATA, Orders'!$Y:$Y,$A46,'MAIN DATA, Orders'!$D:$D,"Germany",'MAIN DATA, Orders'!$I:$I,"Development - Infantry")/1000000000)</f>
        <v>0</v>
      </c>
      <c r="S46" s="15">
        <f>(SUMIFS('MAIN DATA, Orders'!$S:$S,'MAIN DATA, Orders'!$Y:$Y,$A46,'MAIN DATA, Orders'!$D:$D,"Germany",'MAIN DATA, Orders'!$I:$I,"Tank")/1000000000)</f>
        <v>0</v>
      </c>
      <c r="T46" s="15">
        <f>(SUMIFS('MAIN DATA, Orders'!$S:$S,'MAIN DATA, Orders'!$Y:$Y,$A46,'MAIN DATA, Orders'!$D:$D,"Germany",'MAIN DATA, Orders'!$I:$I,"Development - Tank")/1000000000)</f>
        <v>0</v>
      </c>
      <c r="U46" s="15">
        <f>(SUMIFS('MAIN DATA, Orders'!$S:$S,'MAIN DATA, Orders'!$Y:$Y,$A46,'MAIN DATA, Orders'!$D:$D,"Germany",'MAIN DATA, Orders'!$I:$I,"Maintenance")/1000000000)</f>
        <v>0</v>
      </c>
      <c r="V46" s="15">
        <f>(SUMIFS('MAIN DATA, Orders'!$S:$S,'MAIN DATA, Orders'!$Y:$Y,$A46,'MAIN DATA, Orders'!$D:$D,"Germany",'MAIN DATA, Orders'!$I:$I,"Development - Maintenance")/1000000000)</f>
        <v>0</v>
      </c>
      <c r="W46" s="15">
        <f>(SUMIFS('MAIN DATA, Orders'!$S:$S,'MAIN DATA, Orders'!$Y:$Y,$A46,'MAIN DATA, Orders'!$D:$D,"Germany",'MAIN DATA, Orders'!$I:$I,"Mine")/1000000000)</f>
        <v>0</v>
      </c>
      <c r="X46" s="15">
        <f>(SUMIFS('MAIN DATA, Orders'!$S:$S,'MAIN DATA, Orders'!$Y:$Y,$A46,'MAIN DATA, Orders'!$D:$D,"Germany",'MAIN DATA, Orders'!$I:$I,"Development - Mine")/1000000000)</f>
        <v>0</v>
      </c>
      <c r="Y46" s="15">
        <f>(SUMIFS('MAIN DATA, Orders'!$S:$S,'MAIN DATA, Orders'!$Y:$Y,$A46,'MAIN DATA, Orders'!$D:$D,"Germany",'MAIN DATA, Orders'!$J:$J,"6")/1000000000)</f>
        <v>0.26900000000000002</v>
      </c>
      <c r="Z46" s="15" cm="1">
        <f t="array" ref="Z46">SUM(SUMIFS('MAIN DATA, Orders'!$S:$S,'MAIN DATA, Orders'!$Y:$Y,$A46,'MAIN DATA, Orders'!$D:$D,"Germany",'MAIN DATA, Orders'!$I:$I,{"Development - Missile (Land)","Development - Missile (Naval)","Development - Missile (Air)"})/1000000000)</f>
        <v>0</v>
      </c>
      <c r="AA46" s="15">
        <f>(SUMIFS('MAIN DATA, Orders'!$S:$S,'MAIN DATA, Orders'!$Y:$Y,$A46,'MAIN DATA, Orders'!$D:$D,"Germany",'MAIN DATA, Orders'!$I:$I,"Modernisation")/1000000000)</f>
        <v>0.44700000000000001</v>
      </c>
      <c r="AB46" s="15">
        <f>(SUMIFS('MAIN DATA, Orders'!$S:$S,'MAIN DATA, Orders'!$Y:$Y,$A46,'MAIN DATA, Orders'!$D:$D,"Germany",'MAIN DATA, Orders'!$I:$I,"Development - Modernisation")/1000000000)</f>
        <v>0</v>
      </c>
      <c r="AC46" s="15">
        <f>(SUMIFS('MAIN DATA, Orders'!$S:$S,'MAIN DATA, Orders'!$Y:$Y,$A46,'MAIN DATA, Orders'!$D:$D,"Germany",'MAIN DATA, Orders'!$I:$I,"Naval")/1000000000)</f>
        <v>0</v>
      </c>
      <c r="AD46" s="15">
        <f>(SUMIFS('MAIN DATA, Orders'!$S:$S,'MAIN DATA, Orders'!$Y:$Y,$A46,'MAIN DATA, Orders'!$D:$D,"Germany",'MAIN DATA, Orders'!$I:$I,"Development - Naval")/1000000000)</f>
        <v>0</v>
      </c>
      <c r="AE46" s="15">
        <f>(SUMIFS('MAIN DATA, Orders'!$S:$S,'MAIN DATA, Orders'!$Y:$Y,$A46,'MAIN DATA, Orders'!$D:$D,"Germany",'MAIN DATA, Orders'!$I:$I,"Other")/1000000000)</f>
        <v>5.0999999999999997E-2</v>
      </c>
      <c r="AF46" s="15">
        <f>(SUMIFS('MAIN DATA, Orders'!$S:$S,'MAIN DATA, Orders'!$Y:$Y,$A46,'MAIN DATA, Orders'!$D:$D,"Germany",'MAIN DATA, Orders'!$I:$I,"Development - Other")/1000000000)</f>
        <v>0</v>
      </c>
      <c r="AG46" s="15"/>
      <c r="AH46" s="15" cm="1">
        <f t="array" ref="AH46">SUM(SUMIFS('MAIN DATA, Orders'!$S:$S,'MAIN DATA, Orders'!$Y:$Y,$A46,'MAIN DATA, Orders'!$D:$D,"Germany",'MAIN DATA, Orders'!$I:$I,{"Missile (Land)","Development - Missile (Land)"})/1000000000)</f>
        <v>0</v>
      </c>
      <c r="AI46" s="15" cm="1">
        <f t="array" ref="AI46">SUM(SUMIFS('MAIN DATA, Orders'!$S:$S,'MAIN DATA, Orders'!$D:$D,"Germany",'MAIN DATA, Orders'!$I:$I,{"Missile (Air)","Development - Missile (Air)"},'MAIN DATA, Orders'!$Y:$Y,$A46)/1000000000)</f>
        <v>0</v>
      </c>
      <c r="AJ46" s="15" cm="1">
        <f t="array" ref="AJ46">SUM(SUMIFS('MAIN DATA, Orders'!$S:$S,'MAIN DATA, Orders'!$Y:$Y,$A46,'MAIN DATA, Orders'!$D:$D,"Germany",'MAIN DATA, Orders'!$I:$I,{"Missile (Naval)","Development - Missile (Naval)"})/1000000000)</f>
        <v>0.26900000000000002</v>
      </c>
    </row>
    <row r="47" spans="1:36" x14ac:dyDescent="0.35">
      <c r="A47" s="20">
        <v>202305</v>
      </c>
      <c r="B47" s="17">
        <v>45047</v>
      </c>
      <c r="C47" s="15">
        <f>(SUMIFS('MAIN DATA, Orders'!$S:$S,'MAIN DATA, Orders'!$Y:$Y,$A47,'MAIN DATA, Orders'!$D:$D,"Germany",'MAIN DATA, Orders'!$I:$I,"Air defence system")/1000000000)</f>
        <v>0</v>
      </c>
      <c r="D47" s="15">
        <f>(SUMIFS('MAIN DATA, Orders'!$S:$S,'MAIN DATA, Orders'!$Y:$Y,$A47,'MAIN DATA, Orders'!$D:$D,"Germany",'MAIN DATA, Orders'!$I:$I,"Development - Air defence system")/1000000000)</f>
        <v>0</v>
      </c>
      <c r="E47" s="15">
        <f>(SUMIFS('MAIN DATA, Orders'!$S:$S,'MAIN DATA, Orders'!$Y:$Y,$A47,'MAIN DATA, Orders'!$D:$D,"Germany",'MAIN DATA, Orders'!$I:$I,"Aircraft")/1000000000)</f>
        <v>0</v>
      </c>
      <c r="F47" s="15">
        <f>(SUMIFS('MAIN DATA, Orders'!$S:$S,'MAIN DATA, Orders'!$Y:$Y,$A47,'MAIN DATA, Orders'!$D:$D,"Germany",'MAIN DATA, Orders'!$I:$I,"Development - Aircraft")/1000000000)</f>
        <v>0</v>
      </c>
      <c r="G47" s="15">
        <f>(SUMIFS('MAIN DATA, Orders'!$S:$S,'MAIN DATA, Orders'!$Y:$Y,$A47,'MAIN DATA, Orders'!$D:$D,"Germany",'MAIN DATA, Orders'!$I:$I,"Ammunition")/1000000000)</f>
        <v>0</v>
      </c>
      <c r="H47" s="15">
        <f>(SUMIFS('MAIN DATA, Orders'!$S:$S,'MAIN DATA, Orders'!$Y:$Y,$A47,'MAIN DATA, Orders'!$D:$D,"Germany",'MAIN DATA, Orders'!$I:$I,"Development - Ammunition")/1000000000)</f>
        <v>0</v>
      </c>
      <c r="I47" s="15">
        <f>(SUMIFS('MAIN DATA, Orders'!$S:$S,'MAIN DATA, Orders'!$Y:$Y,$A47,'MAIN DATA, Orders'!$D:$D,"Germany",'MAIN DATA, Orders'!$I:$I,"Armoured vehicle")/1000000000)</f>
        <v>1.087</v>
      </c>
      <c r="J47" s="15">
        <f>(SUMIFS('MAIN DATA, Orders'!$S:$S,'MAIN DATA, Orders'!$Y:$Y,$A47,'MAIN DATA, Orders'!$D:$D,"Germany",'MAIN DATA, Orders'!$I:$I,"Development - Armoured vehicle")/1000000000)</f>
        <v>0</v>
      </c>
      <c r="K47" s="15">
        <f>(SUMIFS('MAIN DATA, Orders'!$S:$S,'MAIN DATA, Orders'!$Y:$Y,$A47,'MAIN DATA, Orders'!$D:$D,"Germany",'MAIN DATA, Orders'!$I:$I,"Artillery")/1000000000)</f>
        <v>0.19070000000000001</v>
      </c>
      <c r="L47" s="15">
        <f>(SUMIFS('MAIN DATA, Orders'!$S:$S,'MAIN DATA, Orders'!$Y:$Y,$A47,'MAIN DATA, Orders'!$D:$D,"Germany",'MAIN DATA, Orders'!$I:$I,"Development - Artillery")/1000000000)</f>
        <v>0</v>
      </c>
      <c r="M47" s="15">
        <f>(SUMIFS('MAIN DATA, Orders'!$S:$S,'MAIN DATA, Orders'!$Y:$Y,$A47,'MAIN DATA, Orders'!$D:$D,"Germany",'MAIN DATA, Orders'!$I:$I,"Drone")/1000000000)</f>
        <v>0</v>
      </c>
      <c r="N47" s="15">
        <f>(SUMIFS('MAIN DATA, Orders'!$S:$S,'MAIN DATA, Orders'!$Y:$Y,$A47,'MAIN DATA, Orders'!$D:$D,"Germany",'MAIN DATA, Orders'!$I:$I,"Development - Drone")/1000000000)</f>
        <v>0</v>
      </c>
      <c r="O47" s="15">
        <f>(SUMIFS('MAIN DATA, Orders'!$S:$S,'MAIN DATA, Orders'!$Y:$Y,$A47,'MAIN DATA, Orders'!$D:$D,"Germany",'MAIN DATA, Orders'!$I:$I,"Helicopter")/1000000000)</f>
        <v>0</v>
      </c>
      <c r="P47" s="15">
        <f>(SUMIFS('MAIN DATA, Orders'!$S:$S,'MAIN DATA, Orders'!$Y:$Y,$A47,'MAIN DATA, Orders'!$D:$D,"Germany",'MAIN DATA, Orders'!$I:$I,"Development - Helicopter")/1000000000)</f>
        <v>0</v>
      </c>
      <c r="Q47" s="15">
        <f>(SUMIFS('MAIN DATA, Orders'!$S:$S,'MAIN DATA, Orders'!$Y:$Y,$A47,'MAIN DATA, Orders'!$D:$D,"Germany",'MAIN DATA, Orders'!$I:$I,"Infantry")/1000000000)</f>
        <v>0</v>
      </c>
      <c r="R47" s="15">
        <f>(SUMIFS('MAIN DATA, Orders'!$S:$S,'MAIN DATA, Orders'!$Y:$Y,$A47,'MAIN DATA, Orders'!$D:$D,"Germany",'MAIN DATA, Orders'!$I:$I,"Development - Infantry")/1000000000)</f>
        <v>0</v>
      </c>
      <c r="S47" s="15">
        <f>(SUMIFS('MAIN DATA, Orders'!$S:$S,'MAIN DATA, Orders'!$Y:$Y,$A47,'MAIN DATA, Orders'!$D:$D,"Germany",'MAIN DATA, Orders'!$I:$I,"Tank")/1000000000)</f>
        <v>0.52559999999999996</v>
      </c>
      <c r="T47" s="15">
        <f>(SUMIFS('MAIN DATA, Orders'!$S:$S,'MAIN DATA, Orders'!$Y:$Y,$A47,'MAIN DATA, Orders'!$D:$D,"Germany",'MAIN DATA, Orders'!$I:$I,"Development - Tank")/1000000000)</f>
        <v>0</v>
      </c>
      <c r="U47" s="15">
        <f>(SUMIFS('MAIN DATA, Orders'!$S:$S,'MAIN DATA, Orders'!$Y:$Y,$A47,'MAIN DATA, Orders'!$D:$D,"Germany",'MAIN DATA, Orders'!$I:$I,"Maintenance")/1000000000)</f>
        <v>0</v>
      </c>
      <c r="V47" s="15">
        <f>(SUMIFS('MAIN DATA, Orders'!$S:$S,'MAIN DATA, Orders'!$Y:$Y,$A47,'MAIN DATA, Orders'!$D:$D,"Germany",'MAIN DATA, Orders'!$I:$I,"Development - Maintenance")/1000000000)</f>
        <v>0</v>
      </c>
      <c r="W47" s="15">
        <f>(SUMIFS('MAIN DATA, Orders'!$S:$S,'MAIN DATA, Orders'!$Y:$Y,$A47,'MAIN DATA, Orders'!$D:$D,"Germany",'MAIN DATA, Orders'!$I:$I,"Mine")/1000000000)</f>
        <v>0</v>
      </c>
      <c r="X47" s="15">
        <f>(SUMIFS('MAIN DATA, Orders'!$S:$S,'MAIN DATA, Orders'!$Y:$Y,$A47,'MAIN DATA, Orders'!$D:$D,"Germany",'MAIN DATA, Orders'!$I:$I,"Development - Mine")/1000000000)</f>
        <v>0</v>
      </c>
      <c r="Y47" s="15">
        <f>(SUMIFS('MAIN DATA, Orders'!$S:$S,'MAIN DATA, Orders'!$Y:$Y,$A47,'MAIN DATA, Orders'!$D:$D,"Germany",'MAIN DATA, Orders'!$J:$J,"6")/1000000000)</f>
        <v>0</v>
      </c>
      <c r="Z47" s="15" cm="1">
        <f t="array" ref="Z47">SUM(SUMIFS('MAIN DATA, Orders'!$S:$S,'MAIN DATA, Orders'!$Y:$Y,$A47,'MAIN DATA, Orders'!$D:$D,"Germany",'MAIN DATA, Orders'!$I:$I,{"Development - Missile (Land)","Development - Missile (Naval)","Development - Missile (Air)"})/1000000000)</f>
        <v>0</v>
      </c>
      <c r="AA47" s="15">
        <f>(SUMIFS('MAIN DATA, Orders'!$S:$S,'MAIN DATA, Orders'!$Y:$Y,$A47,'MAIN DATA, Orders'!$D:$D,"Germany",'MAIN DATA, Orders'!$I:$I,"Modernisation")/1000000000)</f>
        <v>0</v>
      </c>
      <c r="AB47" s="15">
        <f>(SUMIFS('MAIN DATA, Orders'!$S:$S,'MAIN DATA, Orders'!$Y:$Y,$A47,'MAIN DATA, Orders'!$D:$D,"Germany",'MAIN DATA, Orders'!$I:$I,"Development - Modernisation")/1000000000)</f>
        <v>0</v>
      </c>
      <c r="AC47" s="15">
        <f>(SUMIFS('MAIN DATA, Orders'!$S:$S,'MAIN DATA, Orders'!$Y:$Y,$A47,'MAIN DATA, Orders'!$D:$D,"Germany",'MAIN DATA, Orders'!$I:$I,"Naval")/1000000000)</f>
        <v>0.18</v>
      </c>
      <c r="AD47" s="15">
        <f>(SUMIFS('MAIN DATA, Orders'!$S:$S,'MAIN DATA, Orders'!$Y:$Y,$A47,'MAIN DATA, Orders'!$D:$D,"Germany",'MAIN DATA, Orders'!$I:$I,"Development - Naval")/1000000000)</f>
        <v>0</v>
      </c>
      <c r="AE47" s="15">
        <f>(SUMIFS('MAIN DATA, Orders'!$S:$S,'MAIN DATA, Orders'!$Y:$Y,$A47,'MAIN DATA, Orders'!$D:$D,"Germany",'MAIN DATA, Orders'!$I:$I,"Other")/1000000000)</f>
        <v>3.2000000000000001E-2</v>
      </c>
      <c r="AF47" s="15">
        <f>(SUMIFS('MAIN DATA, Orders'!$S:$S,'MAIN DATA, Orders'!$Y:$Y,$A47,'MAIN DATA, Orders'!$D:$D,"Germany",'MAIN DATA, Orders'!$I:$I,"Development - Other")/1000000000)</f>
        <v>0</v>
      </c>
      <c r="AG47" s="15"/>
      <c r="AH47" s="15" cm="1">
        <f t="array" ref="AH47">SUM(SUMIFS('MAIN DATA, Orders'!$S:$S,'MAIN DATA, Orders'!$Y:$Y,$A47,'MAIN DATA, Orders'!$D:$D,"Germany",'MAIN DATA, Orders'!$I:$I,{"Missile (Land)","Development - Missile (Land)"})/1000000000)</f>
        <v>0</v>
      </c>
      <c r="AI47" s="15" cm="1">
        <f t="array" ref="AI47">SUM(SUMIFS('MAIN DATA, Orders'!$S:$S,'MAIN DATA, Orders'!$D:$D,"Germany",'MAIN DATA, Orders'!$I:$I,{"Missile (Air)","Development - Missile (Air)"},'MAIN DATA, Orders'!$Y:$Y,$A47)/1000000000)</f>
        <v>0</v>
      </c>
      <c r="AJ47" s="15" cm="1">
        <f t="array" ref="AJ47">SUM(SUMIFS('MAIN DATA, Orders'!$S:$S,'MAIN DATA, Orders'!$Y:$Y,$A47,'MAIN DATA, Orders'!$D:$D,"Germany",'MAIN DATA, Orders'!$I:$I,{"Missile (Naval)","Development - Missile (Naval)"})/1000000000)</f>
        <v>0</v>
      </c>
    </row>
    <row r="48" spans="1:36" x14ac:dyDescent="0.35">
      <c r="A48" s="20">
        <v>202306</v>
      </c>
      <c r="B48" s="17">
        <v>45078</v>
      </c>
      <c r="C48" s="15">
        <f>(SUMIFS('MAIN DATA, Orders'!$S:$S,'MAIN DATA, Orders'!$Y:$Y,$A48,'MAIN DATA, Orders'!$D:$D,"Germany",'MAIN DATA, Orders'!$I:$I,"Air defence system")/1000000000)</f>
        <v>0.95</v>
      </c>
      <c r="D48" s="15">
        <f>(SUMIFS('MAIN DATA, Orders'!$S:$S,'MAIN DATA, Orders'!$Y:$Y,$A48,'MAIN DATA, Orders'!$D:$D,"Germany",'MAIN DATA, Orders'!$I:$I,"Development - Air defence system")/1000000000)</f>
        <v>0</v>
      </c>
      <c r="E48" s="15">
        <f>(SUMIFS('MAIN DATA, Orders'!$S:$S,'MAIN DATA, Orders'!$Y:$Y,$A48,'MAIN DATA, Orders'!$D:$D,"Germany",'MAIN DATA, Orders'!$I:$I,"Aircraft")/1000000000)</f>
        <v>0</v>
      </c>
      <c r="F48" s="15">
        <f>(SUMIFS('MAIN DATA, Orders'!$S:$S,'MAIN DATA, Orders'!$Y:$Y,$A48,'MAIN DATA, Orders'!$D:$D,"Germany",'MAIN DATA, Orders'!$I:$I,"Development - Aircraft")/1000000000)</f>
        <v>0</v>
      </c>
      <c r="G48" s="15">
        <f>(SUMIFS('MAIN DATA, Orders'!$S:$S,'MAIN DATA, Orders'!$Y:$Y,$A48,'MAIN DATA, Orders'!$D:$D,"Germany",'MAIN DATA, Orders'!$I:$I,"Ammunition")/1000000000)</f>
        <v>0</v>
      </c>
      <c r="H48" s="15">
        <f>(SUMIFS('MAIN DATA, Orders'!$S:$S,'MAIN DATA, Orders'!$Y:$Y,$A48,'MAIN DATA, Orders'!$D:$D,"Germany",'MAIN DATA, Orders'!$I:$I,"Development - Ammunition")/1000000000)</f>
        <v>0</v>
      </c>
      <c r="I48" s="15">
        <f>(SUMIFS('MAIN DATA, Orders'!$S:$S,'MAIN DATA, Orders'!$Y:$Y,$A48,'MAIN DATA, Orders'!$D:$D,"Germany",'MAIN DATA, Orders'!$I:$I,"Armoured vehicle")/1000000000)</f>
        <v>0</v>
      </c>
      <c r="J48" s="15">
        <f>(SUMIFS('MAIN DATA, Orders'!$S:$S,'MAIN DATA, Orders'!$Y:$Y,$A48,'MAIN DATA, Orders'!$D:$D,"Germany",'MAIN DATA, Orders'!$I:$I,"Development - Armoured vehicle")/1000000000)</f>
        <v>0</v>
      </c>
      <c r="K48" s="15">
        <f>(SUMIFS('MAIN DATA, Orders'!$S:$S,'MAIN DATA, Orders'!$Y:$Y,$A48,'MAIN DATA, Orders'!$D:$D,"Germany",'MAIN DATA, Orders'!$I:$I,"Artillery")/1000000000)</f>
        <v>0</v>
      </c>
      <c r="L48" s="15">
        <f>(SUMIFS('MAIN DATA, Orders'!$S:$S,'MAIN DATA, Orders'!$Y:$Y,$A48,'MAIN DATA, Orders'!$D:$D,"Germany",'MAIN DATA, Orders'!$I:$I,"Development - Artillery")/1000000000)</f>
        <v>0</v>
      </c>
      <c r="M48" s="15">
        <f>(SUMIFS('MAIN DATA, Orders'!$S:$S,'MAIN DATA, Orders'!$Y:$Y,$A48,'MAIN DATA, Orders'!$D:$D,"Germany",'MAIN DATA, Orders'!$I:$I,"Drone")/1000000000)</f>
        <v>0</v>
      </c>
      <c r="N48" s="15">
        <f>(SUMIFS('MAIN DATA, Orders'!$S:$S,'MAIN DATA, Orders'!$Y:$Y,$A48,'MAIN DATA, Orders'!$D:$D,"Germany",'MAIN DATA, Orders'!$I:$I,"Development - Drone")/1000000000)</f>
        <v>0</v>
      </c>
      <c r="O48" s="15">
        <f>(SUMIFS('MAIN DATA, Orders'!$S:$S,'MAIN DATA, Orders'!$Y:$Y,$A48,'MAIN DATA, Orders'!$D:$D,"Germany",'MAIN DATA, Orders'!$I:$I,"Helicopter")/1000000000)</f>
        <v>0</v>
      </c>
      <c r="P48" s="15">
        <f>(SUMIFS('MAIN DATA, Orders'!$S:$S,'MAIN DATA, Orders'!$Y:$Y,$A48,'MAIN DATA, Orders'!$D:$D,"Germany",'MAIN DATA, Orders'!$I:$I,"Development - Helicopter")/1000000000)</f>
        <v>0</v>
      </c>
      <c r="Q48" s="15">
        <f>(SUMIFS('MAIN DATA, Orders'!$S:$S,'MAIN DATA, Orders'!$Y:$Y,$A48,'MAIN DATA, Orders'!$D:$D,"Germany",'MAIN DATA, Orders'!$I:$I,"Infantry")/1000000000)</f>
        <v>0</v>
      </c>
      <c r="R48" s="15">
        <f>(SUMIFS('MAIN DATA, Orders'!$S:$S,'MAIN DATA, Orders'!$Y:$Y,$A48,'MAIN DATA, Orders'!$D:$D,"Germany",'MAIN DATA, Orders'!$I:$I,"Development - Infantry")/1000000000)</f>
        <v>0</v>
      </c>
      <c r="S48" s="15">
        <f>(SUMIFS('MAIN DATA, Orders'!$S:$S,'MAIN DATA, Orders'!$Y:$Y,$A48,'MAIN DATA, Orders'!$D:$D,"Germany",'MAIN DATA, Orders'!$I:$I,"Tank")/1000000000)</f>
        <v>0</v>
      </c>
      <c r="T48" s="15">
        <f>(SUMIFS('MAIN DATA, Orders'!$S:$S,'MAIN DATA, Orders'!$Y:$Y,$A48,'MAIN DATA, Orders'!$D:$D,"Germany",'MAIN DATA, Orders'!$I:$I,"Development - Tank")/1000000000)</f>
        <v>0</v>
      </c>
      <c r="U48" s="15">
        <f>(SUMIFS('MAIN DATA, Orders'!$S:$S,'MAIN DATA, Orders'!$Y:$Y,$A48,'MAIN DATA, Orders'!$D:$D,"Germany",'MAIN DATA, Orders'!$I:$I,"Maintenance")/1000000000)</f>
        <v>0</v>
      </c>
      <c r="V48" s="15">
        <f>(SUMIFS('MAIN DATA, Orders'!$S:$S,'MAIN DATA, Orders'!$Y:$Y,$A48,'MAIN DATA, Orders'!$D:$D,"Germany",'MAIN DATA, Orders'!$I:$I,"Development - Maintenance")/1000000000)</f>
        <v>0</v>
      </c>
      <c r="W48" s="15">
        <f>(SUMIFS('MAIN DATA, Orders'!$S:$S,'MAIN DATA, Orders'!$Y:$Y,$A48,'MAIN DATA, Orders'!$D:$D,"Germany",'MAIN DATA, Orders'!$I:$I,"Mine")/1000000000)</f>
        <v>0</v>
      </c>
      <c r="X48" s="15">
        <f>(SUMIFS('MAIN DATA, Orders'!$S:$S,'MAIN DATA, Orders'!$Y:$Y,$A48,'MAIN DATA, Orders'!$D:$D,"Germany",'MAIN DATA, Orders'!$I:$I,"Development - Mine")/1000000000)</f>
        <v>0</v>
      </c>
      <c r="Y48" s="15">
        <f>(SUMIFS('MAIN DATA, Orders'!$S:$S,'MAIN DATA, Orders'!$Y:$Y,$A48,'MAIN DATA, Orders'!$D:$D,"Germany",'MAIN DATA, Orders'!$J:$J,"6")/1000000000)</f>
        <v>0</v>
      </c>
      <c r="Z48" s="15" cm="1">
        <f t="array" ref="Z48">SUM(SUMIFS('MAIN DATA, Orders'!$S:$S,'MAIN DATA, Orders'!$Y:$Y,$A48,'MAIN DATA, Orders'!$D:$D,"Germany",'MAIN DATA, Orders'!$I:$I,{"Development - Missile (Land)","Development - Missile (Naval)","Development - Missile (Air)"})/1000000000)</f>
        <v>0</v>
      </c>
      <c r="AA48" s="15">
        <f>(SUMIFS('MAIN DATA, Orders'!$S:$S,'MAIN DATA, Orders'!$Y:$Y,$A48,'MAIN DATA, Orders'!$D:$D,"Germany",'MAIN DATA, Orders'!$I:$I,"Modernisation")/1000000000)</f>
        <v>0.58599999999999997</v>
      </c>
      <c r="AB48" s="15">
        <f>(SUMIFS('MAIN DATA, Orders'!$S:$S,'MAIN DATA, Orders'!$Y:$Y,$A48,'MAIN DATA, Orders'!$D:$D,"Germany",'MAIN DATA, Orders'!$I:$I,"Development - Modernisation")/1000000000)</f>
        <v>0</v>
      </c>
      <c r="AC48" s="15">
        <f>(SUMIFS('MAIN DATA, Orders'!$S:$S,'MAIN DATA, Orders'!$Y:$Y,$A48,'MAIN DATA, Orders'!$D:$D,"Germany",'MAIN DATA, Orders'!$I:$I,"Naval")/1000000000)</f>
        <v>0</v>
      </c>
      <c r="AD48" s="15">
        <f>(SUMIFS('MAIN DATA, Orders'!$S:$S,'MAIN DATA, Orders'!$Y:$Y,$A48,'MAIN DATA, Orders'!$D:$D,"Germany",'MAIN DATA, Orders'!$I:$I,"Development - Naval")/1000000000)</f>
        <v>0</v>
      </c>
      <c r="AE48" s="15">
        <f>(SUMIFS('MAIN DATA, Orders'!$S:$S,'MAIN DATA, Orders'!$Y:$Y,$A48,'MAIN DATA, Orders'!$D:$D,"Germany",'MAIN DATA, Orders'!$I:$I,"Other")/1000000000)</f>
        <v>0.31719999999999998</v>
      </c>
      <c r="AF48" s="15">
        <f>(SUMIFS('MAIN DATA, Orders'!$S:$S,'MAIN DATA, Orders'!$Y:$Y,$A48,'MAIN DATA, Orders'!$D:$D,"Germany",'MAIN DATA, Orders'!$I:$I,"Development - Other")/1000000000)</f>
        <v>0</v>
      </c>
      <c r="AG48" s="15"/>
      <c r="AH48" s="15" cm="1">
        <f t="array" ref="AH48">SUM(SUMIFS('MAIN DATA, Orders'!$S:$S,'MAIN DATA, Orders'!$Y:$Y,$A48,'MAIN DATA, Orders'!$D:$D,"Germany",'MAIN DATA, Orders'!$I:$I,{"Missile (Land)","Development - Missile (Land)"})/1000000000)</f>
        <v>0</v>
      </c>
      <c r="AI48" s="15" cm="1">
        <f t="array" ref="AI48">SUM(SUMIFS('MAIN DATA, Orders'!$S:$S,'MAIN DATA, Orders'!$D:$D,"Germany",'MAIN DATA, Orders'!$I:$I,{"Missile (Air)","Development - Missile (Air)"},'MAIN DATA, Orders'!$Y:$Y,$A48)/1000000000)</f>
        <v>0</v>
      </c>
      <c r="AJ48" s="15" cm="1">
        <f t="array" ref="AJ48">SUM(SUMIFS('MAIN DATA, Orders'!$S:$S,'MAIN DATA, Orders'!$Y:$Y,$A48,'MAIN DATA, Orders'!$D:$D,"Germany",'MAIN DATA, Orders'!$I:$I,{"Missile (Naval)","Development - Missile (Naval)"})/1000000000)</f>
        <v>0</v>
      </c>
    </row>
    <row r="49" spans="1:36" x14ac:dyDescent="0.35">
      <c r="A49" s="20">
        <v>202307</v>
      </c>
      <c r="B49" s="17">
        <v>45108</v>
      </c>
      <c r="C49" s="15">
        <f>(SUMIFS('MAIN DATA, Orders'!$S:$S,'MAIN DATA, Orders'!$Y:$Y,$A49,'MAIN DATA, Orders'!$D:$D,"Germany",'MAIN DATA, Orders'!$I:$I,"Air defence system")/1000000000)</f>
        <v>0</v>
      </c>
      <c r="D49" s="15">
        <f>(SUMIFS('MAIN DATA, Orders'!$S:$S,'MAIN DATA, Orders'!$Y:$Y,$A49,'MAIN DATA, Orders'!$D:$D,"Germany",'MAIN DATA, Orders'!$I:$I,"Development - Air defence system")/1000000000)</f>
        <v>0</v>
      </c>
      <c r="E49" s="15">
        <f>(SUMIFS('MAIN DATA, Orders'!$S:$S,'MAIN DATA, Orders'!$Y:$Y,$A49,'MAIN DATA, Orders'!$D:$D,"Germany",'MAIN DATA, Orders'!$I:$I,"Aircraft")/1000000000)</f>
        <v>0</v>
      </c>
      <c r="F49" s="15">
        <f>(SUMIFS('MAIN DATA, Orders'!$S:$S,'MAIN DATA, Orders'!$Y:$Y,$A49,'MAIN DATA, Orders'!$D:$D,"Germany",'MAIN DATA, Orders'!$I:$I,"Development - Aircraft")/1000000000)</f>
        <v>0</v>
      </c>
      <c r="G49" s="15">
        <f>(SUMIFS('MAIN DATA, Orders'!$S:$S,'MAIN DATA, Orders'!$Y:$Y,$A49,'MAIN DATA, Orders'!$D:$D,"Germany",'MAIN DATA, Orders'!$I:$I,"Ammunition")/1000000000)</f>
        <v>0.60389999999999999</v>
      </c>
      <c r="H49" s="15">
        <f>(SUMIFS('MAIN DATA, Orders'!$S:$S,'MAIN DATA, Orders'!$Y:$Y,$A49,'MAIN DATA, Orders'!$D:$D,"Germany",'MAIN DATA, Orders'!$I:$I,"Development - Ammunition")/1000000000)</f>
        <v>0</v>
      </c>
      <c r="I49" s="15">
        <f>(SUMIFS('MAIN DATA, Orders'!$S:$S,'MAIN DATA, Orders'!$Y:$Y,$A49,'MAIN DATA, Orders'!$D:$D,"Germany",'MAIN DATA, Orders'!$I:$I,"Armoured vehicle")/1000000000)</f>
        <v>0.87</v>
      </c>
      <c r="J49" s="15">
        <f>(SUMIFS('MAIN DATA, Orders'!$S:$S,'MAIN DATA, Orders'!$Y:$Y,$A49,'MAIN DATA, Orders'!$D:$D,"Germany",'MAIN DATA, Orders'!$I:$I,"Development - Armoured vehicle")/1000000000)</f>
        <v>0</v>
      </c>
      <c r="K49" s="15">
        <f>(SUMIFS('MAIN DATA, Orders'!$S:$S,'MAIN DATA, Orders'!$Y:$Y,$A49,'MAIN DATA, Orders'!$D:$D,"Germany",'MAIN DATA, Orders'!$I:$I,"Artillery")/1000000000)</f>
        <v>0</v>
      </c>
      <c r="L49" s="15">
        <f>(SUMIFS('MAIN DATA, Orders'!$S:$S,'MAIN DATA, Orders'!$Y:$Y,$A49,'MAIN DATA, Orders'!$D:$D,"Germany",'MAIN DATA, Orders'!$I:$I,"Development - Artillery")/1000000000)</f>
        <v>0</v>
      </c>
      <c r="M49" s="15">
        <f>(SUMIFS('MAIN DATA, Orders'!$S:$S,'MAIN DATA, Orders'!$Y:$Y,$A49,'MAIN DATA, Orders'!$D:$D,"Germany",'MAIN DATA, Orders'!$I:$I,"Drone")/1000000000)</f>
        <v>0</v>
      </c>
      <c r="N49" s="15">
        <f>(SUMIFS('MAIN DATA, Orders'!$S:$S,'MAIN DATA, Orders'!$Y:$Y,$A49,'MAIN DATA, Orders'!$D:$D,"Germany",'MAIN DATA, Orders'!$I:$I,"Development - Drone")/1000000000)</f>
        <v>0</v>
      </c>
      <c r="O49" s="15">
        <f>(SUMIFS('MAIN DATA, Orders'!$S:$S,'MAIN DATA, Orders'!$Y:$Y,$A49,'MAIN DATA, Orders'!$D:$D,"Germany",'MAIN DATA, Orders'!$I:$I,"Helicopter")/1000000000)</f>
        <v>6.98</v>
      </c>
      <c r="P49" s="15">
        <f>(SUMIFS('MAIN DATA, Orders'!$S:$S,'MAIN DATA, Orders'!$Y:$Y,$A49,'MAIN DATA, Orders'!$D:$D,"Germany",'MAIN DATA, Orders'!$I:$I,"Development - Helicopter")/1000000000)</f>
        <v>0</v>
      </c>
      <c r="Q49" s="15">
        <f>(SUMIFS('MAIN DATA, Orders'!$S:$S,'MAIN DATA, Orders'!$Y:$Y,$A49,'MAIN DATA, Orders'!$D:$D,"Germany",'MAIN DATA, Orders'!$I:$I,"Infantry")/1000000000)</f>
        <v>0.13100000000000001</v>
      </c>
      <c r="R49" s="15">
        <f>(SUMIFS('MAIN DATA, Orders'!$S:$S,'MAIN DATA, Orders'!$Y:$Y,$A49,'MAIN DATA, Orders'!$D:$D,"Germany",'MAIN DATA, Orders'!$I:$I,"Development - Infantry")/1000000000)</f>
        <v>0</v>
      </c>
      <c r="S49" s="15">
        <f>(SUMIFS('MAIN DATA, Orders'!$S:$S,'MAIN DATA, Orders'!$Y:$Y,$A49,'MAIN DATA, Orders'!$D:$D,"Germany",'MAIN DATA, Orders'!$I:$I,"Tank")/1000000000)</f>
        <v>0</v>
      </c>
      <c r="T49" s="15">
        <f>(SUMIFS('MAIN DATA, Orders'!$S:$S,'MAIN DATA, Orders'!$Y:$Y,$A49,'MAIN DATA, Orders'!$D:$D,"Germany",'MAIN DATA, Orders'!$I:$I,"Development - Tank")/1000000000)</f>
        <v>0</v>
      </c>
      <c r="U49" s="15">
        <f>(SUMIFS('MAIN DATA, Orders'!$S:$S,'MAIN DATA, Orders'!$Y:$Y,$A49,'MAIN DATA, Orders'!$D:$D,"Germany",'MAIN DATA, Orders'!$I:$I,"Maintenance")/1000000000)</f>
        <v>0</v>
      </c>
      <c r="V49" s="15">
        <f>(SUMIFS('MAIN DATA, Orders'!$S:$S,'MAIN DATA, Orders'!$Y:$Y,$A49,'MAIN DATA, Orders'!$D:$D,"Germany",'MAIN DATA, Orders'!$I:$I,"Development - Maintenance")/1000000000)</f>
        <v>0</v>
      </c>
      <c r="W49" s="15">
        <f>(SUMIFS('MAIN DATA, Orders'!$S:$S,'MAIN DATA, Orders'!$Y:$Y,$A49,'MAIN DATA, Orders'!$D:$D,"Germany",'MAIN DATA, Orders'!$I:$I,"Mine")/1000000000)</f>
        <v>0</v>
      </c>
      <c r="X49" s="15">
        <f>(SUMIFS('MAIN DATA, Orders'!$S:$S,'MAIN DATA, Orders'!$Y:$Y,$A49,'MAIN DATA, Orders'!$D:$D,"Germany",'MAIN DATA, Orders'!$I:$I,"Development - Mine")/1000000000)</f>
        <v>0</v>
      </c>
      <c r="Y49" s="15">
        <f>(SUMIFS('MAIN DATA, Orders'!$S:$S,'MAIN DATA, Orders'!$Y:$Y,$A49,'MAIN DATA, Orders'!$D:$D,"Germany",'MAIN DATA, Orders'!$J:$J,"6")/1000000000)</f>
        <v>0</v>
      </c>
      <c r="Z49" s="15" cm="1">
        <f t="array" ref="Z49">SUM(SUMIFS('MAIN DATA, Orders'!$S:$S,'MAIN DATA, Orders'!$Y:$Y,$A49,'MAIN DATA, Orders'!$D:$D,"Germany",'MAIN DATA, Orders'!$I:$I,{"Development - Missile (Land)","Development - Missile (Naval)","Development - Missile (Air)"})/1000000000)</f>
        <v>0</v>
      </c>
      <c r="AA49" s="15">
        <f>(SUMIFS('MAIN DATA, Orders'!$S:$S,'MAIN DATA, Orders'!$Y:$Y,$A49,'MAIN DATA, Orders'!$D:$D,"Germany",'MAIN DATA, Orders'!$I:$I,"Modernisation")/1000000000)</f>
        <v>0</v>
      </c>
      <c r="AB49" s="15">
        <f>(SUMIFS('MAIN DATA, Orders'!$S:$S,'MAIN DATA, Orders'!$Y:$Y,$A49,'MAIN DATA, Orders'!$D:$D,"Germany",'MAIN DATA, Orders'!$I:$I,"Development - Modernisation")/1000000000)</f>
        <v>0</v>
      </c>
      <c r="AC49" s="15">
        <f>(SUMIFS('MAIN DATA, Orders'!$S:$S,'MAIN DATA, Orders'!$Y:$Y,$A49,'MAIN DATA, Orders'!$D:$D,"Germany",'MAIN DATA, Orders'!$I:$I,"Naval")/1000000000)</f>
        <v>1.1599999999999999</v>
      </c>
      <c r="AD49" s="15">
        <f>(SUMIFS('MAIN DATA, Orders'!$S:$S,'MAIN DATA, Orders'!$Y:$Y,$A49,'MAIN DATA, Orders'!$D:$D,"Germany",'MAIN DATA, Orders'!$I:$I,"Development - Naval")/1000000000)</f>
        <v>0</v>
      </c>
      <c r="AE49" s="15">
        <f>(SUMIFS('MAIN DATA, Orders'!$S:$S,'MAIN DATA, Orders'!$Y:$Y,$A49,'MAIN DATA, Orders'!$D:$D,"Germany",'MAIN DATA, Orders'!$I:$I,"Other")/1000000000)</f>
        <v>0</v>
      </c>
      <c r="AF49" s="15">
        <f>(SUMIFS('MAIN DATA, Orders'!$S:$S,'MAIN DATA, Orders'!$Y:$Y,$A49,'MAIN DATA, Orders'!$D:$D,"Germany",'MAIN DATA, Orders'!$I:$I,"Development - Other")/1000000000)</f>
        <v>0</v>
      </c>
      <c r="AG49" s="15"/>
      <c r="AH49" s="15" cm="1">
        <f t="array" ref="AH49">SUM(SUMIFS('MAIN DATA, Orders'!$S:$S,'MAIN DATA, Orders'!$Y:$Y,$A49,'MAIN DATA, Orders'!$D:$D,"Germany",'MAIN DATA, Orders'!$I:$I,{"Missile (Land)","Development - Missile (Land)"})/1000000000)</f>
        <v>0</v>
      </c>
      <c r="AI49" s="15" cm="1">
        <f t="array" ref="AI49">SUM(SUMIFS('MAIN DATA, Orders'!$S:$S,'MAIN DATA, Orders'!$D:$D,"Germany",'MAIN DATA, Orders'!$I:$I,{"Missile (Air)","Development - Missile (Air)"},'MAIN DATA, Orders'!$Y:$Y,$A49)/1000000000)</f>
        <v>0</v>
      </c>
      <c r="AJ49" s="15" cm="1">
        <f t="array" ref="AJ49">SUM(SUMIFS('MAIN DATA, Orders'!$S:$S,'MAIN DATA, Orders'!$Y:$Y,$A49,'MAIN DATA, Orders'!$D:$D,"Germany",'MAIN DATA, Orders'!$I:$I,{"Missile (Naval)","Development - Missile (Naval)"})/1000000000)</f>
        <v>0</v>
      </c>
    </row>
    <row r="50" spans="1:36" x14ac:dyDescent="0.35">
      <c r="A50" s="20">
        <v>202308</v>
      </c>
      <c r="B50" s="17">
        <v>45139</v>
      </c>
      <c r="C50" s="15">
        <f>(SUMIFS('MAIN DATA, Orders'!$S:$S,'MAIN DATA, Orders'!$Y:$Y,$A50,'MAIN DATA, Orders'!$D:$D,"Germany",'MAIN DATA, Orders'!$I:$I,"Air defence system")/1000000000)</f>
        <v>0</v>
      </c>
      <c r="D50" s="15">
        <f>(SUMIFS('MAIN DATA, Orders'!$S:$S,'MAIN DATA, Orders'!$Y:$Y,$A50,'MAIN DATA, Orders'!$D:$D,"Germany",'MAIN DATA, Orders'!$I:$I,"Development - Air defence system")/1000000000)</f>
        <v>0</v>
      </c>
      <c r="E50" s="15">
        <f>(SUMIFS('MAIN DATA, Orders'!$S:$S,'MAIN DATA, Orders'!$Y:$Y,$A50,'MAIN DATA, Orders'!$D:$D,"Germany",'MAIN DATA, Orders'!$I:$I,"Aircraft")/1000000000)</f>
        <v>0</v>
      </c>
      <c r="F50" s="15">
        <f>(SUMIFS('MAIN DATA, Orders'!$S:$S,'MAIN DATA, Orders'!$Y:$Y,$A50,'MAIN DATA, Orders'!$D:$D,"Germany",'MAIN DATA, Orders'!$I:$I,"Development - Aircraft")/1000000000)</f>
        <v>0</v>
      </c>
      <c r="G50" s="15">
        <f>(SUMIFS('MAIN DATA, Orders'!$S:$S,'MAIN DATA, Orders'!$Y:$Y,$A50,'MAIN DATA, Orders'!$D:$D,"Germany",'MAIN DATA, Orders'!$I:$I,"Ammunition")/1000000000)</f>
        <v>0</v>
      </c>
      <c r="H50" s="15">
        <f>(SUMIFS('MAIN DATA, Orders'!$S:$S,'MAIN DATA, Orders'!$Y:$Y,$A50,'MAIN DATA, Orders'!$D:$D,"Germany",'MAIN DATA, Orders'!$I:$I,"Development - Ammunition")/1000000000)</f>
        <v>0</v>
      </c>
      <c r="I50" s="15">
        <f>(SUMIFS('MAIN DATA, Orders'!$S:$S,'MAIN DATA, Orders'!$Y:$Y,$A50,'MAIN DATA, Orders'!$D:$D,"Germany",'MAIN DATA, Orders'!$I:$I,"Armoured vehicle")/1000000000)</f>
        <v>0</v>
      </c>
      <c r="J50" s="15">
        <f>(SUMIFS('MAIN DATA, Orders'!$S:$S,'MAIN DATA, Orders'!$Y:$Y,$A50,'MAIN DATA, Orders'!$D:$D,"Germany",'MAIN DATA, Orders'!$I:$I,"Development - Armoured vehicle")/1000000000)</f>
        <v>0</v>
      </c>
      <c r="K50" s="15">
        <f>(SUMIFS('MAIN DATA, Orders'!$S:$S,'MAIN DATA, Orders'!$Y:$Y,$A50,'MAIN DATA, Orders'!$D:$D,"Germany",'MAIN DATA, Orders'!$I:$I,"Artillery")/1000000000)</f>
        <v>0</v>
      </c>
      <c r="L50" s="15">
        <f>(SUMIFS('MAIN DATA, Orders'!$S:$S,'MAIN DATA, Orders'!$Y:$Y,$A50,'MAIN DATA, Orders'!$D:$D,"Germany",'MAIN DATA, Orders'!$I:$I,"Development - Artillery")/1000000000)</f>
        <v>0</v>
      </c>
      <c r="M50" s="15">
        <f>(SUMIFS('MAIN DATA, Orders'!$S:$S,'MAIN DATA, Orders'!$Y:$Y,$A50,'MAIN DATA, Orders'!$D:$D,"Germany",'MAIN DATA, Orders'!$I:$I,"Drone")/1000000000)</f>
        <v>0</v>
      </c>
      <c r="N50" s="15">
        <f>(SUMIFS('MAIN DATA, Orders'!$S:$S,'MAIN DATA, Orders'!$Y:$Y,$A50,'MAIN DATA, Orders'!$D:$D,"Germany",'MAIN DATA, Orders'!$I:$I,"Development - Drone")/1000000000)</f>
        <v>0</v>
      </c>
      <c r="O50" s="15">
        <f>(SUMIFS('MAIN DATA, Orders'!$S:$S,'MAIN DATA, Orders'!$Y:$Y,$A50,'MAIN DATA, Orders'!$D:$D,"Germany",'MAIN DATA, Orders'!$I:$I,"Helicopter")/1000000000)</f>
        <v>0</v>
      </c>
      <c r="P50" s="15">
        <f>(SUMIFS('MAIN DATA, Orders'!$S:$S,'MAIN DATA, Orders'!$Y:$Y,$A50,'MAIN DATA, Orders'!$D:$D,"Germany",'MAIN DATA, Orders'!$I:$I,"Development - Helicopter")/1000000000)</f>
        <v>0</v>
      </c>
      <c r="Q50" s="15">
        <f>(SUMIFS('MAIN DATA, Orders'!$S:$S,'MAIN DATA, Orders'!$Y:$Y,$A50,'MAIN DATA, Orders'!$D:$D,"Germany",'MAIN DATA, Orders'!$I:$I,"Infantry")/1000000000)</f>
        <v>0</v>
      </c>
      <c r="R50" s="15">
        <f>(SUMIFS('MAIN DATA, Orders'!$S:$S,'MAIN DATA, Orders'!$Y:$Y,$A50,'MAIN DATA, Orders'!$D:$D,"Germany",'MAIN DATA, Orders'!$I:$I,"Development - Infantry")/1000000000)</f>
        <v>0</v>
      </c>
      <c r="S50" s="15">
        <f>(SUMIFS('MAIN DATA, Orders'!$S:$S,'MAIN DATA, Orders'!$Y:$Y,$A50,'MAIN DATA, Orders'!$D:$D,"Germany",'MAIN DATA, Orders'!$I:$I,"Tank")/1000000000)</f>
        <v>0</v>
      </c>
      <c r="T50" s="15">
        <f>(SUMIFS('MAIN DATA, Orders'!$S:$S,'MAIN DATA, Orders'!$Y:$Y,$A50,'MAIN DATA, Orders'!$D:$D,"Germany",'MAIN DATA, Orders'!$I:$I,"Development - Tank")/1000000000)</f>
        <v>0</v>
      </c>
      <c r="U50" s="15">
        <f>(SUMIFS('MAIN DATA, Orders'!$S:$S,'MAIN DATA, Orders'!$Y:$Y,$A50,'MAIN DATA, Orders'!$D:$D,"Germany",'MAIN DATA, Orders'!$I:$I,"Maintenance")/1000000000)</f>
        <v>0</v>
      </c>
      <c r="V50" s="15">
        <f>(SUMIFS('MAIN DATA, Orders'!$S:$S,'MAIN DATA, Orders'!$Y:$Y,$A50,'MAIN DATA, Orders'!$D:$D,"Germany",'MAIN DATA, Orders'!$I:$I,"Development - Maintenance")/1000000000)</f>
        <v>0</v>
      </c>
      <c r="W50" s="15">
        <f>(SUMIFS('MAIN DATA, Orders'!$S:$S,'MAIN DATA, Orders'!$Y:$Y,$A50,'MAIN DATA, Orders'!$D:$D,"Germany",'MAIN DATA, Orders'!$I:$I,"Mine")/1000000000)</f>
        <v>0</v>
      </c>
      <c r="X50" s="15">
        <f>(SUMIFS('MAIN DATA, Orders'!$S:$S,'MAIN DATA, Orders'!$Y:$Y,$A50,'MAIN DATA, Orders'!$D:$D,"Germany",'MAIN DATA, Orders'!$I:$I,"Development - Mine")/1000000000)</f>
        <v>0</v>
      </c>
      <c r="Y50" s="15">
        <f>(SUMIFS('MAIN DATA, Orders'!$S:$S,'MAIN DATA, Orders'!$Y:$Y,$A50,'MAIN DATA, Orders'!$D:$D,"Germany",'MAIN DATA, Orders'!$J:$J,"6")/1000000000)</f>
        <v>0</v>
      </c>
      <c r="Z50" s="15" cm="1">
        <f t="array" ref="Z50">SUM(SUMIFS('MAIN DATA, Orders'!$S:$S,'MAIN DATA, Orders'!$Y:$Y,$A50,'MAIN DATA, Orders'!$D:$D,"Germany",'MAIN DATA, Orders'!$I:$I,{"Development - Missile (Land)","Development - Missile (Naval)","Development - Missile (Air)"})/1000000000)</f>
        <v>0</v>
      </c>
      <c r="AA50" s="15">
        <f>(SUMIFS('MAIN DATA, Orders'!$S:$S,'MAIN DATA, Orders'!$Y:$Y,$A50,'MAIN DATA, Orders'!$D:$D,"Germany",'MAIN DATA, Orders'!$I:$I,"Modernisation")/1000000000)</f>
        <v>0</v>
      </c>
      <c r="AB50" s="15">
        <f>(SUMIFS('MAIN DATA, Orders'!$S:$S,'MAIN DATA, Orders'!$Y:$Y,$A50,'MAIN DATA, Orders'!$D:$D,"Germany",'MAIN DATA, Orders'!$I:$I,"Development - Modernisation")/1000000000)</f>
        <v>0</v>
      </c>
      <c r="AC50" s="15">
        <f>(SUMIFS('MAIN DATA, Orders'!$S:$S,'MAIN DATA, Orders'!$Y:$Y,$A50,'MAIN DATA, Orders'!$D:$D,"Germany",'MAIN DATA, Orders'!$I:$I,"Naval")/1000000000)</f>
        <v>0</v>
      </c>
      <c r="AD50" s="15">
        <f>(SUMIFS('MAIN DATA, Orders'!$S:$S,'MAIN DATA, Orders'!$Y:$Y,$A50,'MAIN DATA, Orders'!$D:$D,"Germany",'MAIN DATA, Orders'!$I:$I,"Development - Naval")/1000000000)</f>
        <v>0</v>
      </c>
      <c r="AE50" s="15">
        <f>(SUMIFS('MAIN DATA, Orders'!$S:$S,'MAIN DATA, Orders'!$Y:$Y,$A50,'MAIN DATA, Orders'!$D:$D,"Germany",'MAIN DATA, Orders'!$I:$I,"Other")/1000000000)</f>
        <v>0</v>
      </c>
      <c r="AF50" s="15">
        <f>(SUMIFS('MAIN DATA, Orders'!$S:$S,'MAIN DATA, Orders'!$Y:$Y,$A50,'MAIN DATA, Orders'!$D:$D,"Germany",'MAIN DATA, Orders'!$I:$I,"Development - Other")/1000000000)</f>
        <v>0</v>
      </c>
      <c r="AG50" s="15"/>
      <c r="AH50" s="15" cm="1">
        <f t="array" ref="AH50">SUM(SUMIFS('MAIN DATA, Orders'!$S:$S,'MAIN DATA, Orders'!$Y:$Y,$A50,'MAIN DATA, Orders'!$D:$D,"Germany",'MAIN DATA, Orders'!$I:$I,{"Missile (Land)","Development - Missile (Land)"})/1000000000)</f>
        <v>0</v>
      </c>
      <c r="AI50" s="15" cm="1">
        <f t="array" ref="AI50">SUM(SUMIFS('MAIN DATA, Orders'!$S:$S,'MAIN DATA, Orders'!$D:$D,"Germany",'MAIN DATA, Orders'!$I:$I,{"Missile (Air)","Development - Missile (Air)"},'MAIN DATA, Orders'!$Y:$Y,$A50)/1000000000)</f>
        <v>0</v>
      </c>
      <c r="AJ50" s="15" cm="1">
        <f t="array" ref="AJ50">SUM(SUMIFS('MAIN DATA, Orders'!$S:$S,'MAIN DATA, Orders'!$Y:$Y,$A50,'MAIN DATA, Orders'!$D:$D,"Germany",'MAIN DATA, Orders'!$I:$I,{"Missile (Naval)","Development - Missile (Naval)"})/1000000000)</f>
        <v>0</v>
      </c>
    </row>
    <row r="51" spans="1:36" x14ac:dyDescent="0.35">
      <c r="A51" s="20">
        <v>202309</v>
      </c>
      <c r="B51" s="17">
        <v>45170</v>
      </c>
      <c r="C51" s="15">
        <f>(SUMIFS('MAIN DATA, Orders'!$S:$S,'MAIN DATA, Orders'!$Y:$Y,$A51,'MAIN DATA, Orders'!$D:$D,"Germany",'MAIN DATA, Orders'!$I:$I,"Air defence system")/1000000000)</f>
        <v>0</v>
      </c>
      <c r="D51" s="15">
        <f>(SUMIFS('MAIN DATA, Orders'!$S:$S,'MAIN DATA, Orders'!$Y:$Y,$A51,'MAIN DATA, Orders'!$D:$D,"Germany",'MAIN DATA, Orders'!$I:$I,"Development - Air defence system")/1000000000)</f>
        <v>0</v>
      </c>
      <c r="E51" s="15">
        <f>(SUMIFS('MAIN DATA, Orders'!$S:$S,'MAIN DATA, Orders'!$Y:$Y,$A51,'MAIN DATA, Orders'!$D:$D,"Germany",'MAIN DATA, Orders'!$I:$I,"Aircraft")/1000000000)</f>
        <v>0</v>
      </c>
      <c r="F51" s="15">
        <f>(SUMIFS('MAIN DATA, Orders'!$S:$S,'MAIN DATA, Orders'!$Y:$Y,$A51,'MAIN DATA, Orders'!$D:$D,"Germany",'MAIN DATA, Orders'!$I:$I,"Development - Aircraft")/1000000000)</f>
        <v>0.19769999999999999</v>
      </c>
      <c r="G51" s="15">
        <f>(SUMIFS('MAIN DATA, Orders'!$S:$S,'MAIN DATA, Orders'!$Y:$Y,$A51,'MAIN DATA, Orders'!$D:$D,"Germany",'MAIN DATA, Orders'!$I:$I,"Ammunition")/1000000000)</f>
        <v>0</v>
      </c>
      <c r="H51" s="15">
        <f>(SUMIFS('MAIN DATA, Orders'!$S:$S,'MAIN DATA, Orders'!$Y:$Y,$A51,'MAIN DATA, Orders'!$D:$D,"Germany",'MAIN DATA, Orders'!$I:$I,"Development - Ammunition")/1000000000)</f>
        <v>0</v>
      </c>
      <c r="I51" s="15">
        <f>(SUMIFS('MAIN DATA, Orders'!$S:$S,'MAIN DATA, Orders'!$Y:$Y,$A51,'MAIN DATA, Orders'!$D:$D,"Germany",'MAIN DATA, Orders'!$I:$I,"Armoured vehicle")/1000000000)</f>
        <v>0</v>
      </c>
      <c r="J51" s="15">
        <f>(SUMIFS('MAIN DATA, Orders'!$S:$S,'MAIN DATA, Orders'!$Y:$Y,$A51,'MAIN DATA, Orders'!$D:$D,"Germany",'MAIN DATA, Orders'!$I:$I,"Development - Armoured vehicle")/1000000000)</f>
        <v>0</v>
      </c>
      <c r="K51" s="15">
        <f>(SUMIFS('MAIN DATA, Orders'!$S:$S,'MAIN DATA, Orders'!$Y:$Y,$A51,'MAIN DATA, Orders'!$D:$D,"Germany",'MAIN DATA, Orders'!$I:$I,"Artillery")/1000000000)</f>
        <v>0</v>
      </c>
      <c r="L51" s="15">
        <f>(SUMIFS('MAIN DATA, Orders'!$S:$S,'MAIN DATA, Orders'!$Y:$Y,$A51,'MAIN DATA, Orders'!$D:$D,"Germany",'MAIN DATA, Orders'!$I:$I,"Development - Artillery")/1000000000)</f>
        <v>0</v>
      </c>
      <c r="M51" s="15">
        <f>(SUMIFS('MAIN DATA, Orders'!$S:$S,'MAIN DATA, Orders'!$Y:$Y,$A51,'MAIN DATA, Orders'!$D:$D,"Germany",'MAIN DATA, Orders'!$I:$I,"Drone")/1000000000)</f>
        <v>0.23860000000000001</v>
      </c>
      <c r="N51" s="15">
        <f>(SUMIFS('MAIN DATA, Orders'!$S:$S,'MAIN DATA, Orders'!$Y:$Y,$A51,'MAIN DATA, Orders'!$D:$D,"Germany",'MAIN DATA, Orders'!$I:$I,"Development - Drone")/1000000000)</f>
        <v>0</v>
      </c>
      <c r="O51" s="15">
        <f>(SUMIFS('MAIN DATA, Orders'!$S:$S,'MAIN DATA, Orders'!$Y:$Y,$A51,'MAIN DATA, Orders'!$D:$D,"Germany",'MAIN DATA, Orders'!$I:$I,"Helicopter")/1000000000)</f>
        <v>0</v>
      </c>
      <c r="P51" s="15">
        <f>(SUMIFS('MAIN DATA, Orders'!$S:$S,'MAIN DATA, Orders'!$Y:$Y,$A51,'MAIN DATA, Orders'!$D:$D,"Germany",'MAIN DATA, Orders'!$I:$I,"Development - Helicopter")/1000000000)</f>
        <v>0</v>
      </c>
      <c r="Q51" s="15">
        <f>(SUMIFS('MAIN DATA, Orders'!$S:$S,'MAIN DATA, Orders'!$Y:$Y,$A51,'MAIN DATA, Orders'!$D:$D,"Germany",'MAIN DATA, Orders'!$I:$I,"Infantry")/1000000000)</f>
        <v>0</v>
      </c>
      <c r="R51" s="15">
        <f>(SUMIFS('MAIN DATA, Orders'!$S:$S,'MAIN DATA, Orders'!$Y:$Y,$A51,'MAIN DATA, Orders'!$D:$D,"Germany",'MAIN DATA, Orders'!$I:$I,"Development - Infantry")/1000000000)</f>
        <v>0</v>
      </c>
      <c r="S51" s="15">
        <f>(SUMIFS('MAIN DATA, Orders'!$S:$S,'MAIN DATA, Orders'!$Y:$Y,$A51,'MAIN DATA, Orders'!$D:$D,"Germany",'MAIN DATA, Orders'!$I:$I,"Tank")/1000000000)</f>
        <v>0</v>
      </c>
      <c r="T51" s="15">
        <f>(SUMIFS('MAIN DATA, Orders'!$S:$S,'MAIN DATA, Orders'!$Y:$Y,$A51,'MAIN DATA, Orders'!$D:$D,"Germany",'MAIN DATA, Orders'!$I:$I,"Development - Tank")/1000000000)</f>
        <v>0</v>
      </c>
      <c r="U51" s="15">
        <f>(SUMIFS('MAIN DATA, Orders'!$S:$S,'MAIN DATA, Orders'!$Y:$Y,$A51,'MAIN DATA, Orders'!$D:$D,"Germany",'MAIN DATA, Orders'!$I:$I,"Maintenance")/1000000000)</f>
        <v>0</v>
      </c>
      <c r="V51" s="15">
        <f>(SUMIFS('MAIN DATA, Orders'!$S:$S,'MAIN DATA, Orders'!$Y:$Y,$A51,'MAIN DATA, Orders'!$D:$D,"Germany",'MAIN DATA, Orders'!$I:$I,"Development - Maintenance")/1000000000)</f>
        <v>0</v>
      </c>
      <c r="W51" s="15">
        <f>(SUMIFS('MAIN DATA, Orders'!$S:$S,'MAIN DATA, Orders'!$Y:$Y,$A51,'MAIN DATA, Orders'!$D:$D,"Germany",'MAIN DATA, Orders'!$I:$I,"Mine")/1000000000)</f>
        <v>0</v>
      </c>
      <c r="X51" s="15">
        <f>(SUMIFS('MAIN DATA, Orders'!$S:$S,'MAIN DATA, Orders'!$Y:$Y,$A51,'MAIN DATA, Orders'!$D:$D,"Germany",'MAIN DATA, Orders'!$I:$I,"Development - Mine")/1000000000)</f>
        <v>0</v>
      </c>
      <c r="Y51" s="15">
        <f>(SUMIFS('MAIN DATA, Orders'!$S:$S,'MAIN DATA, Orders'!$Y:$Y,$A51,'MAIN DATA, Orders'!$D:$D,"Germany",'MAIN DATA, Orders'!$J:$J,"6")/1000000000)</f>
        <v>0</v>
      </c>
      <c r="Z51" s="15" cm="1">
        <f t="array" ref="Z51">SUM(SUMIFS('MAIN DATA, Orders'!$S:$S,'MAIN DATA, Orders'!$Y:$Y,$A51,'MAIN DATA, Orders'!$D:$D,"Germany",'MAIN DATA, Orders'!$I:$I,{"Development - Missile (Land)","Development - Missile (Naval)","Development - Missile (Air)"})/1000000000)</f>
        <v>0</v>
      </c>
      <c r="AA51" s="15">
        <f>(SUMIFS('MAIN DATA, Orders'!$S:$S,'MAIN DATA, Orders'!$Y:$Y,$A51,'MAIN DATA, Orders'!$D:$D,"Germany",'MAIN DATA, Orders'!$I:$I,"Modernisation")/1000000000)</f>
        <v>0</v>
      </c>
      <c r="AB51" s="15">
        <f>(SUMIFS('MAIN DATA, Orders'!$S:$S,'MAIN DATA, Orders'!$Y:$Y,$A51,'MAIN DATA, Orders'!$D:$D,"Germany",'MAIN DATA, Orders'!$I:$I,"Development - Modernisation")/1000000000)</f>
        <v>0</v>
      </c>
      <c r="AC51" s="15">
        <f>(SUMIFS('MAIN DATA, Orders'!$S:$S,'MAIN DATA, Orders'!$Y:$Y,$A51,'MAIN DATA, Orders'!$D:$D,"Germany",'MAIN DATA, Orders'!$I:$I,"Naval")/1000000000)</f>
        <v>0</v>
      </c>
      <c r="AD51" s="15">
        <f>(SUMIFS('MAIN DATA, Orders'!$S:$S,'MAIN DATA, Orders'!$Y:$Y,$A51,'MAIN DATA, Orders'!$D:$D,"Germany",'MAIN DATA, Orders'!$I:$I,"Development - Naval")/1000000000)</f>
        <v>0</v>
      </c>
      <c r="AE51" s="15">
        <f>(SUMIFS('MAIN DATA, Orders'!$S:$S,'MAIN DATA, Orders'!$Y:$Y,$A51,'MAIN DATA, Orders'!$D:$D,"Germany",'MAIN DATA, Orders'!$I:$I,"Other")/1000000000)</f>
        <v>0</v>
      </c>
      <c r="AF51" s="15">
        <f>(SUMIFS('MAIN DATA, Orders'!$S:$S,'MAIN DATA, Orders'!$Y:$Y,$A51,'MAIN DATA, Orders'!$D:$D,"Germany",'MAIN DATA, Orders'!$I:$I,"Development - Other")/1000000000)</f>
        <v>0</v>
      </c>
      <c r="AG51" s="15"/>
      <c r="AH51" s="15" cm="1">
        <f t="array" ref="AH51">SUM(SUMIFS('MAIN DATA, Orders'!$S:$S,'MAIN DATA, Orders'!$Y:$Y,$A51,'MAIN DATA, Orders'!$D:$D,"Germany",'MAIN DATA, Orders'!$I:$I,{"Missile (Land)","Development - Missile (Land)"})/1000000000)</f>
        <v>0</v>
      </c>
      <c r="AI51" s="15" cm="1">
        <f t="array" ref="AI51">SUM(SUMIFS('MAIN DATA, Orders'!$S:$S,'MAIN DATA, Orders'!$D:$D,"Germany",'MAIN DATA, Orders'!$I:$I,{"Missile (Air)","Development - Missile (Air)"},'MAIN DATA, Orders'!$Y:$Y,$A51)/1000000000)</f>
        <v>0</v>
      </c>
      <c r="AJ51" s="15" cm="1">
        <f t="array" ref="AJ51">SUM(SUMIFS('MAIN DATA, Orders'!$S:$S,'MAIN DATA, Orders'!$Y:$Y,$A51,'MAIN DATA, Orders'!$D:$D,"Germany",'MAIN DATA, Orders'!$I:$I,{"Missile (Naval)","Development - Missile (Naval)"})/1000000000)</f>
        <v>0</v>
      </c>
    </row>
    <row r="52" spans="1:36" x14ac:dyDescent="0.35">
      <c r="A52" s="20">
        <v>202310</v>
      </c>
      <c r="B52" s="17">
        <v>45200</v>
      </c>
      <c r="C52" s="15">
        <f>(SUMIFS('MAIN DATA, Orders'!$S:$S,'MAIN DATA, Orders'!$Y:$Y,$A52,'MAIN DATA, Orders'!$D:$D,"Germany",'MAIN DATA, Orders'!$I:$I,"Air defence system")/1000000000)</f>
        <v>4.0404999999999998</v>
      </c>
      <c r="D52" s="15">
        <f>(SUMIFS('MAIN DATA, Orders'!$S:$S,'MAIN DATA, Orders'!$Y:$Y,$A52,'MAIN DATA, Orders'!$D:$D,"Germany",'MAIN DATA, Orders'!$I:$I,"Development - Air defence system")/1000000000)</f>
        <v>0</v>
      </c>
      <c r="E52" s="15">
        <f>(SUMIFS('MAIN DATA, Orders'!$S:$S,'MAIN DATA, Orders'!$Y:$Y,$A52,'MAIN DATA, Orders'!$D:$D,"Germany",'MAIN DATA, Orders'!$I:$I,"Aircraft")/1000000000)</f>
        <v>0</v>
      </c>
      <c r="F52" s="15">
        <f>(SUMIFS('MAIN DATA, Orders'!$S:$S,'MAIN DATA, Orders'!$Y:$Y,$A52,'MAIN DATA, Orders'!$D:$D,"Germany",'MAIN DATA, Orders'!$I:$I,"Development - Aircraft")/1000000000)</f>
        <v>0</v>
      </c>
      <c r="G52" s="15">
        <f>(SUMIFS('MAIN DATA, Orders'!$S:$S,'MAIN DATA, Orders'!$Y:$Y,$A52,'MAIN DATA, Orders'!$D:$D,"Germany",'MAIN DATA, Orders'!$I:$I,"Ammunition")/1000000000)</f>
        <v>0</v>
      </c>
      <c r="H52" s="15">
        <f>(SUMIFS('MAIN DATA, Orders'!$S:$S,'MAIN DATA, Orders'!$Y:$Y,$A52,'MAIN DATA, Orders'!$D:$D,"Germany",'MAIN DATA, Orders'!$I:$I,"Development - Ammunition")/1000000000)</f>
        <v>0</v>
      </c>
      <c r="I52" s="15">
        <f>(SUMIFS('MAIN DATA, Orders'!$S:$S,'MAIN DATA, Orders'!$Y:$Y,$A52,'MAIN DATA, Orders'!$D:$D,"Germany",'MAIN DATA, Orders'!$I:$I,"Armoured vehicle")/1000000000)</f>
        <v>0</v>
      </c>
      <c r="J52" s="15">
        <f>(SUMIFS('MAIN DATA, Orders'!$S:$S,'MAIN DATA, Orders'!$Y:$Y,$A52,'MAIN DATA, Orders'!$D:$D,"Germany",'MAIN DATA, Orders'!$I:$I,"Development - Armoured vehicle")/1000000000)</f>
        <v>0</v>
      </c>
      <c r="K52" s="15">
        <f>(SUMIFS('MAIN DATA, Orders'!$S:$S,'MAIN DATA, Orders'!$Y:$Y,$A52,'MAIN DATA, Orders'!$D:$D,"Germany",'MAIN DATA, Orders'!$I:$I,"Artillery")/1000000000)</f>
        <v>0</v>
      </c>
      <c r="L52" s="15">
        <f>(SUMIFS('MAIN DATA, Orders'!$S:$S,'MAIN DATA, Orders'!$Y:$Y,$A52,'MAIN DATA, Orders'!$D:$D,"Germany",'MAIN DATA, Orders'!$I:$I,"Development - Artillery")/1000000000)</f>
        <v>0</v>
      </c>
      <c r="M52" s="15">
        <f>(SUMIFS('MAIN DATA, Orders'!$S:$S,'MAIN DATA, Orders'!$Y:$Y,$A52,'MAIN DATA, Orders'!$D:$D,"Germany",'MAIN DATA, Orders'!$I:$I,"Drone")/1000000000)</f>
        <v>5.2499999999999998E-2</v>
      </c>
      <c r="N52" s="15">
        <f>(SUMIFS('MAIN DATA, Orders'!$S:$S,'MAIN DATA, Orders'!$Y:$Y,$A52,'MAIN DATA, Orders'!$D:$D,"Germany",'MAIN DATA, Orders'!$I:$I,"Development - Drone")/1000000000)</f>
        <v>0</v>
      </c>
      <c r="O52" s="15">
        <f>(SUMIFS('MAIN DATA, Orders'!$S:$S,'MAIN DATA, Orders'!$Y:$Y,$A52,'MAIN DATA, Orders'!$D:$D,"Germany",'MAIN DATA, Orders'!$I:$I,"Helicopter")/1000000000)</f>
        <v>0</v>
      </c>
      <c r="P52" s="15">
        <f>(SUMIFS('MAIN DATA, Orders'!$S:$S,'MAIN DATA, Orders'!$Y:$Y,$A52,'MAIN DATA, Orders'!$D:$D,"Germany",'MAIN DATA, Orders'!$I:$I,"Development - Helicopter")/1000000000)</f>
        <v>0</v>
      </c>
      <c r="Q52" s="15">
        <f>(SUMIFS('MAIN DATA, Orders'!$S:$S,'MAIN DATA, Orders'!$Y:$Y,$A52,'MAIN DATA, Orders'!$D:$D,"Germany",'MAIN DATA, Orders'!$I:$I,"Infantry")/1000000000)</f>
        <v>0</v>
      </c>
      <c r="R52" s="15">
        <f>(SUMIFS('MAIN DATA, Orders'!$S:$S,'MAIN DATA, Orders'!$Y:$Y,$A52,'MAIN DATA, Orders'!$D:$D,"Germany",'MAIN DATA, Orders'!$I:$I,"Development - Infantry")/1000000000)</f>
        <v>0</v>
      </c>
      <c r="S52" s="15">
        <f>(SUMIFS('MAIN DATA, Orders'!$S:$S,'MAIN DATA, Orders'!$Y:$Y,$A52,'MAIN DATA, Orders'!$D:$D,"Germany",'MAIN DATA, Orders'!$I:$I,"Tank")/1000000000)</f>
        <v>0</v>
      </c>
      <c r="T52" s="15">
        <f>(SUMIFS('MAIN DATA, Orders'!$S:$S,'MAIN DATA, Orders'!$Y:$Y,$A52,'MAIN DATA, Orders'!$D:$D,"Germany",'MAIN DATA, Orders'!$I:$I,"Development - Tank")/1000000000)</f>
        <v>0</v>
      </c>
      <c r="U52" s="15">
        <f>(SUMIFS('MAIN DATA, Orders'!$S:$S,'MAIN DATA, Orders'!$Y:$Y,$A52,'MAIN DATA, Orders'!$D:$D,"Germany",'MAIN DATA, Orders'!$I:$I,"Maintenance")/1000000000)</f>
        <v>0</v>
      </c>
      <c r="V52" s="15">
        <f>(SUMIFS('MAIN DATA, Orders'!$S:$S,'MAIN DATA, Orders'!$Y:$Y,$A52,'MAIN DATA, Orders'!$D:$D,"Germany",'MAIN DATA, Orders'!$I:$I,"Development - Maintenance")/1000000000)</f>
        <v>0</v>
      </c>
      <c r="W52" s="15">
        <f>(SUMIFS('MAIN DATA, Orders'!$S:$S,'MAIN DATA, Orders'!$Y:$Y,$A52,'MAIN DATA, Orders'!$D:$D,"Germany",'MAIN DATA, Orders'!$I:$I,"Mine")/1000000000)</f>
        <v>6.8000000000000005E-2</v>
      </c>
      <c r="X52" s="15">
        <f>(SUMIFS('MAIN DATA, Orders'!$S:$S,'MAIN DATA, Orders'!$Y:$Y,$A52,'MAIN DATA, Orders'!$D:$D,"Germany",'MAIN DATA, Orders'!$I:$I,"Development - Mine")/1000000000)</f>
        <v>0</v>
      </c>
      <c r="Y52" s="15">
        <f>(SUMIFS('MAIN DATA, Orders'!$S:$S,'MAIN DATA, Orders'!$Y:$Y,$A52,'MAIN DATA, Orders'!$D:$D,"Germany",'MAIN DATA, Orders'!$J:$J,"6")/1000000000)</f>
        <v>0</v>
      </c>
      <c r="Z52" s="15" cm="1">
        <f t="array" ref="Z52">SUM(SUMIFS('MAIN DATA, Orders'!$S:$S,'MAIN DATA, Orders'!$Y:$Y,$A52,'MAIN DATA, Orders'!$D:$D,"Germany",'MAIN DATA, Orders'!$I:$I,{"Development - Missile (Land)","Development - Missile (Naval)","Development - Missile (Air)"})/1000000000)</f>
        <v>0</v>
      </c>
      <c r="AA52" s="15">
        <f>(SUMIFS('MAIN DATA, Orders'!$S:$S,'MAIN DATA, Orders'!$Y:$Y,$A52,'MAIN DATA, Orders'!$D:$D,"Germany",'MAIN DATA, Orders'!$I:$I,"Modernisation")/1000000000)</f>
        <v>0.2515</v>
      </c>
      <c r="AB52" s="15">
        <f>(SUMIFS('MAIN DATA, Orders'!$S:$S,'MAIN DATA, Orders'!$Y:$Y,$A52,'MAIN DATA, Orders'!$D:$D,"Germany",'MAIN DATA, Orders'!$I:$I,"Development - Modernisation")/1000000000)</f>
        <v>0</v>
      </c>
      <c r="AC52" s="15">
        <f>(SUMIFS('MAIN DATA, Orders'!$S:$S,'MAIN DATA, Orders'!$Y:$Y,$A52,'MAIN DATA, Orders'!$D:$D,"Germany",'MAIN DATA, Orders'!$I:$I,"Naval")/1000000000)</f>
        <v>0</v>
      </c>
      <c r="AD52" s="15">
        <f>(SUMIFS('MAIN DATA, Orders'!$S:$S,'MAIN DATA, Orders'!$Y:$Y,$A52,'MAIN DATA, Orders'!$D:$D,"Germany",'MAIN DATA, Orders'!$I:$I,"Development - Naval")/1000000000)</f>
        <v>0</v>
      </c>
      <c r="AE52" s="15">
        <f>(SUMIFS('MAIN DATA, Orders'!$S:$S,'MAIN DATA, Orders'!$Y:$Y,$A52,'MAIN DATA, Orders'!$D:$D,"Germany",'MAIN DATA, Orders'!$I:$I,"Other")/1000000000)</f>
        <v>0</v>
      </c>
      <c r="AF52" s="15">
        <f>(SUMIFS('MAIN DATA, Orders'!$S:$S,'MAIN DATA, Orders'!$Y:$Y,$A52,'MAIN DATA, Orders'!$D:$D,"Germany",'MAIN DATA, Orders'!$I:$I,"Development - Other")/1000000000)</f>
        <v>0</v>
      </c>
      <c r="AG52" s="15"/>
      <c r="AH52" s="15" cm="1">
        <f t="array" ref="AH52">SUM(SUMIFS('MAIN DATA, Orders'!$S:$S,'MAIN DATA, Orders'!$Y:$Y,$A52,'MAIN DATA, Orders'!$D:$D,"Germany",'MAIN DATA, Orders'!$I:$I,{"Missile (Land)","Development - Missile (Land)"})/1000000000)</f>
        <v>0</v>
      </c>
      <c r="AI52" s="15" cm="1">
        <f t="array" ref="AI52">SUM(SUMIFS('MAIN DATA, Orders'!$S:$S,'MAIN DATA, Orders'!$D:$D,"Germany",'MAIN DATA, Orders'!$I:$I,{"Missile (Air)","Development - Missile (Air)"},'MAIN DATA, Orders'!$Y:$Y,$A52)/1000000000)</f>
        <v>0</v>
      </c>
      <c r="AJ52" s="15" cm="1">
        <f t="array" ref="AJ52">SUM(SUMIFS('MAIN DATA, Orders'!$S:$S,'MAIN DATA, Orders'!$Y:$Y,$A52,'MAIN DATA, Orders'!$D:$D,"Germany",'MAIN DATA, Orders'!$I:$I,{"Missile (Naval)","Development - Missile (Naval)"})/1000000000)</f>
        <v>0</v>
      </c>
    </row>
    <row r="53" spans="1:36" x14ac:dyDescent="0.35">
      <c r="A53" s="20">
        <v>202311</v>
      </c>
      <c r="B53" s="17">
        <v>45231</v>
      </c>
      <c r="C53" s="15">
        <f>(SUMIFS('MAIN DATA, Orders'!$S:$S,'MAIN DATA, Orders'!$Y:$Y,$A53,'MAIN DATA, Orders'!$D:$D,"Germany",'MAIN DATA, Orders'!$I:$I,"Air defence system")/1000000000)</f>
        <v>0</v>
      </c>
      <c r="D53" s="15">
        <f>(SUMIFS('MAIN DATA, Orders'!$S:$S,'MAIN DATA, Orders'!$Y:$Y,$A53,'MAIN DATA, Orders'!$D:$D,"Germany",'MAIN DATA, Orders'!$I:$I,"Development - Air defence system")/1000000000)</f>
        <v>0</v>
      </c>
      <c r="E53" s="15">
        <f>(SUMIFS('MAIN DATA, Orders'!$S:$S,'MAIN DATA, Orders'!$Y:$Y,$A53,'MAIN DATA, Orders'!$D:$D,"Germany",'MAIN DATA, Orders'!$I:$I,"Aircraft")/1000000000)</f>
        <v>4.9299999999999997E-2</v>
      </c>
      <c r="F53" s="15">
        <f>(SUMIFS('MAIN DATA, Orders'!$S:$S,'MAIN DATA, Orders'!$Y:$Y,$A53,'MAIN DATA, Orders'!$D:$D,"Germany",'MAIN DATA, Orders'!$I:$I,"Development - Aircraft")/1000000000)</f>
        <v>0</v>
      </c>
      <c r="G53" s="15">
        <f>(SUMIFS('MAIN DATA, Orders'!$S:$S,'MAIN DATA, Orders'!$Y:$Y,$A53,'MAIN DATA, Orders'!$D:$D,"Germany",'MAIN DATA, Orders'!$I:$I,"Ammunition")/1000000000)</f>
        <v>0</v>
      </c>
      <c r="H53" s="15">
        <f>(SUMIFS('MAIN DATA, Orders'!$S:$S,'MAIN DATA, Orders'!$Y:$Y,$A53,'MAIN DATA, Orders'!$D:$D,"Germany",'MAIN DATA, Orders'!$I:$I,"Development - Ammunition")/1000000000)</f>
        <v>0</v>
      </c>
      <c r="I53" s="15">
        <f>(SUMIFS('MAIN DATA, Orders'!$S:$S,'MAIN DATA, Orders'!$Y:$Y,$A53,'MAIN DATA, Orders'!$D:$D,"Germany",'MAIN DATA, Orders'!$I:$I,"Armoured vehicle")/1000000000)</f>
        <v>0.15</v>
      </c>
      <c r="J53" s="15">
        <f>(SUMIFS('MAIN DATA, Orders'!$S:$S,'MAIN DATA, Orders'!$Y:$Y,$A53,'MAIN DATA, Orders'!$D:$D,"Germany",'MAIN DATA, Orders'!$I:$I,"Development - Armoured vehicle")/1000000000)</f>
        <v>0</v>
      </c>
      <c r="K53" s="15">
        <f>(SUMIFS('MAIN DATA, Orders'!$S:$S,'MAIN DATA, Orders'!$Y:$Y,$A53,'MAIN DATA, Orders'!$D:$D,"Germany",'MAIN DATA, Orders'!$I:$I,"Artillery")/1000000000)</f>
        <v>0</v>
      </c>
      <c r="L53" s="15">
        <f>(SUMIFS('MAIN DATA, Orders'!$S:$S,'MAIN DATA, Orders'!$Y:$Y,$A53,'MAIN DATA, Orders'!$D:$D,"Germany",'MAIN DATA, Orders'!$I:$I,"Development - Artillery")/1000000000)</f>
        <v>0</v>
      </c>
      <c r="M53" s="15">
        <f>(SUMIFS('MAIN DATA, Orders'!$S:$S,'MAIN DATA, Orders'!$Y:$Y,$A53,'MAIN DATA, Orders'!$D:$D,"Germany",'MAIN DATA, Orders'!$I:$I,"Drone")/1000000000)</f>
        <v>5.8999999999999997E-2</v>
      </c>
      <c r="N53" s="15">
        <f>(SUMIFS('MAIN DATA, Orders'!$S:$S,'MAIN DATA, Orders'!$Y:$Y,$A53,'MAIN DATA, Orders'!$D:$D,"Germany",'MAIN DATA, Orders'!$I:$I,"Development - Drone")/1000000000)</f>
        <v>0</v>
      </c>
      <c r="O53" s="15">
        <f>(SUMIFS('MAIN DATA, Orders'!$S:$S,'MAIN DATA, Orders'!$Y:$Y,$A53,'MAIN DATA, Orders'!$D:$D,"Germany",'MAIN DATA, Orders'!$I:$I,"Helicopter")/1000000000)</f>
        <v>0</v>
      </c>
      <c r="P53" s="15">
        <f>(SUMIFS('MAIN DATA, Orders'!$S:$S,'MAIN DATA, Orders'!$Y:$Y,$A53,'MAIN DATA, Orders'!$D:$D,"Germany",'MAIN DATA, Orders'!$I:$I,"Development - Helicopter")/1000000000)</f>
        <v>0</v>
      </c>
      <c r="Q53" s="15">
        <f>(SUMIFS('MAIN DATA, Orders'!$S:$S,'MAIN DATA, Orders'!$Y:$Y,$A53,'MAIN DATA, Orders'!$D:$D,"Germany",'MAIN DATA, Orders'!$I:$I,"Infantry")/1000000000)</f>
        <v>0</v>
      </c>
      <c r="R53" s="15">
        <f>(SUMIFS('MAIN DATA, Orders'!$S:$S,'MAIN DATA, Orders'!$Y:$Y,$A53,'MAIN DATA, Orders'!$D:$D,"Germany",'MAIN DATA, Orders'!$I:$I,"Development - Infantry")/1000000000)</f>
        <v>0</v>
      </c>
      <c r="S53" s="15">
        <f>(SUMIFS('MAIN DATA, Orders'!$S:$S,'MAIN DATA, Orders'!$Y:$Y,$A53,'MAIN DATA, Orders'!$D:$D,"Germany",'MAIN DATA, Orders'!$I:$I,"Tank")/1000000000)</f>
        <v>0.192</v>
      </c>
      <c r="T53" s="15">
        <f>(SUMIFS('MAIN DATA, Orders'!$S:$S,'MAIN DATA, Orders'!$Y:$Y,$A53,'MAIN DATA, Orders'!$D:$D,"Germany",'MAIN DATA, Orders'!$I:$I,"Development - Tank")/1000000000)</f>
        <v>0</v>
      </c>
      <c r="U53" s="15">
        <f>(SUMIFS('MAIN DATA, Orders'!$S:$S,'MAIN DATA, Orders'!$Y:$Y,$A53,'MAIN DATA, Orders'!$D:$D,"Germany",'MAIN DATA, Orders'!$I:$I,"Maintenance")/1000000000)</f>
        <v>13.4</v>
      </c>
      <c r="V53" s="15">
        <f>(SUMIFS('MAIN DATA, Orders'!$S:$S,'MAIN DATA, Orders'!$Y:$Y,$A53,'MAIN DATA, Orders'!$D:$D,"Germany",'MAIN DATA, Orders'!$I:$I,"Development - Maintenance")/1000000000)</f>
        <v>0</v>
      </c>
      <c r="W53" s="15">
        <f>(SUMIFS('MAIN DATA, Orders'!$S:$S,'MAIN DATA, Orders'!$Y:$Y,$A53,'MAIN DATA, Orders'!$D:$D,"Germany",'MAIN DATA, Orders'!$I:$I,"Mine")/1000000000)</f>
        <v>0</v>
      </c>
      <c r="X53" s="15">
        <f>(SUMIFS('MAIN DATA, Orders'!$S:$S,'MAIN DATA, Orders'!$Y:$Y,$A53,'MAIN DATA, Orders'!$D:$D,"Germany",'MAIN DATA, Orders'!$I:$I,"Development - Mine")/1000000000)</f>
        <v>0</v>
      </c>
      <c r="Y53" s="15">
        <f>(SUMIFS('MAIN DATA, Orders'!$S:$S,'MAIN DATA, Orders'!$Y:$Y,$A53,'MAIN DATA, Orders'!$D:$D,"Germany",'MAIN DATA, Orders'!$J:$J,"6")/1000000000)</f>
        <v>0</v>
      </c>
      <c r="Z53" s="15" cm="1">
        <f t="array" ref="Z53">SUM(SUMIFS('MAIN DATA, Orders'!$S:$S,'MAIN DATA, Orders'!$Y:$Y,$A53,'MAIN DATA, Orders'!$D:$D,"Germany",'MAIN DATA, Orders'!$I:$I,{"Development - Missile (Land)","Development - Missile (Naval)","Development - Missile (Air)"})/1000000000)</f>
        <v>0</v>
      </c>
      <c r="AA53" s="15">
        <f>(SUMIFS('MAIN DATA, Orders'!$S:$S,'MAIN DATA, Orders'!$Y:$Y,$A53,'MAIN DATA, Orders'!$D:$D,"Germany",'MAIN DATA, Orders'!$I:$I,"Modernisation")/1000000000)</f>
        <v>0</v>
      </c>
      <c r="AB53" s="15">
        <f>(SUMIFS('MAIN DATA, Orders'!$S:$S,'MAIN DATA, Orders'!$Y:$Y,$A53,'MAIN DATA, Orders'!$D:$D,"Germany",'MAIN DATA, Orders'!$I:$I,"Development - Modernisation")/1000000000)</f>
        <v>0</v>
      </c>
      <c r="AC53" s="15">
        <f>(SUMIFS('MAIN DATA, Orders'!$S:$S,'MAIN DATA, Orders'!$Y:$Y,$A53,'MAIN DATA, Orders'!$D:$D,"Germany",'MAIN DATA, Orders'!$I:$I,"Naval")/1000000000)</f>
        <v>1.1000000000000001</v>
      </c>
      <c r="AD53" s="15">
        <f>(SUMIFS('MAIN DATA, Orders'!$S:$S,'MAIN DATA, Orders'!$Y:$Y,$A53,'MAIN DATA, Orders'!$D:$D,"Germany",'MAIN DATA, Orders'!$I:$I,"Development - Naval")/1000000000)</f>
        <v>0</v>
      </c>
      <c r="AE53" s="15">
        <f>(SUMIFS('MAIN DATA, Orders'!$S:$S,'MAIN DATA, Orders'!$Y:$Y,$A53,'MAIN DATA, Orders'!$D:$D,"Germany",'MAIN DATA, Orders'!$I:$I,"Other")/1000000000)</f>
        <v>0</v>
      </c>
      <c r="AF53" s="15">
        <f>(SUMIFS('MAIN DATA, Orders'!$S:$S,'MAIN DATA, Orders'!$Y:$Y,$A53,'MAIN DATA, Orders'!$D:$D,"Germany",'MAIN DATA, Orders'!$I:$I,"Development - Other")/1000000000)</f>
        <v>0</v>
      </c>
      <c r="AG53" s="15"/>
      <c r="AH53" s="15" cm="1">
        <f t="array" ref="AH53">SUM(SUMIFS('MAIN DATA, Orders'!$S:$S,'MAIN DATA, Orders'!$Y:$Y,$A53,'MAIN DATA, Orders'!$D:$D,"Germany",'MAIN DATA, Orders'!$I:$I,{"Missile (Land)","Development - Missile (Land)"})/1000000000)</f>
        <v>0</v>
      </c>
      <c r="AI53" s="15" cm="1">
        <f t="array" ref="AI53">SUM(SUMIFS('MAIN DATA, Orders'!$S:$S,'MAIN DATA, Orders'!$D:$D,"Germany",'MAIN DATA, Orders'!$I:$I,{"Missile (Air)","Development - Missile (Air)"},'MAIN DATA, Orders'!$Y:$Y,$A53)/1000000000)</f>
        <v>0</v>
      </c>
      <c r="AJ53" s="15" cm="1">
        <f t="array" ref="AJ53">SUM(SUMIFS('MAIN DATA, Orders'!$S:$S,'MAIN DATA, Orders'!$Y:$Y,$A53,'MAIN DATA, Orders'!$D:$D,"Germany",'MAIN DATA, Orders'!$I:$I,{"Missile (Naval)","Development - Missile (Naval)"})/1000000000)</f>
        <v>0</v>
      </c>
    </row>
    <row r="54" spans="1:36" x14ac:dyDescent="0.35">
      <c r="A54" s="20">
        <v>202312</v>
      </c>
      <c r="B54" s="17">
        <v>45261</v>
      </c>
      <c r="C54" s="15">
        <f>(SUMIFS('MAIN DATA, Orders'!$S:$S,'MAIN DATA, Orders'!$Y:$Y,$A54,'MAIN DATA, Orders'!$D:$D,"Germany",'MAIN DATA, Orders'!$I:$I,"Air defence system")/1000000000)</f>
        <v>0</v>
      </c>
      <c r="D54" s="15">
        <f>(SUMIFS('MAIN DATA, Orders'!$S:$S,'MAIN DATA, Orders'!$Y:$Y,$A54,'MAIN DATA, Orders'!$D:$D,"Germany",'MAIN DATA, Orders'!$I:$I,"Development - Air defence system")/1000000000)</f>
        <v>0</v>
      </c>
      <c r="E54" s="15">
        <f>(SUMIFS('MAIN DATA, Orders'!$S:$S,'MAIN DATA, Orders'!$Y:$Y,$A54,'MAIN DATA, Orders'!$D:$D,"Germany",'MAIN DATA, Orders'!$I:$I,"Aircraft")/1000000000)</f>
        <v>0</v>
      </c>
      <c r="F54" s="15">
        <f>(SUMIFS('MAIN DATA, Orders'!$S:$S,'MAIN DATA, Orders'!$Y:$Y,$A54,'MAIN DATA, Orders'!$D:$D,"Germany",'MAIN DATA, Orders'!$I:$I,"Development - Aircraft")/1000000000)</f>
        <v>0</v>
      </c>
      <c r="G54" s="15">
        <f>(SUMIFS('MAIN DATA, Orders'!$S:$S,'MAIN DATA, Orders'!$Y:$Y,$A54,'MAIN DATA, Orders'!$D:$D,"Germany",'MAIN DATA, Orders'!$I:$I,"Ammunition")/1000000000)</f>
        <v>0.27800000000000002</v>
      </c>
      <c r="H54" s="15">
        <f>(SUMIFS('MAIN DATA, Orders'!$S:$S,'MAIN DATA, Orders'!$Y:$Y,$A54,'MAIN DATA, Orders'!$D:$D,"Germany",'MAIN DATA, Orders'!$I:$I,"Development - Ammunition")/1000000000)</f>
        <v>0</v>
      </c>
      <c r="I54" s="15">
        <f>(SUMIFS('MAIN DATA, Orders'!$S:$S,'MAIN DATA, Orders'!$Y:$Y,$A54,'MAIN DATA, Orders'!$D:$D,"Germany",'MAIN DATA, Orders'!$I:$I,"Armoured vehicle")/1000000000)</f>
        <v>6.4000000000000001E-2</v>
      </c>
      <c r="J54" s="15">
        <f>(SUMIFS('MAIN DATA, Orders'!$S:$S,'MAIN DATA, Orders'!$Y:$Y,$A54,'MAIN DATA, Orders'!$D:$D,"Germany",'MAIN DATA, Orders'!$I:$I,"Development - Armoured vehicle")/1000000000)</f>
        <v>0</v>
      </c>
      <c r="K54" s="15">
        <f>(SUMIFS('MAIN DATA, Orders'!$S:$S,'MAIN DATA, Orders'!$Y:$Y,$A54,'MAIN DATA, Orders'!$D:$D,"Germany",'MAIN DATA, Orders'!$I:$I,"Artillery")/1000000000)</f>
        <v>0</v>
      </c>
      <c r="L54" s="15">
        <f>(SUMIFS('MAIN DATA, Orders'!$S:$S,'MAIN DATA, Orders'!$Y:$Y,$A54,'MAIN DATA, Orders'!$D:$D,"Germany",'MAIN DATA, Orders'!$I:$I,"Development - Artillery")/1000000000)</f>
        <v>0</v>
      </c>
      <c r="M54" s="15">
        <f>(SUMIFS('MAIN DATA, Orders'!$S:$S,'MAIN DATA, Orders'!$Y:$Y,$A54,'MAIN DATA, Orders'!$D:$D,"Germany",'MAIN DATA, Orders'!$I:$I,"Drone")/1000000000)</f>
        <v>0</v>
      </c>
      <c r="N54" s="15">
        <f>(SUMIFS('MAIN DATA, Orders'!$S:$S,'MAIN DATA, Orders'!$Y:$Y,$A54,'MAIN DATA, Orders'!$D:$D,"Germany",'MAIN DATA, Orders'!$I:$I,"Development - Drone")/1000000000)</f>
        <v>0</v>
      </c>
      <c r="O54" s="15">
        <f>(SUMIFS('MAIN DATA, Orders'!$S:$S,'MAIN DATA, Orders'!$Y:$Y,$A54,'MAIN DATA, Orders'!$D:$D,"Germany",'MAIN DATA, Orders'!$I:$I,"Helicopter")/1000000000)</f>
        <v>2.63</v>
      </c>
      <c r="P54" s="15">
        <f>(SUMIFS('MAIN DATA, Orders'!$S:$S,'MAIN DATA, Orders'!$Y:$Y,$A54,'MAIN DATA, Orders'!$D:$D,"Germany",'MAIN DATA, Orders'!$I:$I,"Development - Helicopter")/1000000000)</f>
        <v>0</v>
      </c>
      <c r="Q54" s="15">
        <f>(SUMIFS('MAIN DATA, Orders'!$S:$S,'MAIN DATA, Orders'!$Y:$Y,$A54,'MAIN DATA, Orders'!$D:$D,"Germany",'MAIN DATA, Orders'!$I:$I,"Infantry")/1000000000)</f>
        <v>0</v>
      </c>
      <c r="R54" s="15">
        <f>(SUMIFS('MAIN DATA, Orders'!$S:$S,'MAIN DATA, Orders'!$Y:$Y,$A54,'MAIN DATA, Orders'!$D:$D,"Germany",'MAIN DATA, Orders'!$I:$I,"Development - Infantry")/1000000000)</f>
        <v>0</v>
      </c>
      <c r="S54" s="15">
        <f>(SUMIFS('MAIN DATA, Orders'!$S:$S,'MAIN DATA, Orders'!$Y:$Y,$A54,'MAIN DATA, Orders'!$D:$D,"Germany",'MAIN DATA, Orders'!$I:$I,"Tank")/1000000000)</f>
        <v>0</v>
      </c>
      <c r="T54" s="15">
        <f>(SUMIFS('MAIN DATA, Orders'!$S:$S,'MAIN DATA, Orders'!$Y:$Y,$A54,'MAIN DATA, Orders'!$D:$D,"Germany",'MAIN DATA, Orders'!$I:$I,"Development - Tank")/1000000000)</f>
        <v>0</v>
      </c>
      <c r="U54" s="15">
        <f>(SUMIFS('MAIN DATA, Orders'!$S:$S,'MAIN DATA, Orders'!$Y:$Y,$A54,'MAIN DATA, Orders'!$D:$D,"Germany",'MAIN DATA, Orders'!$I:$I,"Maintenance")/1000000000)</f>
        <v>0</v>
      </c>
      <c r="V54" s="15">
        <f>(SUMIFS('MAIN DATA, Orders'!$S:$S,'MAIN DATA, Orders'!$Y:$Y,$A54,'MAIN DATA, Orders'!$D:$D,"Germany",'MAIN DATA, Orders'!$I:$I,"Development - Maintenance")/1000000000)</f>
        <v>0</v>
      </c>
      <c r="W54" s="15">
        <f>(SUMIFS('MAIN DATA, Orders'!$S:$S,'MAIN DATA, Orders'!$Y:$Y,$A54,'MAIN DATA, Orders'!$D:$D,"Germany",'MAIN DATA, Orders'!$I:$I,"Mine")/1000000000)</f>
        <v>0</v>
      </c>
      <c r="X54" s="15">
        <f>(SUMIFS('MAIN DATA, Orders'!$S:$S,'MAIN DATA, Orders'!$Y:$Y,$A54,'MAIN DATA, Orders'!$D:$D,"Germany",'MAIN DATA, Orders'!$I:$I,"Development - Mine")/1000000000)</f>
        <v>0</v>
      </c>
      <c r="Y54" s="15">
        <f>(SUMIFS('MAIN DATA, Orders'!$S:$S,'MAIN DATA, Orders'!$Y:$Y,$A54,'MAIN DATA, Orders'!$D:$D,"Germany",'MAIN DATA, Orders'!$J:$J,"6")/1000000000)</f>
        <v>3.11</v>
      </c>
      <c r="Z54" s="15" cm="1">
        <f t="array" ref="Z54">SUM(SUMIFS('MAIN DATA, Orders'!$S:$S,'MAIN DATA, Orders'!$Y:$Y,$A54,'MAIN DATA, Orders'!$D:$D,"Germany",'MAIN DATA, Orders'!$I:$I,{"Development - Missile (Land)","Development - Missile (Naval)","Development - Missile (Air)"})/1000000000)</f>
        <v>3.49E-2</v>
      </c>
      <c r="AA54" s="15">
        <f>(SUMIFS('MAIN DATA, Orders'!$S:$S,'MAIN DATA, Orders'!$Y:$Y,$A54,'MAIN DATA, Orders'!$D:$D,"Germany",'MAIN DATA, Orders'!$I:$I,"Modernisation")/1000000000)</f>
        <v>3.4779999999999998E-2</v>
      </c>
      <c r="AB54" s="15">
        <f>(SUMIFS('MAIN DATA, Orders'!$S:$S,'MAIN DATA, Orders'!$Y:$Y,$A54,'MAIN DATA, Orders'!$D:$D,"Germany",'MAIN DATA, Orders'!$I:$I,"Development - Modernisation")/1000000000)</f>
        <v>0</v>
      </c>
      <c r="AC54" s="15">
        <f>(SUMIFS('MAIN DATA, Orders'!$S:$S,'MAIN DATA, Orders'!$Y:$Y,$A54,'MAIN DATA, Orders'!$D:$D,"Germany",'MAIN DATA, Orders'!$I:$I,"Naval")/1000000000)</f>
        <v>9.98E-2</v>
      </c>
      <c r="AD54" s="15">
        <f>(SUMIFS('MAIN DATA, Orders'!$S:$S,'MAIN DATA, Orders'!$Y:$Y,$A54,'MAIN DATA, Orders'!$D:$D,"Germany",'MAIN DATA, Orders'!$I:$I,"Development - Naval")/1000000000)</f>
        <v>0</v>
      </c>
      <c r="AE54" s="15">
        <f>(SUMIFS('MAIN DATA, Orders'!$S:$S,'MAIN DATA, Orders'!$Y:$Y,$A54,'MAIN DATA, Orders'!$D:$D,"Germany",'MAIN DATA, Orders'!$I:$I,"Other")/1000000000)</f>
        <v>0</v>
      </c>
      <c r="AF54" s="15">
        <f>(SUMIFS('MAIN DATA, Orders'!$S:$S,'MAIN DATA, Orders'!$Y:$Y,$A54,'MAIN DATA, Orders'!$D:$D,"Germany",'MAIN DATA, Orders'!$I:$I,"Development - Other")/1000000000)</f>
        <v>0</v>
      </c>
      <c r="AG54" s="15"/>
      <c r="AH54" s="15" cm="1">
        <f t="array" ref="AH54">SUM(SUMIFS('MAIN DATA, Orders'!$S:$S,'MAIN DATA, Orders'!$Y:$Y,$A54,'MAIN DATA, Orders'!$D:$D,"Germany",'MAIN DATA, Orders'!$I:$I,{"Missile (Land)","Development - Missile (Land)"})/1000000000)</f>
        <v>3.0019999999999998</v>
      </c>
      <c r="AI54" s="15" cm="1">
        <f t="array" ref="AI54">SUM(SUMIFS('MAIN DATA, Orders'!$S:$S,'MAIN DATA, Orders'!$D:$D,"Germany",'MAIN DATA, Orders'!$I:$I,{"Missile (Air)","Development - Missile (Air)"},'MAIN DATA, Orders'!$Y:$Y,$A54)/1000000000)</f>
        <v>0.1429</v>
      </c>
      <c r="AJ54" s="15" cm="1">
        <f t="array" ref="AJ54">SUM(SUMIFS('MAIN DATA, Orders'!$S:$S,'MAIN DATA, Orders'!$Y:$Y,$A54,'MAIN DATA, Orders'!$D:$D,"Germany",'MAIN DATA, Orders'!$I:$I,{"Missile (Naval)","Development - Missile (Naval)"})/1000000000)</f>
        <v>0</v>
      </c>
    </row>
    <row r="55" spans="1:36" x14ac:dyDescent="0.35">
      <c r="A55" s="20">
        <v>202401</v>
      </c>
      <c r="B55" s="17">
        <v>45292</v>
      </c>
      <c r="C55" s="15">
        <f>(SUMIFS('MAIN DATA, Orders'!$S:$S,'MAIN DATA, Orders'!$Y:$Y,$A55,'MAIN DATA, Orders'!$D:$D,"Germany",'MAIN DATA, Orders'!$I:$I,"Air defence system")/1000000000)</f>
        <v>0</v>
      </c>
      <c r="D55" s="15">
        <f>(SUMIFS('MAIN DATA, Orders'!$S:$S,'MAIN DATA, Orders'!$Y:$Y,$A55,'MAIN DATA, Orders'!$D:$D,"Germany",'MAIN DATA, Orders'!$I:$I,"Development - Air defence system")/1000000000)</f>
        <v>1.23</v>
      </c>
      <c r="E55" s="15">
        <f>(SUMIFS('MAIN DATA, Orders'!$S:$S,'MAIN DATA, Orders'!$Y:$Y,$A55,'MAIN DATA, Orders'!$D:$D,"Germany",'MAIN DATA, Orders'!$I:$I,"Aircraft")/1000000000)</f>
        <v>0</v>
      </c>
      <c r="F55" s="15">
        <f>(SUMIFS('MAIN DATA, Orders'!$S:$S,'MAIN DATA, Orders'!$Y:$Y,$A55,'MAIN DATA, Orders'!$D:$D,"Germany",'MAIN DATA, Orders'!$I:$I,"Development - Aircraft")/1000000000)</f>
        <v>0</v>
      </c>
      <c r="G55" s="15">
        <f>(SUMIFS('MAIN DATA, Orders'!$S:$S,'MAIN DATA, Orders'!$Y:$Y,$A55,'MAIN DATA, Orders'!$D:$D,"Germany",'MAIN DATA, Orders'!$I:$I,"Ammunition")/1000000000)</f>
        <v>0</v>
      </c>
      <c r="H55" s="15">
        <f>(SUMIFS('MAIN DATA, Orders'!$S:$S,'MAIN DATA, Orders'!$Y:$Y,$A55,'MAIN DATA, Orders'!$D:$D,"Germany",'MAIN DATA, Orders'!$I:$I,"Development - Ammunition")/1000000000)</f>
        <v>0</v>
      </c>
      <c r="I55" s="15">
        <f>(SUMIFS('MAIN DATA, Orders'!$S:$S,'MAIN DATA, Orders'!$Y:$Y,$A55,'MAIN DATA, Orders'!$D:$D,"Germany",'MAIN DATA, Orders'!$I:$I,"Armoured vehicle")/1000000000)</f>
        <v>0</v>
      </c>
      <c r="J55" s="15">
        <f>(SUMIFS('MAIN DATA, Orders'!$S:$S,'MAIN DATA, Orders'!$Y:$Y,$A55,'MAIN DATA, Orders'!$D:$D,"Germany",'MAIN DATA, Orders'!$I:$I,"Development - Armoured vehicle")/1000000000)</f>
        <v>0</v>
      </c>
      <c r="K55" s="15">
        <f>(SUMIFS('MAIN DATA, Orders'!$S:$S,'MAIN DATA, Orders'!$Y:$Y,$A55,'MAIN DATA, Orders'!$D:$D,"Germany",'MAIN DATA, Orders'!$I:$I,"Artillery")/1000000000)</f>
        <v>0</v>
      </c>
      <c r="L55" s="15">
        <f>(SUMIFS('MAIN DATA, Orders'!$S:$S,'MAIN DATA, Orders'!$Y:$Y,$A55,'MAIN DATA, Orders'!$D:$D,"Germany",'MAIN DATA, Orders'!$I:$I,"Development - Artillery")/1000000000)</f>
        <v>0</v>
      </c>
      <c r="M55" s="15">
        <f>(SUMIFS('MAIN DATA, Orders'!$S:$S,'MAIN DATA, Orders'!$Y:$Y,$A55,'MAIN DATA, Orders'!$D:$D,"Germany",'MAIN DATA, Orders'!$I:$I,"Drone")/1000000000)</f>
        <v>0</v>
      </c>
      <c r="N55" s="15">
        <f>(SUMIFS('MAIN DATA, Orders'!$S:$S,'MAIN DATA, Orders'!$Y:$Y,$A55,'MAIN DATA, Orders'!$D:$D,"Germany",'MAIN DATA, Orders'!$I:$I,"Development - Drone")/1000000000)</f>
        <v>0</v>
      </c>
      <c r="O55" s="15">
        <f>(SUMIFS('MAIN DATA, Orders'!$S:$S,'MAIN DATA, Orders'!$Y:$Y,$A55,'MAIN DATA, Orders'!$D:$D,"Germany",'MAIN DATA, Orders'!$I:$I,"Helicopter")/1000000000)</f>
        <v>0</v>
      </c>
      <c r="P55" s="15">
        <f>(SUMIFS('MAIN DATA, Orders'!$S:$S,'MAIN DATA, Orders'!$Y:$Y,$A55,'MAIN DATA, Orders'!$D:$D,"Germany",'MAIN DATA, Orders'!$I:$I,"Development - Helicopter")/1000000000)</f>
        <v>0</v>
      </c>
      <c r="Q55" s="15">
        <f>(SUMIFS('MAIN DATA, Orders'!$S:$S,'MAIN DATA, Orders'!$Y:$Y,$A55,'MAIN DATA, Orders'!$D:$D,"Germany",'MAIN DATA, Orders'!$I:$I,"Infantry")/1000000000)</f>
        <v>0</v>
      </c>
      <c r="R55" s="15">
        <f>(SUMIFS('MAIN DATA, Orders'!$S:$S,'MAIN DATA, Orders'!$Y:$Y,$A55,'MAIN DATA, Orders'!$D:$D,"Germany",'MAIN DATA, Orders'!$I:$I,"Development - Infantry")/1000000000)</f>
        <v>0</v>
      </c>
      <c r="S55" s="15">
        <f>(SUMIFS('MAIN DATA, Orders'!$S:$S,'MAIN DATA, Orders'!$Y:$Y,$A55,'MAIN DATA, Orders'!$D:$D,"Germany",'MAIN DATA, Orders'!$I:$I,"Tank")/1000000000)</f>
        <v>0</v>
      </c>
      <c r="T55" s="15">
        <f>(SUMIFS('MAIN DATA, Orders'!$S:$S,'MAIN DATA, Orders'!$Y:$Y,$A55,'MAIN DATA, Orders'!$D:$D,"Germany",'MAIN DATA, Orders'!$I:$I,"Development - Tank")/1000000000)</f>
        <v>0</v>
      </c>
      <c r="U55" s="15">
        <f>(SUMIFS('MAIN DATA, Orders'!$S:$S,'MAIN DATA, Orders'!$Y:$Y,$A55,'MAIN DATA, Orders'!$D:$D,"Germany",'MAIN DATA, Orders'!$I:$I,"Maintenance")/1000000000)</f>
        <v>0</v>
      </c>
      <c r="V55" s="15">
        <f>(SUMIFS('MAIN DATA, Orders'!$S:$S,'MAIN DATA, Orders'!$Y:$Y,$A55,'MAIN DATA, Orders'!$D:$D,"Germany",'MAIN DATA, Orders'!$I:$I,"Development - Maintenance")/1000000000)</f>
        <v>0</v>
      </c>
      <c r="W55" s="15">
        <f>(SUMIFS('MAIN DATA, Orders'!$S:$S,'MAIN DATA, Orders'!$Y:$Y,$A55,'MAIN DATA, Orders'!$D:$D,"Germany",'MAIN DATA, Orders'!$I:$I,"Mine")/1000000000)</f>
        <v>0</v>
      </c>
      <c r="X55" s="15">
        <f>(SUMIFS('MAIN DATA, Orders'!$S:$S,'MAIN DATA, Orders'!$Y:$Y,$A55,'MAIN DATA, Orders'!$D:$D,"Germany",'MAIN DATA, Orders'!$I:$I,"Development - Mine")/1000000000)</f>
        <v>0</v>
      </c>
      <c r="Y55" s="15">
        <f>(SUMIFS('MAIN DATA, Orders'!$S:$S,'MAIN DATA, Orders'!$Y:$Y,$A55,'MAIN DATA, Orders'!$D:$D,"Germany",'MAIN DATA, Orders'!$J:$J,"6")/1000000000)</f>
        <v>0</v>
      </c>
      <c r="Z55" s="15" cm="1">
        <f t="array" ref="Z55">SUM(SUMIFS('MAIN DATA, Orders'!$S:$S,'MAIN DATA, Orders'!$Y:$Y,$A55,'MAIN DATA, Orders'!$D:$D,"Germany",'MAIN DATA, Orders'!$I:$I,{"Development - Missile (Land)","Development - Missile (Naval)","Development - Missile (Air)"})/1000000000)</f>
        <v>0</v>
      </c>
      <c r="AA55" s="15">
        <f>(SUMIFS('MAIN DATA, Orders'!$S:$S,'MAIN DATA, Orders'!$Y:$Y,$A55,'MAIN DATA, Orders'!$D:$D,"Germany",'MAIN DATA, Orders'!$I:$I,"Modernisation")/1000000000)</f>
        <v>0</v>
      </c>
      <c r="AB55" s="15">
        <f>(SUMIFS('MAIN DATA, Orders'!$S:$S,'MAIN DATA, Orders'!$Y:$Y,$A55,'MAIN DATA, Orders'!$D:$D,"Germany",'MAIN DATA, Orders'!$I:$I,"Development - Modernisation")/1000000000)</f>
        <v>0</v>
      </c>
      <c r="AC55" s="15">
        <f>(SUMIFS('MAIN DATA, Orders'!$S:$S,'MAIN DATA, Orders'!$Y:$Y,$A55,'MAIN DATA, Orders'!$D:$D,"Germany",'MAIN DATA, Orders'!$I:$I,"Naval")/1000000000)</f>
        <v>0</v>
      </c>
      <c r="AD55" s="15">
        <f>(SUMIFS('MAIN DATA, Orders'!$S:$S,'MAIN DATA, Orders'!$Y:$Y,$A55,'MAIN DATA, Orders'!$D:$D,"Germany",'MAIN DATA, Orders'!$I:$I,"Development - Naval")/1000000000)</f>
        <v>0</v>
      </c>
      <c r="AE55" s="15">
        <f>(SUMIFS('MAIN DATA, Orders'!$S:$S,'MAIN DATA, Orders'!$Y:$Y,$A55,'MAIN DATA, Orders'!$D:$D,"Germany",'MAIN DATA, Orders'!$I:$I,"Other")/1000000000)</f>
        <v>0</v>
      </c>
      <c r="AF55" s="15">
        <f>(SUMIFS('MAIN DATA, Orders'!$S:$S,'MAIN DATA, Orders'!$Y:$Y,$A55,'MAIN DATA, Orders'!$D:$D,"Germany",'MAIN DATA, Orders'!$I:$I,"Development - Other")/1000000000)</f>
        <v>0</v>
      </c>
      <c r="AG55" s="15"/>
      <c r="AH55" s="15" cm="1">
        <f t="array" ref="AH55">SUM(SUMIFS('MAIN DATA, Orders'!$S:$S,'MAIN DATA, Orders'!$Y:$Y,$A55,'MAIN DATA, Orders'!$D:$D,"Germany",'MAIN DATA, Orders'!$I:$I,{"Missile (Land)","Development - Missile (Land)"})/1000000000)</f>
        <v>0</v>
      </c>
      <c r="AI55" s="15" cm="1">
        <f t="array" ref="AI55">SUM(SUMIFS('MAIN DATA, Orders'!$S:$S,'MAIN DATA, Orders'!$D:$D,"Germany",'MAIN DATA, Orders'!$I:$I,{"Missile (Air)","Development - Missile (Air)"},'MAIN DATA, Orders'!$Y:$Y,$A55)/1000000000)</f>
        <v>0</v>
      </c>
      <c r="AJ55" s="15" cm="1">
        <f t="array" ref="AJ55">SUM(SUMIFS('MAIN DATA, Orders'!$S:$S,'MAIN DATA, Orders'!$Y:$Y,$A55,'MAIN DATA, Orders'!$D:$D,"Germany",'MAIN DATA, Orders'!$I:$I,{"Missile (Naval)","Development - Missile (Naval)"})/1000000000)</f>
        <v>0</v>
      </c>
    </row>
    <row r="56" spans="1:36" x14ac:dyDescent="0.35">
      <c r="A56" s="20">
        <v>202402</v>
      </c>
      <c r="B56" s="17">
        <v>45323</v>
      </c>
      <c r="C56" s="15">
        <f>(SUMIFS('MAIN DATA, Orders'!$S:$S,'MAIN DATA, Orders'!$Y:$Y,$A56,'MAIN DATA, Orders'!$D:$D,"Germany",'MAIN DATA, Orders'!$I:$I,"Air defence system")/1000000000)</f>
        <v>0.64900000000000002</v>
      </c>
      <c r="D56" s="15">
        <f>(SUMIFS('MAIN DATA, Orders'!$S:$S,'MAIN DATA, Orders'!$Y:$Y,$A56,'MAIN DATA, Orders'!$D:$D,"Germany",'MAIN DATA, Orders'!$I:$I,"Development - Air defence system")/1000000000)</f>
        <v>0</v>
      </c>
      <c r="E56" s="15">
        <f>(SUMIFS('MAIN DATA, Orders'!$S:$S,'MAIN DATA, Orders'!$Y:$Y,$A56,'MAIN DATA, Orders'!$D:$D,"Germany",'MAIN DATA, Orders'!$I:$I,"Aircraft")/1000000000)</f>
        <v>0</v>
      </c>
      <c r="F56" s="15">
        <f>(SUMIFS('MAIN DATA, Orders'!$S:$S,'MAIN DATA, Orders'!$Y:$Y,$A56,'MAIN DATA, Orders'!$D:$D,"Germany",'MAIN DATA, Orders'!$I:$I,"Development - Aircraft")/1000000000)</f>
        <v>0</v>
      </c>
      <c r="G56" s="15">
        <f>(SUMIFS('MAIN DATA, Orders'!$S:$S,'MAIN DATA, Orders'!$Y:$Y,$A56,'MAIN DATA, Orders'!$D:$D,"Germany",'MAIN DATA, Orders'!$I:$I,"Ammunition")/1000000000)</f>
        <v>0</v>
      </c>
      <c r="H56" s="15">
        <f>(SUMIFS('MAIN DATA, Orders'!$S:$S,'MAIN DATA, Orders'!$Y:$Y,$A56,'MAIN DATA, Orders'!$D:$D,"Germany",'MAIN DATA, Orders'!$I:$I,"Development - Ammunition")/1000000000)</f>
        <v>0</v>
      </c>
      <c r="I56" s="15">
        <f>(SUMIFS('MAIN DATA, Orders'!$S:$S,'MAIN DATA, Orders'!$Y:$Y,$A56,'MAIN DATA, Orders'!$D:$D,"Germany",'MAIN DATA, Orders'!$I:$I,"Armoured vehicle")/1000000000)</f>
        <v>0</v>
      </c>
      <c r="J56" s="15">
        <f>(SUMIFS('MAIN DATA, Orders'!$S:$S,'MAIN DATA, Orders'!$Y:$Y,$A56,'MAIN DATA, Orders'!$D:$D,"Germany",'MAIN DATA, Orders'!$I:$I,"Development - Armoured vehicle")/1000000000)</f>
        <v>0</v>
      </c>
      <c r="K56" s="15">
        <f>(SUMIFS('MAIN DATA, Orders'!$S:$S,'MAIN DATA, Orders'!$Y:$Y,$A56,'MAIN DATA, Orders'!$D:$D,"Germany",'MAIN DATA, Orders'!$I:$I,"Artillery")/1000000000)</f>
        <v>0</v>
      </c>
      <c r="L56" s="15">
        <f>(SUMIFS('MAIN DATA, Orders'!$S:$S,'MAIN DATA, Orders'!$Y:$Y,$A56,'MAIN DATA, Orders'!$D:$D,"Germany",'MAIN DATA, Orders'!$I:$I,"Development - Artillery")/1000000000)</f>
        <v>0</v>
      </c>
      <c r="M56" s="15">
        <f>(SUMIFS('MAIN DATA, Orders'!$S:$S,'MAIN DATA, Orders'!$Y:$Y,$A56,'MAIN DATA, Orders'!$D:$D,"Germany",'MAIN DATA, Orders'!$I:$I,"Drone")/1000000000)</f>
        <v>0</v>
      </c>
      <c r="N56" s="15">
        <f>(SUMIFS('MAIN DATA, Orders'!$S:$S,'MAIN DATA, Orders'!$Y:$Y,$A56,'MAIN DATA, Orders'!$D:$D,"Germany",'MAIN DATA, Orders'!$I:$I,"Development - Drone")/1000000000)</f>
        <v>0</v>
      </c>
      <c r="O56" s="15">
        <f>(SUMIFS('MAIN DATA, Orders'!$S:$S,'MAIN DATA, Orders'!$Y:$Y,$A56,'MAIN DATA, Orders'!$D:$D,"Germany",'MAIN DATA, Orders'!$I:$I,"Helicopter")/1000000000)</f>
        <v>0</v>
      </c>
      <c r="P56" s="15">
        <f>(SUMIFS('MAIN DATA, Orders'!$S:$S,'MAIN DATA, Orders'!$Y:$Y,$A56,'MAIN DATA, Orders'!$D:$D,"Germany",'MAIN DATA, Orders'!$I:$I,"Development - Helicopter")/1000000000)</f>
        <v>0</v>
      </c>
      <c r="Q56" s="15">
        <f>(SUMIFS('MAIN DATA, Orders'!$S:$S,'MAIN DATA, Orders'!$Y:$Y,$A56,'MAIN DATA, Orders'!$D:$D,"Germany",'MAIN DATA, Orders'!$I:$I,"Infantry")/1000000000)</f>
        <v>0</v>
      </c>
      <c r="R56" s="15">
        <f>(SUMIFS('MAIN DATA, Orders'!$S:$S,'MAIN DATA, Orders'!$Y:$Y,$A56,'MAIN DATA, Orders'!$D:$D,"Germany",'MAIN DATA, Orders'!$I:$I,"Development - Infantry")/1000000000)</f>
        <v>0</v>
      </c>
      <c r="S56" s="15">
        <f>(SUMIFS('MAIN DATA, Orders'!$S:$S,'MAIN DATA, Orders'!$Y:$Y,$A56,'MAIN DATA, Orders'!$D:$D,"Germany",'MAIN DATA, Orders'!$I:$I,"Tank")/1000000000)</f>
        <v>0</v>
      </c>
      <c r="T56" s="15">
        <f>(SUMIFS('MAIN DATA, Orders'!$S:$S,'MAIN DATA, Orders'!$Y:$Y,$A56,'MAIN DATA, Orders'!$D:$D,"Germany",'MAIN DATA, Orders'!$I:$I,"Development - Tank")/1000000000)</f>
        <v>0</v>
      </c>
      <c r="U56" s="15">
        <f>(SUMIFS('MAIN DATA, Orders'!$S:$S,'MAIN DATA, Orders'!$Y:$Y,$A56,'MAIN DATA, Orders'!$D:$D,"Germany",'MAIN DATA, Orders'!$I:$I,"Maintenance")/1000000000)</f>
        <v>0</v>
      </c>
      <c r="V56" s="15">
        <f>(SUMIFS('MAIN DATA, Orders'!$S:$S,'MAIN DATA, Orders'!$Y:$Y,$A56,'MAIN DATA, Orders'!$D:$D,"Germany",'MAIN DATA, Orders'!$I:$I,"Development - Maintenance")/1000000000)</f>
        <v>0</v>
      </c>
      <c r="W56" s="15">
        <f>(SUMIFS('MAIN DATA, Orders'!$S:$S,'MAIN DATA, Orders'!$Y:$Y,$A56,'MAIN DATA, Orders'!$D:$D,"Germany",'MAIN DATA, Orders'!$I:$I,"Mine")/1000000000)</f>
        <v>0</v>
      </c>
      <c r="X56" s="15">
        <f>(SUMIFS('MAIN DATA, Orders'!$S:$S,'MAIN DATA, Orders'!$Y:$Y,$A56,'MAIN DATA, Orders'!$D:$D,"Germany",'MAIN DATA, Orders'!$I:$I,"Development - Mine")/1000000000)</f>
        <v>0</v>
      </c>
      <c r="Y56" s="15">
        <f>(SUMIFS('MAIN DATA, Orders'!$S:$S,'MAIN DATA, Orders'!$Y:$Y,$A56,'MAIN DATA, Orders'!$D:$D,"Germany",'MAIN DATA, Orders'!$J:$J,"6")/1000000000)</f>
        <v>0</v>
      </c>
      <c r="Z56" s="15" cm="1">
        <f t="array" ref="Z56">SUM(SUMIFS('MAIN DATA, Orders'!$S:$S,'MAIN DATA, Orders'!$Y:$Y,$A56,'MAIN DATA, Orders'!$D:$D,"Germany",'MAIN DATA, Orders'!$I:$I,{"Development - Missile (Land)","Development - Missile (Naval)","Development - Missile (Air)"})/1000000000)</f>
        <v>0</v>
      </c>
      <c r="AA56" s="15">
        <f>(SUMIFS('MAIN DATA, Orders'!$S:$S,'MAIN DATA, Orders'!$Y:$Y,$A56,'MAIN DATA, Orders'!$D:$D,"Germany",'MAIN DATA, Orders'!$I:$I,"Modernisation")/1000000000)</f>
        <v>2.2000000000000002</v>
      </c>
      <c r="AB56" s="15">
        <f>(SUMIFS('MAIN DATA, Orders'!$S:$S,'MAIN DATA, Orders'!$Y:$Y,$A56,'MAIN DATA, Orders'!$D:$D,"Germany",'MAIN DATA, Orders'!$I:$I,"Development - Modernisation")/1000000000)</f>
        <v>0</v>
      </c>
      <c r="AC56" s="15">
        <f>(SUMIFS('MAIN DATA, Orders'!$S:$S,'MAIN DATA, Orders'!$Y:$Y,$A56,'MAIN DATA, Orders'!$D:$D,"Germany",'MAIN DATA, Orders'!$I:$I,"Naval")/1000000000)</f>
        <v>0</v>
      </c>
      <c r="AD56" s="15">
        <f>(SUMIFS('MAIN DATA, Orders'!$S:$S,'MAIN DATA, Orders'!$Y:$Y,$A56,'MAIN DATA, Orders'!$D:$D,"Germany",'MAIN DATA, Orders'!$I:$I,"Development - Naval")/1000000000)</f>
        <v>0</v>
      </c>
      <c r="AE56" s="15">
        <f>(SUMIFS('MAIN DATA, Orders'!$S:$S,'MAIN DATA, Orders'!$Y:$Y,$A56,'MAIN DATA, Orders'!$D:$D,"Germany",'MAIN DATA, Orders'!$I:$I,"Other")/1000000000)</f>
        <v>0</v>
      </c>
      <c r="AF56" s="15">
        <f>(SUMIFS('MAIN DATA, Orders'!$S:$S,'MAIN DATA, Orders'!$Y:$Y,$A56,'MAIN DATA, Orders'!$D:$D,"Germany",'MAIN DATA, Orders'!$I:$I,"Development - Other")/1000000000)</f>
        <v>0</v>
      </c>
      <c r="AG56" s="15"/>
      <c r="AH56" s="15" cm="1">
        <f t="array" ref="AH56">SUM(SUMIFS('MAIN DATA, Orders'!$S:$S,'MAIN DATA, Orders'!$Y:$Y,$A56,'MAIN DATA, Orders'!$D:$D,"Germany",'MAIN DATA, Orders'!$I:$I,{"Missile (Land)","Development - Missile (Land)"})/1000000000)</f>
        <v>0</v>
      </c>
      <c r="AI56" s="15" cm="1">
        <f t="array" ref="AI56">SUM(SUMIFS('MAIN DATA, Orders'!$S:$S,'MAIN DATA, Orders'!$D:$D,"Germany",'MAIN DATA, Orders'!$I:$I,{"Missile (Air)","Development - Missile (Air)"},'MAIN DATA, Orders'!$Y:$Y,$A56)/1000000000)</f>
        <v>0</v>
      </c>
      <c r="AJ56" s="15" cm="1">
        <f t="array" ref="AJ56">SUM(SUMIFS('MAIN DATA, Orders'!$S:$S,'MAIN DATA, Orders'!$Y:$Y,$A56,'MAIN DATA, Orders'!$D:$D,"Germany",'MAIN DATA, Orders'!$I:$I,{"Missile (Naval)","Development - Missile (Naval)"})/1000000000)</f>
        <v>0</v>
      </c>
    </row>
    <row r="57" spans="1:36" x14ac:dyDescent="0.35">
      <c r="A57" s="20">
        <v>202403</v>
      </c>
      <c r="B57" s="17">
        <v>45352</v>
      </c>
      <c r="C57" s="15">
        <f>(SUMIFS('MAIN DATA, Orders'!$S:$S,'MAIN DATA, Orders'!$Y:$Y,$A57,'MAIN DATA, Orders'!$D:$D,"Germany",'MAIN DATA, Orders'!$I:$I,"Air defence system")/1000000000)</f>
        <v>1.4</v>
      </c>
      <c r="D57" s="15">
        <f>(SUMIFS('MAIN DATA, Orders'!$S:$S,'MAIN DATA, Orders'!$Y:$Y,$A57,'MAIN DATA, Orders'!$D:$D,"Germany",'MAIN DATA, Orders'!$I:$I,"Development - Air defence system")/1000000000)</f>
        <v>0</v>
      </c>
      <c r="E57" s="15">
        <f>(SUMIFS('MAIN DATA, Orders'!$S:$S,'MAIN DATA, Orders'!$Y:$Y,$A57,'MAIN DATA, Orders'!$D:$D,"Germany",'MAIN DATA, Orders'!$I:$I,"Aircraft")/1000000000)</f>
        <v>0</v>
      </c>
      <c r="F57" s="15">
        <f>(SUMIFS('MAIN DATA, Orders'!$S:$S,'MAIN DATA, Orders'!$Y:$Y,$A57,'MAIN DATA, Orders'!$D:$D,"Germany",'MAIN DATA, Orders'!$I:$I,"Development - Aircraft")/1000000000)</f>
        <v>0.10199999999999999</v>
      </c>
      <c r="G57" s="15">
        <f>(SUMIFS('MAIN DATA, Orders'!$S:$S,'MAIN DATA, Orders'!$Y:$Y,$A57,'MAIN DATA, Orders'!$D:$D,"Germany",'MAIN DATA, Orders'!$I:$I,"Ammunition")/1000000000)</f>
        <v>0</v>
      </c>
      <c r="H57" s="15">
        <f>(SUMIFS('MAIN DATA, Orders'!$S:$S,'MAIN DATA, Orders'!$Y:$Y,$A57,'MAIN DATA, Orders'!$D:$D,"Germany",'MAIN DATA, Orders'!$I:$I,"Development - Ammunition")/1000000000)</f>
        <v>0</v>
      </c>
      <c r="I57" s="15">
        <f>(SUMIFS('MAIN DATA, Orders'!$S:$S,'MAIN DATA, Orders'!$Y:$Y,$A57,'MAIN DATA, Orders'!$D:$D,"Germany",'MAIN DATA, Orders'!$I:$I,"Armoured vehicle")/1000000000)</f>
        <v>1.94</v>
      </c>
      <c r="J57" s="15">
        <f>(SUMIFS('MAIN DATA, Orders'!$S:$S,'MAIN DATA, Orders'!$Y:$Y,$A57,'MAIN DATA, Orders'!$D:$D,"Germany",'MAIN DATA, Orders'!$I:$I,"Development - Armoured vehicle")/1000000000)</f>
        <v>0</v>
      </c>
      <c r="K57" s="15">
        <f>(SUMIFS('MAIN DATA, Orders'!$S:$S,'MAIN DATA, Orders'!$Y:$Y,$A57,'MAIN DATA, Orders'!$D:$D,"Germany",'MAIN DATA, Orders'!$I:$I,"Artillery")/1000000000)</f>
        <v>0</v>
      </c>
      <c r="L57" s="15">
        <f>(SUMIFS('MAIN DATA, Orders'!$S:$S,'MAIN DATA, Orders'!$Y:$Y,$A57,'MAIN DATA, Orders'!$D:$D,"Germany",'MAIN DATA, Orders'!$I:$I,"Development - Artillery")/1000000000)</f>
        <v>0</v>
      </c>
      <c r="M57" s="15">
        <f>(SUMIFS('MAIN DATA, Orders'!$S:$S,'MAIN DATA, Orders'!$Y:$Y,$A57,'MAIN DATA, Orders'!$D:$D,"Germany",'MAIN DATA, Orders'!$I:$I,"Drone")/1000000000)</f>
        <v>0</v>
      </c>
      <c r="N57" s="15">
        <f>(SUMIFS('MAIN DATA, Orders'!$S:$S,'MAIN DATA, Orders'!$Y:$Y,$A57,'MAIN DATA, Orders'!$D:$D,"Germany",'MAIN DATA, Orders'!$I:$I,"Development - Drone")/1000000000)</f>
        <v>0</v>
      </c>
      <c r="O57" s="15">
        <f>(SUMIFS('MAIN DATA, Orders'!$S:$S,'MAIN DATA, Orders'!$Y:$Y,$A57,'MAIN DATA, Orders'!$D:$D,"Germany",'MAIN DATA, Orders'!$I:$I,"Helicopter")/1000000000)</f>
        <v>0</v>
      </c>
      <c r="P57" s="15">
        <f>(SUMIFS('MAIN DATA, Orders'!$S:$S,'MAIN DATA, Orders'!$Y:$Y,$A57,'MAIN DATA, Orders'!$D:$D,"Germany",'MAIN DATA, Orders'!$I:$I,"Development - Helicopter")/1000000000)</f>
        <v>0</v>
      </c>
      <c r="Q57" s="15">
        <f>(SUMIFS('MAIN DATA, Orders'!$S:$S,'MAIN DATA, Orders'!$Y:$Y,$A57,'MAIN DATA, Orders'!$D:$D,"Germany",'MAIN DATA, Orders'!$I:$I,"Infantry")/1000000000)</f>
        <v>0</v>
      </c>
      <c r="R57" s="15">
        <f>(SUMIFS('MAIN DATA, Orders'!$S:$S,'MAIN DATA, Orders'!$Y:$Y,$A57,'MAIN DATA, Orders'!$D:$D,"Germany",'MAIN DATA, Orders'!$I:$I,"Development - Infantry")/1000000000)</f>
        <v>0</v>
      </c>
      <c r="S57" s="15">
        <f>(SUMIFS('MAIN DATA, Orders'!$S:$S,'MAIN DATA, Orders'!$Y:$Y,$A57,'MAIN DATA, Orders'!$D:$D,"Germany",'MAIN DATA, Orders'!$I:$I,"Tank")/1000000000)</f>
        <v>0</v>
      </c>
      <c r="T57" s="15">
        <f>(SUMIFS('MAIN DATA, Orders'!$S:$S,'MAIN DATA, Orders'!$Y:$Y,$A57,'MAIN DATA, Orders'!$D:$D,"Germany",'MAIN DATA, Orders'!$I:$I,"Development - Tank")/1000000000)</f>
        <v>0</v>
      </c>
      <c r="U57" s="15">
        <f>(SUMIFS('MAIN DATA, Orders'!$S:$S,'MAIN DATA, Orders'!$Y:$Y,$A57,'MAIN DATA, Orders'!$D:$D,"Germany",'MAIN DATA, Orders'!$I:$I,"Maintenance")/1000000000)</f>
        <v>0.74690000000000001</v>
      </c>
      <c r="V57" s="15">
        <f>(SUMIFS('MAIN DATA, Orders'!$S:$S,'MAIN DATA, Orders'!$Y:$Y,$A57,'MAIN DATA, Orders'!$D:$D,"Germany",'MAIN DATA, Orders'!$I:$I,"Development - Maintenance")/1000000000)</f>
        <v>0</v>
      </c>
      <c r="W57" s="15">
        <f>(SUMIFS('MAIN DATA, Orders'!$S:$S,'MAIN DATA, Orders'!$Y:$Y,$A57,'MAIN DATA, Orders'!$D:$D,"Germany",'MAIN DATA, Orders'!$I:$I,"Mine")/1000000000)</f>
        <v>0</v>
      </c>
      <c r="X57" s="15">
        <f>(SUMIFS('MAIN DATA, Orders'!$S:$S,'MAIN DATA, Orders'!$Y:$Y,$A57,'MAIN DATA, Orders'!$D:$D,"Germany",'MAIN DATA, Orders'!$I:$I,"Development - Mine")/1000000000)</f>
        <v>0</v>
      </c>
      <c r="Y57" s="15">
        <f>(SUMIFS('MAIN DATA, Orders'!$S:$S,'MAIN DATA, Orders'!$Y:$Y,$A57,'MAIN DATA, Orders'!$D:$D,"Germany",'MAIN DATA, Orders'!$J:$J,"6")/1000000000)</f>
        <v>0</v>
      </c>
      <c r="Z57" s="15" cm="1">
        <f t="array" ref="Z57">SUM(SUMIFS('MAIN DATA, Orders'!$S:$S,'MAIN DATA, Orders'!$Y:$Y,$A57,'MAIN DATA, Orders'!$D:$D,"Germany",'MAIN DATA, Orders'!$I:$I,{"Development - Missile (Land)","Development - Missile (Naval)","Development - Missile (Air)"})/1000000000)</f>
        <v>0</v>
      </c>
      <c r="AA57" s="15">
        <f>(SUMIFS('MAIN DATA, Orders'!$S:$S,'MAIN DATA, Orders'!$Y:$Y,$A57,'MAIN DATA, Orders'!$D:$D,"Germany",'MAIN DATA, Orders'!$I:$I,"Modernisation")/1000000000)</f>
        <v>8.1000000000000003E-2</v>
      </c>
      <c r="AB57" s="15">
        <f>(SUMIFS('MAIN DATA, Orders'!$S:$S,'MAIN DATA, Orders'!$Y:$Y,$A57,'MAIN DATA, Orders'!$D:$D,"Germany",'MAIN DATA, Orders'!$I:$I,"Development - Modernisation")/1000000000)</f>
        <v>0</v>
      </c>
      <c r="AC57" s="15">
        <f>(SUMIFS('MAIN DATA, Orders'!$S:$S,'MAIN DATA, Orders'!$Y:$Y,$A57,'MAIN DATA, Orders'!$D:$D,"Germany",'MAIN DATA, Orders'!$I:$I,"Naval")/1000000000)</f>
        <v>0</v>
      </c>
      <c r="AD57" s="15">
        <f>(SUMIFS('MAIN DATA, Orders'!$S:$S,'MAIN DATA, Orders'!$Y:$Y,$A57,'MAIN DATA, Orders'!$D:$D,"Germany",'MAIN DATA, Orders'!$I:$I,"Development - Naval")/1000000000)</f>
        <v>0</v>
      </c>
      <c r="AE57" s="15">
        <f>(SUMIFS('MAIN DATA, Orders'!$S:$S,'MAIN DATA, Orders'!$Y:$Y,$A57,'MAIN DATA, Orders'!$D:$D,"Germany",'MAIN DATA, Orders'!$I:$I,"Other")/1000000000)</f>
        <v>0.16200000000000001</v>
      </c>
      <c r="AF57" s="15">
        <f>(SUMIFS('MAIN DATA, Orders'!$S:$S,'MAIN DATA, Orders'!$Y:$Y,$A57,'MAIN DATA, Orders'!$D:$D,"Germany",'MAIN DATA, Orders'!$I:$I,"Development - Other")/1000000000)</f>
        <v>0</v>
      </c>
      <c r="AG57" s="15"/>
      <c r="AH57" s="15" cm="1">
        <f t="array" ref="AH57">SUM(SUMIFS('MAIN DATA, Orders'!$S:$S,'MAIN DATA, Orders'!$Y:$Y,$A57,'MAIN DATA, Orders'!$D:$D,"Germany",'MAIN DATA, Orders'!$I:$I,{"Missile (Land)","Development - Missile (Land)"})/1000000000)</f>
        <v>0</v>
      </c>
      <c r="AI57" s="15" cm="1">
        <f t="array" ref="AI57">SUM(SUMIFS('MAIN DATA, Orders'!$S:$S,'MAIN DATA, Orders'!$D:$D,"Germany",'MAIN DATA, Orders'!$I:$I,{"Missile (Air)","Development - Missile (Air)"},'MAIN DATA, Orders'!$Y:$Y,$A57)/1000000000)</f>
        <v>0</v>
      </c>
      <c r="AJ57" s="15" cm="1">
        <f t="array" ref="AJ57">SUM(SUMIFS('MAIN DATA, Orders'!$S:$S,'MAIN DATA, Orders'!$Y:$Y,$A57,'MAIN DATA, Orders'!$D:$D,"Germany",'MAIN DATA, Orders'!$I:$I,{"Missile (Naval)","Development - Missile (Naval)"})/1000000000)</f>
        <v>0</v>
      </c>
    </row>
    <row r="58" spans="1:36" x14ac:dyDescent="0.35">
      <c r="A58" s="20">
        <v>202404</v>
      </c>
      <c r="B58" s="17">
        <v>45383</v>
      </c>
      <c r="C58" s="15">
        <f>(SUMIFS('MAIN DATA, Orders'!$S:$S,'MAIN DATA, Orders'!$Y:$Y,$A58,'MAIN DATA, Orders'!$D:$D,"Germany",'MAIN DATA, Orders'!$I:$I,"Air defence system")/1000000000)</f>
        <v>0</v>
      </c>
      <c r="D58" s="15">
        <f>(SUMIFS('MAIN DATA, Orders'!$S:$S,'MAIN DATA, Orders'!$Y:$Y,$A58,'MAIN DATA, Orders'!$D:$D,"Germany",'MAIN DATA, Orders'!$I:$I,"Development - Air defence system")/1000000000)</f>
        <v>0</v>
      </c>
      <c r="E58" s="15">
        <f>(SUMIFS('MAIN DATA, Orders'!$S:$S,'MAIN DATA, Orders'!$Y:$Y,$A58,'MAIN DATA, Orders'!$D:$D,"Germany",'MAIN DATA, Orders'!$I:$I,"Aircraft")/1000000000)</f>
        <v>4.2999999999999997E-2</v>
      </c>
      <c r="F58" s="15">
        <f>(SUMIFS('MAIN DATA, Orders'!$S:$S,'MAIN DATA, Orders'!$Y:$Y,$A58,'MAIN DATA, Orders'!$D:$D,"Germany",'MAIN DATA, Orders'!$I:$I,"Development - Aircraft")/1000000000)</f>
        <v>9.7000000000000003E-2</v>
      </c>
      <c r="G58" s="15">
        <f>(SUMIFS('MAIN DATA, Orders'!$S:$S,'MAIN DATA, Orders'!$Y:$Y,$A58,'MAIN DATA, Orders'!$D:$D,"Germany",'MAIN DATA, Orders'!$I:$I,"Ammunition")/1000000000)</f>
        <v>5.3999999999999999E-2</v>
      </c>
      <c r="H58" s="15">
        <f>(SUMIFS('MAIN DATA, Orders'!$S:$S,'MAIN DATA, Orders'!$Y:$Y,$A58,'MAIN DATA, Orders'!$D:$D,"Germany",'MAIN DATA, Orders'!$I:$I,"Development - Ammunition")/1000000000)</f>
        <v>0</v>
      </c>
      <c r="I58" s="15">
        <f>(SUMIFS('MAIN DATA, Orders'!$S:$S,'MAIN DATA, Orders'!$Y:$Y,$A58,'MAIN DATA, Orders'!$D:$D,"Germany",'MAIN DATA, Orders'!$I:$I,"Armoured vehicle")/1000000000)</f>
        <v>0.109</v>
      </c>
      <c r="J58" s="15">
        <f>(SUMIFS('MAIN DATA, Orders'!$S:$S,'MAIN DATA, Orders'!$Y:$Y,$A58,'MAIN DATA, Orders'!$D:$D,"Germany",'MAIN DATA, Orders'!$I:$I,"Development - Armoured vehicle")/1000000000)</f>
        <v>0</v>
      </c>
      <c r="K58" s="15">
        <f>(SUMIFS('MAIN DATA, Orders'!$S:$S,'MAIN DATA, Orders'!$Y:$Y,$A58,'MAIN DATA, Orders'!$D:$D,"Germany",'MAIN DATA, Orders'!$I:$I,"Artillery")/1000000000)</f>
        <v>0</v>
      </c>
      <c r="L58" s="15">
        <f>(SUMIFS('MAIN DATA, Orders'!$S:$S,'MAIN DATA, Orders'!$Y:$Y,$A58,'MAIN DATA, Orders'!$D:$D,"Germany",'MAIN DATA, Orders'!$I:$I,"Development - Artillery")/1000000000)</f>
        <v>0</v>
      </c>
      <c r="M58" s="15">
        <f>(SUMIFS('MAIN DATA, Orders'!$S:$S,'MAIN DATA, Orders'!$Y:$Y,$A58,'MAIN DATA, Orders'!$D:$D,"Germany",'MAIN DATA, Orders'!$I:$I,"Drone")/1000000000)</f>
        <v>0</v>
      </c>
      <c r="N58" s="15">
        <f>(SUMIFS('MAIN DATA, Orders'!$S:$S,'MAIN DATA, Orders'!$Y:$Y,$A58,'MAIN DATA, Orders'!$D:$D,"Germany",'MAIN DATA, Orders'!$I:$I,"Development - Drone")/1000000000)</f>
        <v>0</v>
      </c>
      <c r="O58" s="15">
        <f>(SUMIFS('MAIN DATA, Orders'!$S:$S,'MAIN DATA, Orders'!$Y:$Y,$A58,'MAIN DATA, Orders'!$D:$D,"Germany",'MAIN DATA, Orders'!$I:$I,"Helicopter")/1000000000)</f>
        <v>0.217</v>
      </c>
      <c r="P58" s="15">
        <f>(SUMIFS('MAIN DATA, Orders'!$S:$S,'MAIN DATA, Orders'!$Y:$Y,$A58,'MAIN DATA, Orders'!$D:$D,"Germany",'MAIN DATA, Orders'!$I:$I,"Development - Helicopter")/1000000000)</f>
        <v>0</v>
      </c>
      <c r="Q58" s="15">
        <f>(SUMIFS('MAIN DATA, Orders'!$S:$S,'MAIN DATA, Orders'!$Y:$Y,$A58,'MAIN DATA, Orders'!$D:$D,"Germany",'MAIN DATA, Orders'!$I:$I,"Infantry")/1000000000)</f>
        <v>6.7000000000000004E-2</v>
      </c>
      <c r="R58" s="15">
        <f>(SUMIFS('MAIN DATA, Orders'!$S:$S,'MAIN DATA, Orders'!$Y:$Y,$A58,'MAIN DATA, Orders'!$D:$D,"Germany",'MAIN DATA, Orders'!$I:$I,"Development - Infantry")/1000000000)</f>
        <v>0</v>
      </c>
      <c r="S58" s="15">
        <f>(SUMIFS('MAIN DATA, Orders'!$S:$S,'MAIN DATA, Orders'!$Y:$Y,$A58,'MAIN DATA, Orders'!$D:$D,"Germany",'MAIN DATA, Orders'!$I:$I,"Tank")/1000000000)</f>
        <v>0</v>
      </c>
      <c r="T58" s="15">
        <f>(SUMIFS('MAIN DATA, Orders'!$S:$S,'MAIN DATA, Orders'!$Y:$Y,$A58,'MAIN DATA, Orders'!$D:$D,"Germany",'MAIN DATA, Orders'!$I:$I,"Development - Tank")/1000000000)</f>
        <v>0</v>
      </c>
      <c r="U58" s="15">
        <f>(SUMIFS('MAIN DATA, Orders'!$S:$S,'MAIN DATA, Orders'!$Y:$Y,$A58,'MAIN DATA, Orders'!$D:$D,"Germany",'MAIN DATA, Orders'!$I:$I,"Maintenance")/1000000000)</f>
        <v>0</v>
      </c>
      <c r="V58" s="15">
        <f>(SUMIFS('MAIN DATA, Orders'!$S:$S,'MAIN DATA, Orders'!$Y:$Y,$A58,'MAIN DATA, Orders'!$D:$D,"Germany",'MAIN DATA, Orders'!$I:$I,"Development - Maintenance")/1000000000)</f>
        <v>0</v>
      </c>
      <c r="W58" s="15">
        <f>(SUMIFS('MAIN DATA, Orders'!$S:$S,'MAIN DATA, Orders'!$Y:$Y,$A58,'MAIN DATA, Orders'!$D:$D,"Germany",'MAIN DATA, Orders'!$I:$I,"Mine")/1000000000)</f>
        <v>0</v>
      </c>
      <c r="X58" s="15">
        <f>(SUMIFS('MAIN DATA, Orders'!$S:$S,'MAIN DATA, Orders'!$Y:$Y,$A58,'MAIN DATA, Orders'!$D:$D,"Germany",'MAIN DATA, Orders'!$I:$I,"Development - Mine")/1000000000)</f>
        <v>0</v>
      </c>
      <c r="Y58" s="15">
        <f>(SUMIFS('MAIN DATA, Orders'!$S:$S,'MAIN DATA, Orders'!$Y:$Y,$A58,'MAIN DATA, Orders'!$D:$D,"Germany",'MAIN DATA, Orders'!$J:$J,"6")/1000000000)</f>
        <v>0</v>
      </c>
      <c r="Z58" s="15" cm="1">
        <f t="array" ref="Z58">SUM(SUMIFS('MAIN DATA, Orders'!$S:$S,'MAIN DATA, Orders'!$Y:$Y,$A58,'MAIN DATA, Orders'!$D:$D,"Germany",'MAIN DATA, Orders'!$I:$I,{"Development - Missile (Land)","Development - Missile (Naval)","Development - Missile (Air)"})/1000000000)</f>
        <v>0</v>
      </c>
      <c r="AA58" s="15">
        <f>(SUMIFS('MAIN DATA, Orders'!$S:$S,'MAIN DATA, Orders'!$Y:$Y,$A58,'MAIN DATA, Orders'!$D:$D,"Germany",'MAIN DATA, Orders'!$I:$I,"Modernisation")/1000000000)</f>
        <v>0</v>
      </c>
      <c r="AB58" s="15">
        <f>(SUMIFS('MAIN DATA, Orders'!$S:$S,'MAIN DATA, Orders'!$Y:$Y,$A58,'MAIN DATA, Orders'!$D:$D,"Germany",'MAIN DATA, Orders'!$I:$I,"Development - Modernisation")/1000000000)</f>
        <v>0</v>
      </c>
      <c r="AC58" s="15">
        <f>(SUMIFS('MAIN DATA, Orders'!$S:$S,'MAIN DATA, Orders'!$Y:$Y,$A58,'MAIN DATA, Orders'!$D:$D,"Germany",'MAIN DATA, Orders'!$I:$I,"Naval")/1000000000)</f>
        <v>0</v>
      </c>
      <c r="AD58" s="15">
        <f>(SUMIFS('MAIN DATA, Orders'!$S:$S,'MAIN DATA, Orders'!$Y:$Y,$A58,'MAIN DATA, Orders'!$D:$D,"Germany",'MAIN DATA, Orders'!$I:$I,"Development - Naval")/1000000000)</f>
        <v>0</v>
      </c>
      <c r="AE58" s="15">
        <f>(SUMIFS('MAIN DATA, Orders'!$S:$S,'MAIN DATA, Orders'!$Y:$Y,$A58,'MAIN DATA, Orders'!$D:$D,"Germany",'MAIN DATA, Orders'!$I:$I,"Other")/1000000000)</f>
        <v>0</v>
      </c>
      <c r="AF58" s="15">
        <f>(SUMIFS('MAIN DATA, Orders'!$S:$S,'MAIN DATA, Orders'!$Y:$Y,$A58,'MAIN DATA, Orders'!$D:$D,"Germany",'MAIN DATA, Orders'!$I:$I,"Development - Other")/1000000000)</f>
        <v>0</v>
      </c>
      <c r="AG58" s="15"/>
      <c r="AH58" s="15" cm="1">
        <f t="array" ref="AH58">SUM(SUMIFS('MAIN DATA, Orders'!$S:$S,'MAIN DATA, Orders'!$Y:$Y,$A58,'MAIN DATA, Orders'!$D:$D,"Germany",'MAIN DATA, Orders'!$I:$I,{"Missile (Land)","Development - Missile (Land)"})/1000000000)</f>
        <v>0</v>
      </c>
      <c r="AI58" s="15" cm="1">
        <f t="array" ref="AI58">SUM(SUMIFS('MAIN DATA, Orders'!$S:$S,'MAIN DATA, Orders'!$D:$D,"Germany",'MAIN DATA, Orders'!$I:$I,{"Missile (Air)","Development - Missile (Air)"},'MAIN DATA, Orders'!$Y:$Y,$A58)/1000000000)</f>
        <v>0</v>
      </c>
      <c r="AJ58" s="15" cm="1">
        <f t="array" ref="AJ58">SUM(SUMIFS('MAIN DATA, Orders'!$S:$S,'MAIN DATA, Orders'!$Y:$Y,$A58,'MAIN DATA, Orders'!$D:$D,"Germany",'MAIN DATA, Orders'!$I:$I,{"Missile (Naval)","Development - Missile (Naval)"})/1000000000)</f>
        <v>0</v>
      </c>
    </row>
    <row r="59" spans="1:36" x14ac:dyDescent="0.35">
      <c r="A59" s="20">
        <v>202405</v>
      </c>
      <c r="B59" s="17">
        <v>45413</v>
      </c>
      <c r="C59" s="15">
        <f>(SUMIFS('MAIN DATA, Orders'!$S:$S,'MAIN DATA, Orders'!$Y:$Y,$A59,'MAIN DATA, Orders'!$D:$D,"Germany",'MAIN DATA, Orders'!$I:$I,"Air defence system")/1000000000)</f>
        <v>0</v>
      </c>
      <c r="D59" s="15">
        <f>(SUMIFS('MAIN DATA, Orders'!$S:$S,'MAIN DATA, Orders'!$Y:$Y,$A59,'MAIN DATA, Orders'!$D:$D,"Germany",'MAIN DATA, Orders'!$I:$I,"Development - Air defence system")/1000000000)</f>
        <v>0</v>
      </c>
      <c r="E59" s="15">
        <f>(SUMIFS('MAIN DATA, Orders'!$S:$S,'MAIN DATA, Orders'!$Y:$Y,$A59,'MAIN DATA, Orders'!$D:$D,"Germany",'MAIN DATA, Orders'!$I:$I,"Aircraft")/1000000000)</f>
        <v>0</v>
      </c>
      <c r="F59" s="15">
        <f>(SUMIFS('MAIN DATA, Orders'!$S:$S,'MAIN DATA, Orders'!$Y:$Y,$A59,'MAIN DATA, Orders'!$D:$D,"Germany",'MAIN DATA, Orders'!$I:$I,"Development - Aircraft")/1000000000)</f>
        <v>0</v>
      </c>
      <c r="G59" s="15">
        <f>(SUMIFS('MAIN DATA, Orders'!$S:$S,'MAIN DATA, Orders'!$Y:$Y,$A59,'MAIN DATA, Orders'!$D:$D,"Germany",'MAIN DATA, Orders'!$I:$I,"Ammunition")/1000000000)</f>
        <v>0</v>
      </c>
      <c r="H59" s="15">
        <f>(SUMIFS('MAIN DATA, Orders'!$S:$S,'MAIN DATA, Orders'!$Y:$Y,$A59,'MAIN DATA, Orders'!$D:$D,"Germany",'MAIN DATA, Orders'!$I:$I,"Development - Ammunition")/1000000000)</f>
        <v>0</v>
      </c>
      <c r="I59" s="15">
        <f>(SUMIFS('MAIN DATA, Orders'!$S:$S,'MAIN DATA, Orders'!$Y:$Y,$A59,'MAIN DATA, Orders'!$D:$D,"Germany",'MAIN DATA, Orders'!$I:$I,"Armoured vehicle")/1000000000)</f>
        <v>0</v>
      </c>
      <c r="J59" s="15">
        <f>(SUMIFS('MAIN DATA, Orders'!$S:$S,'MAIN DATA, Orders'!$Y:$Y,$A59,'MAIN DATA, Orders'!$D:$D,"Germany",'MAIN DATA, Orders'!$I:$I,"Development - Armoured vehicle")/1000000000)</f>
        <v>0</v>
      </c>
      <c r="K59" s="15">
        <f>(SUMIFS('MAIN DATA, Orders'!$S:$S,'MAIN DATA, Orders'!$Y:$Y,$A59,'MAIN DATA, Orders'!$D:$D,"Germany",'MAIN DATA, Orders'!$I:$I,"Artillery")/1000000000)</f>
        <v>0</v>
      </c>
      <c r="L59" s="15">
        <f>(SUMIFS('MAIN DATA, Orders'!$S:$S,'MAIN DATA, Orders'!$Y:$Y,$A59,'MAIN DATA, Orders'!$D:$D,"Germany",'MAIN DATA, Orders'!$I:$I,"Development - Artillery")/1000000000)</f>
        <v>0</v>
      </c>
      <c r="M59" s="15">
        <f>(SUMIFS('MAIN DATA, Orders'!$S:$S,'MAIN DATA, Orders'!$Y:$Y,$A59,'MAIN DATA, Orders'!$D:$D,"Germany",'MAIN DATA, Orders'!$I:$I,"Drone")/1000000000)</f>
        <v>0</v>
      </c>
      <c r="N59" s="15">
        <f>(SUMIFS('MAIN DATA, Orders'!$S:$S,'MAIN DATA, Orders'!$Y:$Y,$A59,'MAIN DATA, Orders'!$D:$D,"Germany",'MAIN DATA, Orders'!$I:$I,"Development - Drone")/1000000000)</f>
        <v>0</v>
      </c>
      <c r="O59" s="15">
        <f>(SUMIFS('MAIN DATA, Orders'!$S:$S,'MAIN DATA, Orders'!$Y:$Y,$A59,'MAIN DATA, Orders'!$D:$D,"Germany",'MAIN DATA, Orders'!$I:$I,"Helicopter")/1000000000)</f>
        <v>0</v>
      </c>
      <c r="P59" s="15">
        <f>(SUMIFS('MAIN DATA, Orders'!$S:$S,'MAIN DATA, Orders'!$Y:$Y,$A59,'MAIN DATA, Orders'!$D:$D,"Germany",'MAIN DATA, Orders'!$I:$I,"Development - Helicopter")/1000000000)</f>
        <v>0</v>
      </c>
      <c r="Q59" s="15">
        <f>(SUMIFS('MAIN DATA, Orders'!$S:$S,'MAIN DATA, Orders'!$Y:$Y,$A59,'MAIN DATA, Orders'!$D:$D,"Germany",'MAIN DATA, Orders'!$I:$I,"Infantry")/1000000000)</f>
        <v>0</v>
      </c>
      <c r="R59" s="15">
        <f>(SUMIFS('MAIN DATA, Orders'!$S:$S,'MAIN DATA, Orders'!$Y:$Y,$A59,'MAIN DATA, Orders'!$D:$D,"Germany",'MAIN DATA, Orders'!$I:$I,"Development - Infantry")/1000000000)</f>
        <v>0</v>
      </c>
      <c r="S59" s="15">
        <f>(SUMIFS('MAIN DATA, Orders'!$S:$S,'MAIN DATA, Orders'!$Y:$Y,$A59,'MAIN DATA, Orders'!$D:$D,"Germany",'MAIN DATA, Orders'!$I:$I,"Tank")/1000000000)</f>
        <v>0</v>
      </c>
      <c r="T59" s="15">
        <f>(SUMIFS('MAIN DATA, Orders'!$S:$S,'MAIN DATA, Orders'!$Y:$Y,$A59,'MAIN DATA, Orders'!$D:$D,"Germany",'MAIN DATA, Orders'!$I:$I,"Development - Tank")/1000000000)</f>
        <v>0</v>
      </c>
      <c r="U59" s="15">
        <f>(SUMIFS('MAIN DATA, Orders'!$S:$S,'MAIN DATA, Orders'!$Y:$Y,$A59,'MAIN DATA, Orders'!$D:$D,"Germany",'MAIN DATA, Orders'!$I:$I,"Maintenance")/1000000000)</f>
        <v>0.32475999999999999</v>
      </c>
      <c r="V59" s="15">
        <f>(SUMIFS('MAIN DATA, Orders'!$S:$S,'MAIN DATA, Orders'!$Y:$Y,$A59,'MAIN DATA, Orders'!$D:$D,"Germany",'MAIN DATA, Orders'!$I:$I,"Development - Maintenance")/1000000000)</f>
        <v>0</v>
      </c>
      <c r="W59" s="15">
        <f>(SUMIFS('MAIN DATA, Orders'!$S:$S,'MAIN DATA, Orders'!$Y:$Y,$A59,'MAIN DATA, Orders'!$D:$D,"Germany",'MAIN DATA, Orders'!$I:$I,"Mine")/1000000000)</f>
        <v>0</v>
      </c>
      <c r="X59" s="15">
        <f>(SUMIFS('MAIN DATA, Orders'!$S:$S,'MAIN DATA, Orders'!$Y:$Y,$A59,'MAIN DATA, Orders'!$D:$D,"Germany",'MAIN DATA, Orders'!$I:$I,"Development - Mine")/1000000000)</f>
        <v>0</v>
      </c>
      <c r="Y59" s="15">
        <f>(SUMIFS('MAIN DATA, Orders'!$S:$S,'MAIN DATA, Orders'!$Y:$Y,$A59,'MAIN DATA, Orders'!$D:$D,"Germany",'MAIN DATA, Orders'!$J:$J,"6")/1000000000)</f>
        <v>0.17799999999999999</v>
      </c>
      <c r="Z59" s="15" cm="1">
        <f t="array" ref="Z59">SUM(SUMIFS('MAIN DATA, Orders'!$S:$S,'MAIN DATA, Orders'!$Y:$Y,$A59,'MAIN DATA, Orders'!$D:$D,"Germany",'MAIN DATA, Orders'!$I:$I,{"Development - Missile (Land)","Development - Missile (Naval)","Development - Missile (Air)"})/1000000000)</f>
        <v>0</v>
      </c>
      <c r="AA59" s="15">
        <f>(SUMIFS('MAIN DATA, Orders'!$S:$S,'MAIN DATA, Orders'!$Y:$Y,$A59,'MAIN DATA, Orders'!$D:$D,"Germany",'MAIN DATA, Orders'!$I:$I,"Modernisation")/1000000000)</f>
        <v>0.1462</v>
      </c>
      <c r="AB59" s="15">
        <f>(SUMIFS('MAIN DATA, Orders'!$S:$S,'MAIN DATA, Orders'!$Y:$Y,$A59,'MAIN DATA, Orders'!$D:$D,"Germany",'MAIN DATA, Orders'!$I:$I,"Development - Modernisation")/1000000000)</f>
        <v>0</v>
      </c>
      <c r="AC59" s="15">
        <f>(SUMIFS('MAIN DATA, Orders'!$S:$S,'MAIN DATA, Orders'!$Y:$Y,$A59,'MAIN DATA, Orders'!$D:$D,"Germany",'MAIN DATA, Orders'!$I:$I,"Naval")/1000000000)</f>
        <v>1.2</v>
      </c>
      <c r="AD59" s="15">
        <f>(SUMIFS('MAIN DATA, Orders'!$S:$S,'MAIN DATA, Orders'!$Y:$Y,$A59,'MAIN DATA, Orders'!$D:$D,"Germany",'MAIN DATA, Orders'!$I:$I,"Development - Naval")/1000000000)</f>
        <v>0</v>
      </c>
      <c r="AE59" s="15">
        <f>(SUMIFS('MAIN DATA, Orders'!$S:$S,'MAIN DATA, Orders'!$Y:$Y,$A59,'MAIN DATA, Orders'!$D:$D,"Germany",'MAIN DATA, Orders'!$I:$I,"Other")/1000000000)</f>
        <v>0</v>
      </c>
      <c r="AF59" s="15">
        <f>(SUMIFS('MAIN DATA, Orders'!$S:$S,'MAIN DATA, Orders'!$Y:$Y,$A59,'MAIN DATA, Orders'!$D:$D,"Germany",'MAIN DATA, Orders'!$I:$I,"Development - Other")/1000000000)</f>
        <v>0</v>
      </c>
      <c r="AG59" s="15"/>
      <c r="AH59" s="15" cm="1">
        <f t="array" ref="AH59">SUM(SUMIFS('MAIN DATA, Orders'!$S:$S,'MAIN DATA, Orders'!$Y:$Y,$A59,'MAIN DATA, Orders'!$D:$D,"Germany",'MAIN DATA, Orders'!$I:$I,{"Missile (Land)","Development - Missile (Land)"})/1000000000)</f>
        <v>0</v>
      </c>
      <c r="AI59" s="15" cm="1">
        <f t="array" ref="AI59">SUM(SUMIFS('MAIN DATA, Orders'!$S:$S,'MAIN DATA, Orders'!$D:$D,"Germany",'MAIN DATA, Orders'!$I:$I,{"Missile (Air)","Development - Missile (Air)"},'MAIN DATA, Orders'!$Y:$Y,$A59)/1000000000)</f>
        <v>0.17799999999999999</v>
      </c>
      <c r="AJ59" s="15" cm="1">
        <f t="array" ref="AJ59">SUM(SUMIFS('MAIN DATA, Orders'!$S:$S,'MAIN DATA, Orders'!$Y:$Y,$A59,'MAIN DATA, Orders'!$D:$D,"Germany",'MAIN DATA, Orders'!$I:$I,{"Missile (Naval)","Development - Missile (Naval)"})/1000000000)</f>
        <v>0</v>
      </c>
    </row>
    <row r="60" spans="1:36" x14ac:dyDescent="0.35">
      <c r="A60" s="20">
        <v>202406</v>
      </c>
      <c r="B60" s="17">
        <v>45444</v>
      </c>
      <c r="C60" s="15">
        <f>(SUMIFS('MAIN DATA, Orders'!$S:$S,'MAIN DATA, Orders'!$Y:$Y,$A60,'MAIN DATA, Orders'!$D:$D,"Germany",'MAIN DATA, Orders'!$I:$I,"Air defence system")/1000000000)</f>
        <v>0</v>
      </c>
      <c r="D60" s="15">
        <f>(SUMIFS('MAIN DATA, Orders'!$S:$S,'MAIN DATA, Orders'!$Y:$Y,$A60,'MAIN DATA, Orders'!$D:$D,"Germany",'MAIN DATA, Orders'!$I:$I,"Development - Air defence system")/1000000000)</f>
        <v>0</v>
      </c>
      <c r="E60" s="15">
        <f>(SUMIFS('MAIN DATA, Orders'!$S:$S,'MAIN DATA, Orders'!$Y:$Y,$A60,'MAIN DATA, Orders'!$D:$D,"Germany",'MAIN DATA, Orders'!$I:$I,"Aircraft")/1000000000)</f>
        <v>6.6000000000000003E-2</v>
      </c>
      <c r="F60" s="15">
        <f>(SUMIFS('MAIN DATA, Orders'!$S:$S,'MAIN DATA, Orders'!$Y:$Y,$A60,'MAIN DATA, Orders'!$D:$D,"Germany",'MAIN DATA, Orders'!$I:$I,"Development - Aircraft")/1000000000)</f>
        <v>0</v>
      </c>
      <c r="G60" s="15">
        <f>(SUMIFS('MAIN DATA, Orders'!$S:$S,'MAIN DATA, Orders'!$Y:$Y,$A60,'MAIN DATA, Orders'!$D:$D,"Germany",'MAIN DATA, Orders'!$I:$I,"Ammunition")/1000000000)</f>
        <v>0.88</v>
      </c>
      <c r="H60" s="15">
        <f>(SUMIFS('MAIN DATA, Orders'!$S:$S,'MAIN DATA, Orders'!$Y:$Y,$A60,'MAIN DATA, Orders'!$D:$D,"Germany",'MAIN DATA, Orders'!$I:$I,"Development - Ammunition")/1000000000)</f>
        <v>0</v>
      </c>
      <c r="I60" s="15">
        <f>(SUMIFS('MAIN DATA, Orders'!$S:$S,'MAIN DATA, Orders'!$Y:$Y,$A60,'MAIN DATA, Orders'!$D:$D,"Germany",'MAIN DATA, Orders'!$I:$I,"Armoured vehicle")/1000000000)</f>
        <v>8.5999999999999993E-2</v>
      </c>
      <c r="J60" s="15">
        <f>(SUMIFS('MAIN DATA, Orders'!$S:$S,'MAIN DATA, Orders'!$Y:$Y,$A60,'MAIN DATA, Orders'!$D:$D,"Germany",'MAIN DATA, Orders'!$I:$I,"Development - Armoured vehicle")/1000000000)</f>
        <v>0</v>
      </c>
      <c r="K60" s="15">
        <f>(SUMIFS('MAIN DATA, Orders'!$S:$S,'MAIN DATA, Orders'!$Y:$Y,$A60,'MAIN DATA, Orders'!$D:$D,"Germany",'MAIN DATA, Orders'!$I:$I,"Artillery")/1000000000)</f>
        <v>0</v>
      </c>
      <c r="L60" s="15">
        <f>(SUMIFS('MAIN DATA, Orders'!$S:$S,'MAIN DATA, Orders'!$Y:$Y,$A60,'MAIN DATA, Orders'!$D:$D,"Germany",'MAIN DATA, Orders'!$I:$I,"Development - Artillery")/1000000000)</f>
        <v>0</v>
      </c>
      <c r="M60" s="15">
        <f>(SUMIFS('MAIN DATA, Orders'!$S:$S,'MAIN DATA, Orders'!$Y:$Y,$A60,'MAIN DATA, Orders'!$D:$D,"Germany",'MAIN DATA, Orders'!$I:$I,"Drone")/1000000000)</f>
        <v>0</v>
      </c>
      <c r="N60" s="15">
        <f>(SUMIFS('MAIN DATA, Orders'!$S:$S,'MAIN DATA, Orders'!$Y:$Y,$A60,'MAIN DATA, Orders'!$D:$D,"Germany",'MAIN DATA, Orders'!$I:$I,"Development - Drone")/1000000000)</f>
        <v>0</v>
      </c>
      <c r="O60" s="15">
        <f>(SUMIFS('MAIN DATA, Orders'!$S:$S,'MAIN DATA, Orders'!$Y:$Y,$A60,'MAIN DATA, Orders'!$D:$D,"Germany",'MAIN DATA, Orders'!$I:$I,"Helicopter")/1000000000)</f>
        <v>0</v>
      </c>
      <c r="P60" s="15">
        <f>(SUMIFS('MAIN DATA, Orders'!$S:$S,'MAIN DATA, Orders'!$Y:$Y,$A60,'MAIN DATA, Orders'!$D:$D,"Germany",'MAIN DATA, Orders'!$I:$I,"Development - Helicopter")/1000000000)</f>
        <v>0</v>
      </c>
      <c r="Q60" s="15">
        <f>(SUMIFS('MAIN DATA, Orders'!$S:$S,'MAIN DATA, Orders'!$Y:$Y,$A60,'MAIN DATA, Orders'!$D:$D,"Germany",'MAIN DATA, Orders'!$I:$I,"Infantry")/1000000000)</f>
        <v>0.105</v>
      </c>
      <c r="R60" s="15">
        <f>(SUMIFS('MAIN DATA, Orders'!$S:$S,'MAIN DATA, Orders'!$Y:$Y,$A60,'MAIN DATA, Orders'!$D:$D,"Germany",'MAIN DATA, Orders'!$I:$I,"Development - Infantry")/1000000000)</f>
        <v>0</v>
      </c>
      <c r="S60" s="15">
        <f>(SUMIFS('MAIN DATA, Orders'!$S:$S,'MAIN DATA, Orders'!$Y:$Y,$A60,'MAIN DATA, Orders'!$D:$D,"Germany",'MAIN DATA, Orders'!$I:$I,"Tank")/1000000000)</f>
        <v>0</v>
      </c>
      <c r="T60" s="15">
        <f>(SUMIFS('MAIN DATA, Orders'!$S:$S,'MAIN DATA, Orders'!$Y:$Y,$A60,'MAIN DATA, Orders'!$D:$D,"Germany",'MAIN DATA, Orders'!$I:$I,"Development - Tank")/1000000000)</f>
        <v>0</v>
      </c>
      <c r="U60" s="15">
        <f>(SUMIFS('MAIN DATA, Orders'!$S:$S,'MAIN DATA, Orders'!$Y:$Y,$A60,'MAIN DATA, Orders'!$D:$D,"Germany",'MAIN DATA, Orders'!$I:$I,"Maintenance")/1000000000)</f>
        <v>0</v>
      </c>
      <c r="V60" s="15">
        <f>(SUMIFS('MAIN DATA, Orders'!$S:$S,'MAIN DATA, Orders'!$Y:$Y,$A60,'MAIN DATA, Orders'!$D:$D,"Germany",'MAIN DATA, Orders'!$I:$I,"Development - Maintenance")/1000000000)</f>
        <v>0</v>
      </c>
      <c r="W60" s="15">
        <f>(SUMIFS('MAIN DATA, Orders'!$S:$S,'MAIN DATA, Orders'!$Y:$Y,$A60,'MAIN DATA, Orders'!$D:$D,"Germany",'MAIN DATA, Orders'!$I:$I,"Mine")/1000000000)</f>
        <v>0</v>
      </c>
      <c r="X60" s="15">
        <f>(SUMIFS('MAIN DATA, Orders'!$S:$S,'MAIN DATA, Orders'!$Y:$Y,$A60,'MAIN DATA, Orders'!$D:$D,"Germany",'MAIN DATA, Orders'!$I:$I,"Development - Mine")/1000000000)</f>
        <v>0</v>
      </c>
      <c r="Y60" s="15">
        <f>(SUMIFS('MAIN DATA, Orders'!$S:$S,'MAIN DATA, Orders'!$Y:$Y,$A60,'MAIN DATA, Orders'!$D:$D,"Germany",'MAIN DATA, Orders'!$J:$J,"6")/1000000000)</f>
        <v>0.77100000000000002</v>
      </c>
      <c r="Z60" s="15" cm="1">
        <f t="array" ref="Z60">SUM(SUMIFS('MAIN DATA, Orders'!$S:$S,'MAIN DATA, Orders'!$Y:$Y,$A60,'MAIN DATA, Orders'!$D:$D,"Germany",'MAIN DATA, Orders'!$I:$I,{"Development - Missile (Land)","Development - Missile (Naval)","Development - Missile (Air)"})/1000000000)</f>
        <v>0.224</v>
      </c>
      <c r="AA60" s="15">
        <f>(SUMIFS('MAIN DATA, Orders'!$S:$S,'MAIN DATA, Orders'!$Y:$Y,$A60,'MAIN DATA, Orders'!$D:$D,"Germany",'MAIN DATA, Orders'!$I:$I,"Modernisation")/1000000000)</f>
        <v>2.2000000000000002</v>
      </c>
      <c r="AB60" s="15">
        <f>(SUMIFS('MAIN DATA, Orders'!$S:$S,'MAIN DATA, Orders'!$Y:$Y,$A60,'MAIN DATA, Orders'!$D:$D,"Germany",'MAIN DATA, Orders'!$I:$I,"Development - Modernisation")/1000000000)</f>
        <v>0</v>
      </c>
      <c r="AC60" s="15">
        <f>(SUMIFS('MAIN DATA, Orders'!$S:$S,'MAIN DATA, Orders'!$Y:$Y,$A60,'MAIN DATA, Orders'!$D:$D,"Germany",'MAIN DATA, Orders'!$I:$I,"Naval")/1000000000)</f>
        <v>3.8279999999999998</v>
      </c>
      <c r="AD60" s="15">
        <f>(SUMIFS('MAIN DATA, Orders'!$S:$S,'MAIN DATA, Orders'!$Y:$Y,$A60,'MAIN DATA, Orders'!$D:$D,"Germany",'MAIN DATA, Orders'!$I:$I,"Development - Naval")/1000000000)</f>
        <v>0</v>
      </c>
      <c r="AE60" s="15">
        <f>(SUMIFS('MAIN DATA, Orders'!$S:$S,'MAIN DATA, Orders'!$Y:$Y,$A60,'MAIN DATA, Orders'!$D:$D,"Germany",'MAIN DATA, Orders'!$I:$I,"Other")/1000000000)</f>
        <v>1.3169999999999999</v>
      </c>
      <c r="AF60" s="15">
        <f>(SUMIFS('MAIN DATA, Orders'!$S:$S,'MAIN DATA, Orders'!$Y:$Y,$A60,'MAIN DATA, Orders'!$D:$D,"Germany",'MAIN DATA, Orders'!$I:$I,"Development - Other")/1000000000)</f>
        <v>0</v>
      </c>
      <c r="AG60" s="15"/>
      <c r="AH60" s="15" cm="1">
        <f t="array" ref="AH60">SUM(SUMIFS('MAIN DATA, Orders'!$S:$S,'MAIN DATA, Orders'!$Y:$Y,$A60,'MAIN DATA, Orders'!$D:$D,"Germany",'MAIN DATA, Orders'!$I:$I,{"Missile (Land)","Development - Missile (Land)"})/1000000000)</f>
        <v>0.39500000000000002</v>
      </c>
      <c r="AI60" s="15" cm="1">
        <f t="array" ref="AI60">SUM(SUMIFS('MAIN DATA, Orders'!$S:$S,'MAIN DATA, Orders'!$D:$D,"Germany",'MAIN DATA, Orders'!$I:$I,{"Missile (Air)","Development - Missile (Air)"},'MAIN DATA, Orders'!$Y:$Y,$A60)/1000000000)</f>
        <v>0.376</v>
      </c>
      <c r="AJ60" s="15" cm="1">
        <f t="array" ref="AJ60">SUM(SUMIFS('MAIN DATA, Orders'!$S:$S,'MAIN DATA, Orders'!$Y:$Y,$A60,'MAIN DATA, Orders'!$D:$D,"Germany",'MAIN DATA, Orders'!$I:$I,{"Missile (Naval)","Development - Missile (Naval)"})/1000000000)</f>
        <v>0.224</v>
      </c>
    </row>
    <row r="61" spans="1:36" x14ac:dyDescent="0.35">
      <c r="A61" s="20">
        <v>202407</v>
      </c>
      <c r="B61" s="17">
        <v>45474</v>
      </c>
      <c r="C61" s="15">
        <f>(SUMIFS('MAIN DATA, Orders'!$S:$S,'MAIN DATA, Orders'!$Y:$Y,$A61,'MAIN DATA, Orders'!$D:$D,"Germany",'MAIN DATA, Orders'!$I:$I,"Air defence system")/1000000000)</f>
        <v>1.4</v>
      </c>
      <c r="D61" s="15">
        <f>(SUMIFS('MAIN DATA, Orders'!$S:$S,'MAIN DATA, Orders'!$Y:$Y,$A61,'MAIN DATA, Orders'!$D:$D,"Germany",'MAIN DATA, Orders'!$I:$I,"Development - Air defence system")/1000000000)</f>
        <v>0</v>
      </c>
      <c r="E61" s="15">
        <f>(SUMIFS('MAIN DATA, Orders'!$S:$S,'MAIN DATA, Orders'!$Y:$Y,$A61,'MAIN DATA, Orders'!$D:$D,"Germany",'MAIN DATA, Orders'!$I:$I,"Aircraft")/1000000000)</f>
        <v>0</v>
      </c>
      <c r="F61" s="15">
        <f>(SUMIFS('MAIN DATA, Orders'!$S:$S,'MAIN DATA, Orders'!$Y:$Y,$A61,'MAIN DATA, Orders'!$D:$D,"Germany",'MAIN DATA, Orders'!$I:$I,"Development - Aircraft")/1000000000)</f>
        <v>0</v>
      </c>
      <c r="G61" s="15">
        <f>(SUMIFS('MAIN DATA, Orders'!$S:$S,'MAIN DATA, Orders'!$Y:$Y,$A61,'MAIN DATA, Orders'!$D:$D,"Germany",'MAIN DATA, Orders'!$I:$I,"Ammunition")/1000000000)</f>
        <v>1.3</v>
      </c>
      <c r="H61" s="15">
        <f>(SUMIFS('MAIN DATA, Orders'!$S:$S,'MAIN DATA, Orders'!$Y:$Y,$A61,'MAIN DATA, Orders'!$D:$D,"Germany",'MAIN DATA, Orders'!$I:$I,"Development - Ammunition")/1000000000)</f>
        <v>0</v>
      </c>
      <c r="I61" s="15">
        <f>(SUMIFS('MAIN DATA, Orders'!$S:$S,'MAIN DATA, Orders'!$Y:$Y,$A61,'MAIN DATA, Orders'!$D:$D,"Germany",'MAIN DATA, Orders'!$I:$I,"Armoured vehicle")/1000000000)</f>
        <v>0</v>
      </c>
      <c r="J61" s="15">
        <f>(SUMIFS('MAIN DATA, Orders'!$S:$S,'MAIN DATA, Orders'!$Y:$Y,$A61,'MAIN DATA, Orders'!$D:$D,"Germany",'MAIN DATA, Orders'!$I:$I,"Development - Armoured vehicle")/1000000000)</f>
        <v>0</v>
      </c>
      <c r="K61" s="15">
        <f>(SUMIFS('MAIN DATA, Orders'!$S:$S,'MAIN DATA, Orders'!$Y:$Y,$A61,'MAIN DATA, Orders'!$D:$D,"Germany",'MAIN DATA, Orders'!$I:$I,"Artillery")/1000000000)</f>
        <v>0</v>
      </c>
      <c r="L61" s="15">
        <f>(SUMIFS('MAIN DATA, Orders'!$S:$S,'MAIN DATA, Orders'!$Y:$Y,$A61,'MAIN DATA, Orders'!$D:$D,"Germany",'MAIN DATA, Orders'!$I:$I,"Development - Artillery")/1000000000)</f>
        <v>0</v>
      </c>
      <c r="M61" s="15">
        <f>(SUMIFS('MAIN DATA, Orders'!$S:$S,'MAIN DATA, Orders'!$Y:$Y,$A61,'MAIN DATA, Orders'!$D:$D,"Germany",'MAIN DATA, Orders'!$I:$I,"Drone")/1000000000)</f>
        <v>0</v>
      </c>
      <c r="N61" s="15">
        <f>(SUMIFS('MAIN DATA, Orders'!$S:$S,'MAIN DATA, Orders'!$Y:$Y,$A61,'MAIN DATA, Orders'!$D:$D,"Germany",'MAIN DATA, Orders'!$I:$I,"Development - Drone")/1000000000)</f>
        <v>0</v>
      </c>
      <c r="O61" s="15">
        <f>(SUMIFS('MAIN DATA, Orders'!$S:$S,'MAIN DATA, Orders'!$Y:$Y,$A61,'MAIN DATA, Orders'!$D:$D,"Germany",'MAIN DATA, Orders'!$I:$I,"Helicopter")/1000000000)</f>
        <v>0</v>
      </c>
      <c r="P61" s="15">
        <f>(SUMIFS('MAIN DATA, Orders'!$S:$S,'MAIN DATA, Orders'!$Y:$Y,$A61,'MAIN DATA, Orders'!$D:$D,"Germany",'MAIN DATA, Orders'!$I:$I,"Development - Helicopter")/1000000000)</f>
        <v>0</v>
      </c>
      <c r="Q61" s="15">
        <f>(SUMIFS('MAIN DATA, Orders'!$S:$S,'MAIN DATA, Orders'!$Y:$Y,$A61,'MAIN DATA, Orders'!$D:$D,"Germany",'MAIN DATA, Orders'!$I:$I,"Infantry")/1000000000)</f>
        <v>0.45200000000000001</v>
      </c>
      <c r="R61" s="15">
        <f>(SUMIFS('MAIN DATA, Orders'!$S:$S,'MAIN DATA, Orders'!$Y:$Y,$A61,'MAIN DATA, Orders'!$D:$D,"Germany",'MAIN DATA, Orders'!$I:$I,"Development - Infantry")/1000000000)</f>
        <v>0</v>
      </c>
      <c r="S61" s="15">
        <f>(SUMIFS('MAIN DATA, Orders'!$S:$S,'MAIN DATA, Orders'!$Y:$Y,$A61,'MAIN DATA, Orders'!$D:$D,"Germany",'MAIN DATA, Orders'!$I:$I,"Tank")/1000000000)</f>
        <v>2.9</v>
      </c>
      <c r="T61" s="15">
        <f>(SUMIFS('MAIN DATA, Orders'!$S:$S,'MAIN DATA, Orders'!$Y:$Y,$A61,'MAIN DATA, Orders'!$D:$D,"Germany",'MAIN DATA, Orders'!$I:$I,"Development - Tank")/1000000000)</f>
        <v>0</v>
      </c>
      <c r="U61" s="15">
        <f>(SUMIFS('MAIN DATA, Orders'!$S:$S,'MAIN DATA, Orders'!$Y:$Y,$A61,'MAIN DATA, Orders'!$D:$D,"Germany",'MAIN DATA, Orders'!$I:$I,"Maintenance")/1000000000)</f>
        <v>0</v>
      </c>
      <c r="V61" s="15">
        <f>(SUMIFS('MAIN DATA, Orders'!$S:$S,'MAIN DATA, Orders'!$Y:$Y,$A61,'MAIN DATA, Orders'!$D:$D,"Germany",'MAIN DATA, Orders'!$I:$I,"Development - Maintenance")/1000000000)</f>
        <v>0</v>
      </c>
      <c r="W61" s="15">
        <f>(SUMIFS('MAIN DATA, Orders'!$S:$S,'MAIN DATA, Orders'!$Y:$Y,$A61,'MAIN DATA, Orders'!$D:$D,"Germany",'MAIN DATA, Orders'!$I:$I,"Mine")/1000000000)</f>
        <v>0</v>
      </c>
      <c r="X61" s="15">
        <f>(SUMIFS('MAIN DATA, Orders'!$S:$S,'MAIN DATA, Orders'!$Y:$Y,$A61,'MAIN DATA, Orders'!$D:$D,"Germany",'MAIN DATA, Orders'!$I:$I,"Development - Mine")/1000000000)</f>
        <v>0</v>
      </c>
      <c r="Y61" s="15">
        <f>(SUMIFS('MAIN DATA, Orders'!$S:$S,'MAIN DATA, Orders'!$Y:$Y,$A61,'MAIN DATA, Orders'!$D:$D,"Germany",'MAIN DATA, Orders'!$J:$J,"6")/1000000000)</f>
        <v>0.2</v>
      </c>
      <c r="Z61" s="15" cm="1">
        <f t="array" ref="Z61">SUM(SUMIFS('MAIN DATA, Orders'!$S:$S,'MAIN DATA, Orders'!$Y:$Y,$A61,'MAIN DATA, Orders'!$D:$D,"Germany",'MAIN DATA, Orders'!$I:$I,{"Development - Missile (Land)","Development - Missile (Naval)","Development - Missile (Air)"})/1000000000)</f>
        <v>0</v>
      </c>
      <c r="AA61" s="15">
        <f>(SUMIFS('MAIN DATA, Orders'!$S:$S,'MAIN DATA, Orders'!$Y:$Y,$A61,'MAIN DATA, Orders'!$D:$D,"Germany",'MAIN DATA, Orders'!$I:$I,"Modernisation")/1000000000)</f>
        <v>6.7000000000000004E-2</v>
      </c>
      <c r="AB61" s="15">
        <f>(SUMIFS('MAIN DATA, Orders'!$S:$S,'MAIN DATA, Orders'!$Y:$Y,$A61,'MAIN DATA, Orders'!$D:$D,"Germany",'MAIN DATA, Orders'!$I:$I,"Development - Modernisation")/1000000000)</f>
        <v>0</v>
      </c>
      <c r="AC61" s="15">
        <f>(SUMIFS('MAIN DATA, Orders'!$S:$S,'MAIN DATA, Orders'!$Y:$Y,$A61,'MAIN DATA, Orders'!$D:$D,"Germany",'MAIN DATA, Orders'!$I:$I,"Naval")/1000000000)</f>
        <v>0</v>
      </c>
      <c r="AD61" s="15">
        <f>(SUMIFS('MAIN DATA, Orders'!$S:$S,'MAIN DATA, Orders'!$Y:$Y,$A61,'MAIN DATA, Orders'!$D:$D,"Germany",'MAIN DATA, Orders'!$I:$I,"Development - Naval")/1000000000)</f>
        <v>0</v>
      </c>
      <c r="AE61" s="15">
        <f>(SUMIFS('MAIN DATA, Orders'!$S:$S,'MAIN DATA, Orders'!$Y:$Y,$A61,'MAIN DATA, Orders'!$D:$D,"Germany",'MAIN DATA, Orders'!$I:$I,"Other")/1000000000)</f>
        <v>0</v>
      </c>
      <c r="AF61" s="15">
        <f>(SUMIFS('MAIN DATA, Orders'!$S:$S,'MAIN DATA, Orders'!$Y:$Y,$A61,'MAIN DATA, Orders'!$D:$D,"Germany",'MAIN DATA, Orders'!$I:$I,"Development - Other")/1000000000)</f>
        <v>0</v>
      </c>
      <c r="AG61" s="15"/>
      <c r="AH61" s="15" cm="1">
        <f t="array" ref="AH61">SUM(SUMIFS('MAIN DATA, Orders'!$S:$S,'MAIN DATA, Orders'!$Y:$Y,$A61,'MAIN DATA, Orders'!$D:$D,"Germany",'MAIN DATA, Orders'!$I:$I,{"Missile (Land)","Development - Missile (Land)"})/1000000000)</f>
        <v>0.2</v>
      </c>
      <c r="AI61" s="15" cm="1">
        <f t="array" ref="AI61">SUM(SUMIFS('MAIN DATA, Orders'!$S:$S,'MAIN DATA, Orders'!$D:$D,"Germany",'MAIN DATA, Orders'!$I:$I,{"Missile (Air)","Development - Missile (Air)"},'MAIN DATA, Orders'!$Y:$Y,$A61)/1000000000)</f>
        <v>0</v>
      </c>
      <c r="AJ61" s="15" cm="1">
        <f t="array" ref="AJ61">SUM(SUMIFS('MAIN DATA, Orders'!$S:$S,'MAIN DATA, Orders'!$Y:$Y,$A61,'MAIN DATA, Orders'!$D:$D,"Germany",'MAIN DATA, Orders'!$I:$I,{"Missile (Naval)","Development - Missile (Naval)"})/1000000000)</f>
        <v>0</v>
      </c>
    </row>
    <row r="62" spans="1:36" x14ac:dyDescent="0.35">
      <c r="A62" s="20">
        <v>202408</v>
      </c>
      <c r="B62" s="17">
        <v>45505</v>
      </c>
      <c r="C62" s="15">
        <f>(SUMIFS('MAIN DATA, Orders'!$S:$S,'MAIN DATA, Orders'!$Y:$Y,$A62,'MAIN DATA, Orders'!$D:$D,"Germany",'MAIN DATA, Orders'!$I:$I,"Air defence system")/1000000000)</f>
        <v>0</v>
      </c>
      <c r="D62" s="15">
        <f>(SUMIFS('MAIN DATA, Orders'!$S:$S,'MAIN DATA, Orders'!$Y:$Y,$A62,'MAIN DATA, Orders'!$D:$D,"Germany",'MAIN DATA, Orders'!$I:$I,"Development - Air defence system")/1000000000)</f>
        <v>0</v>
      </c>
      <c r="E62" s="15">
        <f>(SUMIFS('MAIN DATA, Orders'!$S:$S,'MAIN DATA, Orders'!$Y:$Y,$A62,'MAIN DATA, Orders'!$D:$D,"Germany",'MAIN DATA, Orders'!$I:$I,"Aircraft")/1000000000)</f>
        <v>0</v>
      </c>
      <c r="F62" s="15">
        <f>(SUMIFS('MAIN DATA, Orders'!$S:$S,'MAIN DATA, Orders'!$Y:$Y,$A62,'MAIN DATA, Orders'!$D:$D,"Germany",'MAIN DATA, Orders'!$I:$I,"Development - Aircraft")/1000000000)</f>
        <v>0</v>
      </c>
      <c r="G62" s="15">
        <f>(SUMIFS('MAIN DATA, Orders'!$S:$S,'MAIN DATA, Orders'!$Y:$Y,$A62,'MAIN DATA, Orders'!$D:$D,"Germany",'MAIN DATA, Orders'!$I:$I,"Ammunition")/1000000000)</f>
        <v>0</v>
      </c>
      <c r="H62" s="15">
        <f>(SUMIFS('MAIN DATA, Orders'!$S:$S,'MAIN DATA, Orders'!$Y:$Y,$A62,'MAIN DATA, Orders'!$D:$D,"Germany",'MAIN DATA, Orders'!$I:$I,"Development - Ammunition")/1000000000)</f>
        <v>0</v>
      </c>
      <c r="I62" s="15">
        <f>(SUMIFS('MAIN DATA, Orders'!$S:$S,'MAIN DATA, Orders'!$Y:$Y,$A62,'MAIN DATA, Orders'!$D:$D,"Germany",'MAIN DATA, Orders'!$I:$I,"Armoured vehicle")/1000000000)</f>
        <v>0</v>
      </c>
      <c r="J62" s="15">
        <f>(SUMIFS('MAIN DATA, Orders'!$S:$S,'MAIN DATA, Orders'!$Y:$Y,$A62,'MAIN DATA, Orders'!$D:$D,"Germany",'MAIN DATA, Orders'!$I:$I,"Development - Armoured vehicle")/1000000000)</f>
        <v>0</v>
      </c>
      <c r="K62" s="15">
        <f>(SUMIFS('MAIN DATA, Orders'!$S:$S,'MAIN DATA, Orders'!$Y:$Y,$A62,'MAIN DATA, Orders'!$D:$D,"Germany",'MAIN DATA, Orders'!$I:$I,"Artillery")/1000000000)</f>
        <v>0</v>
      </c>
      <c r="L62" s="15">
        <f>(SUMIFS('MAIN DATA, Orders'!$S:$S,'MAIN DATA, Orders'!$Y:$Y,$A62,'MAIN DATA, Orders'!$D:$D,"Germany",'MAIN DATA, Orders'!$I:$I,"Development - Artillery")/1000000000)</f>
        <v>0</v>
      </c>
      <c r="M62" s="15">
        <f>(SUMIFS('MAIN DATA, Orders'!$S:$S,'MAIN DATA, Orders'!$Y:$Y,$A62,'MAIN DATA, Orders'!$D:$D,"Germany",'MAIN DATA, Orders'!$I:$I,"Drone")/1000000000)</f>
        <v>0</v>
      </c>
      <c r="N62" s="15">
        <f>(SUMIFS('MAIN DATA, Orders'!$S:$S,'MAIN DATA, Orders'!$Y:$Y,$A62,'MAIN DATA, Orders'!$D:$D,"Germany",'MAIN DATA, Orders'!$I:$I,"Development - Drone")/1000000000)</f>
        <v>0</v>
      </c>
      <c r="O62" s="15">
        <f>(SUMIFS('MAIN DATA, Orders'!$S:$S,'MAIN DATA, Orders'!$Y:$Y,$A62,'MAIN DATA, Orders'!$D:$D,"Germany",'MAIN DATA, Orders'!$I:$I,"Helicopter")/1000000000)</f>
        <v>0</v>
      </c>
      <c r="P62" s="15">
        <f>(SUMIFS('MAIN DATA, Orders'!$S:$S,'MAIN DATA, Orders'!$Y:$Y,$A62,'MAIN DATA, Orders'!$D:$D,"Germany",'MAIN DATA, Orders'!$I:$I,"Development - Helicopter")/1000000000)</f>
        <v>0</v>
      </c>
      <c r="Q62" s="15">
        <f>(SUMIFS('MAIN DATA, Orders'!$S:$S,'MAIN DATA, Orders'!$Y:$Y,$A62,'MAIN DATA, Orders'!$D:$D,"Germany",'MAIN DATA, Orders'!$I:$I,"Infantry")/1000000000)</f>
        <v>0</v>
      </c>
      <c r="R62" s="15">
        <f>(SUMIFS('MAIN DATA, Orders'!$S:$S,'MAIN DATA, Orders'!$Y:$Y,$A62,'MAIN DATA, Orders'!$D:$D,"Germany",'MAIN DATA, Orders'!$I:$I,"Development - Infantry")/1000000000)</f>
        <v>0</v>
      </c>
      <c r="S62" s="15">
        <f>(SUMIFS('MAIN DATA, Orders'!$S:$S,'MAIN DATA, Orders'!$Y:$Y,$A62,'MAIN DATA, Orders'!$D:$D,"Germany",'MAIN DATA, Orders'!$I:$I,"Tank")/1000000000)</f>
        <v>0</v>
      </c>
      <c r="T62" s="15">
        <f>(SUMIFS('MAIN DATA, Orders'!$S:$S,'MAIN DATA, Orders'!$Y:$Y,$A62,'MAIN DATA, Orders'!$D:$D,"Germany",'MAIN DATA, Orders'!$I:$I,"Development - Tank")/1000000000)</f>
        <v>0</v>
      </c>
      <c r="U62" s="15">
        <f>(SUMIFS('MAIN DATA, Orders'!$S:$S,'MAIN DATA, Orders'!$Y:$Y,$A62,'MAIN DATA, Orders'!$D:$D,"Germany",'MAIN DATA, Orders'!$I:$I,"Maintenance")/1000000000)</f>
        <v>0</v>
      </c>
      <c r="V62" s="15">
        <f>(SUMIFS('MAIN DATA, Orders'!$S:$S,'MAIN DATA, Orders'!$Y:$Y,$A62,'MAIN DATA, Orders'!$D:$D,"Germany",'MAIN DATA, Orders'!$I:$I,"Development - Maintenance")/1000000000)</f>
        <v>0</v>
      </c>
      <c r="W62" s="15">
        <f>(SUMIFS('MAIN DATA, Orders'!$S:$S,'MAIN DATA, Orders'!$Y:$Y,$A62,'MAIN DATA, Orders'!$D:$D,"Germany",'MAIN DATA, Orders'!$I:$I,"Mine")/1000000000)</f>
        <v>0</v>
      </c>
      <c r="X62" s="15">
        <f>(SUMIFS('MAIN DATA, Orders'!$S:$S,'MAIN DATA, Orders'!$Y:$Y,$A62,'MAIN DATA, Orders'!$D:$D,"Germany",'MAIN DATA, Orders'!$I:$I,"Development - Mine")/1000000000)</f>
        <v>0</v>
      </c>
      <c r="Y62" s="15">
        <f>(SUMIFS('MAIN DATA, Orders'!$S:$S,'MAIN DATA, Orders'!$Y:$Y,$A62,'MAIN DATA, Orders'!$D:$D,"Germany",'MAIN DATA, Orders'!$J:$J,"6")/1000000000)</f>
        <v>0</v>
      </c>
      <c r="Z62" s="15" cm="1">
        <f t="array" ref="Z62">SUM(SUMIFS('MAIN DATA, Orders'!$S:$S,'MAIN DATA, Orders'!$Y:$Y,$A62,'MAIN DATA, Orders'!$D:$D,"Germany",'MAIN DATA, Orders'!$I:$I,{"Development - Missile (Land)","Development - Missile (Naval)","Development - Missile (Air)"})/1000000000)</f>
        <v>0</v>
      </c>
      <c r="AA62" s="15">
        <f>(SUMIFS('MAIN DATA, Orders'!$S:$S,'MAIN DATA, Orders'!$Y:$Y,$A62,'MAIN DATA, Orders'!$D:$D,"Germany",'MAIN DATA, Orders'!$I:$I,"Modernisation")/1000000000)</f>
        <v>0</v>
      </c>
      <c r="AB62" s="15">
        <f>(SUMIFS('MAIN DATA, Orders'!$S:$S,'MAIN DATA, Orders'!$Y:$Y,$A62,'MAIN DATA, Orders'!$D:$D,"Germany",'MAIN DATA, Orders'!$I:$I,"Development - Modernisation")/1000000000)</f>
        <v>0</v>
      </c>
      <c r="AC62" s="15">
        <f>(SUMIFS('MAIN DATA, Orders'!$S:$S,'MAIN DATA, Orders'!$Y:$Y,$A62,'MAIN DATA, Orders'!$D:$D,"Germany",'MAIN DATA, Orders'!$I:$I,"Naval")/1000000000)</f>
        <v>0</v>
      </c>
      <c r="AD62" s="15">
        <f>(SUMIFS('MAIN DATA, Orders'!$S:$S,'MAIN DATA, Orders'!$Y:$Y,$A62,'MAIN DATA, Orders'!$D:$D,"Germany",'MAIN DATA, Orders'!$I:$I,"Development - Naval")/1000000000)</f>
        <v>0</v>
      </c>
      <c r="AE62" s="15">
        <f>(SUMIFS('MAIN DATA, Orders'!$S:$S,'MAIN DATA, Orders'!$Y:$Y,$A62,'MAIN DATA, Orders'!$D:$D,"Germany",'MAIN DATA, Orders'!$I:$I,"Other")/1000000000)</f>
        <v>0</v>
      </c>
      <c r="AF62" s="15">
        <f>(SUMIFS('MAIN DATA, Orders'!$S:$S,'MAIN DATA, Orders'!$Y:$Y,$A62,'MAIN DATA, Orders'!$D:$D,"Germany",'MAIN DATA, Orders'!$I:$I,"Development - Other")/1000000000)</f>
        <v>0</v>
      </c>
      <c r="AG62" s="15"/>
      <c r="AH62" s="15" cm="1">
        <f t="array" ref="AH62">SUM(SUMIFS('MAIN DATA, Orders'!$S:$S,'MAIN DATA, Orders'!$Y:$Y,$A62,'MAIN DATA, Orders'!$D:$D,"Germany",'MAIN DATA, Orders'!$I:$I,{"Missile (Land)","Development - Missile (Land)"})/1000000000)</f>
        <v>0</v>
      </c>
      <c r="AI62" s="15" cm="1">
        <f t="array" ref="AI62">SUM(SUMIFS('MAIN DATA, Orders'!$S:$S,'MAIN DATA, Orders'!$D:$D,"Germany",'MAIN DATA, Orders'!$I:$I,{"Missile (Air)","Development - Missile (Air)"},'MAIN DATA, Orders'!$Y:$Y,$A62)/1000000000)</f>
        <v>0</v>
      </c>
      <c r="AJ62" s="15" cm="1">
        <f t="array" ref="AJ62">SUM(SUMIFS('MAIN DATA, Orders'!$S:$S,'MAIN DATA, Orders'!$Y:$Y,$A62,'MAIN DATA, Orders'!$D:$D,"Germany",'MAIN DATA, Orders'!$I:$I,{"Missile (Naval)","Development - Missile (Naval)"})/1000000000)</f>
        <v>0</v>
      </c>
    </row>
    <row r="63" spans="1:36" x14ac:dyDescent="0.35">
      <c r="A63" s="20">
        <v>202409</v>
      </c>
      <c r="B63" s="17">
        <v>45536</v>
      </c>
      <c r="C63" s="15">
        <f>(SUMIFS('MAIN DATA, Orders'!$S:$S,'MAIN DATA, Orders'!$Y:$Y,$A63,'MAIN DATA, Orders'!$D:$D,"Germany",'MAIN DATA, Orders'!$I:$I,"Air defence system")/1000000000)</f>
        <v>0</v>
      </c>
      <c r="D63" s="15">
        <f>(SUMIFS('MAIN DATA, Orders'!$S:$S,'MAIN DATA, Orders'!$Y:$Y,$A63,'MAIN DATA, Orders'!$D:$D,"Germany",'MAIN DATA, Orders'!$I:$I,"Development - Air defence system")/1000000000)</f>
        <v>0</v>
      </c>
      <c r="E63" s="15">
        <f>(SUMIFS('MAIN DATA, Orders'!$S:$S,'MAIN DATA, Orders'!$Y:$Y,$A63,'MAIN DATA, Orders'!$D:$D,"Germany",'MAIN DATA, Orders'!$I:$I,"Aircraft")/1000000000)</f>
        <v>0</v>
      </c>
      <c r="F63" s="15">
        <f>(SUMIFS('MAIN DATA, Orders'!$S:$S,'MAIN DATA, Orders'!$Y:$Y,$A63,'MAIN DATA, Orders'!$D:$D,"Germany",'MAIN DATA, Orders'!$I:$I,"Development - Aircraft")/1000000000)</f>
        <v>0</v>
      </c>
      <c r="G63" s="15">
        <f>(SUMIFS('MAIN DATA, Orders'!$S:$S,'MAIN DATA, Orders'!$Y:$Y,$A63,'MAIN DATA, Orders'!$D:$D,"Germany",'MAIN DATA, Orders'!$I:$I,"Ammunition")/1000000000)</f>
        <v>0</v>
      </c>
      <c r="H63" s="15">
        <f>(SUMIFS('MAIN DATA, Orders'!$S:$S,'MAIN DATA, Orders'!$Y:$Y,$A63,'MAIN DATA, Orders'!$D:$D,"Germany",'MAIN DATA, Orders'!$I:$I,"Development - Ammunition")/1000000000)</f>
        <v>0</v>
      </c>
      <c r="I63" s="15">
        <f>(SUMIFS('MAIN DATA, Orders'!$S:$S,'MAIN DATA, Orders'!$Y:$Y,$A63,'MAIN DATA, Orders'!$D:$D,"Germany",'MAIN DATA, Orders'!$I:$I,"Armoured vehicle")/1000000000)</f>
        <v>0</v>
      </c>
      <c r="J63" s="15">
        <f>(SUMIFS('MAIN DATA, Orders'!$S:$S,'MAIN DATA, Orders'!$Y:$Y,$A63,'MAIN DATA, Orders'!$D:$D,"Germany",'MAIN DATA, Orders'!$I:$I,"Development - Armoured vehicle")/1000000000)</f>
        <v>0</v>
      </c>
      <c r="K63" s="15">
        <f>(SUMIFS('MAIN DATA, Orders'!$S:$S,'MAIN DATA, Orders'!$Y:$Y,$A63,'MAIN DATA, Orders'!$D:$D,"Germany",'MAIN DATA, Orders'!$I:$I,"Artillery")/1000000000)</f>
        <v>0</v>
      </c>
      <c r="L63" s="15">
        <f>(SUMIFS('MAIN DATA, Orders'!$S:$S,'MAIN DATA, Orders'!$Y:$Y,$A63,'MAIN DATA, Orders'!$D:$D,"Germany",'MAIN DATA, Orders'!$I:$I,"Development - Artillery")/1000000000)</f>
        <v>0</v>
      </c>
      <c r="M63" s="15">
        <f>(SUMIFS('MAIN DATA, Orders'!$S:$S,'MAIN DATA, Orders'!$Y:$Y,$A63,'MAIN DATA, Orders'!$D:$D,"Germany",'MAIN DATA, Orders'!$I:$I,"Drone")/1000000000)</f>
        <v>0</v>
      </c>
      <c r="N63" s="15">
        <f>(SUMIFS('MAIN DATA, Orders'!$S:$S,'MAIN DATA, Orders'!$Y:$Y,$A63,'MAIN DATA, Orders'!$D:$D,"Germany",'MAIN DATA, Orders'!$I:$I,"Development - Drone")/1000000000)</f>
        <v>0</v>
      </c>
      <c r="O63" s="15">
        <f>(SUMIFS('MAIN DATA, Orders'!$S:$S,'MAIN DATA, Orders'!$Y:$Y,$A63,'MAIN DATA, Orders'!$D:$D,"Germany",'MAIN DATA, Orders'!$I:$I,"Helicopter")/1000000000)</f>
        <v>0</v>
      </c>
      <c r="P63" s="15">
        <f>(SUMIFS('MAIN DATA, Orders'!$S:$S,'MAIN DATA, Orders'!$Y:$Y,$A63,'MAIN DATA, Orders'!$D:$D,"Germany",'MAIN DATA, Orders'!$I:$I,"Development - Helicopter")/1000000000)</f>
        <v>0</v>
      </c>
      <c r="Q63" s="15">
        <f>(SUMIFS('MAIN DATA, Orders'!$S:$S,'MAIN DATA, Orders'!$Y:$Y,$A63,'MAIN DATA, Orders'!$D:$D,"Germany",'MAIN DATA, Orders'!$I:$I,"Infantry")/1000000000)</f>
        <v>0</v>
      </c>
      <c r="R63" s="15">
        <f>(SUMIFS('MAIN DATA, Orders'!$S:$S,'MAIN DATA, Orders'!$Y:$Y,$A63,'MAIN DATA, Orders'!$D:$D,"Germany",'MAIN DATA, Orders'!$I:$I,"Development - Infantry")/1000000000)</f>
        <v>0</v>
      </c>
      <c r="S63" s="15">
        <f>(SUMIFS('MAIN DATA, Orders'!$S:$S,'MAIN DATA, Orders'!$Y:$Y,$A63,'MAIN DATA, Orders'!$D:$D,"Germany",'MAIN DATA, Orders'!$I:$I,"Tank")/1000000000)</f>
        <v>0</v>
      </c>
      <c r="T63" s="15">
        <f>(SUMIFS('MAIN DATA, Orders'!$S:$S,'MAIN DATA, Orders'!$Y:$Y,$A63,'MAIN DATA, Orders'!$D:$D,"Germany",'MAIN DATA, Orders'!$I:$I,"Development - Tank")/1000000000)</f>
        <v>0</v>
      </c>
      <c r="U63" s="15">
        <f>(SUMIFS('MAIN DATA, Orders'!$S:$S,'MAIN DATA, Orders'!$Y:$Y,$A63,'MAIN DATA, Orders'!$D:$D,"Germany",'MAIN DATA, Orders'!$I:$I,"Maintenance")/1000000000)</f>
        <v>0</v>
      </c>
      <c r="V63" s="15">
        <f>(SUMIFS('MAIN DATA, Orders'!$S:$S,'MAIN DATA, Orders'!$Y:$Y,$A63,'MAIN DATA, Orders'!$D:$D,"Germany",'MAIN DATA, Orders'!$I:$I,"Development - Maintenance")/1000000000)</f>
        <v>0</v>
      </c>
      <c r="W63" s="15">
        <f>(SUMIFS('MAIN DATA, Orders'!$S:$S,'MAIN DATA, Orders'!$Y:$Y,$A63,'MAIN DATA, Orders'!$D:$D,"Germany",'MAIN DATA, Orders'!$I:$I,"Mine")/1000000000)</f>
        <v>0</v>
      </c>
      <c r="X63" s="15">
        <f>(SUMIFS('MAIN DATA, Orders'!$S:$S,'MAIN DATA, Orders'!$Y:$Y,$A63,'MAIN DATA, Orders'!$D:$D,"Germany",'MAIN DATA, Orders'!$I:$I,"Development - Mine")/1000000000)</f>
        <v>0</v>
      </c>
      <c r="Y63" s="15">
        <f>(SUMIFS('MAIN DATA, Orders'!$S:$S,'MAIN DATA, Orders'!$Y:$Y,$A63,'MAIN DATA, Orders'!$D:$D,"Germany",'MAIN DATA, Orders'!$J:$J,"6")/1000000000)</f>
        <v>0.52059999999999995</v>
      </c>
      <c r="Z63" s="15" cm="1">
        <f t="array" ref="Z63">SUM(SUMIFS('MAIN DATA, Orders'!$S:$S,'MAIN DATA, Orders'!$Y:$Y,$A63,'MAIN DATA, Orders'!$D:$D,"Germany",'MAIN DATA, Orders'!$I:$I,{"Development - Missile (Land)","Development - Missile (Naval)","Development - Missile (Air)"})/1000000000)</f>
        <v>0</v>
      </c>
      <c r="AA63" s="15">
        <f>(SUMIFS('MAIN DATA, Orders'!$S:$S,'MAIN DATA, Orders'!$Y:$Y,$A63,'MAIN DATA, Orders'!$D:$D,"Germany",'MAIN DATA, Orders'!$I:$I,"Modernisation")/1000000000)</f>
        <v>0.43140000000000001</v>
      </c>
      <c r="AB63" s="15">
        <f>(SUMIFS('MAIN DATA, Orders'!$S:$S,'MAIN DATA, Orders'!$Y:$Y,$A63,'MAIN DATA, Orders'!$D:$D,"Germany",'MAIN DATA, Orders'!$I:$I,"Development - Modernisation")/1000000000)</f>
        <v>0</v>
      </c>
      <c r="AC63" s="15">
        <f>(SUMIFS('MAIN DATA, Orders'!$S:$S,'MAIN DATA, Orders'!$Y:$Y,$A63,'MAIN DATA, Orders'!$D:$D,"Germany",'MAIN DATA, Orders'!$I:$I,"Naval")/1000000000)</f>
        <v>0</v>
      </c>
      <c r="AD63" s="15">
        <f>(SUMIFS('MAIN DATA, Orders'!$S:$S,'MAIN DATA, Orders'!$Y:$Y,$A63,'MAIN DATA, Orders'!$D:$D,"Germany",'MAIN DATA, Orders'!$I:$I,"Development - Naval")/1000000000)</f>
        <v>0</v>
      </c>
      <c r="AE63" s="15">
        <f>(SUMIFS('MAIN DATA, Orders'!$S:$S,'MAIN DATA, Orders'!$Y:$Y,$A63,'MAIN DATA, Orders'!$D:$D,"Germany",'MAIN DATA, Orders'!$I:$I,"Other")/1000000000)</f>
        <v>0</v>
      </c>
      <c r="AF63" s="15">
        <f>(SUMIFS('MAIN DATA, Orders'!$S:$S,'MAIN DATA, Orders'!$Y:$Y,$A63,'MAIN DATA, Orders'!$D:$D,"Germany",'MAIN DATA, Orders'!$I:$I,"Development - Other")/1000000000)</f>
        <v>0</v>
      </c>
      <c r="AG63" s="15"/>
      <c r="AH63" s="15" cm="1">
        <f t="array" ref="AH63">SUM(SUMIFS('MAIN DATA, Orders'!$S:$S,'MAIN DATA, Orders'!$Y:$Y,$A63,'MAIN DATA, Orders'!$D:$D,"Germany",'MAIN DATA, Orders'!$I:$I,{"Missile (Land)","Development - Missile (Land)"})/1000000000)</f>
        <v>0</v>
      </c>
      <c r="AI63" s="15" cm="1">
        <f t="array" ref="AI63">SUM(SUMIFS('MAIN DATA, Orders'!$S:$S,'MAIN DATA, Orders'!$D:$D,"Germany",'MAIN DATA, Orders'!$I:$I,{"Missile (Air)","Development - Missile (Air)"},'MAIN DATA, Orders'!$Y:$Y,$A63)/1000000000)</f>
        <v>0.122</v>
      </c>
      <c r="AJ63" s="15" cm="1">
        <f t="array" ref="AJ63">SUM(SUMIFS('MAIN DATA, Orders'!$S:$S,'MAIN DATA, Orders'!$Y:$Y,$A63,'MAIN DATA, Orders'!$D:$D,"Germany",'MAIN DATA, Orders'!$I:$I,{"Missile (Naval)","Development - Missile (Naval)"})/1000000000)</f>
        <v>0.39860000000000001</v>
      </c>
    </row>
    <row r="64" spans="1:36" x14ac:dyDescent="0.35">
      <c r="A64" s="20">
        <v>202410</v>
      </c>
      <c r="B64" s="17">
        <v>45566</v>
      </c>
      <c r="C64" s="15">
        <f>(SUMIFS('MAIN DATA, Orders'!$S:$S,'MAIN DATA, Orders'!$Y:$Y,$A64,'MAIN DATA, Orders'!$D:$D,"Germany",'MAIN DATA, Orders'!$I:$I,"Air defence system")/1000000000)</f>
        <v>0</v>
      </c>
      <c r="D64" s="15">
        <f>(SUMIFS('MAIN DATA, Orders'!$S:$S,'MAIN DATA, Orders'!$Y:$Y,$A64,'MAIN DATA, Orders'!$D:$D,"Germany",'MAIN DATA, Orders'!$I:$I,"Development - Air defence system")/1000000000)</f>
        <v>0</v>
      </c>
      <c r="E64" s="15">
        <f>(SUMIFS('MAIN DATA, Orders'!$S:$S,'MAIN DATA, Orders'!$Y:$Y,$A64,'MAIN DATA, Orders'!$D:$D,"Germany",'MAIN DATA, Orders'!$I:$I,"Aircraft")/1000000000)</f>
        <v>0.32200000000000001</v>
      </c>
      <c r="F64" s="15">
        <f>(SUMIFS('MAIN DATA, Orders'!$S:$S,'MAIN DATA, Orders'!$Y:$Y,$A64,'MAIN DATA, Orders'!$D:$D,"Germany",'MAIN DATA, Orders'!$I:$I,"Development - Aircraft")/1000000000)</f>
        <v>0</v>
      </c>
      <c r="G64" s="15">
        <f>(SUMIFS('MAIN DATA, Orders'!$S:$S,'MAIN DATA, Orders'!$Y:$Y,$A64,'MAIN DATA, Orders'!$D:$D,"Germany",'MAIN DATA, Orders'!$I:$I,"Ammunition")/1000000000)</f>
        <v>0</v>
      </c>
      <c r="H64" s="15">
        <f>(SUMIFS('MAIN DATA, Orders'!$S:$S,'MAIN DATA, Orders'!$Y:$Y,$A64,'MAIN DATA, Orders'!$D:$D,"Germany",'MAIN DATA, Orders'!$I:$I,"Development - Ammunition")/1000000000)</f>
        <v>0</v>
      </c>
      <c r="I64" s="15">
        <f>(SUMIFS('MAIN DATA, Orders'!$S:$S,'MAIN DATA, Orders'!$Y:$Y,$A64,'MAIN DATA, Orders'!$D:$D,"Germany",'MAIN DATA, Orders'!$I:$I,"Armoured vehicle")/1000000000)</f>
        <v>0</v>
      </c>
      <c r="J64" s="15">
        <f>(SUMIFS('MAIN DATA, Orders'!$S:$S,'MAIN DATA, Orders'!$Y:$Y,$A64,'MAIN DATA, Orders'!$D:$D,"Germany",'MAIN DATA, Orders'!$I:$I,"Development - Armoured vehicle")/1000000000)</f>
        <v>0</v>
      </c>
      <c r="K64" s="15">
        <f>(SUMIFS('MAIN DATA, Orders'!$S:$S,'MAIN DATA, Orders'!$Y:$Y,$A64,'MAIN DATA, Orders'!$D:$D,"Germany",'MAIN DATA, Orders'!$I:$I,"Artillery")/1000000000)</f>
        <v>0</v>
      </c>
      <c r="L64" s="15">
        <f>(SUMIFS('MAIN DATA, Orders'!$S:$S,'MAIN DATA, Orders'!$Y:$Y,$A64,'MAIN DATA, Orders'!$D:$D,"Germany",'MAIN DATA, Orders'!$I:$I,"Development - Artillery")/1000000000)</f>
        <v>0</v>
      </c>
      <c r="M64" s="15">
        <f>(SUMIFS('MAIN DATA, Orders'!$S:$S,'MAIN DATA, Orders'!$Y:$Y,$A64,'MAIN DATA, Orders'!$D:$D,"Germany",'MAIN DATA, Orders'!$I:$I,"Drone")/1000000000)</f>
        <v>0</v>
      </c>
      <c r="N64" s="15">
        <f>(SUMIFS('MAIN DATA, Orders'!$S:$S,'MAIN DATA, Orders'!$Y:$Y,$A64,'MAIN DATA, Orders'!$D:$D,"Germany",'MAIN DATA, Orders'!$I:$I,"Development - Drone")/1000000000)</f>
        <v>0</v>
      </c>
      <c r="O64" s="15">
        <f>(SUMIFS('MAIN DATA, Orders'!$S:$S,'MAIN DATA, Orders'!$Y:$Y,$A64,'MAIN DATA, Orders'!$D:$D,"Germany",'MAIN DATA, Orders'!$I:$I,"Helicopter")/1000000000)</f>
        <v>0</v>
      </c>
      <c r="P64" s="15">
        <f>(SUMIFS('MAIN DATA, Orders'!$S:$S,'MAIN DATA, Orders'!$Y:$Y,$A64,'MAIN DATA, Orders'!$D:$D,"Germany",'MAIN DATA, Orders'!$I:$I,"Development - Helicopter")/1000000000)</f>
        <v>0</v>
      </c>
      <c r="Q64" s="15">
        <f>(SUMIFS('MAIN DATA, Orders'!$S:$S,'MAIN DATA, Orders'!$Y:$Y,$A64,'MAIN DATA, Orders'!$D:$D,"Germany",'MAIN DATA, Orders'!$I:$I,"Infantry")/1000000000)</f>
        <v>0</v>
      </c>
      <c r="R64" s="15">
        <f>(SUMIFS('MAIN DATA, Orders'!$S:$S,'MAIN DATA, Orders'!$Y:$Y,$A64,'MAIN DATA, Orders'!$D:$D,"Germany",'MAIN DATA, Orders'!$I:$I,"Development - Infantry")/1000000000)</f>
        <v>0</v>
      </c>
      <c r="S64" s="15">
        <f>(SUMIFS('MAIN DATA, Orders'!$S:$S,'MAIN DATA, Orders'!$Y:$Y,$A64,'MAIN DATA, Orders'!$D:$D,"Germany",'MAIN DATA, Orders'!$I:$I,"Tank")/1000000000)</f>
        <v>0</v>
      </c>
      <c r="T64" s="15">
        <f>(SUMIFS('MAIN DATA, Orders'!$S:$S,'MAIN DATA, Orders'!$Y:$Y,$A64,'MAIN DATA, Orders'!$D:$D,"Germany",'MAIN DATA, Orders'!$I:$I,"Development - Tank")/1000000000)</f>
        <v>0</v>
      </c>
      <c r="U64" s="15">
        <f>(SUMIFS('MAIN DATA, Orders'!$S:$S,'MAIN DATA, Orders'!$Y:$Y,$A64,'MAIN DATA, Orders'!$D:$D,"Germany",'MAIN DATA, Orders'!$I:$I,"Maintenance")/1000000000)</f>
        <v>0</v>
      </c>
      <c r="V64" s="15">
        <f>(SUMIFS('MAIN DATA, Orders'!$S:$S,'MAIN DATA, Orders'!$Y:$Y,$A64,'MAIN DATA, Orders'!$D:$D,"Germany",'MAIN DATA, Orders'!$I:$I,"Development - Maintenance")/1000000000)</f>
        <v>0</v>
      </c>
      <c r="W64" s="15">
        <f>(SUMIFS('MAIN DATA, Orders'!$S:$S,'MAIN DATA, Orders'!$Y:$Y,$A64,'MAIN DATA, Orders'!$D:$D,"Germany",'MAIN DATA, Orders'!$I:$I,"Mine")/1000000000)</f>
        <v>0</v>
      </c>
      <c r="X64" s="15">
        <f>(SUMIFS('MAIN DATA, Orders'!$S:$S,'MAIN DATA, Orders'!$Y:$Y,$A64,'MAIN DATA, Orders'!$D:$D,"Germany",'MAIN DATA, Orders'!$I:$I,"Development - Mine")/1000000000)</f>
        <v>0</v>
      </c>
      <c r="Y64" s="15">
        <f>(SUMIFS('MAIN DATA, Orders'!$S:$S,'MAIN DATA, Orders'!$Y:$Y,$A64,'MAIN DATA, Orders'!$D:$D,"Germany",'MAIN DATA, Orders'!$J:$J,"6")/1000000000)</f>
        <v>0</v>
      </c>
      <c r="Z64" s="15" cm="1">
        <f t="array" ref="Z64">SUM(SUMIFS('MAIN DATA, Orders'!$S:$S,'MAIN DATA, Orders'!$Y:$Y,$A64,'MAIN DATA, Orders'!$D:$D,"Germany",'MAIN DATA, Orders'!$I:$I,{"Development - Missile (Land)","Development - Missile (Naval)","Development - Missile (Air)"})/1000000000)</f>
        <v>0</v>
      </c>
      <c r="AA64" s="15">
        <f>(SUMIFS('MAIN DATA, Orders'!$S:$S,'MAIN DATA, Orders'!$Y:$Y,$A64,'MAIN DATA, Orders'!$D:$D,"Germany",'MAIN DATA, Orders'!$I:$I,"Modernisation")/1000000000)</f>
        <v>6.5430000000000001</v>
      </c>
      <c r="AB64" s="15">
        <f>(SUMIFS('MAIN DATA, Orders'!$S:$S,'MAIN DATA, Orders'!$Y:$Y,$A64,'MAIN DATA, Orders'!$D:$D,"Germany",'MAIN DATA, Orders'!$I:$I,"Development - Modernisation")/1000000000)</f>
        <v>0</v>
      </c>
      <c r="AC64" s="15">
        <f>(SUMIFS('MAIN DATA, Orders'!$S:$S,'MAIN DATA, Orders'!$Y:$Y,$A64,'MAIN DATA, Orders'!$D:$D,"Germany",'MAIN DATA, Orders'!$I:$I,"Naval")/1000000000)</f>
        <v>0.23</v>
      </c>
      <c r="AD64" s="15">
        <f>(SUMIFS('MAIN DATA, Orders'!$S:$S,'MAIN DATA, Orders'!$Y:$Y,$A64,'MAIN DATA, Orders'!$D:$D,"Germany",'MAIN DATA, Orders'!$I:$I,"Development - Naval")/1000000000)</f>
        <v>0</v>
      </c>
      <c r="AE64" s="15">
        <f>(SUMIFS('MAIN DATA, Orders'!$S:$S,'MAIN DATA, Orders'!$Y:$Y,$A64,'MAIN DATA, Orders'!$D:$D,"Germany",'MAIN DATA, Orders'!$I:$I,"Other")/1000000000)</f>
        <v>0.124</v>
      </c>
      <c r="AF64" s="15">
        <f>(SUMIFS('MAIN DATA, Orders'!$S:$S,'MAIN DATA, Orders'!$Y:$Y,$A64,'MAIN DATA, Orders'!$D:$D,"Germany",'MAIN DATA, Orders'!$I:$I,"Development - Other")/1000000000)</f>
        <v>0</v>
      </c>
      <c r="AG64" s="15"/>
      <c r="AH64" s="15" cm="1">
        <f t="array" ref="AH64">SUM(SUMIFS('MAIN DATA, Orders'!$S:$S,'MAIN DATA, Orders'!$Y:$Y,$A64,'MAIN DATA, Orders'!$D:$D,"Germany",'MAIN DATA, Orders'!$I:$I,{"Missile (Land)","Development - Missile (Land)"})/1000000000)</f>
        <v>0</v>
      </c>
      <c r="AI64" s="15" cm="1">
        <f t="array" ref="AI64">SUM(SUMIFS('MAIN DATA, Orders'!$S:$S,'MAIN DATA, Orders'!$D:$D,"Germany",'MAIN DATA, Orders'!$I:$I,{"Missile (Air)","Development - Missile (Air)"},'MAIN DATA, Orders'!$Y:$Y,$A64)/1000000000)</f>
        <v>0</v>
      </c>
      <c r="AJ64" s="15" cm="1">
        <f t="array" ref="AJ64">SUM(SUMIFS('MAIN DATA, Orders'!$S:$S,'MAIN DATA, Orders'!$Y:$Y,$A64,'MAIN DATA, Orders'!$D:$D,"Germany",'MAIN DATA, Orders'!$I:$I,{"Missile (Naval)","Development - Missile (Naval)"})/1000000000)</f>
        <v>0</v>
      </c>
    </row>
    <row r="65" spans="1:36" x14ac:dyDescent="0.35">
      <c r="A65" s="20">
        <v>202411</v>
      </c>
      <c r="B65" s="17">
        <v>45597</v>
      </c>
      <c r="C65" s="15">
        <f>(SUMIFS('MAIN DATA, Orders'!$S:$S,'MAIN DATA, Orders'!$Y:$Y,$A65,'MAIN DATA, Orders'!$D:$D,"Germany",'MAIN DATA, Orders'!$I:$I,"Air defence system")/1000000000)</f>
        <v>0</v>
      </c>
      <c r="D65" s="15">
        <f>(SUMIFS('MAIN DATA, Orders'!$S:$S,'MAIN DATA, Orders'!$Y:$Y,$A65,'MAIN DATA, Orders'!$D:$D,"Germany",'MAIN DATA, Orders'!$I:$I,"Development - Air defence system")/1000000000)</f>
        <v>0</v>
      </c>
      <c r="E65" s="15">
        <f>(SUMIFS('MAIN DATA, Orders'!$S:$S,'MAIN DATA, Orders'!$Y:$Y,$A65,'MAIN DATA, Orders'!$D:$D,"Germany",'MAIN DATA, Orders'!$I:$I,"Aircraft")/1000000000)</f>
        <v>0</v>
      </c>
      <c r="F65" s="15">
        <f>(SUMIFS('MAIN DATA, Orders'!$S:$S,'MAIN DATA, Orders'!$Y:$Y,$A65,'MAIN DATA, Orders'!$D:$D,"Germany",'MAIN DATA, Orders'!$I:$I,"Development - Aircraft")/1000000000)</f>
        <v>6.3E-2</v>
      </c>
      <c r="G65" s="15">
        <f>(SUMIFS('MAIN DATA, Orders'!$S:$S,'MAIN DATA, Orders'!$Y:$Y,$A65,'MAIN DATA, Orders'!$D:$D,"Germany",'MAIN DATA, Orders'!$I:$I,"Ammunition")/1000000000)</f>
        <v>0</v>
      </c>
      <c r="H65" s="15">
        <f>(SUMIFS('MAIN DATA, Orders'!$S:$S,'MAIN DATA, Orders'!$Y:$Y,$A65,'MAIN DATA, Orders'!$D:$D,"Germany",'MAIN DATA, Orders'!$I:$I,"Development - Ammunition")/1000000000)</f>
        <v>0</v>
      </c>
      <c r="I65" s="15">
        <f>(SUMIFS('MAIN DATA, Orders'!$S:$S,'MAIN DATA, Orders'!$Y:$Y,$A65,'MAIN DATA, Orders'!$D:$D,"Germany",'MAIN DATA, Orders'!$I:$I,"Armoured vehicle")/1000000000)</f>
        <v>0</v>
      </c>
      <c r="J65" s="15">
        <f>(SUMIFS('MAIN DATA, Orders'!$S:$S,'MAIN DATA, Orders'!$Y:$Y,$A65,'MAIN DATA, Orders'!$D:$D,"Germany",'MAIN DATA, Orders'!$I:$I,"Development - Armoured vehicle")/1000000000)</f>
        <v>0</v>
      </c>
      <c r="K65" s="15">
        <f>(SUMIFS('MAIN DATA, Orders'!$S:$S,'MAIN DATA, Orders'!$Y:$Y,$A65,'MAIN DATA, Orders'!$D:$D,"Germany",'MAIN DATA, Orders'!$I:$I,"Artillery")/1000000000)</f>
        <v>0</v>
      </c>
      <c r="L65" s="15">
        <f>(SUMIFS('MAIN DATA, Orders'!$S:$S,'MAIN DATA, Orders'!$Y:$Y,$A65,'MAIN DATA, Orders'!$D:$D,"Germany",'MAIN DATA, Orders'!$I:$I,"Development - Artillery")/1000000000)</f>
        <v>0</v>
      </c>
      <c r="M65" s="15">
        <f>(SUMIFS('MAIN DATA, Orders'!$S:$S,'MAIN DATA, Orders'!$Y:$Y,$A65,'MAIN DATA, Orders'!$D:$D,"Germany",'MAIN DATA, Orders'!$I:$I,"Drone")/1000000000)</f>
        <v>0</v>
      </c>
      <c r="N65" s="15">
        <f>(SUMIFS('MAIN DATA, Orders'!$S:$S,'MAIN DATA, Orders'!$Y:$Y,$A65,'MAIN DATA, Orders'!$D:$D,"Germany",'MAIN DATA, Orders'!$I:$I,"Development - Drone")/1000000000)</f>
        <v>0</v>
      </c>
      <c r="O65" s="15">
        <f>(SUMIFS('MAIN DATA, Orders'!$S:$S,'MAIN DATA, Orders'!$Y:$Y,$A65,'MAIN DATA, Orders'!$D:$D,"Germany",'MAIN DATA, Orders'!$I:$I,"Helicopter")/1000000000)</f>
        <v>0</v>
      </c>
      <c r="P65" s="15">
        <f>(SUMIFS('MAIN DATA, Orders'!$S:$S,'MAIN DATA, Orders'!$Y:$Y,$A65,'MAIN DATA, Orders'!$D:$D,"Germany",'MAIN DATA, Orders'!$I:$I,"Development - Helicopter")/1000000000)</f>
        <v>0</v>
      </c>
      <c r="Q65" s="15">
        <f>(SUMIFS('MAIN DATA, Orders'!$S:$S,'MAIN DATA, Orders'!$Y:$Y,$A65,'MAIN DATA, Orders'!$D:$D,"Germany",'MAIN DATA, Orders'!$I:$I,"Infantry")/1000000000)</f>
        <v>0</v>
      </c>
      <c r="R65" s="15">
        <f>(SUMIFS('MAIN DATA, Orders'!$S:$S,'MAIN DATA, Orders'!$Y:$Y,$A65,'MAIN DATA, Orders'!$D:$D,"Germany",'MAIN DATA, Orders'!$I:$I,"Development - Infantry")/1000000000)</f>
        <v>0</v>
      </c>
      <c r="S65" s="15">
        <f>(SUMIFS('MAIN DATA, Orders'!$S:$S,'MAIN DATA, Orders'!$Y:$Y,$A65,'MAIN DATA, Orders'!$D:$D,"Germany",'MAIN DATA, Orders'!$I:$I,"Tank")/1000000000)</f>
        <v>0</v>
      </c>
      <c r="T65" s="15">
        <f>(SUMIFS('MAIN DATA, Orders'!$S:$S,'MAIN DATA, Orders'!$Y:$Y,$A65,'MAIN DATA, Orders'!$D:$D,"Germany",'MAIN DATA, Orders'!$I:$I,"Development - Tank")/1000000000)</f>
        <v>0</v>
      </c>
      <c r="U65" s="15">
        <f>(SUMIFS('MAIN DATA, Orders'!$S:$S,'MAIN DATA, Orders'!$Y:$Y,$A65,'MAIN DATA, Orders'!$D:$D,"Germany",'MAIN DATA, Orders'!$I:$I,"Maintenance")/1000000000)</f>
        <v>0</v>
      </c>
      <c r="V65" s="15">
        <f>(SUMIFS('MAIN DATA, Orders'!$S:$S,'MAIN DATA, Orders'!$Y:$Y,$A65,'MAIN DATA, Orders'!$D:$D,"Germany",'MAIN DATA, Orders'!$I:$I,"Development - Maintenance")/1000000000)</f>
        <v>0</v>
      </c>
      <c r="W65" s="15">
        <f>(SUMIFS('MAIN DATA, Orders'!$S:$S,'MAIN DATA, Orders'!$Y:$Y,$A65,'MAIN DATA, Orders'!$D:$D,"Germany",'MAIN DATA, Orders'!$I:$I,"Mine")/1000000000)</f>
        <v>0</v>
      </c>
      <c r="X65" s="15">
        <f>(SUMIFS('MAIN DATA, Orders'!$S:$S,'MAIN DATA, Orders'!$Y:$Y,$A65,'MAIN DATA, Orders'!$D:$D,"Germany",'MAIN DATA, Orders'!$I:$I,"Development - Mine")/1000000000)</f>
        <v>0</v>
      </c>
      <c r="Y65" s="15">
        <f>(SUMIFS('MAIN DATA, Orders'!$S:$S,'MAIN DATA, Orders'!$Y:$Y,$A65,'MAIN DATA, Orders'!$D:$D,"Germany",'MAIN DATA, Orders'!$J:$J,"6")/1000000000)</f>
        <v>0.52100000000000002</v>
      </c>
      <c r="Z65" s="15" cm="1">
        <f t="array" ref="Z65">SUM(SUMIFS('MAIN DATA, Orders'!$S:$S,'MAIN DATA, Orders'!$Y:$Y,$A65,'MAIN DATA, Orders'!$D:$D,"Germany",'MAIN DATA, Orders'!$I:$I,{"Development - Missile (Land)","Development - Missile (Naval)","Development - Missile (Air)"})/1000000000)</f>
        <v>0</v>
      </c>
      <c r="AA65" s="15">
        <f>(SUMIFS('MAIN DATA, Orders'!$S:$S,'MAIN DATA, Orders'!$Y:$Y,$A65,'MAIN DATA, Orders'!$D:$D,"Germany",'MAIN DATA, Orders'!$I:$I,"Modernisation")/1000000000)</f>
        <v>1.464</v>
      </c>
      <c r="AB65" s="15">
        <f>(SUMIFS('MAIN DATA, Orders'!$S:$S,'MAIN DATA, Orders'!$Y:$Y,$A65,'MAIN DATA, Orders'!$D:$D,"Germany",'MAIN DATA, Orders'!$I:$I,"Development - Modernisation")/1000000000)</f>
        <v>0</v>
      </c>
      <c r="AC65" s="15">
        <f>(SUMIFS('MAIN DATA, Orders'!$S:$S,'MAIN DATA, Orders'!$Y:$Y,$A65,'MAIN DATA, Orders'!$D:$D,"Germany",'MAIN DATA, Orders'!$I:$I,"Naval")/1000000000)</f>
        <v>0</v>
      </c>
      <c r="AD65" s="15">
        <f>(SUMIFS('MAIN DATA, Orders'!$S:$S,'MAIN DATA, Orders'!$Y:$Y,$A65,'MAIN DATA, Orders'!$D:$D,"Germany",'MAIN DATA, Orders'!$I:$I,"Development - Naval")/1000000000)</f>
        <v>0</v>
      </c>
      <c r="AE65" s="15">
        <f>(SUMIFS('MAIN DATA, Orders'!$S:$S,'MAIN DATA, Orders'!$Y:$Y,$A65,'MAIN DATA, Orders'!$D:$D,"Germany",'MAIN DATA, Orders'!$I:$I,"Other")/1000000000)</f>
        <v>0.1145</v>
      </c>
      <c r="AF65" s="15">
        <f>(SUMIFS('MAIN DATA, Orders'!$S:$S,'MAIN DATA, Orders'!$Y:$Y,$A65,'MAIN DATA, Orders'!$D:$D,"Germany",'MAIN DATA, Orders'!$I:$I,"Development - Other")/1000000000)</f>
        <v>0</v>
      </c>
      <c r="AG65" s="15"/>
      <c r="AH65" s="15" cm="1">
        <f t="array" ref="AH65">SUM(SUMIFS('MAIN DATA, Orders'!$S:$S,'MAIN DATA, Orders'!$Y:$Y,$A65,'MAIN DATA, Orders'!$D:$D,"Germany",'MAIN DATA, Orders'!$I:$I,{"Missile (Land)","Development - Missile (Land)"})/1000000000)</f>
        <v>0</v>
      </c>
      <c r="AI65" s="15" cm="1">
        <f t="array" ref="AI65">SUM(SUMIFS('MAIN DATA, Orders'!$S:$S,'MAIN DATA, Orders'!$D:$D,"Germany",'MAIN DATA, Orders'!$I:$I,{"Missile (Air)","Development - Missile (Air)"},'MAIN DATA, Orders'!$Y:$Y,$A65)/1000000000)</f>
        <v>0.52100000000000002</v>
      </c>
      <c r="AJ65" s="15" cm="1">
        <f t="array" ref="AJ65">SUM(SUMIFS('MAIN DATA, Orders'!$S:$S,'MAIN DATA, Orders'!$Y:$Y,$A65,'MAIN DATA, Orders'!$D:$D,"Germany",'MAIN DATA, Orders'!$I:$I,{"Missile (Naval)","Development - Missile (Naval)"})/1000000000)</f>
        <v>0</v>
      </c>
    </row>
    <row r="66" spans="1:36" x14ac:dyDescent="0.35">
      <c r="A66" s="20">
        <v>202412</v>
      </c>
      <c r="B66" s="17">
        <v>45627</v>
      </c>
      <c r="C66" s="15">
        <f>(SUMIFS('MAIN DATA, Orders'!$S:$S,'MAIN DATA, Orders'!$Y:$Y,$A66,'MAIN DATA, Orders'!$D:$D,"Germany",'MAIN DATA, Orders'!$I:$I,"Air defence system")/1000000000)</f>
        <v>0</v>
      </c>
      <c r="D66" s="15">
        <f>(SUMIFS('MAIN DATA, Orders'!$S:$S,'MAIN DATA, Orders'!$Y:$Y,$A66,'MAIN DATA, Orders'!$D:$D,"Germany",'MAIN DATA, Orders'!$I:$I,"Development - Air defence system")/1000000000)</f>
        <v>0</v>
      </c>
      <c r="E66" s="15">
        <f>(SUMIFS('MAIN DATA, Orders'!$S:$S,'MAIN DATA, Orders'!$Y:$Y,$A66,'MAIN DATA, Orders'!$D:$D,"Germany",'MAIN DATA, Orders'!$I:$I,"Aircraft")/1000000000)</f>
        <v>0</v>
      </c>
      <c r="F66" s="15">
        <f>(SUMIFS('MAIN DATA, Orders'!$S:$S,'MAIN DATA, Orders'!$Y:$Y,$A66,'MAIN DATA, Orders'!$D:$D,"Germany",'MAIN DATA, Orders'!$I:$I,"Development - Aircraft")/1000000000)</f>
        <v>0</v>
      </c>
      <c r="G66" s="15">
        <f>(SUMIFS('MAIN DATA, Orders'!$S:$S,'MAIN DATA, Orders'!$Y:$Y,$A66,'MAIN DATA, Orders'!$D:$D,"Germany",'MAIN DATA, Orders'!$I:$I,"Ammunition")/1000000000)</f>
        <v>0</v>
      </c>
      <c r="H66" s="15">
        <f>(SUMIFS('MAIN DATA, Orders'!$S:$S,'MAIN DATA, Orders'!$Y:$Y,$A66,'MAIN DATA, Orders'!$D:$D,"Germany",'MAIN DATA, Orders'!$I:$I,"Development - Ammunition")/1000000000)</f>
        <v>0</v>
      </c>
      <c r="I66" s="15">
        <f>(SUMIFS('MAIN DATA, Orders'!$S:$S,'MAIN DATA, Orders'!$Y:$Y,$A66,'MAIN DATA, Orders'!$D:$D,"Germany",'MAIN DATA, Orders'!$I:$I,"Armoured vehicle")/1000000000)</f>
        <v>0</v>
      </c>
      <c r="J66" s="15">
        <f>(SUMIFS('MAIN DATA, Orders'!$S:$S,'MAIN DATA, Orders'!$Y:$Y,$A66,'MAIN DATA, Orders'!$D:$D,"Germany",'MAIN DATA, Orders'!$I:$I,"Development - Armoured vehicle")/1000000000)</f>
        <v>0</v>
      </c>
      <c r="K66" s="15">
        <f>(SUMIFS('MAIN DATA, Orders'!$S:$S,'MAIN DATA, Orders'!$Y:$Y,$A66,'MAIN DATA, Orders'!$D:$D,"Germany",'MAIN DATA, Orders'!$I:$I,"Artillery")/1000000000)</f>
        <v>6.5000000000000002E-2</v>
      </c>
      <c r="L66" s="15">
        <f>(SUMIFS('MAIN DATA, Orders'!$S:$S,'MAIN DATA, Orders'!$Y:$Y,$A66,'MAIN DATA, Orders'!$D:$D,"Germany",'MAIN DATA, Orders'!$I:$I,"Development - Artillery")/1000000000)</f>
        <v>0</v>
      </c>
      <c r="M66" s="15">
        <f>(SUMIFS('MAIN DATA, Orders'!$S:$S,'MAIN DATA, Orders'!$Y:$Y,$A66,'MAIN DATA, Orders'!$D:$D,"Germany",'MAIN DATA, Orders'!$I:$I,"Drone")/1000000000)</f>
        <v>0</v>
      </c>
      <c r="N66" s="15">
        <f>(SUMIFS('MAIN DATA, Orders'!$S:$S,'MAIN DATA, Orders'!$Y:$Y,$A66,'MAIN DATA, Orders'!$D:$D,"Germany",'MAIN DATA, Orders'!$I:$I,"Development - Drone")/1000000000)</f>
        <v>0</v>
      </c>
      <c r="O66" s="15">
        <f>(SUMIFS('MAIN DATA, Orders'!$S:$S,'MAIN DATA, Orders'!$Y:$Y,$A66,'MAIN DATA, Orders'!$D:$D,"Germany",'MAIN DATA, Orders'!$I:$I,"Helicopter")/1000000000)</f>
        <v>0</v>
      </c>
      <c r="P66" s="15">
        <f>(SUMIFS('MAIN DATA, Orders'!$S:$S,'MAIN DATA, Orders'!$Y:$Y,$A66,'MAIN DATA, Orders'!$D:$D,"Germany",'MAIN DATA, Orders'!$I:$I,"Development - Helicopter")/1000000000)</f>
        <v>0</v>
      </c>
      <c r="Q66" s="15">
        <f>(SUMIFS('MAIN DATA, Orders'!$S:$S,'MAIN DATA, Orders'!$Y:$Y,$A66,'MAIN DATA, Orders'!$D:$D,"Germany",'MAIN DATA, Orders'!$I:$I,"Infantry")/1000000000)</f>
        <v>0</v>
      </c>
      <c r="R66" s="15">
        <f>(SUMIFS('MAIN DATA, Orders'!$S:$S,'MAIN DATA, Orders'!$Y:$Y,$A66,'MAIN DATA, Orders'!$D:$D,"Germany",'MAIN DATA, Orders'!$I:$I,"Development - Infantry")/1000000000)</f>
        <v>0</v>
      </c>
      <c r="S66" s="15">
        <f>(SUMIFS('MAIN DATA, Orders'!$S:$S,'MAIN DATA, Orders'!$Y:$Y,$A66,'MAIN DATA, Orders'!$D:$D,"Germany",'MAIN DATA, Orders'!$I:$I,"Tank")/1000000000)</f>
        <v>0</v>
      </c>
      <c r="T66" s="15">
        <f>(SUMIFS('MAIN DATA, Orders'!$S:$S,'MAIN DATA, Orders'!$Y:$Y,$A66,'MAIN DATA, Orders'!$D:$D,"Germany",'MAIN DATA, Orders'!$I:$I,"Development - Tank")/1000000000)</f>
        <v>0</v>
      </c>
      <c r="U66" s="15">
        <f>(SUMIFS('MAIN DATA, Orders'!$S:$S,'MAIN DATA, Orders'!$Y:$Y,$A66,'MAIN DATA, Orders'!$D:$D,"Germany",'MAIN DATA, Orders'!$I:$I,"Maintenance")/1000000000)</f>
        <v>0</v>
      </c>
      <c r="V66" s="15">
        <f>(SUMIFS('MAIN DATA, Orders'!$S:$S,'MAIN DATA, Orders'!$Y:$Y,$A66,'MAIN DATA, Orders'!$D:$D,"Germany",'MAIN DATA, Orders'!$I:$I,"Development - Maintenance")/1000000000)</f>
        <v>0</v>
      </c>
      <c r="W66" s="15">
        <f>(SUMIFS('MAIN DATA, Orders'!$S:$S,'MAIN DATA, Orders'!$Y:$Y,$A66,'MAIN DATA, Orders'!$D:$D,"Germany",'MAIN DATA, Orders'!$I:$I,"Mine")/1000000000)</f>
        <v>0</v>
      </c>
      <c r="X66" s="15">
        <f>(SUMIFS('MAIN DATA, Orders'!$S:$S,'MAIN DATA, Orders'!$Y:$Y,$A66,'MAIN DATA, Orders'!$D:$D,"Germany",'MAIN DATA, Orders'!$I:$I,"Development - Mine")/1000000000)</f>
        <v>0</v>
      </c>
      <c r="Y66" s="15">
        <f>(SUMIFS('MAIN DATA, Orders'!$S:$S,'MAIN DATA, Orders'!$Y:$Y,$A66,'MAIN DATA, Orders'!$D:$D,"Germany",'MAIN DATA, Orders'!$J:$J,"6")/1000000000)</f>
        <v>0</v>
      </c>
      <c r="Z66" s="15" cm="1">
        <f t="array" ref="Z66">SUM(SUMIFS('MAIN DATA, Orders'!$S:$S,'MAIN DATA, Orders'!$Y:$Y,$A66,'MAIN DATA, Orders'!$D:$D,"Germany",'MAIN DATA, Orders'!$I:$I,{"Development - Missile (Land)","Development - Missile (Naval)","Development - Missile (Air)"})/1000000000)</f>
        <v>0</v>
      </c>
      <c r="AA66" s="15">
        <f>(SUMIFS('MAIN DATA, Orders'!$S:$S,'MAIN DATA, Orders'!$Y:$Y,$A66,'MAIN DATA, Orders'!$D:$D,"Germany",'MAIN DATA, Orders'!$I:$I,"Modernisation")/1000000000)</f>
        <v>0.8</v>
      </c>
      <c r="AB66" s="15">
        <f>(SUMIFS('MAIN DATA, Orders'!$S:$S,'MAIN DATA, Orders'!$Y:$Y,$A66,'MAIN DATA, Orders'!$D:$D,"Germany",'MAIN DATA, Orders'!$I:$I,"Development - Modernisation")/1000000000)</f>
        <v>0</v>
      </c>
      <c r="AC66" s="15">
        <f>(SUMIFS('MAIN DATA, Orders'!$S:$S,'MAIN DATA, Orders'!$Y:$Y,$A66,'MAIN DATA, Orders'!$D:$D,"Germany",'MAIN DATA, Orders'!$I:$I,"Naval")/1000000000)</f>
        <v>4.9697589999999998</v>
      </c>
      <c r="AD66" s="15">
        <f>(SUMIFS('MAIN DATA, Orders'!$S:$S,'MAIN DATA, Orders'!$Y:$Y,$A66,'MAIN DATA, Orders'!$D:$D,"Germany",'MAIN DATA, Orders'!$I:$I,"Development - Naval")/1000000000)</f>
        <v>0</v>
      </c>
      <c r="AE66" s="15">
        <f>(SUMIFS('MAIN DATA, Orders'!$S:$S,'MAIN DATA, Orders'!$Y:$Y,$A66,'MAIN DATA, Orders'!$D:$D,"Germany",'MAIN DATA, Orders'!$I:$I,"Other")/1000000000)</f>
        <v>14.165241</v>
      </c>
      <c r="AF66" s="15">
        <f>(SUMIFS('MAIN DATA, Orders'!$S:$S,'MAIN DATA, Orders'!$Y:$Y,$A66,'MAIN DATA, Orders'!$D:$D,"Germany",'MAIN DATA, Orders'!$I:$I,"Development - Other")/1000000000)</f>
        <v>0</v>
      </c>
      <c r="AG66" s="15"/>
      <c r="AH66" s="15" cm="1">
        <f t="array" ref="AH66">SUM(SUMIFS('MAIN DATA, Orders'!$S:$S,'MAIN DATA, Orders'!$Y:$Y,$A66,'MAIN DATA, Orders'!$D:$D,"Germany",'MAIN DATA, Orders'!$I:$I,{"Missile (Land)","Development - Missile (Land)"})/1000000000)</f>
        <v>0</v>
      </c>
      <c r="AI66" s="15" cm="1">
        <f t="array" ref="AI66">SUM(SUMIFS('MAIN DATA, Orders'!$S:$S,'MAIN DATA, Orders'!$D:$D,"Germany",'MAIN DATA, Orders'!$I:$I,{"Missile (Air)","Development - Missile (Air)"},'MAIN DATA, Orders'!$Y:$Y,$A66)/1000000000)</f>
        <v>0</v>
      </c>
      <c r="AJ66" s="15" cm="1">
        <f t="array" ref="AJ66">SUM(SUMIFS('MAIN DATA, Orders'!$S:$S,'MAIN DATA, Orders'!$Y:$Y,$A66,'MAIN DATA, Orders'!$D:$D,"Germany",'MAIN DATA, Orders'!$I:$I,{"Missile (Naval)","Development - Missile (Naval)"})/1000000000)</f>
        <v>0</v>
      </c>
    </row>
    <row r="67" spans="1:36" x14ac:dyDescent="0.35">
      <c r="A67" s="20">
        <v>202501</v>
      </c>
      <c r="B67" s="17">
        <v>45658</v>
      </c>
      <c r="C67" s="15">
        <f>(SUMIFS('MAIN DATA, Orders'!$S:$S,'MAIN DATA, Orders'!$Y:$Y,$A67,'MAIN DATA, Orders'!$D:$D,"Germany",'MAIN DATA, Orders'!$I:$I,"Air defence system")/1000000000)</f>
        <v>0</v>
      </c>
      <c r="D67" s="15">
        <f>(SUMIFS('MAIN DATA, Orders'!$S:$S,'MAIN DATA, Orders'!$Y:$Y,$A67,'MAIN DATA, Orders'!$D:$D,"Germany",'MAIN DATA, Orders'!$I:$I,"Development - Air defence system")/1000000000)</f>
        <v>0</v>
      </c>
      <c r="E67" s="15">
        <f>(SUMIFS('MAIN DATA, Orders'!$S:$S,'MAIN DATA, Orders'!$Y:$Y,$A67,'MAIN DATA, Orders'!$D:$D,"Germany",'MAIN DATA, Orders'!$I:$I,"Aircraft")/1000000000)</f>
        <v>0</v>
      </c>
      <c r="F67" s="15">
        <f>(SUMIFS('MAIN DATA, Orders'!$S:$S,'MAIN DATA, Orders'!$Y:$Y,$A67,'MAIN DATA, Orders'!$D:$D,"Germany",'MAIN DATA, Orders'!$I:$I,"Development - Aircraft")/1000000000)</f>
        <v>0</v>
      </c>
      <c r="G67" s="15">
        <f>(SUMIFS('MAIN DATA, Orders'!$S:$S,'MAIN DATA, Orders'!$Y:$Y,$A67,'MAIN DATA, Orders'!$D:$D,"Germany",'MAIN DATA, Orders'!$I:$I,"Ammunition")/1000000000)</f>
        <v>0</v>
      </c>
      <c r="H67" s="15">
        <f>(SUMIFS('MAIN DATA, Orders'!$S:$S,'MAIN DATA, Orders'!$Y:$Y,$A67,'MAIN DATA, Orders'!$D:$D,"Germany",'MAIN DATA, Orders'!$I:$I,"Development - Ammunition")/1000000000)</f>
        <v>0</v>
      </c>
      <c r="I67" s="15">
        <f>(SUMIFS('MAIN DATA, Orders'!$S:$S,'MAIN DATA, Orders'!$Y:$Y,$A67,'MAIN DATA, Orders'!$D:$D,"Germany",'MAIN DATA, Orders'!$I:$I,"Armoured vehicle")/1000000000)</f>
        <v>0</v>
      </c>
      <c r="J67" s="15">
        <f>(SUMIFS('MAIN DATA, Orders'!$S:$S,'MAIN DATA, Orders'!$Y:$Y,$A67,'MAIN DATA, Orders'!$D:$D,"Germany",'MAIN DATA, Orders'!$I:$I,"Development - Armoured vehicle")/1000000000)</f>
        <v>5.0999999999999997E-2</v>
      </c>
      <c r="K67" s="15">
        <f>(SUMIFS('MAIN DATA, Orders'!$S:$S,'MAIN DATA, Orders'!$Y:$Y,$A67,'MAIN DATA, Orders'!$D:$D,"Germany",'MAIN DATA, Orders'!$I:$I,"Artillery")/1000000000)</f>
        <v>0</v>
      </c>
      <c r="L67" s="15">
        <f>(SUMIFS('MAIN DATA, Orders'!$S:$S,'MAIN DATA, Orders'!$Y:$Y,$A67,'MAIN DATA, Orders'!$D:$D,"Germany",'MAIN DATA, Orders'!$I:$I,"Development - Artillery")/1000000000)</f>
        <v>0</v>
      </c>
      <c r="M67" s="15">
        <f>(SUMIFS('MAIN DATA, Orders'!$S:$S,'MAIN DATA, Orders'!$Y:$Y,$A67,'MAIN DATA, Orders'!$D:$D,"Germany",'MAIN DATA, Orders'!$I:$I,"Drone")/1000000000)</f>
        <v>0</v>
      </c>
      <c r="N67" s="15">
        <f>(SUMIFS('MAIN DATA, Orders'!$S:$S,'MAIN DATA, Orders'!$Y:$Y,$A67,'MAIN DATA, Orders'!$D:$D,"Germany",'MAIN DATA, Orders'!$I:$I,"Development - Drone")/1000000000)</f>
        <v>0</v>
      </c>
      <c r="O67" s="15">
        <f>(SUMIFS('MAIN DATA, Orders'!$S:$S,'MAIN DATA, Orders'!$Y:$Y,$A67,'MAIN DATA, Orders'!$D:$D,"Germany",'MAIN DATA, Orders'!$I:$I,"Helicopter")/1000000000)</f>
        <v>0</v>
      </c>
      <c r="P67" s="15">
        <f>(SUMIFS('MAIN DATA, Orders'!$S:$S,'MAIN DATA, Orders'!$Y:$Y,$A67,'MAIN DATA, Orders'!$D:$D,"Germany",'MAIN DATA, Orders'!$I:$I,"Development - Helicopter")/1000000000)</f>
        <v>0</v>
      </c>
      <c r="Q67" s="15">
        <f>(SUMIFS('MAIN DATA, Orders'!$S:$S,'MAIN DATA, Orders'!$Y:$Y,$A67,'MAIN DATA, Orders'!$D:$D,"Germany",'MAIN DATA, Orders'!$I:$I,"Infantry")/1000000000)</f>
        <v>0</v>
      </c>
      <c r="R67" s="15">
        <f>(SUMIFS('MAIN DATA, Orders'!$S:$S,'MAIN DATA, Orders'!$Y:$Y,$A67,'MAIN DATA, Orders'!$D:$D,"Germany",'MAIN DATA, Orders'!$I:$I,"Development - Infantry")/1000000000)</f>
        <v>0</v>
      </c>
      <c r="S67" s="15">
        <f>(SUMIFS('MAIN DATA, Orders'!$S:$S,'MAIN DATA, Orders'!$Y:$Y,$A67,'MAIN DATA, Orders'!$D:$D,"Germany",'MAIN DATA, Orders'!$I:$I,"Tank")/1000000000)</f>
        <v>0</v>
      </c>
      <c r="T67" s="15">
        <f>(SUMIFS('MAIN DATA, Orders'!$S:$S,'MAIN DATA, Orders'!$Y:$Y,$A67,'MAIN DATA, Orders'!$D:$D,"Germany",'MAIN DATA, Orders'!$I:$I,"Development - Tank")/1000000000)</f>
        <v>0</v>
      </c>
      <c r="U67" s="15">
        <f>(SUMIFS('MAIN DATA, Orders'!$S:$S,'MAIN DATA, Orders'!$Y:$Y,$A67,'MAIN DATA, Orders'!$D:$D,"Germany",'MAIN DATA, Orders'!$I:$I,"Maintenance")/1000000000)</f>
        <v>0</v>
      </c>
      <c r="V67" s="15">
        <f>(SUMIFS('MAIN DATA, Orders'!$S:$S,'MAIN DATA, Orders'!$Y:$Y,$A67,'MAIN DATA, Orders'!$D:$D,"Germany",'MAIN DATA, Orders'!$I:$I,"Development - Maintenance")/1000000000)</f>
        <v>0</v>
      </c>
      <c r="W67" s="15">
        <f>(SUMIFS('MAIN DATA, Orders'!$S:$S,'MAIN DATA, Orders'!$Y:$Y,$A67,'MAIN DATA, Orders'!$D:$D,"Germany",'MAIN DATA, Orders'!$I:$I,"Mine")/1000000000)</f>
        <v>0</v>
      </c>
      <c r="X67" s="15">
        <f>(SUMIFS('MAIN DATA, Orders'!$S:$S,'MAIN DATA, Orders'!$Y:$Y,$A67,'MAIN DATA, Orders'!$D:$D,"Germany",'MAIN DATA, Orders'!$I:$I,"Development - Mine")/1000000000)</f>
        <v>0</v>
      </c>
      <c r="Y67" s="15">
        <f>(SUMIFS('MAIN DATA, Orders'!$S:$S,'MAIN DATA, Orders'!$Y:$Y,$A67,'MAIN DATA, Orders'!$D:$D,"Germany",'MAIN DATA, Orders'!$J:$J,"6")/1000000000)</f>
        <v>0.10299999999999999</v>
      </c>
      <c r="Z67" s="15" cm="1">
        <f t="array" ref="Z67">SUM(SUMIFS('MAIN DATA, Orders'!$S:$S,'MAIN DATA, Orders'!$Y:$Y,$A67,'MAIN DATA, Orders'!$D:$D,"Germany",'MAIN DATA, Orders'!$I:$I,{"Development - Missile (Land)","Development - Missile (Naval)","Development - Missile (Air)"})/1000000000)</f>
        <v>0</v>
      </c>
      <c r="AA67" s="15">
        <f>(SUMIFS('MAIN DATA, Orders'!$S:$S,'MAIN DATA, Orders'!$Y:$Y,$A67,'MAIN DATA, Orders'!$D:$D,"Germany",'MAIN DATA, Orders'!$I:$I,"Modernisation")/1000000000)</f>
        <v>2.3176999999999999</v>
      </c>
      <c r="AB67" s="15">
        <f>(SUMIFS('MAIN DATA, Orders'!$S:$S,'MAIN DATA, Orders'!$Y:$Y,$A67,'MAIN DATA, Orders'!$D:$D,"Germany",'MAIN DATA, Orders'!$I:$I,"Development - Modernisation")/1000000000)</f>
        <v>0</v>
      </c>
      <c r="AC67" s="15">
        <f>(SUMIFS('MAIN DATA, Orders'!$S:$S,'MAIN DATA, Orders'!$Y:$Y,$A67,'MAIN DATA, Orders'!$D:$D,"Germany",'MAIN DATA, Orders'!$I:$I,"Naval")/1000000000)</f>
        <v>0</v>
      </c>
      <c r="AD67" s="15">
        <f>(SUMIFS('MAIN DATA, Orders'!$S:$S,'MAIN DATA, Orders'!$Y:$Y,$A67,'MAIN DATA, Orders'!$D:$D,"Germany",'MAIN DATA, Orders'!$I:$I,"Development - Naval")/1000000000)</f>
        <v>0</v>
      </c>
      <c r="AE67" s="15">
        <f>(SUMIFS('MAIN DATA, Orders'!$S:$S,'MAIN DATA, Orders'!$Y:$Y,$A67,'MAIN DATA, Orders'!$D:$D,"Germany",'MAIN DATA, Orders'!$I:$I,"Other")/1000000000)</f>
        <v>4.8000000000000001E-2</v>
      </c>
      <c r="AF67" s="15">
        <f>(SUMIFS('MAIN DATA, Orders'!$S:$S,'MAIN DATA, Orders'!$Y:$Y,$A67,'MAIN DATA, Orders'!$D:$D,"Germany",'MAIN DATA, Orders'!$I:$I,"Development - Other")/1000000000)</f>
        <v>0</v>
      </c>
      <c r="AG67" s="15"/>
      <c r="AH67" s="15" cm="1">
        <f t="array" ref="AH67">SUM(SUMIFS('MAIN DATA, Orders'!$S:$S,'MAIN DATA, Orders'!$Y:$Y,$A67,'MAIN DATA, Orders'!$D:$D,"Germany",'MAIN DATA, Orders'!$I:$I,{"Missile (Land)","Development - Missile (Land)"})/1000000000)</f>
        <v>0.10299999999999999</v>
      </c>
      <c r="AI67" s="15" cm="1">
        <f t="array" ref="AI67">SUM(SUMIFS('MAIN DATA, Orders'!$S:$S,'MAIN DATA, Orders'!$D:$D,"Germany",'MAIN DATA, Orders'!$I:$I,{"Missile (Air)","Development - Missile (Air)"},'MAIN DATA, Orders'!$Y:$Y,$A67)/1000000000)</f>
        <v>0</v>
      </c>
      <c r="AJ67" s="15" cm="1">
        <f t="array" ref="AJ67">SUM(SUMIFS('MAIN DATA, Orders'!$S:$S,'MAIN DATA, Orders'!$Y:$Y,$A67,'MAIN DATA, Orders'!$D:$D,"Germany",'MAIN DATA, Orders'!$I:$I,{"Missile (Naval)","Development - Missile (Naval)"})/1000000000)</f>
        <v>0</v>
      </c>
    </row>
    <row r="68" spans="1:36" x14ac:dyDescent="0.35">
      <c r="A68" s="20">
        <v>202502</v>
      </c>
      <c r="B68" s="17">
        <v>45689</v>
      </c>
      <c r="C68" s="15">
        <f>(SUMIFS('MAIN DATA, Orders'!$S:$S,'MAIN DATA, Orders'!$Y:$Y,$A68,'MAIN DATA, Orders'!$D:$D,"Germany",'MAIN DATA, Orders'!$I:$I,"Air defence system")/1000000000)</f>
        <v>0</v>
      </c>
      <c r="D68" s="15">
        <f>(SUMIFS('MAIN DATA, Orders'!$S:$S,'MAIN DATA, Orders'!$Y:$Y,$A68,'MAIN DATA, Orders'!$D:$D,"Germany",'MAIN DATA, Orders'!$I:$I,"Development - Air defence system")/1000000000)</f>
        <v>0</v>
      </c>
      <c r="E68" s="15">
        <f>(SUMIFS('MAIN DATA, Orders'!$S:$S,'MAIN DATA, Orders'!$Y:$Y,$A68,'MAIN DATA, Orders'!$D:$D,"Germany",'MAIN DATA, Orders'!$I:$I,"Aircraft")/1000000000)</f>
        <v>0</v>
      </c>
      <c r="F68" s="15">
        <f>(SUMIFS('MAIN DATA, Orders'!$S:$S,'MAIN DATA, Orders'!$Y:$Y,$A68,'MAIN DATA, Orders'!$D:$D,"Germany",'MAIN DATA, Orders'!$I:$I,"Development - Aircraft")/1000000000)</f>
        <v>0</v>
      </c>
      <c r="G68" s="15">
        <f>(SUMIFS('MAIN DATA, Orders'!$S:$S,'MAIN DATA, Orders'!$Y:$Y,$A68,'MAIN DATA, Orders'!$D:$D,"Germany",'MAIN DATA, Orders'!$I:$I,"Ammunition")/1000000000)</f>
        <v>0</v>
      </c>
      <c r="H68" s="15">
        <f>(SUMIFS('MAIN DATA, Orders'!$S:$S,'MAIN DATA, Orders'!$Y:$Y,$A68,'MAIN DATA, Orders'!$D:$D,"Germany",'MAIN DATA, Orders'!$I:$I,"Development - Ammunition")/1000000000)</f>
        <v>0</v>
      </c>
      <c r="I68" s="15">
        <f>(SUMIFS('MAIN DATA, Orders'!$S:$S,'MAIN DATA, Orders'!$Y:$Y,$A68,'MAIN DATA, Orders'!$D:$D,"Germany",'MAIN DATA, Orders'!$I:$I,"Armoured vehicle")/1000000000)</f>
        <v>0</v>
      </c>
      <c r="J68" s="15">
        <f>(SUMIFS('MAIN DATA, Orders'!$S:$S,'MAIN DATA, Orders'!$Y:$Y,$A68,'MAIN DATA, Orders'!$D:$D,"Germany",'MAIN DATA, Orders'!$I:$I,"Development - Armoured vehicle")/1000000000)</f>
        <v>0</v>
      </c>
      <c r="K68" s="15">
        <f>(SUMIFS('MAIN DATA, Orders'!$S:$S,'MAIN DATA, Orders'!$Y:$Y,$A68,'MAIN DATA, Orders'!$D:$D,"Germany",'MAIN DATA, Orders'!$I:$I,"Artillery")/1000000000)</f>
        <v>0</v>
      </c>
      <c r="L68" s="15">
        <f>(SUMIFS('MAIN DATA, Orders'!$S:$S,'MAIN DATA, Orders'!$Y:$Y,$A68,'MAIN DATA, Orders'!$D:$D,"Germany",'MAIN DATA, Orders'!$I:$I,"Development - Artillery")/1000000000)</f>
        <v>0</v>
      </c>
      <c r="M68" s="15">
        <f>(SUMIFS('MAIN DATA, Orders'!$S:$S,'MAIN DATA, Orders'!$Y:$Y,$A68,'MAIN DATA, Orders'!$D:$D,"Germany",'MAIN DATA, Orders'!$I:$I,"Drone")/1000000000)</f>
        <v>0</v>
      </c>
      <c r="N68" s="15">
        <f>(SUMIFS('MAIN DATA, Orders'!$S:$S,'MAIN DATA, Orders'!$Y:$Y,$A68,'MAIN DATA, Orders'!$D:$D,"Germany",'MAIN DATA, Orders'!$I:$I,"Development - Drone")/1000000000)</f>
        <v>0</v>
      </c>
      <c r="O68" s="15">
        <f>(SUMIFS('MAIN DATA, Orders'!$S:$S,'MAIN DATA, Orders'!$Y:$Y,$A68,'MAIN DATA, Orders'!$D:$D,"Germany",'MAIN DATA, Orders'!$I:$I,"Helicopter")/1000000000)</f>
        <v>0</v>
      </c>
      <c r="P68" s="15">
        <f>(SUMIFS('MAIN DATA, Orders'!$S:$S,'MAIN DATA, Orders'!$Y:$Y,$A68,'MAIN DATA, Orders'!$D:$D,"Germany",'MAIN DATA, Orders'!$I:$I,"Development - Helicopter")/1000000000)</f>
        <v>0</v>
      </c>
      <c r="Q68" s="15">
        <f>(SUMIFS('MAIN DATA, Orders'!$S:$S,'MAIN DATA, Orders'!$Y:$Y,$A68,'MAIN DATA, Orders'!$D:$D,"Germany",'MAIN DATA, Orders'!$I:$I,"Infantry")/1000000000)</f>
        <v>0</v>
      </c>
      <c r="R68" s="15">
        <f>(SUMIFS('MAIN DATA, Orders'!$S:$S,'MAIN DATA, Orders'!$Y:$Y,$A68,'MAIN DATA, Orders'!$D:$D,"Germany",'MAIN DATA, Orders'!$I:$I,"Development - Infantry")/1000000000)</f>
        <v>0</v>
      </c>
      <c r="S68" s="15">
        <f>(SUMIFS('MAIN DATA, Orders'!$S:$S,'MAIN DATA, Orders'!$Y:$Y,$A68,'MAIN DATA, Orders'!$D:$D,"Germany",'MAIN DATA, Orders'!$I:$I,"Tank")/1000000000)</f>
        <v>0</v>
      </c>
      <c r="T68" s="15">
        <f>(SUMIFS('MAIN DATA, Orders'!$S:$S,'MAIN DATA, Orders'!$Y:$Y,$A68,'MAIN DATA, Orders'!$D:$D,"Germany",'MAIN DATA, Orders'!$I:$I,"Development - Tank")/1000000000)</f>
        <v>0</v>
      </c>
      <c r="U68" s="15">
        <f>(SUMIFS('MAIN DATA, Orders'!$S:$S,'MAIN DATA, Orders'!$Y:$Y,$A68,'MAIN DATA, Orders'!$D:$D,"Germany",'MAIN DATA, Orders'!$I:$I,"Maintenance")/1000000000)</f>
        <v>0</v>
      </c>
      <c r="V68" s="15">
        <f>(SUMIFS('MAIN DATA, Orders'!$S:$S,'MAIN DATA, Orders'!$Y:$Y,$A68,'MAIN DATA, Orders'!$D:$D,"Germany",'MAIN DATA, Orders'!$I:$I,"Development - Maintenance")/1000000000)</f>
        <v>0</v>
      </c>
      <c r="W68" s="15">
        <f>(SUMIFS('MAIN DATA, Orders'!$S:$S,'MAIN DATA, Orders'!$Y:$Y,$A68,'MAIN DATA, Orders'!$D:$D,"Germany",'MAIN DATA, Orders'!$I:$I,"Mine")/1000000000)</f>
        <v>0</v>
      </c>
      <c r="X68" s="15">
        <f>(SUMIFS('MAIN DATA, Orders'!$S:$S,'MAIN DATA, Orders'!$Y:$Y,$A68,'MAIN DATA, Orders'!$D:$D,"Germany",'MAIN DATA, Orders'!$I:$I,"Development - Mine")/1000000000)</f>
        <v>0</v>
      </c>
      <c r="Y68" s="15">
        <f>(SUMIFS('MAIN DATA, Orders'!$S:$S,'MAIN DATA, Orders'!$Y:$Y,$A68,'MAIN DATA, Orders'!$D:$D,"Germany",'MAIN DATA, Orders'!$J:$J,"6")/1000000000)</f>
        <v>0</v>
      </c>
      <c r="Z68" s="15" cm="1">
        <f t="array" ref="Z68">SUM(SUMIFS('MAIN DATA, Orders'!$S:$S,'MAIN DATA, Orders'!$Y:$Y,$A68,'MAIN DATA, Orders'!$D:$D,"Germany",'MAIN DATA, Orders'!$I:$I,{"Development - Missile (Land)","Development - Missile (Naval)","Development - Missile (Air)"})/1000000000)</f>
        <v>0</v>
      </c>
      <c r="AA68" s="15">
        <f>(SUMIFS('MAIN DATA, Orders'!$S:$S,'MAIN DATA, Orders'!$Y:$Y,$A68,'MAIN DATA, Orders'!$D:$D,"Germany",'MAIN DATA, Orders'!$I:$I,"Modernisation")/1000000000)</f>
        <v>0</v>
      </c>
      <c r="AB68" s="15">
        <f>(SUMIFS('MAIN DATA, Orders'!$S:$S,'MAIN DATA, Orders'!$Y:$Y,$A68,'MAIN DATA, Orders'!$D:$D,"Germany",'MAIN DATA, Orders'!$I:$I,"Development - Modernisation")/1000000000)</f>
        <v>0</v>
      </c>
      <c r="AC68" s="15">
        <f>(SUMIFS('MAIN DATA, Orders'!$S:$S,'MAIN DATA, Orders'!$Y:$Y,$A68,'MAIN DATA, Orders'!$D:$D,"Germany",'MAIN DATA, Orders'!$I:$I,"Naval")/1000000000)</f>
        <v>0</v>
      </c>
      <c r="AD68" s="15">
        <f>(SUMIFS('MAIN DATA, Orders'!$S:$S,'MAIN DATA, Orders'!$Y:$Y,$A68,'MAIN DATA, Orders'!$D:$D,"Germany",'MAIN DATA, Orders'!$I:$I,"Development - Naval")/1000000000)</f>
        <v>0</v>
      </c>
      <c r="AE68" s="15">
        <f>(SUMIFS('MAIN DATA, Orders'!$S:$S,'MAIN DATA, Orders'!$Y:$Y,$A68,'MAIN DATA, Orders'!$D:$D,"Germany",'MAIN DATA, Orders'!$I:$I,"Other")/1000000000)</f>
        <v>0</v>
      </c>
      <c r="AF68" s="15">
        <f>(SUMIFS('MAIN DATA, Orders'!$S:$S,'MAIN DATA, Orders'!$Y:$Y,$A68,'MAIN DATA, Orders'!$D:$D,"Germany",'MAIN DATA, Orders'!$I:$I,"Development - Other")/1000000000)</f>
        <v>0</v>
      </c>
      <c r="AG68" s="15"/>
      <c r="AH68" s="15" cm="1">
        <f t="array" ref="AH68">SUM(SUMIFS('MAIN DATA, Orders'!$S:$S,'MAIN DATA, Orders'!$Y:$Y,$A68,'MAIN DATA, Orders'!$D:$D,"Germany",'MAIN DATA, Orders'!$I:$I,{"Missile (Land)","Development - Missile (Land)"})/1000000000)</f>
        <v>0</v>
      </c>
      <c r="AI68" s="15" cm="1">
        <f t="array" ref="AI68">SUM(SUMIFS('MAIN DATA, Orders'!$S:$S,'MAIN DATA, Orders'!$D:$D,"Germany",'MAIN DATA, Orders'!$I:$I,{"Missile (Air)","Development - Missile (Air)"},'MAIN DATA, Orders'!$Y:$Y,$A68)/1000000000)</f>
        <v>0</v>
      </c>
      <c r="AJ68" s="15" cm="1">
        <f t="array" ref="AJ68">SUM(SUMIFS('MAIN DATA, Orders'!$S:$S,'MAIN DATA, Orders'!$Y:$Y,$A68,'MAIN DATA, Orders'!$D:$D,"Germany",'MAIN DATA, Orders'!$I:$I,{"Missile (Naval)","Development - Missile (Naval)"})/1000000000)</f>
        <v>0</v>
      </c>
    </row>
    <row r="69" spans="1:36" x14ac:dyDescent="0.35">
      <c r="A69" s="20">
        <v>202503</v>
      </c>
      <c r="B69" s="17">
        <v>45717</v>
      </c>
      <c r="C69" s="15">
        <f>(SUMIFS('MAIN DATA, Orders'!$S:$S,'MAIN DATA, Orders'!$Y:$Y,$A69,'MAIN DATA, Orders'!$D:$D,"Germany",'MAIN DATA, Orders'!$I:$I,"Air defence system")/1000000000)</f>
        <v>0</v>
      </c>
      <c r="D69" s="15">
        <f>(SUMIFS('MAIN DATA, Orders'!$S:$S,'MAIN DATA, Orders'!$Y:$Y,$A69,'MAIN DATA, Orders'!$D:$D,"Germany",'MAIN DATA, Orders'!$I:$I,"Development - Air defence system")/1000000000)</f>
        <v>0</v>
      </c>
      <c r="E69" s="15">
        <f>(SUMIFS('MAIN DATA, Orders'!$S:$S,'MAIN DATA, Orders'!$Y:$Y,$A69,'MAIN DATA, Orders'!$D:$D,"Germany",'MAIN DATA, Orders'!$I:$I,"Aircraft")/1000000000)</f>
        <v>0</v>
      </c>
      <c r="F69" s="15">
        <f>(SUMIFS('MAIN DATA, Orders'!$S:$S,'MAIN DATA, Orders'!$Y:$Y,$A69,'MAIN DATA, Orders'!$D:$D,"Germany",'MAIN DATA, Orders'!$I:$I,"Development - Aircraft")/1000000000)</f>
        <v>0</v>
      </c>
      <c r="G69" s="15">
        <f>(SUMIFS('MAIN DATA, Orders'!$S:$S,'MAIN DATA, Orders'!$Y:$Y,$A69,'MAIN DATA, Orders'!$D:$D,"Germany",'MAIN DATA, Orders'!$I:$I,"Ammunition")/1000000000)</f>
        <v>0</v>
      </c>
      <c r="H69" s="15">
        <f>(SUMIFS('MAIN DATA, Orders'!$S:$S,'MAIN DATA, Orders'!$Y:$Y,$A69,'MAIN DATA, Orders'!$D:$D,"Germany",'MAIN DATA, Orders'!$I:$I,"Development - Ammunition")/1000000000)</f>
        <v>0</v>
      </c>
      <c r="I69" s="15">
        <f>(SUMIFS('MAIN DATA, Orders'!$S:$S,'MAIN DATA, Orders'!$Y:$Y,$A69,'MAIN DATA, Orders'!$D:$D,"Germany",'MAIN DATA, Orders'!$I:$I,"Armoured vehicle")/1000000000)</f>
        <v>0</v>
      </c>
      <c r="J69" s="15">
        <f>(SUMIFS('MAIN DATA, Orders'!$S:$S,'MAIN DATA, Orders'!$Y:$Y,$A69,'MAIN DATA, Orders'!$D:$D,"Germany",'MAIN DATA, Orders'!$I:$I,"Development - Armoured vehicle")/1000000000)</f>
        <v>0</v>
      </c>
      <c r="K69" s="15">
        <f>(SUMIFS('MAIN DATA, Orders'!$S:$S,'MAIN DATA, Orders'!$Y:$Y,$A69,'MAIN DATA, Orders'!$D:$D,"Germany",'MAIN DATA, Orders'!$I:$I,"Artillery")/1000000000)</f>
        <v>0</v>
      </c>
      <c r="L69" s="15">
        <f>(SUMIFS('MAIN DATA, Orders'!$S:$S,'MAIN DATA, Orders'!$Y:$Y,$A69,'MAIN DATA, Orders'!$D:$D,"Germany",'MAIN DATA, Orders'!$I:$I,"Development - Artillery")/1000000000)</f>
        <v>0</v>
      </c>
      <c r="M69" s="15">
        <f>(SUMIFS('MAIN DATA, Orders'!$S:$S,'MAIN DATA, Orders'!$Y:$Y,$A69,'MAIN DATA, Orders'!$D:$D,"Germany",'MAIN DATA, Orders'!$I:$I,"Drone")/1000000000)</f>
        <v>0</v>
      </c>
      <c r="N69" s="15">
        <f>(SUMIFS('MAIN DATA, Orders'!$S:$S,'MAIN DATA, Orders'!$Y:$Y,$A69,'MAIN DATA, Orders'!$D:$D,"Germany",'MAIN DATA, Orders'!$I:$I,"Development - Drone")/1000000000)</f>
        <v>0</v>
      </c>
      <c r="O69" s="15">
        <f>(SUMIFS('MAIN DATA, Orders'!$S:$S,'MAIN DATA, Orders'!$Y:$Y,$A69,'MAIN DATA, Orders'!$D:$D,"Germany",'MAIN DATA, Orders'!$I:$I,"Helicopter")/1000000000)</f>
        <v>0</v>
      </c>
      <c r="P69" s="15">
        <f>(SUMIFS('MAIN DATA, Orders'!$S:$S,'MAIN DATA, Orders'!$Y:$Y,$A69,'MAIN DATA, Orders'!$D:$D,"Germany",'MAIN DATA, Orders'!$I:$I,"Development - Helicopter")/1000000000)</f>
        <v>0</v>
      </c>
      <c r="Q69" s="15">
        <f>(SUMIFS('MAIN DATA, Orders'!$S:$S,'MAIN DATA, Orders'!$Y:$Y,$A69,'MAIN DATA, Orders'!$D:$D,"Germany",'MAIN DATA, Orders'!$I:$I,"Infantry")/1000000000)</f>
        <v>0</v>
      </c>
      <c r="R69" s="15">
        <f>(SUMIFS('MAIN DATA, Orders'!$S:$S,'MAIN DATA, Orders'!$Y:$Y,$A69,'MAIN DATA, Orders'!$D:$D,"Germany",'MAIN DATA, Orders'!$I:$I,"Development - Infantry")/1000000000)</f>
        <v>0</v>
      </c>
      <c r="S69" s="15">
        <f>(SUMIFS('MAIN DATA, Orders'!$S:$S,'MAIN DATA, Orders'!$Y:$Y,$A69,'MAIN DATA, Orders'!$D:$D,"Germany",'MAIN DATA, Orders'!$I:$I,"Tank")/1000000000)</f>
        <v>0</v>
      </c>
      <c r="T69" s="15">
        <f>(SUMIFS('MAIN DATA, Orders'!$S:$S,'MAIN DATA, Orders'!$Y:$Y,$A69,'MAIN DATA, Orders'!$D:$D,"Germany",'MAIN DATA, Orders'!$I:$I,"Development - Tank")/1000000000)</f>
        <v>0</v>
      </c>
      <c r="U69" s="15">
        <f>(SUMIFS('MAIN DATA, Orders'!$S:$S,'MAIN DATA, Orders'!$Y:$Y,$A69,'MAIN DATA, Orders'!$D:$D,"Germany",'MAIN DATA, Orders'!$I:$I,"Maintenance")/1000000000)</f>
        <v>0</v>
      </c>
      <c r="V69" s="15">
        <f>(SUMIFS('MAIN DATA, Orders'!$S:$S,'MAIN DATA, Orders'!$Y:$Y,$A69,'MAIN DATA, Orders'!$D:$D,"Germany",'MAIN DATA, Orders'!$I:$I,"Development - Maintenance")/1000000000)</f>
        <v>0</v>
      </c>
      <c r="W69" s="15">
        <f>(SUMIFS('MAIN DATA, Orders'!$S:$S,'MAIN DATA, Orders'!$Y:$Y,$A69,'MAIN DATA, Orders'!$D:$D,"Germany",'MAIN DATA, Orders'!$I:$I,"Mine")/1000000000)</f>
        <v>0</v>
      </c>
      <c r="X69" s="15">
        <f>(SUMIFS('MAIN DATA, Orders'!$S:$S,'MAIN DATA, Orders'!$Y:$Y,$A69,'MAIN DATA, Orders'!$D:$D,"Germany",'MAIN DATA, Orders'!$I:$I,"Development - Mine")/1000000000)</f>
        <v>0</v>
      </c>
      <c r="Y69" s="15">
        <f>(SUMIFS('MAIN DATA, Orders'!$S:$S,'MAIN DATA, Orders'!$Y:$Y,$A69,'MAIN DATA, Orders'!$D:$D,"Germany",'MAIN DATA, Orders'!$J:$J,"6")/1000000000)</f>
        <v>0</v>
      </c>
      <c r="Z69" s="15" cm="1">
        <f t="array" ref="Z69">SUM(SUMIFS('MAIN DATA, Orders'!$S:$S,'MAIN DATA, Orders'!$Y:$Y,$A69,'MAIN DATA, Orders'!$D:$D,"Germany",'MAIN DATA, Orders'!$I:$I,{"Development - Missile (Land)","Development - Missile (Naval)","Development - Missile (Air)"})/1000000000)</f>
        <v>0</v>
      </c>
      <c r="AA69" s="15">
        <f>(SUMIFS('MAIN DATA, Orders'!$S:$S,'MAIN DATA, Orders'!$Y:$Y,$A69,'MAIN DATA, Orders'!$D:$D,"Germany",'MAIN DATA, Orders'!$I:$I,"Modernisation")/1000000000)</f>
        <v>0</v>
      </c>
      <c r="AB69" s="15">
        <f>(SUMIFS('MAIN DATA, Orders'!$S:$S,'MAIN DATA, Orders'!$Y:$Y,$A69,'MAIN DATA, Orders'!$D:$D,"Germany",'MAIN DATA, Orders'!$I:$I,"Development - Modernisation")/1000000000)</f>
        <v>0</v>
      </c>
      <c r="AC69" s="15">
        <f>(SUMIFS('MAIN DATA, Orders'!$S:$S,'MAIN DATA, Orders'!$Y:$Y,$A69,'MAIN DATA, Orders'!$D:$D,"Germany",'MAIN DATA, Orders'!$I:$I,"Naval")/1000000000)</f>
        <v>0</v>
      </c>
      <c r="AD69" s="15">
        <f>(SUMIFS('MAIN DATA, Orders'!$S:$S,'MAIN DATA, Orders'!$Y:$Y,$A69,'MAIN DATA, Orders'!$D:$D,"Germany",'MAIN DATA, Orders'!$I:$I,"Development - Naval")/1000000000)</f>
        <v>0</v>
      </c>
      <c r="AE69" s="15">
        <f>(SUMIFS('MAIN DATA, Orders'!$S:$S,'MAIN DATA, Orders'!$Y:$Y,$A69,'MAIN DATA, Orders'!$D:$D,"Germany",'MAIN DATA, Orders'!$I:$I,"Other")/1000000000)</f>
        <v>0</v>
      </c>
      <c r="AF69" s="15">
        <f>(SUMIFS('MAIN DATA, Orders'!$S:$S,'MAIN DATA, Orders'!$Y:$Y,$A69,'MAIN DATA, Orders'!$D:$D,"Germany",'MAIN DATA, Orders'!$I:$I,"Development - Other")/1000000000)</f>
        <v>0</v>
      </c>
      <c r="AG69" s="15"/>
      <c r="AH69" s="15" cm="1">
        <f t="array" ref="AH69">SUM(SUMIFS('MAIN DATA, Orders'!$S:$S,'MAIN DATA, Orders'!$Y:$Y,$A69,'MAIN DATA, Orders'!$D:$D,"Germany",'MAIN DATA, Orders'!$I:$I,{"Missile (Land)","Development - Missile (Land)"})/1000000000)</f>
        <v>0</v>
      </c>
      <c r="AI69" s="15" cm="1">
        <f t="array" ref="AI69">SUM(SUMIFS('MAIN DATA, Orders'!$S:$S,'MAIN DATA, Orders'!$D:$D,"Germany",'MAIN DATA, Orders'!$I:$I,{"Missile (Air)","Development - Missile (Air)"},'MAIN DATA, Orders'!$Y:$Y,$A69)/1000000000)</f>
        <v>0</v>
      </c>
      <c r="AJ69" s="15" cm="1">
        <f t="array" ref="AJ69">SUM(SUMIFS('MAIN DATA, Orders'!$S:$S,'MAIN DATA, Orders'!$Y:$Y,$A69,'MAIN DATA, Orders'!$D:$D,"Germany",'MAIN DATA, Orders'!$I:$I,{"Missile (Naval)","Development - Missile (Naval)"})/1000000000)</f>
        <v>0</v>
      </c>
    </row>
    <row r="70" spans="1:36" x14ac:dyDescent="0.35">
      <c r="A70" s="20">
        <v>202504</v>
      </c>
      <c r="B70" s="17">
        <v>45748</v>
      </c>
      <c r="C70" s="15">
        <f>(SUMIFS('MAIN DATA, Orders'!$S:$S,'MAIN DATA, Orders'!$Y:$Y,$A70,'MAIN DATA, Orders'!$D:$D,"Germany",'MAIN DATA, Orders'!$I:$I,"Air defence system")/1000000000)</f>
        <v>0</v>
      </c>
      <c r="D70" s="15">
        <f>(SUMIFS('MAIN DATA, Orders'!$S:$S,'MAIN DATA, Orders'!$Y:$Y,$A70,'MAIN DATA, Orders'!$D:$D,"Germany",'MAIN DATA, Orders'!$I:$I,"Development - Air defence system")/1000000000)</f>
        <v>0</v>
      </c>
      <c r="E70" s="15">
        <f>(SUMIFS('MAIN DATA, Orders'!$S:$S,'MAIN DATA, Orders'!$Y:$Y,$A70,'MAIN DATA, Orders'!$D:$D,"Germany",'MAIN DATA, Orders'!$I:$I,"Aircraft")/1000000000)</f>
        <v>0</v>
      </c>
      <c r="F70" s="15">
        <f>(SUMIFS('MAIN DATA, Orders'!$S:$S,'MAIN DATA, Orders'!$Y:$Y,$A70,'MAIN DATA, Orders'!$D:$D,"Germany",'MAIN DATA, Orders'!$I:$I,"Development - Aircraft")/1000000000)</f>
        <v>0</v>
      </c>
      <c r="G70" s="15">
        <f>(SUMIFS('MAIN DATA, Orders'!$S:$S,'MAIN DATA, Orders'!$Y:$Y,$A70,'MAIN DATA, Orders'!$D:$D,"Germany",'MAIN DATA, Orders'!$I:$I,"Ammunition")/1000000000)</f>
        <v>0</v>
      </c>
      <c r="H70" s="15">
        <f>(SUMIFS('MAIN DATA, Orders'!$S:$S,'MAIN DATA, Orders'!$Y:$Y,$A70,'MAIN DATA, Orders'!$D:$D,"Germany",'MAIN DATA, Orders'!$I:$I,"Development - Ammunition")/1000000000)</f>
        <v>0</v>
      </c>
      <c r="I70" s="15">
        <f>(SUMIFS('MAIN DATA, Orders'!$S:$S,'MAIN DATA, Orders'!$Y:$Y,$A70,'MAIN DATA, Orders'!$D:$D,"Germany",'MAIN DATA, Orders'!$I:$I,"Armoured vehicle")/1000000000)</f>
        <v>0</v>
      </c>
      <c r="J70" s="15">
        <f>(SUMIFS('MAIN DATA, Orders'!$S:$S,'MAIN DATA, Orders'!$Y:$Y,$A70,'MAIN DATA, Orders'!$D:$D,"Germany",'MAIN DATA, Orders'!$I:$I,"Development - Armoured vehicle")/1000000000)</f>
        <v>0</v>
      </c>
      <c r="K70" s="15">
        <f>(SUMIFS('MAIN DATA, Orders'!$S:$S,'MAIN DATA, Orders'!$Y:$Y,$A70,'MAIN DATA, Orders'!$D:$D,"Germany",'MAIN DATA, Orders'!$I:$I,"Artillery")/1000000000)</f>
        <v>0</v>
      </c>
      <c r="L70" s="15">
        <f>(SUMIFS('MAIN DATA, Orders'!$S:$S,'MAIN DATA, Orders'!$Y:$Y,$A70,'MAIN DATA, Orders'!$D:$D,"Germany",'MAIN DATA, Orders'!$I:$I,"Development - Artillery")/1000000000)</f>
        <v>0</v>
      </c>
      <c r="M70" s="15">
        <f>(SUMIFS('MAIN DATA, Orders'!$S:$S,'MAIN DATA, Orders'!$Y:$Y,$A70,'MAIN DATA, Orders'!$D:$D,"Germany",'MAIN DATA, Orders'!$I:$I,"Drone")/1000000000)</f>
        <v>0</v>
      </c>
      <c r="N70" s="15">
        <f>(SUMIFS('MAIN DATA, Orders'!$S:$S,'MAIN DATA, Orders'!$Y:$Y,$A70,'MAIN DATA, Orders'!$D:$D,"Germany",'MAIN DATA, Orders'!$I:$I,"Development - Drone")/1000000000)</f>
        <v>0</v>
      </c>
      <c r="O70" s="15">
        <f>(SUMIFS('MAIN DATA, Orders'!$S:$S,'MAIN DATA, Orders'!$Y:$Y,$A70,'MAIN DATA, Orders'!$D:$D,"Germany",'MAIN DATA, Orders'!$I:$I,"Helicopter")/1000000000)</f>
        <v>0</v>
      </c>
      <c r="P70" s="15">
        <f>(SUMIFS('MAIN DATA, Orders'!$S:$S,'MAIN DATA, Orders'!$Y:$Y,$A70,'MAIN DATA, Orders'!$D:$D,"Germany",'MAIN DATA, Orders'!$I:$I,"Development - Helicopter")/1000000000)</f>
        <v>0</v>
      </c>
      <c r="Q70" s="15">
        <f>(SUMIFS('MAIN DATA, Orders'!$S:$S,'MAIN DATA, Orders'!$Y:$Y,$A70,'MAIN DATA, Orders'!$D:$D,"Germany",'MAIN DATA, Orders'!$I:$I,"Infantry")/1000000000)</f>
        <v>0</v>
      </c>
      <c r="R70" s="15">
        <f>(SUMIFS('MAIN DATA, Orders'!$S:$S,'MAIN DATA, Orders'!$Y:$Y,$A70,'MAIN DATA, Orders'!$D:$D,"Germany",'MAIN DATA, Orders'!$I:$I,"Development - Infantry")/1000000000)</f>
        <v>0</v>
      </c>
      <c r="S70" s="15">
        <f>(SUMIFS('MAIN DATA, Orders'!$S:$S,'MAIN DATA, Orders'!$Y:$Y,$A70,'MAIN DATA, Orders'!$D:$D,"Germany",'MAIN DATA, Orders'!$I:$I,"Tank")/1000000000)</f>
        <v>0</v>
      </c>
      <c r="T70" s="15">
        <f>(SUMIFS('MAIN DATA, Orders'!$S:$S,'MAIN DATA, Orders'!$Y:$Y,$A70,'MAIN DATA, Orders'!$D:$D,"Germany",'MAIN DATA, Orders'!$I:$I,"Development - Tank")/1000000000)</f>
        <v>0</v>
      </c>
      <c r="U70" s="15">
        <f>(SUMIFS('MAIN DATA, Orders'!$S:$S,'MAIN DATA, Orders'!$Y:$Y,$A70,'MAIN DATA, Orders'!$D:$D,"Germany",'MAIN DATA, Orders'!$I:$I,"Maintenance")/1000000000)</f>
        <v>0</v>
      </c>
      <c r="V70" s="15">
        <f>(SUMIFS('MAIN DATA, Orders'!$S:$S,'MAIN DATA, Orders'!$Y:$Y,$A70,'MAIN DATA, Orders'!$D:$D,"Germany",'MAIN DATA, Orders'!$I:$I,"Development - Maintenance")/1000000000)</f>
        <v>0</v>
      </c>
      <c r="W70" s="15">
        <f>(SUMIFS('MAIN DATA, Orders'!$S:$S,'MAIN DATA, Orders'!$Y:$Y,$A70,'MAIN DATA, Orders'!$D:$D,"Germany",'MAIN DATA, Orders'!$I:$I,"Mine")/1000000000)</f>
        <v>0</v>
      </c>
      <c r="X70" s="15">
        <f>(SUMIFS('MAIN DATA, Orders'!$S:$S,'MAIN DATA, Orders'!$Y:$Y,$A70,'MAIN DATA, Orders'!$D:$D,"Germany",'MAIN DATA, Orders'!$I:$I,"Development - Mine")/1000000000)</f>
        <v>0</v>
      </c>
      <c r="Y70" s="15">
        <f>(SUMIFS('MAIN DATA, Orders'!$S:$S,'MAIN DATA, Orders'!$Y:$Y,$A70,'MAIN DATA, Orders'!$D:$D,"Germany",'MAIN DATA, Orders'!$J:$J,"6")/1000000000)</f>
        <v>0</v>
      </c>
      <c r="Z70" s="15" cm="1">
        <f t="array" ref="Z70">SUM(SUMIFS('MAIN DATA, Orders'!$S:$S,'MAIN DATA, Orders'!$Y:$Y,$A70,'MAIN DATA, Orders'!$D:$D,"Germany",'MAIN DATA, Orders'!$I:$I,{"Development - Missile (Land)","Development - Missile (Naval)","Development - Missile (Air)"})/1000000000)</f>
        <v>0</v>
      </c>
      <c r="AA70" s="15">
        <f>(SUMIFS('MAIN DATA, Orders'!$S:$S,'MAIN DATA, Orders'!$Y:$Y,$A70,'MAIN DATA, Orders'!$D:$D,"Germany",'MAIN DATA, Orders'!$I:$I,"Modernisation")/1000000000)</f>
        <v>0</v>
      </c>
      <c r="AB70" s="15">
        <f>(SUMIFS('MAIN DATA, Orders'!$S:$S,'MAIN DATA, Orders'!$Y:$Y,$A70,'MAIN DATA, Orders'!$D:$D,"Germany",'MAIN DATA, Orders'!$I:$I,"Development - Modernisation")/1000000000)</f>
        <v>0</v>
      </c>
      <c r="AC70" s="15">
        <f>(SUMIFS('MAIN DATA, Orders'!$S:$S,'MAIN DATA, Orders'!$Y:$Y,$A70,'MAIN DATA, Orders'!$D:$D,"Germany",'MAIN DATA, Orders'!$I:$I,"Naval")/1000000000)</f>
        <v>0</v>
      </c>
      <c r="AD70" s="15">
        <f>(SUMIFS('MAIN DATA, Orders'!$S:$S,'MAIN DATA, Orders'!$Y:$Y,$A70,'MAIN DATA, Orders'!$D:$D,"Germany",'MAIN DATA, Orders'!$I:$I,"Development - Naval")/1000000000)</f>
        <v>0</v>
      </c>
      <c r="AE70" s="15">
        <f>(SUMIFS('MAIN DATA, Orders'!$S:$S,'MAIN DATA, Orders'!$Y:$Y,$A70,'MAIN DATA, Orders'!$D:$D,"Germany",'MAIN DATA, Orders'!$I:$I,"Other")/1000000000)</f>
        <v>0</v>
      </c>
      <c r="AF70" s="15">
        <f>(SUMIFS('MAIN DATA, Orders'!$S:$S,'MAIN DATA, Orders'!$Y:$Y,$A70,'MAIN DATA, Orders'!$D:$D,"Germany",'MAIN DATA, Orders'!$I:$I,"Development - Other")/1000000000)</f>
        <v>0</v>
      </c>
      <c r="AG70" s="15"/>
      <c r="AH70" s="15" cm="1">
        <f t="array" ref="AH70">SUM(SUMIFS('MAIN DATA, Orders'!$S:$S,'MAIN DATA, Orders'!$Y:$Y,$A70,'MAIN DATA, Orders'!$D:$D,"Germany",'MAIN DATA, Orders'!$I:$I,{"Missile (Land)","Development - Missile (Land)"})/1000000000)</f>
        <v>0</v>
      </c>
      <c r="AI70" s="15" cm="1">
        <f t="array" ref="AI70">SUM(SUMIFS('MAIN DATA, Orders'!$S:$S,'MAIN DATA, Orders'!$D:$D,"Germany",'MAIN DATA, Orders'!$I:$I,{"Missile (Air)","Development - Missile (Air)"},'MAIN DATA, Orders'!$Y:$Y,$A70)/1000000000)</f>
        <v>0</v>
      </c>
      <c r="AJ70" s="15" cm="1">
        <f t="array" ref="AJ70">SUM(SUMIFS('MAIN DATA, Orders'!$S:$S,'MAIN DATA, Orders'!$Y:$Y,$A70,'MAIN DATA, Orders'!$D:$D,"Germany",'MAIN DATA, Orders'!$I:$I,{"Missile (Naval)","Development - Missile (Naval)"})/1000000000)</f>
        <v>0</v>
      </c>
    </row>
    <row r="71" spans="1:36" x14ac:dyDescent="0.35">
      <c r="A71" s="20">
        <v>202505</v>
      </c>
      <c r="B71" s="17">
        <v>45778</v>
      </c>
      <c r="C71" s="15">
        <f>(SUMIFS('MAIN DATA, Orders'!$S:$S,'MAIN DATA, Orders'!$Y:$Y,$A71,'MAIN DATA, Orders'!$D:$D,"Germany",'MAIN DATA, Orders'!$I:$I,"Air defence system")/1000000000)</f>
        <v>0</v>
      </c>
      <c r="D71" s="15">
        <f>(SUMIFS('MAIN DATA, Orders'!$S:$S,'MAIN DATA, Orders'!$Y:$Y,$A71,'MAIN DATA, Orders'!$D:$D,"Germany",'MAIN DATA, Orders'!$I:$I,"Development - Air defence system")/1000000000)</f>
        <v>0</v>
      </c>
      <c r="E71" s="15">
        <f>(SUMIFS('MAIN DATA, Orders'!$S:$S,'MAIN DATA, Orders'!$Y:$Y,$A71,'MAIN DATA, Orders'!$D:$D,"Germany",'MAIN DATA, Orders'!$I:$I,"Aircraft")/1000000000)</f>
        <v>0</v>
      </c>
      <c r="F71" s="15">
        <f>(SUMIFS('MAIN DATA, Orders'!$S:$S,'MAIN DATA, Orders'!$Y:$Y,$A71,'MAIN DATA, Orders'!$D:$D,"Germany",'MAIN DATA, Orders'!$I:$I,"Development - Aircraft")/1000000000)</f>
        <v>0</v>
      </c>
      <c r="G71" s="15">
        <f>(SUMIFS('MAIN DATA, Orders'!$S:$S,'MAIN DATA, Orders'!$Y:$Y,$A71,'MAIN DATA, Orders'!$D:$D,"Germany",'MAIN DATA, Orders'!$I:$I,"Ammunition")/1000000000)</f>
        <v>0</v>
      </c>
      <c r="H71" s="15">
        <f>(SUMIFS('MAIN DATA, Orders'!$S:$S,'MAIN DATA, Orders'!$Y:$Y,$A71,'MAIN DATA, Orders'!$D:$D,"Germany",'MAIN DATA, Orders'!$I:$I,"Development - Ammunition")/1000000000)</f>
        <v>0</v>
      </c>
      <c r="I71" s="15">
        <f>(SUMIFS('MAIN DATA, Orders'!$S:$S,'MAIN DATA, Orders'!$Y:$Y,$A71,'MAIN DATA, Orders'!$D:$D,"Germany",'MAIN DATA, Orders'!$I:$I,"Armoured vehicle")/1000000000)</f>
        <v>0</v>
      </c>
      <c r="J71" s="15">
        <f>(SUMIFS('MAIN DATA, Orders'!$S:$S,'MAIN DATA, Orders'!$Y:$Y,$A71,'MAIN DATA, Orders'!$D:$D,"Germany",'MAIN DATA, Orders'!$I:$I,"Development - Armoured vehicle")/1000000000)</f>
        <v>0</v>
      </c>
      <c r="K71" s="15">
        <f>(SUMIFS('MAIN DATA, Orders'!$S:$S,'MAIN DATA, Orders'!$Y:$Y,$A71,'MAIN DATA, Orders'!$D:$D,"Germany",'MAIN DATA, Orders'!$I:$I,"Artillery")/1000000000)</f>
        <v>0</v>
      </c>
      <c r="L71" s="15">
        <f>(SUMIFS('MAIN DATA, Orders'!$S:$S,'MAIN DATA, Orders'!$Y:$Y,$A71,'MAIN DATA, Orders'!$D:$D,"Germany",'MAIN DATA, Orders'!$I:$I,"Development - Artillery")/1000000000)</f>
        <v>0</v>
      </c>
      <c r="M71" s="15">
        <f>(SUMIFS('MAIN DATA, Orders'!$S:$S,'MAIN DATA, Orders'!$Y:$Y,$A71,'MAIN DATA, Orders'!$D:$D,"Germany",'MAIN DATA, Orders'!$I:$I,"Drone")/1000000000)</f>
        <v>0</v>
      </c>
      <c r="N71" s="15">
        <f>(SUMIFS('MAIN DATA, Orders'!$S:$S,'MAIN DATA, Orders'!$Y:$Y,$A71,'MAIN DATA, Orders'!$D:$D,"Germany",'MAIN DATA, Orders'!$I:$I,"Development - Drone")/1000000000)</f>
        <v>0</v>
      </c>
      <c r="O71" s="15">
        <f>(SUMIFS('MAIN DATA, Orders'!$S:$S,'MAIN DATA, Orders'!$Y:$Y,$A71,'MAIN DATA, Orders'!$D:$D,"Germany",'MAIN DATA, Orders'!$I:$I,"Helicopter")/1000000000)</f>
        <v>0</v>
      </c>
      <c r="P71" s="15">
        <f>(SUMIFS('MAIN DATA, Orders'!$S:$S,'MAIN DATA, Orders'!$Y:$Y,$A71,'MAIN DATA, Orders'!$D:$D,"Germany",'MAIN DATA, Orders'!$I:$I,"Development - Helicopter")/1000000000)</f>
        <v>0</v>
      </c>
      <c r="Q71" s="15">
        <f>(SUMIFS('MAIN DATA, Orders'!$S:$S,'MAIN DATA, Orders'!$Y:$Y,$A71,'MAIN DATA, Orders'!$D:$D,"Germany",'MAIN DATA, Orders'!$I:$I,"Infantry")/1000000000)</f>
        <v>0</v>
      </c>
      <c r="R71" s="15">
        <f>(SUMIFS('MAIN DATA, Orders'!$S:$S,'MAIN DATA, Orders'!$Y:$Y,$A71,'MAIN DATA, Orders'!$D:$D,"Germany",'MAIN DATA, Orders'!$I:$I,"Development - Infantry")/1000000000)</f>
        <v>0</v>
      </c>
      <c r="S71" s="15">
        <f>(SUMIFS('MAIN DATA, Orders'!$S:$S,'MAIN DATA, Orders'!$Y:$Y,$A71,'MAIN DATA, Orders'!$D:$D,"Germany",'MAIN DATA, Orders'!$I:$I,"Tank")/1000000000)</f>
        <v>0</v>
      </c>
      <c r="T71" s="15">
        <f>(SUMIFS('MAIN DATA, Orders'!$S:$S,'MAIN DATA, Orders'!$Y:$Y,$A71,'MAIN DATA, Orders'!$D:$D,"Germany",'MAIN DATA, Orders'!$I:$I,"Development - Tank")/1000000000)</f>
        <v>0</v>
      </c>
      <c r="U71" s="15">
        <f>(SUMIFS('MAIN DATA, Orders'!$S:$S,'MAIN DATA, Orders'!$Y:$Y,$A71,'MAIN DATA, Orders'!$D:$D,"Germany",'MAIN DATA, Orders'!$I:$I,"Maintenance")/1000000000)</f>
        <v>0</v>
      </c>
      <c r="V71" s="15">
        <f>(SUMIFS('MAIN DATA, Orders'!$S:$S,'MAIN DATA, Orders'!$Y:$Y,$A71,'MAIN DATA, Orders'!$D:$D,"Germany",'MAIN DATA, Orders'!$I:$I,"Development - Maintenance")/1000000000)</f>
        <v>0</v>
      </c>
      <c r="W71" s="15">
        <f>(SUMIFS('MAIN DATA, Orders'!$S:$S,'MAIN DATA, Orders'!$Y:$Y,$A71,'MAIN DATA, Orders'!$D:$D,"Germany",'MAIN DATA, Orders'!$I:$I,"Mine")/1000000000)</f>
        <v>0</v>
      </c>
      <c r="X71" s="15">
        <f>(SUMIFS('MAIN DATA, Orders'!$S:$S,'MAIN DATA, Orders'!$Y:$Y,$A71,'MAIN DATA, Orders'!$D:$D,"Germany",'MAIN DATA, Orders'!$I:$I,"Development - Mine")/1000000000)</f>
        <v>0</v>
      </c>
      <c r="Y71" s="15">
        <f>(SUMIFS('MAIN DATA, Orders'!$S:$S,'MAIN DATA, Orders'!$Y:$Y,$A71,'MAIN DATA, Orders'!$D:$D,"Germany",'MAIN DATA, Orders'!$J:$J,"6")/1000000000)</f>
        <v>0</v>
      </c>
      <c r="Z71" s="15" cm="1">
        <f t="array" ref="Z71">SUM(SUMIFS('MAIN DATA, Orders'!$S:$S,'MAIN DATA, Orders'!$Y:$Y,$A71,'MAIN DATA, Orders'!$D:$D,"Germany",'MAIN DATA, Orders'!$I:$I,{"Development - Missile (Land)","Development - Missile (Naval)","Development - Missile (Air)"})/1000000000)</f>
        <v>0</v>
      </c>
      <c r="AA71" s="15">
        <f>(SUMIFS('MAIN DATA, Orders'!$S:$S,'MAIN DATA, Orders'!$Y:$Y,$A71,'MAIN DATA, Orders'!$D:$D,"Germany",'MAIN DATA, Orders'!$I:$I,"Modernisation")/1000000000)</f>
        <v>0</v>
      </c>
      <c r="AB71" s="15">
        <f>(SUMIFS('MAIN DATA, Orders'!$S:$S,'MAIN DATA, Orders'!$Y:$Y,$A71,'MAIN DATA, Orders'!$D:$D,"Germany",'MAIN DATA, Orders'!$I:$I,"Development - Modernisation")/1000000000)</f>
        <v>0</v>
      </c>
      <c r="AC71" s="15">
        <f>(SUMIFS('MAIN DATA, Orders'!$S:$S,'MAIN DATA, Orders'!$Y:$Y,$A71,'MAIN DATA, Orders'!$D:$D,"Germany",'MAIN DATA, Orders'!$I:$I,"Naval")/1000000000)</f>
        <v>0</v>
      </c>
      <c r="AD71" s="15">
        <f>(SUMIFS('MAIN DATA, Orders'!$S:$S,'MAIN DATA, Orders'!$Y:$Y,$A71,'MAIN DATA, Orders'!$D:$D,"Germany",'MAIN DATA, Orders'!$I:$I,"Development - Naval")/1000000000)</f>
        <v>0</v>
      </c>
      <c r="AE71" s="15">
        <f>(SUMIFS('MAIN DATA, Orders'!$S:$S,'MAIN DATA, Orders'!$Y:$Y,$A71,'MAIN DATA, Orders'!$D:$D,"Germany",'MAIN DATA, Orders'!$I:$I,"Other")/1000000000)</f>
        <v>0</v>
      </c>
      <c r="AF71" s="15">
        <f>(SUMIFS('MAIN DATA, Orders'!$S:$S,'MAIN DATA, Orders'!$Y:$Y,$A71,'MAIN DATA, Orders'!$D:$D,"Germany",'MAIN DATA, Orders'!$I:$I,"Development - Other")/1000000000)</f>
        <v>0</v>
      </c>
      <c r="AG71" s="15"/>
      <c r="AH71" s="15" cm="1">
        <f t="array" ref="AH71">SUM(SUMIFS('MAIN DATA, Orders'!$S:$S,'MAIN DATA, Orders'!$Y:$Y,$A71,'MAIN DATA, Orders'!$D:$D,"Germany",'MAIN DATA, Orders'!$I:$I,{"Missile (Land)","Development - Missile (Land)"})/1000000000)</f>
        <v>0</v>
      </c>
      <c r="AI71" s="15" cm="1">
        <f t="array" ref="AI71">SUM(SUMIFS('MAIN DATA, Orders'!$S:$S,'MAIN DATA, Orders'!$D:$D,"Germany",'MAIN DATA, Orders'!$I:$I,{"Missile (Air)","Development - Missile (Air)"},'MAIN DATA, Orders'!$Y:$Y,$A71)/1000000000)</f>
        <v>0</v>
      </c>
      <c r="AJ71" s="15" cm="1">
        <f t="array" ref="AJ71">SUM(SUMIFS('MAIN DATA, Orders'!$S:$S,'MAIN DATA, Orders'!$Y:$Y,$A71,'MAIN DATA, Orders'!$D:$D,"Germany",'MAIN DATA, Orders'!$I:$I,{"Missile (Naval)","Development - Missile (Naval)"})/1000000000)</f>
        <v>0</v>
      </c>
    </row>
    <row r="72" spans="1:36" x14ac:dyDescent="0.35">
      <c r="A72" s="20">
        <v>202506</v>
      </c>
      <c r="B72" s="17">
        <v>45809</v>
      </c>
      <c r="C72" s="15">
        <f>(SUMIFS('MAIN DATA, Orders'!$S:$S,'MAIN DATA, Orders'!$Y:$Y,$A72,'MAIN DATA, Orders'!$D:$D,"Germany",'MAIN DATA, Orders'!$I:$I,"Air defence system")/1000000000)</f>
        <v>0</v>
      </c>
      <c r="D72" s="15">
        <f>(SUMIFS('MAIN DATA, Orders'!$S:$S,'MAIN DATA, Orders'!$Y:$Y,$A72,'MAIN DATA, Orders'!$D:$D,"Germany",'MAIN DATA, Orders'!$I:$I,"Development - Air defence system")/1000000000)</f>
        <v>0</v>
      </c>
      <c r="E72" s="15">
        <f>(SUMIFS('MAIN DATA, Orders'!$S:$S,'MAIN DATA, Orders'!$Y:$Y,$A72,'MAIN DATA, Orders'!$D:$D,"Germany",'MAIN DATA, Orders'!$I:$I,"Aircraft")/1000000000)</f>
        <v>1.4824999999999999</v>
      </c>
      <c r="F72" s="15">
        <f>(SUMIFS('MAIN DATA, Orders'!$S:$S,'MAIN DATA, Orders'!$Y:$Y,$A72,'MAIN DATA, Orders'!$D:$D,"Germany",'MAIN DATA, Orders'!$I:$I,"Development - Aircraft")/1000000000)</f>
        <v>0.06</v>
      </c>
      <c r="G72" s="15">
        <f>(SUMIFS('MAIN DATA, Orders'!$S:$S,'MAIN DATA, Orders'!$Y:$Y,$A72,'MAIN DATA, Orders'!$D:$D,"Germany",'MAIN DATA, Orders'!$I:$I,"Ammunition")/1000000000)</f>
        <v>0</v>
      </c>
      <c r="H72" s="15">
        <f>(SUMIFS('MAIN DATA, Orders'!$S:$S,'MAIN DATA, Orders'!$Y:$Y,$A72,'MAIN DATA, Orders'!$D:$D,"Germany",'MAIN DATA, Orders'!$I:$I,"Development - Ammunition")/1000000000)</f>
        <v>0</v>
      </c>
      <c r="I72" s="15">
        <f>(SUMIFS('MAIN DATA, Orders'!$S:$S,'MAIN DATA, Orders'!$Y:$Y,$A72,'MAIN DATA, Orders'!$D:$D,"Germany",'MAIN DATA, Orders'!$I:$I,"Armoured vehicle")/1000000000)</f>
        <v>0</v>
      </c>
      <c r="J72" s="15">
        <f>(SUMIFS('MAIN DATA, Orders'!$S:$S,'MAIN DATA, Orders'!$Y:$Y,$A72,'MAIN DATA, Orders'!$D:$D,"Germany",'MAIN DATA, Orders'!$I:$I,"Development - Armoured vehicle")/1000000000)</f>
        <v>0</v>
      </c>
      <c r="K72" s="15">
        <f>(SUMIFS('MAIN DATA, Orders'!$S:$S,'MAIN DATA, Orders'!$Y:$Y,$A72,'MAIN DATA, Orders'!$D:$D,"Germany",'MAIN DATA, Orders'!$I:$I,"Artillery")/1000000000)</f>
        <v>0</v>
      </c>
      <c r="L72" s="15">
        <f>(SUMIFS('MAIN DATA, Orders'!$S:$S,'MAIN DATA, Orders'!$Y:$Y,$A72,'MAIN DATA, Orders'!$D:$D,"Germany",'MAIN DATA, Orders'!$I:$I,"Development - Artillery")/1000000000)</f>
        <v>0</v>
      </c>
      <c r="M72" s="15">
        <f>(SUMIFS('MAIN DATA, Orders'!$S:$S,'MAIN DATA, Orders'!$Y:$Y,$A72,'MAIN DATA, Orders'!$D:$D,"Germany",'MAIN DATA, Orders'!$I:$I,"Drone")/1000000000)</f>
        <v>0</v>
      </c>
      <c r="N72" s="15">
        <f>(SUMIFS('MAIN DATA, Orders'!$S:$S,'MAIN DATA, Orders'!$Y:$Y,$A72,'MAIN DATA, Orders'!$D:$D,"Germany",'MAIN DATA, Orders'!$I:$I,"Development - Drone")/1000000000)</f>
        <v>0</v>
      </c>
      <c r="O72" s="15">
        <f>(SUMIFS('MAIN DATA, Orders'!$S:$S,'MAIN DATA, Orders'!$Y:$Y,$A72,'MAIN DATA, Orders'!$D:$D,"Germany",'MAIN DATA, Orders'!$I:$I,"Helicopter")/1000000000)</f>
        <v>0</v>
      </c>
      <c r="P72" s="15">
        <f>(SUMIFS('MAIN DATA, Orders'!$S:$S,'MAIN DATA, Orders'!$Y:$Y,$A72,'MAIN DATA, Orders'!$D:$D,"Germany",'MAIN DATA, Orders'!$I:$I,"Development - Helicopter")/1000000000)</f>
        <v>0</v>
      </c>
      <c r="Q72" s="15">
        <f>(SUMIFS('MAIN DATA, Orders'!$S:$S,'MAIN DATA, Orders'!$Y:$Y,$A72,'MAIN DATA, Orders'!$D:$D,"Germany",'MAIN DATA, Orders'!$I:$I,"Infantry")/1000000000)</f>
        <v>0.34899999999999998</v>
      </c>
      <c r="R72" s="15">
        <f>(SUMIFS('MAIN DATA, Orders'!$S:$S,'MAIN DATA, Orders'!$Y:$Y,$A72,'MAIN DATA, Orders'!$D:$D,"Germany",'MAIN DATA, Orders'!$I:$I,"Development - Infantry")/1000000000)</f>
        <v>0</v>
      </c>
      <c r="S72" s="15">
        <f>(SUMIFS('MAIN DATA, Orders'!$S:$S,'MAIN DATA, Orders'!$Y:$Y,$A72,'MAIN DATA, Orders'!$D:$D,"Germany",'MAIN DATA, Orders'!$I:$I,"Tank")/1000000000)</f>
        <v>0</v>
      </c>
      <c r="T72" s="15">
        <f>(SUMIFS('MAIN DATA, Orders'!$S:$S,'MAIN DATA, Orders'!$Y:$Y,$A72,'MAIN DATA, Orders'!$D:$D,"Germany",'MAIN DATA, Orders'!$I:$I,"Development - Tank")/1000000000)</f>
        <v>0</v>
      </c>
      <c r="U72" s="15">
        <f>(SUMIFS('MAIN DATA, Orders'!$S:$S,'MAIN DATA, Orders'!$Y:$Y,$A72,'MAIN DATA, Orders'!$D:$D,"Germany",'MAIN DATA, Orders'!$I:$I,"Maintenance")/1000000000)</f>
        <v>0</v>
      </c>
      <c r="V72" s="15">
        <f>(SUMIFS('MAIN DATA, Orders'!$S:$S,'MAIN DATA, Orders'!$Y:$Y,$A72,'MAIN DATA, Orders'!$D:$D,"Germany",'MAIN DATA, Orders'!$I:$I,"Development - Maintenance")/1000000000)</f>
        <v>0</v>
      </c>
      <c r="W72" s="15">
        <f>(SUMIFS('MAIN DATA, Orders'!$S:$S,'MAIN DATA, Orders'!$Y:$Y,$A72,'MAIN DATA, Orders'!$D:$D,"Germany",'MAIN DATA, Orders'!$I:$I,"Mine")/1000000000)</f>
        <v>0</v>
      </c>
      <c r="X72" s="15">
        <f>(SUMIFS('MAIN DATA, Orders'!$S:$S,'MAIN DATA, Orders'!$Y:$Y,$A72,'MAIN DATA, Orders'!$D:$D,"Germany",'MAIN DATA, Orders'!$I:$I,"Development - Mine")/1000000000)</f>
        <v>0</v>
      </c>
      <c r="Y72" s="15">
        <f>(SUMIFS('MAIN DATA, Orders'!$S:$S,'MAIN DATA, Orders'!$Y:$Y,$A72,'MAIN DATA, Orders'!$D:$D,"Germany",'MAIN DATA, Orders'!$J:$J,"6")/1000000000)</f>
        <v>0.56399999999999995</v>
      </c>
      <c r="Z72" s="15" cm="1">
        <f t="array" ref="Z72">SUM(SUMIFS('MAIN DATA, Orders'!$S:$S,'MAIN DATA, Orders'!$Y:$Y,$A72,'MAIN DATA, Orders'!$D:$D,"Germany",'MAIN DATA, Orders'!$I:$I,{"Development - Missile (Land)","Development - Missile (Naval)","Development - Missile (Air)"})/1000000000)</f>
        <v>0</v>
      </c>
      <c r="AA72" s="15">
        <f>(SUMIFS('MAIN DATA, Orders'!$S:$S,'MAIN DATA, Orders'!$Y:$Y,$A72,'MAIN DATA, Orders'!$D:$D,"Germany",'MAIN DATA, Orders'!$I:$I,"Modernisation")/1000000000)</f>
        <v>2.5</v>
      </c>
      <c r="AB72" s="15">
        <f>(SUMIFS('MAIN DATA, Orders'!$S:$S,'MAIN DATA, Orders'!$Y:$Y,$A72,'MAIN DATA, Orders'!$D:$D,"Germany",'MAIN DATA, Orders'!$I:$I,"Development - Modernisation")/1000000000)</f>
        <v>0</v>
      </c>
      <c r="AC72" s="15">
        <f>(SUMIFS('MAIN DATA, Orders'!$S:$S,'MAIN DATA, Orders'!$Y:$Y,$A72,'MAIN DATA, Orders'!$D:$D,"Germany",'MAIN DATA, Orders'!$I:$I,"Naval")/1000000000)</f>
        <v>0</v>
      </c>
      <c r="AD72" s="15">
        <f>(SUMIFS('MAIN DATA, Orders'!$S:$S,'MAIN DATA, Orders'!$Y:$Y,$A72,'MAIN DATA, Orders'!$D:$D,"Germany",'MAIN DATA, Orders'!$I:$I,"Development - Naval")/1000000000)</f>
        <v>0</v>
      </c>
      <c r="AE72" s="15">
        <f>(SUMIFS('MAIN DATA, Orders'!$S:$S,'MAIN DATA, Orders'!$Y:$Y,$A72,'MAIN DATA, Orders'!$D:$D,"Germany",'MAIN DATA, Orders'!$I:$I,"Other")/1000000000)</f>
        <v>0.03</v>
      </c>
      <c r="AF72" s="15">
        <f>(SUMIFS('MAIN DATA, Orders'!$S:$S,'MAIN DATA, Orders'!$Y:$Y,$A72,'MAIN DATA, Orders'!$D:$D,"Germany",'MAIN DATA, Orders'!$I:$I,"Development - Other")/1000000000)</f>
        <v>0</v>
      </c>
      <c r="AG72" s="15"/>
      <c r="AH72" s="15" cm="1">
        <f t="array" ref="AH72">SUM(SUMIFS('MAIN DATA, Orders'!$S:$S,'MAIN DATA, Orders'!$Y:$Y,$A72,'MAIN DATA, Orders'!$D:$D,"Germany",'MAIN DATA, Orders'!$I:$I,{"Missile (Land)","Development - Missile (Land)"})/1000000000)</f>
        <v>0</v>
      </c>
      <c r="AI72" s="15" cm="1">
        <f t="array" ref="AI72">SUM(SUMIFS('MAIN DATA, Orders'!$S:$S,'MAIN DATA, Orders'!$D:$D,"Germany",'MAIN DATA, Orders'!$I:$I,{"Missile (Air)","Development - Missile (Air)"},'MAIN DATA, Orders'!$Y:$Y,$A72)/1000000000)</f>
        <v>0.56399999999999995</v>
      </c>
      <c r="AJ72" s="15" cm="1">
        <f t="array" ref="AJ72">SUM(SUMIFS('MAIN DATA, Orders'!$S:$S,'MAIN DATA, Orders'!$Y:$Y,$A72,'MAIN DATA, Orders'!$D:$D,"Germany",'MAIN DATA, Orders'!$I:$I,{"Missile (Naval)","Development - Missile (Naval)"})/1000000000)</f>
        <v>0</v>
      </c>
    </row>
    <row r="73" spans="1:36" x14ac:dyDescent="0.35">
      <c r="A73" s="20">
        <v>202507</v>
      </c>
      <c r="B73" s="17">
        <v>45839</v>
      </c>
      <c r="C73" s="15">
        <f>(SUMIFS('MAIN DATA, Orders'!$S:$S,'MAIN DATA, Orders'!$Y:$Y,$A73,'MAIN DATA, Orders'!$D:$D,"Germany",'MAIN DATA, Orders'!$I:$I,"Air defence system")/1000000000)</f>
        <v>0</v>
      </c>
      <c r="D73" s="15">
        <f>(SUMIFS('MAIN DATA, Orders'!$S:$S,'MAIN DATA, Orders'!$Y:$Y,$A73,'MAIN DATA, Orders'!$D:$D,"Germany",'MAIN DATA, Orders'!$I:$I,"Development - Air defence system")/1000000000)</f>
        <v>0</v>
      </c>
      <c r="E73" s="15">
        <f>(SUMIFS('MAIN DATA, Orders'!$S:$S,'MAIN DATA, Orders'!$Y:$Y,$A73,'MAIN DATA, Orders'!$D:$D,"Germany",'MAIN DATA, Orders'!$I:$I,"Aircraft")/1000000000)</f>
        <v>0</v>
      </c>
      <c r="F73" s="15">
        <f>(SUMIFS('MAIN DATA, Orders'!$S:$S,'MAIN DATA, Orders'!$Y:$Y,$A73,'MAIN DATA, Orders'!$D:$D,"Germany",'MAIN DATA, Orders'!$I:$I,"Development - Aircraft")/1000000000)</f>
        <v>0</v>
      </c>
      <c r="G73" s="15">
        <f>(SUMIFS('MAIN DATA, Orders'!$S:$S,'MAIN DATA, Orders'!$Y:$Y,$A73,'MAIN DATA, Orders'!$D:$D,"Germany",'MAIN DATA, Orders'!$I:$I,"Ammunition")/1000000000)</f>
        <v>0</v>
      </c>
      <c r="H73" s="15">
        <f>(SUMIFS('MAIN DATA, Orders'!$S:$S,'MAIN DATA, Orders'!$Y:$Y,$A73,'MAIN DATA, Orders'!$D:$D,"Germany",'MAIN DATA, Orders'!$I:$I,"Development - Ammunition")/1000000000)</f>
        <v>0</v>
      </c>
      <c r="I73" s="15">
        <f>(SUMIFS('MAIN DATA, Orders'!$S:$S,'MAIN DATA, Orders'!$Y:$Y,$A73,'MAIN DATA, Orders'!$D:$D,"Germany",'MAIN DATA, Orders'!$I:$I,"Armoured vehicle")/1000000000)</f>
        <v>0</v>
      </c>
      <c r="J73" s="15">
        <f>(SUMIFS('MAIN DATA, Orders'!$S:$S,'MAIN DATA, Orders'!$Y:$Y,$A73,'MAIN DATA, Orders'!$D:$D,"Germany",'MAIN DATA, Orders'!$I:$I,"Development - Armoured vehicle")/1000000000)</f>
        <v>0</v>
      </c>
      <c r="K73" s="15">
        <f>(SUMIFS('MAIN DATA, Orders'!$S:$S,'MAIN DATA, Orders'!$Y:$Y,$A73,'MAIN DATA, Orders'!$D:$D,"Germany",'MAIN DATA, Orders'!$I:$I,"Artillery")/1000000000)</f>
        <v>0</v>
      </c>
      <c r="L73" s="15">
        <f>(SUMIFS('MAIN DATA, Orders'!$S:$S,'MAIN DATA, Orders'!$Y:$Y,$A73,'MAIN DATA, Orders'!$D:$D,"Germany",'MAIN DATA, Orders'!$I:$I,"Development - Artillery")/1000000000)</f>
        <v>0</v>
      </c>
      <c r="M73" s="15">
        <f>(SUMIFS('MAIN DATA, Orders'!$S:$S,'MAIN DATA, Orders'!$Y:$Y,$A73,'MAIN DATA, Orders'!$D:$D,"Germany",'MAIN DATA, Orders'!$I:$I,"Drone")/1000000000)</f>
        <v>0</v>
      </c>
      <c r="N73" s="15">
        <f>(SUMIFS('MAIN DATA, Orders'!$S:$S,'MAIN DATA, Orders'!$Y:$Y,$A73,'MAIN DATA, Orders'!$D:$D,"Germany",'MAIN DATA, Orders'!$I:$I,"Development - Drone")/1000000000)</f>
        <v>0</v>
      </c>
      <c r="O73" s="15">
        <f>(SUMIFS('MAIN DATA, Orders'!$S:$S,'MAIN DATA, Orders'!$Y:$Y,$A73,'MAIN DATA, Orders'!$D:$D,"Germany",'MAIN DATA, Orders'!$I:$I,"Helicopter")/1000000000)</f>
        <v>0</v>
      </c>
      <c r="P73" s="15">
        <f>(SUMIFS('MAIN DATA, Orders'!$S:$S,'MAIN DATA, Orders'!$Y:$Y,$A73,'MAIN DATA, Orders'!$D:$D,"Germany",'MAIN DATA, Orders'!$I:$I,"Development - Helicopter")/1000000000)</f>
        <v>0</v>
      </c>
      <c r="Q73" s="15">
        <f>(SUMIFS('MAIN DATA, Orders'!$S:$S,'MAIN DATA, Orders'!$Y:$Y,$A73,'MAIN DATA, Orders'!$D:$D,"Germany",'MAIN DATA, Orders'!$I:$I,"Infantry")/1000000000)</f>
        <v>0</v>
      </c>
      <c r="R73" s="15">
        <f>(SUMIFS('MAIN DATA, Orders'!$S:$S,'MAIN DATA, Orders'!$Y:$Y,$A73,'MAIN DATA, Orders'!$D:$D,"Germany",'MAIN DATA, Orders'!$I:$I,"Development - Infantry")/1000000000)</f>
        <v>0</v>
      </c>
      <c r="S73" s="15">
        <f>(SUMIFS('MAIN DATA, Orders'!$S:$S,'MAIN DATA, Orders'!$Y:$Y,$A73,'MAIN DATA, Orders'!$D:$D,"Germany",'MAIN DATA, Orders'!$I:$I,"Tank")/1000000000)</f>
        <v>0</v>
      </c>
      <c r="T73" s="15">
        <f>(SUMIFS('MAIN DATA, Orders'!$S:$S,'MAIN DATA, Orders'!$Y:$Y,$A73,'MAIN DATA, Orders'!$D:$D,"Germany",'MAIN DATA, Orders'!$I:$I,"Development - Tank")/1000000000)</f>
        <v>0</v>
      </c>
      <c r="U73" s="15">
        <f>(SUMIFS('MAIN DATA, Orders'!$S:$S,'MAIN DATA, Orders'!$Y:$Y,$A73,'MAIN DATA, Orders'!$D:$D,"Germany",'MAIN DATA, Orders'!$I:$I,"Maintenance")/1000000000)</f>
        <v>0</v>
      </c>
      <c r="V73" s="15">
        <f>(SUMIFS('MAIN DATA, Orders'!$S:$S,'MAIN DATA, Orders'!$Y:$Y,$A73,'MAIN DATA, Orders'!$D:$D,"Germany",'MAIN DATA, Orders'!$I:$I,"Development - Maintenance")/1000000000)</f>
        <v>0</v>
      </c>
      <c r="W73" s="15">
        <f>(SUMIFS('MAIN DATA, Orders'!$S:$S,'MAIN DATA, Orders'!$Y:$Y,$A73,'MAIN DATA, Orders'!$D:$D,"Germany",'MAIN DATA, Orders'!$I:$I,"Mine")/1000000000)</f>
        <v>0</v>
      </c>
      <c r="X73" s="15">
        <f>(SUMIFS('MAIN DATA, Orders'!$S:$S,'MAIN DATA, Orders'!$Y:$Y,$A73,'MAIN DATA, Orders'!$D:$D,"Germany",'MAIN DATA, Orders'!$I:$I,"Development - Mine")/1000000000)</f>
        <v>0</v>
      </c>
      <c r="Y73" s="15">
        <f>(SUMIFS('MAIN DATA, Orders'!$S:$S,'MAIN DATA, Orders'!$Y:$Y,$A73,'MAIN DATA, Orders'!$D:$D,"Germany",'MAIN DATA, Orders'!$J:$J,"6")/1000000000)</f>
        <v>0</v>
      </c>
      <c r="Z73" s="15" cm="1">
        <f t="array" ref="Z73">SUM(SUMIFS('MAIN DATA, Orders'!$S:$S,'MAIN DATA, Orders'!$Y:$Y,$A73,'MAIN DATA, Orders'!$D:$D,"Germany",'MAIN DATA, Orders'!$I:$I,{"Development - Missile (Land)","Development - Missile (Naval)","Development - Missile (Air)"})/1000000000)</f>
        <v>0</v>
      </c>
      <c r="AA73" s="15">
        <f>(SUMIFS('MAIN DATA, Orders'!$S:$S,'MAIN DATA, Orders'!$Y:$Y,$A73,'MAIN DATA, Orders'!$D:$D,"Germany",'MAIN DATA, Orders'!$I:$I,"Modernisation")/1000000000)</f>
        <v>0</v>
      </c>
      <c r="AB73" s="15">
        <f>(SUMIFS('MAIN DATA, Orders'!$S:$S,'MAIN DATA, Orders'!$Y:$Y,$A73,'MAIN DATA, Orders'!$D:$D,"Germany",'MAIN DATA, Orders'!$I:$I,"Development - Modernisation")/1000000000)</f>
        <v>0</v>
      </c>
      <c r="AC73" s="15">
        <f>(SUMIFS('MAIN DATA, Orders'!$S:$S,'MAIN DATA, Orders'!$Y:$Y,$A73,'MAIN DATA, Orders'!$D:$D,"Germany",'MAIN DATA, Orders'!$I:$I,"Naval")/1000000000)</f>
        <v>0</v>
      </c>
      <c r="AD73" s="15">
        <f>(SUMIFS('MAIN DATA, Orders'!$S:$S,'MAIN DATA, Orders'!$Y:$Y,$A73,'MAIN DATA, Orders'!$D:$D,"Germany",'MAIN DATA, Orders'!$I:$I,"Development - Naval")/1000000000)</f>
        <v>0</v>
      </c>
      <c r="AE73" s="15">
        <f>(SUMIFS('MAIN DATA, Orders'!$S:$S,'MAIN DATA, Orders'!$Y:$Y,$A73,'MAIN DATA, Orders'!$D:$D,"Germany",'MAIN DATA, Orders'!$I:$I,"Other")/1000000000)</f>
        <v>0.77</v>
      </c>
      <c r="AF73" s="15">
        <f>(SUMIFS('MAIN DATA, Orders'!$S:$S,'MAIN DATA, Orders'!$Y:$Y,$A73,'MAIN DATA, Orders'!$D:$D,"Germany",'MAIN DATA, Orders'!$I:$I,"Development - Other")/1000000000)</f>
        <v>0</v>
      </c>
      <c r="AG73" s="15"/>
      <c r="AH73" s="15" cm="1">
        <f t="array" ref="AH73">SUM(SUMIFS('MAIN DATA, Orders'!$S:$S,'MAIN DATA, Orders'!$Y:$Y,$A73,'MAIN DATA, Orders'!$D:$D,"Germany",'MAIN DATA, Orders'!$I:$I,{"Missile (Land)","Development - Missile (Land)"})/1000000000)</f>
        <v>0</v>
      </c>
      <c r="AI73" s="15" cm="1">
        <f t="array" ref="AI73">SUM(SUMIFS('MAIN DATA, Orders'!$S:$S,'MAIN DATA, Orders'!$D:$D,"Germany",'MAIN DATA, Orders'!$I:$I,{"Missile (Air)","Development - Missile (Air)"},'MAIN DATA, Orders'!$Y:$Y,$A73)/1000000000)</f>
        <v>0</v>
      </c>
      <c r="AJ73" s="15" cm="1">
        <f t="array" ref="AJ73">SUM(SUMIFS('MAIN DATA, Orders'!$S:$S,'MAIN DATA, Orders'!$Y:$Y,$A73,'MAIN DATA, Orders'!$D:$D,"Germany",'MAIN DATA, Orders'!$I:$I,{"Missile (Naval)","Development - Missile (Naval)"})/1000000000)</f>
        <v>0</v>
      </c>
    </row>
    <row r="74" spans="1:36" x14ac:dyDescent="0.35">
      <c r="A74" s="20">
        <v>202508</v>
      </c>
      <c r="B74" s="17">
        <v>45870</v>
      </c>
      <c r="C74" s="15">
        <f>(SUMIFS('MAIN DATA, Orders'!$S:$S,'MAIN DATA, Orders'!$Y:$Y,$A74,'MAIN DATA, Orders'!$D:$D,"Germany",'MAIN DATA, Orders'!$I:$I,"Air defence system")/1000000000)</f>
        <v>0</v>
      </c>
      <c r="D74" s="15">
        <f>(SUMIFS('MAIN DATA, Orders'!$S:$S,'MAIN DATA, Orders'!$Y:$Y,$A74,'MAIN DATA, Orders'!$D:$D,"Germany",'MAIN DATA, Orders'!$I:$I,"Development - Air defence system")/1000000000)</f>
        <v>0</v>
      </c>
      <c r="E74" s="15">
        <f>(SUMIFS('MAIN DATA, Orders'!$S:$S,'MAIN DATA, Orders'!$Y:$Y,$A74,'MAIN DATA, Orders'!$D:$D,"Germany",'MAIN DATA, Orders'!$I:$I,"Aircraft")/1000000000)</f>
        <v>0</v>
      </c>
      <c r="F74" s="15">
        <f>(SUMIFS('MAIN DATA, Orders'!$S:$S,'MAIN DATA, Orders'!$Y:$Y,$A74,'MAIN DATA, Orders'!$D:$D,"Germany",'MAIN DATA, Orders'!$I:$I,"Development - Aircraft")/1000000000)</f>
        <v>0</v>
      </c>
      <c r="G74" s="15">
        <f>(SUMIFS('MAIN DATA, Orders'!$S:$S,'MAIN DATA, Orders'!$Y:$Y,$A74,'MAIN DATA, Orders'!$D:$D,"Germany",'MAIN DATA, Orders'!$I:$I,"Ammunition")/1000000000)</f>
        <v>0</v>
      </c>
      <c r="H74" s="15">
        <f>(SUMIFS('MAIN DATA, Orders'!$S:$S,'MAIN DATA, Orders'!$Y:$Y,$A74,'MAIN DATA, Orders'!$D:$D,"Germany",'MAIN DATA, Orders'!$I:$I,"Development - Ammunition")/1000000000)</f>
        <v>0</v>
      </c>
      <c r="I74" s="15">
        <f>(SUMIFS('MAIN DATA, Orders'!$S:$S,'MAIN DATA, Orders'!$Y:$Y,$A74,'MAIN DATA, Orders'!$D:$D,"Germany",'MAIN DATA, Orders'!$I:$I,"Armoured vehicle")/1000000000)</f>
        <v>0</v>
      </c>
      <c r="J74" s="15">
        <f>(SUMIFS('MAIN DATA, Orders'!$S:$S,'MAIN DATA, Orders'!$Y:$Y,$A74,'MAIN DATA, Orders'!$D:$D,"Germany",'MAIN DATA, Orders'!$I:$I,"Development - Armoured vehicle")/1000000000)</f>
        <v>0</v>
      </c>
      <c r="K74" s="15">
        <f>(SUMIFS('MAIN DATA, Orders'!$S:$S,'MAIN DATA, Orders'!$Y:$Y,$A74,'MAIN DATA, Orders'!$D:$D,"Germany",'MAIN DATA, Orders'!$I:$I,"Artillery")/1000000000)</f>
        <v>0</v>
      </c>
      <c r="L74" s="15">
        <f>(SUMIFS('MAIN DATA, Orders'!$S:$S,'MAIN DATA, Orders'!$Y:$Y,$A74,'MAIN DATA, Orders'!$D:$D,"Germany",'MAIN DATA, Orders'!$I:$I,"Development - Artillery")/1000000000)</f>
        <v>0</v>
      </c>
      <c r="M74" s="15">
        <f>(SUMIFS('MAIN DATA, Orders'!$S:$S,'MAIN DATA, Orders'!$Y:$Y,$A74,'MAIN DATA, Orders'!$D:$D,"Germany",'MAIN DATA, Orders'!$I:$I,"Drone")/1000000000)</f>
        <v>0</v>
      </c>
      <c r="N74" s="15">
        <f>(SUMIFS('MAIN DATA, Orders'!$S:$S,'MAIN DATA, Orders'!$Y:$Y,$A74,'MAIN DATA, Orders'!$D:$D,"Germany",'MAIN DATA, Orders'!$I:$I,"Development - Drone")/1000000000)</f>
        <v>0</v>
      </c>
      <c r="O74" s="15">
        <f>(SUMIFS('MAIN DATA, Orders'!$S:$S,'MAIN DATA, Orders'!$Y:$Y,$A74,'MAIN DATA, Orders'!$D:$D,"Germany",'MAIN DATA, Orders'!$I:$I,"Helicopter")/1000000000)</f>
        <v>0</v>
      </c>
      <c r="P74" s="15">
        <f>(SUMIFS('MAIN DATA, Orders'!$S:$S,'MAIN DATA, Orders'!$Y:$Y,$A74,'MAIN DATA, Orders'!$D:$D,"Germany",'MAIN DATA, Orders'!$I:$I,"Development - Helicopter")/1000000000)</f>
        <v>0</v>
      </c>
      <c r="Q74" s="15">
        <f>(SUMIFS('MAIN DATA, Orders'!$S:$S,'MAIN DATA, Orders'!$Y:$Y,$A74,'MAIN DATA, Orders'!$D:$D,"Germany",'MAIN DATA, Orders'!$I:$I,"Infantry")/1000000000)</f>
        <v>0</v>
      </c>
      <c r="R74" s="15">
        <f>(SUMIFS('MAIN DATA, Orders'!$S:$S,'MAIN DATA, Orders'!$Y:$Y,$A74,'MAIN DATA, Orders'!$D:$D,"Germany",'MAIN DATA, Orders'!$I:$I,"Development - Infantry")/1000000000)</f>
        <v>0</v>
      </c>
      <c r="S74" s="15">
        <f>(SUMIFS('MAIN DATA, Orders'!$S:$S,'MAIN DATA, Orders'!$Y:$Y,$A74,'MAIN DATA, Orders'!$D:$D,"Germany",'MAIN DATA, Orders'!$I:$I,"Tank")/1000000000)</f>
        <v>0</v>
      </c>
      <c r="T74" s="15">
        <f>(SUMIFS('MAIN DATA, Orders'!$S:$S,'MAIN DATA, Orders'!$Y:$Y,$A74,'MAIN DATA, Orders'!$D:$D,"Germany",'MAIN DATA, Orders'!$I:$I,"Development - Tank")/1000000000)</f>
        <v>0</v>
      </c>
      <c r="U74" s="15">
        <f>(SUMIFS('MAIN DATA, Orders'!$S:$S,'MAIN DATA, Orders'!$Y:$Y,$A74,'MAIN DATA, Orders'!$D:$D,"Germany",'MAIN DATA, Orders'!$I:$I,"Maintenance")/1000000000)</f>
        <v>0</v>
      </c>
      <c r="V74" s="15">
        <f>(SUMIFS('MAIN DATA, Orders'!$S:$S,'MAIN DATA, Orders'!$Y:$Y,$A74,'MAIN DATA, Orders'!$D:$D,"Germany",'MAIN DATA, Orders'!$I:$I,"Development - Maintenance")/1000000000)</f>
        <v>0</v>
      </c>
      <c r="W74" s="15">
        <f>(SUMIFS('MAIN DATA, Orders'!$S:$S,'MAIN DATA, Orders'!$Y:$Y,$A74,'MAIN DATA, Orders'!$D:$D,"Germany",'MAIN DATA, Orders'!$I:$I,"Mine")/1000000000)</f>
        <v>0</v>
      </c>
      <c r="X74" s="15">
        <f>(SUMIFS('MAIN DATA, Orders'!$S:$S,'MAIN DATA, Orders'!$Y:$Y,$A74,'MAIN DATA, Orders'!$D:$D,"Germany",'MAIN DATA, Orders'!$I:$I,"Development - Mine")/1000000000)</f>
        <v>0</v>
      </c>
      <c r="Y74" s="15">
        <f>(SUMIFS('MAIN DATA, Orders'!$S:$S,'MAIN DATA, Orders'!$Y:$Y,$A74,'MAIN DATA, Orders'!$D:$D,"Germany",'MAIN DATA, Orders'!$J:$J,"6")/1000000000)</f>
        <v>0</v>
      </c>
      <c r="Z74" s="15" cm="1">
        <f t="array" ref="Z74">SUM(SUMIFS('MAIN DATA, Orders'!$S:$S,'MAIN DATA, Orders'!$Y:$Y,$A74,'MAIN DATA, Orders'!$D:$D,"Germany",'MAIN DATA, Orders'!$I:$I,{"Development - Missile (Land)","Development - Missile (Naval)","Development - Missile (Air)"})/1000000000)</f>
        <v>0</v>
      </c>
      <c r="AA74" s="15">
        <f>(SUMIFS('MAIN DATA, Orders'!$S:$S,'MAIN DATA, Orders'!$Y:$Y,$A74,'MAIN DATA, Orders'!$D:$D,"Germany",'MAIN DATA, Orders'!$I:$I,"Modernisation")/1000000000)</f>
        <v>0</v>
      </c>
      <c r="AB74" s="15">
        <f>(SUMIFS('MAIN DATA, Orders'!$S:$S,'MAIN DATA, Orders'!$Y:$Y,$A74,'MAIN DATA, Orders'!$D:$D,"Germany",'MAIN DATA, Orders'!$I:$I,"Development - Modernisation")/1000000000)</f>
        <v>0</v>
      </c>
      <c r="AC74" s="15">
        <f>(SUMIFS('MAIN DATA, Orders'!$S:$S,'MAIN DATA, Orders'!$Y:$Y,$A74,'MAIN DATA, Orders'!$D:$D,"Germany",'MAIN DATA, Orders'!$I:$I,"Naval")/1000000000)</f>
        <v>0</v>
      </c>
      <c r="AD74" s="15">
        <f>(SUMIFS('MAIN DATA, Orders'!$S:$S,'MAIN DATA, Orders'!$Y:$Y,$A74,'MAIN DATA, Orders'!$D:$D,"Germany",'MAIN DATA, Orders'!$I:$I,"Development - Naval")/1000000000)</f>
        <v>0</v>
      </c>
      <c r="AE74" s="15">
        <f>(SUMIFS('MAIN DATA, Orders'!$S:$S,'MAIN DATA, Orders'!$Y:$Y,$A74,'MAIN DATA, Orders'!$D:$D,"Germany",'MAIN DATA, Orders'!$I:$I,"Other")/1000000000)</f>
        <v>0</v>
      </c>
      <c r="AF74" s="15">
        <f>(SUMIFS('MAIN DATA, Orders'!$S:$S,'MAIN DATA, Orders'!$Y:$Y,$A74,'MAIN DATA, Orders'!$D:$D,"Germany",'MAIN DATA, Orders'!$I:$I,"Development - Other")/1000000000)</f>
        <v>0</v>
      </c>
      <c r="AG74" s="15"/>
      <c r="AH74" s="15" cm="1">
        <f t="array" ref="AH74">SUM(SUMIFS('MAIN DATA, Orders'!$S:$S,'MAIN DATA, Orders'!$Y:$Y,$A74,'MAIN DATA, Orders'!$D:$D,"Germany",'MAIN DATA, Orders'!$I:$I,{"Missile (Land)","Development - Missile (Land)"})/1000000000)</f>
        <v>0</v>
      </c>
      <c r="AI74" s="15" cm="1">
        <f t="array" ref="AI74">SUM(SUMIFS('MAIN DATA, Orders'!$S:$S,'MAIN DATA, Orders'!$D:$D,"Germany",'MAIN DATA, Orders'!$I:$I,{"Missile (Air)","Development - Missile (Air)"},'MAIN DATA, Orders'!$Y:$Y,$A74)/1000000000)</f>
        <v>0</v>
      </c>
      <c r="AJ74" s="15" cm="1">
        <f t="array" ref="AJ74">SUM(SUMIFS('MAIN DATA, Orders'!$S:$S,'MAIN DATA, Orders'!$Y:$Y,$A74,'MAIN DATA, Orders'!$D:$D,"Germany",'MAIN DATA, Orders'!$I:$I,{"Missile (Naval)","Development - Missile (Naval)"})/1000000000)</f>
        <v>0</v>
      </c>
    </row>
    <row r="75" spans="1:36" x14ac:dyDescent="0.35">
      <c r="A75" s="20">
        <v>202509</v>
      </c>
      <c r="B75" s="17">
        <v>45901</v>
      </c>
      <c r="C75" s="15">
        <f>(SUMIFS('MAIN DATA, Orders'!$S:$S,'MAIN DATA, Orders'!$Y:$Y,$A75,'MAIN DATA, Orders'!$D:$D,"Germany",'MAIN DATA, Orders'!$I:$I,"Air defence system")/1000000000)</f>
        <v>0.114</v>
      </c>
      <c r="D75" s="15">
        <f>(SUMIFS('MAIN DATA, Orders'!$S:$S,'MAIN DATA, Orders'!$Y:$Y,$A75,'MAIN DATA, Orders'!$D:$D,"Germany",'MAIN DATA, Orders'!$I:$I,"Development - Air defence system")/1000000000)</f>
        <v>0</v>
      </c>
      <c r="E75" s="15">
        <f>(SUMIFS('MAIN DATA, Orders'!$S:$S,'MAIN DATA, Orders'!$Y:$Y,$A75,'MAIN DATA, Orders'!$D:$D,"Germany",'MAIN DATA, Orders'!$I:$I,"Aircraft")/1000000000)</f>
        <v>0</v>
      </c>
      <c r="F75" s="15">
        <f>(SUMIFS('MAIN DATA, Orders'!$S:$S,'MAIN DATA, Orders'!$Y:$Y,$A75,'MAIN DATA, Orders'!$D:$D,"Germany",'MAIN DATA, Orders'!$I:$I,"Development - Aircraft")/1000000000)</f>
        <v>0</v>
      </c>
      <c r="G75" s="15">
        <f>(SUMIFS('MAIN DATA, Orders'!$S:$S,'MAIN DATA, Orders'!$Y:$Y,$A75,'MAIN DATA, Orders'!$D:$D,"Germany",'MAIN DATA, Orders'!$I:$I,"Ammunition")/1000000000)</f>
        <v>0</v>
      </c>
      <c r="H75" s="15">
        <f>(SUMIFS('MAIN DATA, Orders'!$S:$S,'MAIN DATA, Orders'!$Y:$Y,$A75,'MAIN DATA, Orders'!$D:$D,"Germany",'MAIN DATA, Orders'!$I:$I,"Development - Ammunition")/1000000000)</f>
        <v>0</v>
      </c>
      <c r="I75" s="15">
        <f>(SUMIFS('MAIN DATA, Orders'!$S:$S,'MAIN DATA, Orders'!$Y:$Y,$A75,'MAIN DATA, Orders'!$D:$D,"Germany",'MAIN DATA, Orders'!$I:$I,"Armoured vehicle")/1000000000)</f>
        <v>0</v>
      </c>
      <c r="J75" s="15">
        <f>(SUMIFS('MAIN DATA, Orders'!$S:$S,'MAIN DATA, Orders'!$Y:$Y,$A75,'MAIN DATA, Orders'!$D:$D,"Germany",'MAIN DATA, Orders'!$I:$I,"Development - Armoured vehicle")/1000000000)</f>
        <v>3.09E-2</v>
      </c>
      <c r="K75" s="15">
        <f>(SUMIFS('MAIN DATA, Orders'!$S:$S,'MAIN DATA, Orders'!$Y:$Y,$A75,'MAIN DATA, Orders'!$D:$D,"Germany",'MAIN DATA, Orders'!$I:$I,"Artillery")/1000000000)</f>
        <v>0</v>
      </c>
      <c r="L75" s="15">
        <f>(SUMIFS('MAIN DATA, Orders'!$S:$S,'MAIN DATA, Orders'!$Y:$Y,$A75,'MAIN DATA, Orders'!$D:$D,"Germany",'MAIN DATA, Orders'!$I:$I,"Development - Artillery")/1000000000)</f>
        <v>0</v>
      </c>
      <c r="M75" s="15">
        <f>(SUMIFS('MAIN DATA, Orders'!$S:$S,'MAIN DATA, Orders'!$Y:$Y,$A75,'MAIN DATA, Orders'!$D:$D,"Germany",'MAIN DATA, Orders'!$I:$I,"Drone")/1000000000)</f>
        <v>0.63</v>
      </c>
      <c r="N75" s="15">
        <f>(SUMIFS('MAIN DATA, Orders'!$S:$S,'MAIN DATA, Orders'!$Y:$Y,$A75,'MAIN DATA, Orders'!$D:$D,"Germany",'MAIN DATA, Orders'!$I:$I,"Development - Drone")/1000000000)</f>
        <v>0</v>
      </c>
      <c r="O75" s="15">
        <f>(SUMIFS('MAIN DATA, Orders'!$S:$S,'MAIN DATA, Orders'!$Y:$Y,$A75,'MAIN DATA, Orders'!$D:$D,"Germany",'MAIN DATA, Orders'!$I:$I,"Helicopter")/1000000000)</f>
        <v>0</v>
      </c>
      <c r="P75" s="15">
        <f>(SUMIFS('MAIN DATA, Orders'!$S:$S,'MAIN DATA, Orders'!$Y:$Y,$A75,'MAIN DATA, Orders'!$D:$D,"Germany",'MAIN DATA, Orders'!$I:$I,"Development - Helicopter")/1000000000)</f>
        <v>0</v>
      </c>
      <c r="Q75" s="15">
        <f>(SUMIFS('MAIN DATA, Orders'!$S:$S,'MAIN DATA, Orders'!$Y:$Y,$A75,'MAIN DATA, Orders'!$D:$D,"Germany",'MAIN DATA, Orders'!$I:$I,"Infantry")/1000000000)</f>
        <v>0</v>
      </c>
      <c r="R75" s="15">
        <f>(SUMIFS('MAIN DATA, Orders'!$S:$S,'MAIN DATA, Orders'!$Y:$Y,$A75,'MAIN DATA, Orders'!$D:$D,"Germany",'MAIN DATA, Orders'!$I:$I,"Development - Infantry")/1000000000)</f>
        <v>0</v>
      </c>
      <c r="S75" s="15">
        <f>(SUMIFS('MAIN DATA, Orders'!$S:$S,'MAIN DATA, Orders'!$Y:$Y,$A75,'MAIN DATA, Orders'!$D:$D,"Germany",'MAIN DATA, Orders'!$I:$I,"Tank")/1000000000)</f>
        <v>0</v>
      </c>
      <c r="T75" s="15">
        <f>(SUMIFS('MAIN DATA, Orders'!$S:$S,'MAIN DATA, Orders'!$Y:$Y,$A75,'MAIN DATA, Orders'!$D:$D,"Germany",'MAIN DATA, Orders'!$I:$I,"Development - Tank")/1000000000)</f>
        <v>0</v>
      </c>
      <c r="U75" s="15">
        <f>(SUMIFS('MAIN DATA, Orders'!$S:$S,'MAIN DATA, Orders'!$Y:$Y,$A75,'MAIN DATA, Orders'!$D:$D,"Germany",'MAIN DATA, Orders'!$I:$I,"Maintenance")/1000000000)</f>
        <v>0</v>
      </c>
      <c r="V75" s="15">
        <f>(SUMIFS('MAIN DATA, Orders'!$S:$S,'MAIN DATA, Orders'!$Y:$Y,$A75,'MAIN DATA, Orders'!$D:$D,"Germany",'MAIN DATA, Orders'!$I:$I,"Development - Maintenance")/1000000000)</f>
        <v>0</v>
      </c>
      <c r="W75" s="15">
        <f>(SUMIFS('MAIN DATA, Orders'!$S:$S,'MAIN DATA, Orders'!$Y:$Y,$A75,'MAIN DATA, Orders'!$D:$D,"Germany",'MAIN DATA, Orders'!$I:$I,"Mine")/1000000000)</f>
        <v>0</v>
      </c>
      <c r="X75" s="15">
        <f>(SUMIFS('MAIN DATA, Orders'!$S:$S,'MAIN DATA, Orders'!$Y:$Y,$A75,'MAIN DATA, Orders'!$D:$D,"Germany",'MAIN DATA, Orders'!$I:$I,"Development - Mine")/1000000000)</f>
        <v>0</v>
      </c>
      <c r="Y75" s="15">
        <f>(SUMIFS('MAIN DATA, Orders'!$S:$S,'MAIN DATA, Orders'!$Y:$Y,$A75,'MAIN DATA, Orders'!$D:$D,"Germany",'MAIN DATA, Orders'!$J:$J,"6")/1000000000)</f>
        <v>1.5569999999999999</v>
      </c>
      <c r="Z75" s="15" cm="1">
        <f t="array" ref="Z75">SUM(SUMIFS('MAIN DATA, Orders'!$S:$S,'MAIN DATA, Orders'!$Y:$Y,$A75,'MAIN DATA, Orders'!$D:$D,"Germany",'MAIN DATA, Orders'!$I:$I,{"Development - Missile (Land)","Development - Missile (Naval)","Development - Missile (Air)"})/1000000000)</f>
        <v>0</v>
      </c>
      <c r="AA75" s="15">
        <f>(SUMIFS('MAIN DATA, Orders'!$S:$S,'MAIN DATA, Orders'!$Y:$Y,$A75,'MAIN DATA, Orders'!$D:$D,"Germany",'MAIN DATA, Orders'!$I:$I,"Modernisation")/1000000000)</f>
        <v>0.04</v>
      </c>
      <c r="AB75" s="15">
        <f>(SUMIFS('MAIN DATA, Orders'!$S:$S,'MAIN DATA, Orders'!$Y:$Y,$A75,'MAIN DATA, Orders'!$D:$D,"Germany",'MAIN DATA, Orders'!$I:$I,"Development - Modernisation")/1000000000)</f>
        <v>0</v>
      </c>
      <c r="AC75" s="15">
        <f>(SUMIFS('MAIN DATA, Orders'!$S:$S,'MAIN DATA, Orders'!$Y:$Y,$A75,'MAIN DATA, Orders'!$D:$D,"Germany",'MAIN DATA, Orders'!$I:$I,"Naval")/1000000000)</f>
        <v>0</v>
      </c>
      <c r="AD75" s="15">
        <f>(SUMIFS('MAIN DATA, Orders'!$S:$S,'MAIN DATA, Orders'!$Y:$Y,$A75,'MAIN DATA, Orders'!$D:$D,"Germany",'MAIN DATA, Orders'!$I:$I,"Development - Naval")/1000000000)</f>
        <v>0</v>
      </c>
      <c r="AE75" s="15">
        <f>(SUMIFS('MAIN DATA, Orders'!$S:$S,'MAIN DATA, Orders'!$Y:$Y,$A75,'MAIN DATA, Orders'!$D:$D,"Germany",'MAIN DATA, Orders'!$I:$I,"Other")/1000000000)</f>
        <v>0.75</v>
      </c>
      <c r="AF75" s="15">
        <f>(SUMIFS('MAIN DATA, Orders'!$S:$S,'MAIN DATA, Orders'!$Y:$Y,$A75,'MAIN DATA, Orders'!$D:$D,"Germany",'MAIN DATA, Orders'!$I:$I,"Development - Other")/1000000000)</f>
        <v>0</v>
      </c>
      <c r="AG75" s="15"/>
      <c r="AH75" s="15" cm="1">
        <f t="array" ref="AH75">SUM(SUMIFS('MAIN DATA, Orders'!$S:$S,'MAIN DATA, Orders'!$Y:$Y,$A75,'MAIN DATA, Orders'!$D:$D,"Germany",'MAIN DATA, Orders'!$I:$I,{"Missile (Land)","Development - Missile (Land)"})/1000000000)</f>
        <v>1.5569999999999999</v>
      </c>
      <c r="AI75" s="15" cm="1">
        <f t="array" ref="AI75">SUM(SUMIFS('MAIN DATA, Orders'!$S:$S,'MAIN DATA, Orders'!$D:$D,"Germany",'MAIN DATA, Orders'!$I:$I,{"Missile (Air)","Development - Missile (Air)"},'MAIN DATA, Orders'!$Y:$Y,$A75)/1000000000)</f>
        <v>0</v>
      </c>
      <c r="AJ75" s="15" cm="1">
        <f t="array" ref="AJ75">SUM(SUMIFS('MAIN DATA, Orders'!$S:$S,'MAIN DATA, Orders'!$Y:$Y,$A75,'MAIN DATA, Orders'!$D:$D,"Germany",'MAIN DATA, Orders'!$I:$I,{"Missile (Naval)","Development - Missile (Naval)"})/1000000000)</f>
        <v>0</v>
      </c>
    </row>
    <row r="76" spans="1:36" x14ac:dyDescent="0.35">
      <c r="A76" s="20">
        <v>202510</v>
      </c>
      <c r="B76" s="17">
        <v>45931</v>
      </c>
      <c r="C76" s="15">
        <f>(SUMIFS('MAIN DATA, Orders'!$S:$S,'MAIN DATA, Orders'!$Y:$Y,$A76,'MAIN DATA, Orders'!$D:$D,"Germany",'MAIN DATA, Orders'!$I:$I,"Air defence system")/1000000000)</f>
        <v>0</v>
      </c>
      <c r="D76" s="15">
        <f>(SUMIFS('MAIN DATA, Orders'!$S:$S,'MAIN DATA, Orders'!$Y:$Y,$A76,'MAIN DATA, Orders'!$D:$D,"Germany",'MAIN DATA, Orders'!$I:$I,"Development - Air defence system")/1000000000)</f>
        <v>0</v>
      </c>
      <c r="E76" s="15">
        <f>(SUMIFS('MAIN DATA, Orders'!$S:$S,'MAIN DATA, Orders'!$Y:$Y,$A76,'MAIN DATA, Orders'!$D:$D,"Germany",'MAIN DATA, Orders'!$I:$I,"Aircraft")/1000000000)</f>
        <v>4.1619999999999999</v>
      </c>
      <c r="F76" s="15">
        <f>(SUMIFS('MAIN DATA, Orders'!$S:$S,'MAIN DATA, Orders'!$Y:$Y,$A76,'MAIN DATA, Orders'!$D:$D,"Germany",'MAIN DATA, Orders'!$I:$I,"Development - Aircraft")/1000000000)</f>
        <v>0</v>
      </c>
      <c r="G76" s="15">
        <f>(SUMIFS('MAIN DATA, Orders'!$S:$S,'MAIN DATA, Orders'!$Y:$Y,$A76,'MAIN DATA, Orders'!$D:$D,"Germany",'MAIN DATA, Orders'!$I:$I,"Ammunition")/1000000000)</f>
        <v>5.2999999999999999E-2</v>
      </c>
      <c r="H76" s="15">
        <f>(SUMIFS('MAIN DATA, Orders'!$S:$S,'MAIN DATA, Orders'!$Y:$Y,$A76,'MAIN DATA, Orders'!$D:$D,"Germany",'MAIN DATA, Orders'!$I:$I,"Development - Ammunition")/1000000000)</f>
        <v>0</v>
      </c>
      <c r="I76" s="15">
        <f>(SUMIFS('MAIN DATA, Orders'!$S:$S,'MAIN DATA, Orders'!$Y:$Y,$A76,'MAIN DATA, Orders'!$D:$D,"Germany",'MAIN DATA, Orders'!$I:$I,"Armoured vehicle")/1000000000)</f>
        <v>4.0949999999999998</v>
      </c>
      <c r="J76" s="15">
        <f>(SUMIFS('MAIN DATA, Orders'!$S:$S,'MAIN DATA, Orders'!$Y:$Y,$A76,'MAIN DATA, Orders'!$D:$D,"Germany",'MAIN DATA, Orders'!$I:$I,"Development - Armoured vehicle")/1000000000)</f>
        <v>3.54</v>
      </c>
      <c r="K76" s="15">
        <f>(SUMIFS('MAIN DATA, Orders'!$S:$S,'MAIN DATA, Orders'!$Y:$Y,$A76,'MAIN DATA, Orders'!$D:$D,"Germany",'MAIN DATA, Orders'!$I:$I,"Artillery")/1000000000)</f>
        <v>0</v>
      </c>
      <c r="L76" s="15">
        <f>(SUMIFS('MAIN DATA, Orders'!$S:$S,'MAIN DATA, Orders'!$Y:$Y,$A76,'MAIN DATA, Orders'!$D:$D,"Germany",'MAIN DATA, Orders'!$I:$I,"Development - Artillery")/1000000000)</f>
        <v>0</v>
      </c>
      <c r="M76" s="15">
        <f>(SUMIFS('MAIN DATA, Orders'!$S:$S,'MAIN DATA, Orders'!$Y:$Y,$A76,'MAIN DATA, Orders'!$D:$D,"Germany",'MAIN DATA, Orders'!$I:$I,"Drone")/1000000000)</f>
        <v>0</v>
      </c>
      <c r="N76" s="15">
        <f>(SUMIFS('MAIN DATA, Orders'!$S:$S,'MAIN DATA, Orders'!$Y:$Y,$A76,'MAIN DATA, Orders'!$D:$D,"Germany",'MAIN DATA, Orders'!$I:$I,"Development - Drone")/1000000000)</f>
        <v>0</v>
      </c>
      <c r="O76" s="15">
        <f>(SUMIFS('MAIN DATA, Orders'!$S:$S,'MAIN DATA, Orders'!$Y:$Y,$A76,'MAIN DATA, Orders'!$D:$D,"Germany",'MAIN DATA, Orders'!$I:$I,"Helicopter")/1000000000)</f>
        <v>0</v>
      </c>
      <c r="P76" s="15">
        <f>(SUMIFS('MAIN DATA, Orders'!$S:$S,'MAIN DATA, Orders'!$Y:$Y,$A76,'MAIN DATA, Orders'!$D:$D,"Germany",'MAIN DATA, Orders'!$I:$I,"Development - Helicopter")/1000000000)</f>
        <v>0</v>
      </c>
      <c r="Q76" s="15">
        <f>(SUMIFS('MAIN DATA, Orders'!$S:$S,'MAIN DATA, Orders'!$Y:$Y,$A76,'MAIN DATA, Orders'!$D:$D,"Germany",'MAIN DATA, Orders'!$I:$I,"Infantry")/1000000000)</f>
        <v>7.0000000000000007E-2</v>
      </c>
      <c r="R76" s="15">
        <f>(SUMIFS('MAIN DATA, Orders'!$S:$S,'MAIN DATA, Orders'!$Y:$Y,$A76,'MAIN DATA, Orders'!$D:$D,"Germany",'MAIN DATA, Orders'!$I:$I,"Development - Infantry")/1000000000)</f>
        <v>0</v>
      </c>
      <c r="S76" s="15">
        <f>(SUMIFS('MAIN DATA, Orders'!$S:$S,'MAIN DATA, Orders'!$Y:$Y,$A76,'MAIN DATA, Orders'!$D:$D,"Germany",'MAIN DATA, Orders'!$I:$I,"Tank")/1000000000)</f>
        <v>0</v>
      </c>
      <c r="T76" s="15">
        <f>(SUMIFS('MAIN DATA, Orders'!$S:$S,'MAIN DATA, Orders'!$Y:$Y,$A76,'MAIN DATA, Orders'!$D:$D,"Germany",'MAIN DATA, Orders'!$I:$I,"Development - Tank")/1000000000)</f>
        <v>0</v>
      </c>
      <c r="U76" s="15">
        <f>(SUMIFS('MAIN DATA, Orders'!$S:$S,'MAIN DATA, Orders'!$Y:$Y,$A76,'MAIN DATA, Orders'!$D:$D,"Germany",'MAIN DATA, Orders'!$I:$I,"Maintenance")/1000000000)</f>
        <v>0</v>
      </c>
      <c r="V76" s="15">
        <f>(SUMIFS('MAIN DATA, Orders'!$S:$S,'MAIN DATA, Orders'!$Y:$Y,$A76,'MAIN DATA, Orders'!$D:$D,"Germany",'MAIN DATA, Orders'!$I:$I,"Development - Maintenance")/1000000000)</f>
        <v>0</v>
      </c>
      <c r="W76" s="15">
        <f>(SUMIFS('MAIN DATA, Orders'!$S:$S,'MAIN DATA, Orders'!$Y:$Y,$A76,'MAIN DATA, Orders'!$D:$D,"Germany",'MAIN DATA, Orders'!$I:$I,"Mine")/1000000000)</f>
        <v>0</v>
      </c>
      <c r="X76" s="15">
        <f>(SUMIFS('MAIN DATA, Orders'!$S:$S,'MAIN DATA, Orders'!$Y:$Y,$A76,'MAIN DATA, Orders'!$D:$D,"Germany",'MAIN DATA, Orders'!$I:$I,"Development - Mine")/1000000000)</f>
        <v>0</v>
      </c>
      <c r="Y76" s="15">
        <f>(SUMIFS('MAIN DATA, Orders'!$S:$S,'MAIN DATA, Orders'!$Y:$Y,$A76,'MAIN DATA, Orders'!$D:$D,"Germany",'MAIN DATA, Orders'!$J:$J,"6")/1000000000)</f>
        <v>0.38590999999999998</v>
      </c>
      <c r="Z76" s="15" cm="1">
        <f t="array" ref="Z76">SUM(SUMIFS('MAIN DATA, Orders'!$S:$S,'MAIN DATA, Orders'!$Y:$Y,$A76,'MAIN DATA, Orders'!$D:$D,"Germany",'MAIN DATA, Orders'!$I:$I,{"Development - Missile (Land)","Development - Missile (Naval)","Development - Missile (Air)"})/1000000000)</f>
        <v>0</v>
      </c>
      <c r="AA76" s="15">
        <f>(SUMIFS('MAIN DATA, Orders'!$S:$S,'MAIN DATA, Orders'!$Y:$Y,$A76,'MAIN DATA, Orders'!$D:$D,"Germany",'MAIN DATA, Orders'!$I:$I,"Modernisation")/1000000000)</f>
        <v>1.5827</v>
      </c>
      <c r="AB76" s="15">
        <f>(SUMIFS('MAIN DATA, Orders'!$S:$S,'MAIN DATA, Orders'!$Y:$Y,$A76,'MAIN DATA, Orders'!$D:$D,"Germany",'MAIN DATA, Orders'!$I:$I,"Development - Modernisation")/1000000000)</f>
        <v>0</v>
      </c>
      <c r="AC76" s="15">
        <f>(SUMIFS('MAIN DATA, Orders'!$S:$S,'MAIN DATA, Orders'!$Y:$Y,$A76,'MAIN DATA, Orders'!$D:$D,"Germany",'MAIN DATA, Orders'!$I:$I,"Naval")/1000000000)</f>
        <v>0.06</v>
      </c>
      <c r="AD76" s="15">
        <f>(SUMIFS('MAIN DATA, Orders'!$S:$S,'MAIN DATA, Orders'!$Y:$Y,$A76,'MAIN DATA, Orders'!$D:$D,"Germany",'MAIN DATA, Orders'!$I:$I,"Development - Naval")/1000000000)</f>
        <v>0</v>
      </c>
      <c r="AE76" s="15">
        <f>(SUMIFS('MAIN DATA, Orders'!$S:$S,'MAIN DATA, Orders'!$Y:$Y,$A76,'MAIN DATA, Orders'!$D:$D,"Germany",'MAIN DATA, Orders'!$I:$I,"Other")/1000000000)</f>
        <v>0.66800000000000004</v>
      </c>
      <c r="AF76" s="15">
        <f>(SUMIFS('MAIN DATA, Orders'!$S:$S,'MAIN DATA, Orders'!$Y:$Y,$A76,'MAIN DATA, Orders'!$D:$D,"Germany",'MAIN DATA, Orders'!$I:$I,"Development - Other")/1000000000)</f>
        <v>0</v>
      </c>
      <c r="AG76" s="15"/>
      <c r="AH76" s="15" cm="1">
        <f t="array" ref="AH76">SUM(SUMIFS('MAIN DATA, Orders'!$S:$S,'MAIN DATA, Orders'!$Y:$Y,$A76,'MAIN DATA, Orders'!$D:$D,"Germany",'MAIN DATA, Orders'!$I:$I,{"Missile (Land)","Development - Missile (Land)"})/1000000000)</f>
        <v>0</v>
      </c>
      <c r="AI76" s="15" cm="1">
        <f t="array" ref="AI76">SUM(SUMIFS('MAIN DATA, Orders'!$S:$S,'MAIN DATA, Orders'!$D:$D,"Germany",'MAIN DATA, Orders'!$I:$I,{"Missile (Air)","Development - Missile (Air)"},'MAIN DATA, Orders'!$Y:$Y,$A76)/1000000000)</f>
        <v>0</v>
      </c>
      <c r="AJ76" s="15" cm="1">
        <f t="array" ref="AJ76">SUM(SUMIFS('MAIN DATA, Orders'!$S:$S,'MAIN DATA, Orders'!$Y:$Y,$A76,'MAIN DATA, Orders'!$D:$D,"Germany",'MAIN DATA, Orders'!$I:$I,{"Missile (Naval)","Development - Missile (Naval)"})/1000000000)</f>
        <v>0.38590999999999998</v>
      </c>
    </row>
    <row r="77" spans="1:36" x14ac:dyDescent="0.35">
      <c r="A77" s="20">
        <v>202511</v>
      </c>
      <c r="B77" s="17">
        <v>45962</v>
      </c>
      <c r="C77" s="15">
        <f>(SUMIFS('MAIN DATA, Orders'!$S:$S,'MAIN DATA, Orders'!$Y:$Y,$A77,'MAIN DATA, Orders'!$D:$D,"Germany",'MAIN DATA, Orders'!$I:$I,"Air defence system")/1000000000)</f>
        <v>0</v>
      </c>
      <c r="D77" s="15">
        <f>(SUMIFS('MAIN DATA, Orders'!$S:$S,'MAIN DATA, Orders'!$Y:$Y,$A77,'MAIN DATA, Orders'!$D:$D,"Germany",'MAIN DATA, Orders'!$I:$I,"Development - Air defence system")/1000000000)</f>
        <v>0</v>
      </c>
      <c r="E77" s="15">
        <f>(SUMIFS('MAIN DATA, Orders'!$S:$S,'MAIN DATA, Orders'!$Y:$Y,$A77,'MAIN DATA, Orders'!$D:$D,"Germany",'MAIN DATA, Orders'!$I:$I,"Aircraft")/1000000000)</f>
        <v>4.8000000000000001E-2</v>
      </c>
      <c r="F77" s="15">
        <f>(SUMIFS('MAIN DATA, Orders'!$S:$S,'MAIN DATA, Orders'!$Y:$Y,$A77,'MAIN DATA, Orders'!$D:$D,"Germany",'MAIN DATA, Orders'!$I:$I,"Development - Aircraft")/1000000000)</f>
        <v>0.14000000000000001</v>
      </c>
      <c r="G77" s="15">
        <f>(SUMIFS('MAIN DATA, Orders'!$S:$S,'MAIN DATA, Orders'!$Y:$Y,$A77,'MAIN DATA, Orders'!$D:$D,"Germany",'MAIN DATA, Orders'!$I:$I,"Ammunition")/1000000000)</f>
        <v>0</v>
      </c>
      <c r="H77" s="15">
        <f>(SUMIFS('MAIN DATA, Orders'!$S:$S,'MAIN DATA, Orders'!$Y:$Y,$A77,'MAIN DATA, Orders'!$D:$D,"Germany",'MAIN DATA, Orders'!$I:$I,"Development - Ammunition")/1000000000)</f>
        <v>0</v>
      </c>
      <c r="I77" s="15">
        <f>(SUMIFS('MAIN DATA, Orders'!$S:$S,'MAIN DATA, Orders'!$Y:$Y,$A77,'MAIN DATA, Orders'!$D:$D,"Germany",'MAIN DATA, Orders'!$I:$I,"Armoured vehicle")/1000000000)</f>
        <v>0</v>
      </c>
      <c r="J77" s="15">
        <f>(SUMIFS('MAIN DATA, Orders'!$S:$S,'MAIN DATA, Orders'!$Y:$Y,$A77,'MAIN DATA, Orders'!$D:$D,"Germany",'MAIN DATA, Orders'!$I:$I,"Development - Armoured vehicle")/1000000000)</f>
        <v>0</v>
      </c>
      <c r="K77" s="15">
        <f>(SUMIFS('MAIN DATA, Orders'!$S:$S,'MAIN DATA, Orders'!$Y:$Y,$A77,'MAIN DATA, Orders'!$D:$D,"Germany",'MAIN DATA, Orders'!$I:$I,"Artillery")/1000000000)</f>
        <v>0</v>
      </c>
      <c r="L77" s="15">
        <f>(SUMIFS('MAIN DATA, Orders'!$S:$S,'MAIN DATA, Orders'!$Y:$Y,$A77,'MAIN DATA, Orders'!$D:$D,"Germany",'MAIN DATA, Orders'!$I:$I,"Development - Artillery")/1000000000)</f>
        <v>0</v>
      </c>
      <c r="M77" s="15">
        <f>(SUMIFS('MAIN DATA, Orders'!$S:$S,'MAIN DATA, Orders'!$Y:$Y,$A77,'MAIN DATA, Orders'!$D:$D,"Germany",'MAIN DATA, Orders'!$I:$I,"Drone")/1000000000)</f>
        <v>0</v>
      </c>
      <c r="N77" s="15">
        <f>(SUMIFS('MAIN DATA, Orders'!$S:$S,'MAIN DATA, Orders'!$Y:$Y,$A77,'MAIN DATA, Orders'!$D:$D,"Germany",'MAIN DATA, Orders'!$I:$I,"Development - Drone")/1000000000)</f>
        <v>0</v>
      </c>
      <c r="O77" s="15">
        <f>(SUMIFS('MAIN DATA, Orders'!$S:$S,'MAIN DATA, Orders'!$Y:$Y,$A77,'MAIN DATA, Orders'!$D:$D,"Germany",'MAIN DATA, Orders'!$I:$I,"Helicopter")/1000000000)</f>
        <v>1</v>
      </c>
      <c r="P77" s="15">
        <f>(SUMIFS('MAIN DATA, Orders'!$S:$S,'MAIN DATA, Orders'!$Y:$Y,$A77,'MAIN DATA, Orders'!$D:$D,"Germany",'MAIN DATA, Orders'!$I:$I,"Development - Helicopter")/1000000000)</f>
        <v>0</v>
      </c>
      <c r="Q77" s="15">
        <f>(SUMIFS('MAIN DATA, Orders'!$S:$S,'MAIN DATA, Orders'!$Y:$Y,$A77,'MAIN DATA, Orders'!$D:$D,"Germany",'MAIN DATA, Orders'!$I:$I,"Infantry")/1000000000)</f>
        <v>0.17</v>
      </c>
      <c r="R77" s="15">
        <f>(SUMIFS('MAIN DATA, Orders'!$S:$S,'MAIN DATA, Orders'!$Y:$Y,$A77,'MAIN DATA, Orders'!$D:$D,"Germany",'MAIN DATA, Orders'!$I:$I,"Development - Infantry")/1000000000)</f>
        <v>0</v>
      </c>
      <c r="S77" s="15">
        <f>(SUMIFS('MAIN DATA, Orders'!$S:$S,'MAIN DATA, Orders'!$Y:$Y,$A77,'MAIN DATA, Orders'!$D:$D,"Germany",'MAIN DATA, Orders'!$I:$I,"Tank")/1000000000)</f>
        <v>0</v>
      </c>
      <c r="T77" s="15">
        <f>(SUMIFS('MAIN DATA, Orders'!$S:$S,'MAIN DATA, Orders'!$Y:$Y,$A77,'MAIN DATA, Orders'!$D:$D,"Germany",'MAIN DATA, Orders'!$I:$I,"Development - Tank")/1000000000)</f>
        <v>0</v>
      </c>
      <c r="U77" s="15">
        <f>(SUMIFS('MAIN DATA, Orders'!$S:$S,'MAIN DATA, Orders'!$Y:$Y,$A77,'MAIN DATA, Orders'!$D:$D,"Germany",'MAIN DATA, Orders'!$I:$I,"Maintenance")/1000000000)</f>
        <v>0</v>
      </c>
      <c r="V77" s="15">
        <f>(SUMIFS('MAIN DATA, Orders'!$S:$S,'MAIN DATA, Orders'!$Y:$Y,$A77,'MAIN DATA, Orders'!$D:$D,"Germany",'MAIN DATA, Orders'!$I:$I,"Development - Maintenance")/1000000000)</f>
        <v>0</v>
      </c>
      <c r="W77" s="15">
        <f>(SUMIFS('MAIN DATA, Orders'!$S:$S,'MAIN DATA, Orders'!$Y:$Y,$A77,'MAIN DATA, Orders'!$D:$D,"Germany",'MAIN DATA, Orders'!$I:$I,"Mine")/1000000000)</f>
        <v>0</v>
      </c>
      <c r="X77" s="15">
        <f>(SUMIFS('MAIN DATA, Orders'!$S:$S,'MAIN DATA, Orders'!$Y:$Y,$A77,'MAIN DATA, Orders'!$D:$D,"Germany",'MAIN DATA, Orders'!$I:$I,"Development - Mine")/1000000000)</f>
        <v>0</v>
      </c>
      <c r="Y77" s="15">
        <f>(SUMIFS('MAIN DATA, Orders'!$S:$S,'MAIN DATA, Orders'!$Y:$Y,$A77,'MAIN DATA, Orders'!$D:$D,"Germany",'MAIN DATA, Orders'!$J:$J,"6")/1000000000)</f>
        <v>2.5</v>
      </c>
      <c r="Z77" s="15" cm="1">
        <f t="array" ref="Z77">SUM(SUMIFS('MAIN DATA, Orders'!$S:$S,'MAIN DATA, Orders'!$Y:$Y,$A77,'MAIN DATA, Orders'!$D:$D,"Germany",'MAIN DATA, Orders'!$I:$I,{"Development - Missile (Land)","Development - Missile (Naval)","Development - Missile (Air)"})/1000000000)</f>
        <v>0.49</v>
      </c>
      <c r="AA77" s="15">
        <f>(SUMIFS('MAIN DATA, Orders'!$S:$S,'MAIN DATA, Orders'!$Y:$Y,$A77,'MAIN DATA, Orders'!$D:$D,"Germany",'MAIN DATA, Orders'!$I:$I,"Modernisation")/1000000000)</f>
        <v>6.8000000000000005E-2</v>
      </c>
      <c r="AB77" s="15">
        <f>(SUMIFS('MAIN DATA, Orders'!$S:$S,'MAIN DATA, Orders'!$Y:$Y,$A77,'MAIN DATA, Orders'!$D:$D,"Germany",'MAIN DATA, Orders'!$I:$I,"Development - Modernisation")/1000000000)</f>
        <v>0</v>
      </c>
      <c r="AC77" s="15">
        <f>(SUMIFS('MAIN DATA, Orders'!$S:$S,'MAIN DATA, Orders'!$Y:$Y,$A77,'MAIN DATA, Orders'!$D:$D,"Germany",'MAIN DATA, Orders'!$I:$I,"Naval")/1000000000)</f>
        <v>0.16200000000000001</v>
      </c>
      <c r="AD77" s="15">
        <f>(SUMIFS('MAIN DATA, Orders'!$S:$S,'MAIN DATA, Orders'!$Y:$Y,$A77,'MAIN DATA, Orders'!$D:$D,"Germany",'MAIN DATA, Orders'!$I:$I,"Development - Naval")/1000000000)</f>
        <v>0</v>
      </c>
      <c r="AE77" s="15">
        <f>(SUMIFS('MAIN DATA, Orders'!$S:$S,'MAIN DATA, Orders'!$Y:$Y,$A77,'MAIN DATA, Orders'!$D:$D,"Germany",'MAIN DATA, Orders'!$I:$I,"Other")/1000000000)</f>
        <v>1.5820000000000001</v>
      </c>
      <c r="AF77" s="15">
        <f>(SUMIFS('MAIN DATA, Orders'!$S:$S,'MAIN DATA, Orders'!$Y:$Y,$A77,'MAIN DATA, Orders'!$D:$D,"Germany",'MAIN DATA, Orders'!$I:$I,"Development - Other")/1000000000)</f>
        <v>0</v>
      </c>
      <c r="AG77" s="15"/>
      <c r="AH77" s="15" cm="1">
        <f t="array" ref="AH77">SUM(SUMIFS('MAIN DATA, Orders'!$S:$S,'MAIN DATA, Orders'!$Y:$Y,$A77,'MAIN DATA, Orders'!$D:$D,"Germany",'MAIN DATA, Orders'!$I:$I,{"Missile (Land)","Development - Missile (Land)"})/1000000000)</f>
        <v>2</v>
      </c>
      <c r="AI77" s="15" cm="1">
        <f t="array" ref="AI77">SUM(SUMIFS('MAIN DATA, Orders'!$S:$S,'MAIN DATA, Orders'!$D:$D,"Germany",'MAIN DATA, Orders'!$I:$I,{"Missile (Air)","Development - Missile (Air)"},'MAIN DATA, Orders'!$Y:$Y,$A77)/1000000000)</f>
        <v>0.49</v>
      </c>
      <c r="AJ77" s="15" cm="1">
        <f t="array" ref="AJ77">SUM(SUMIFS('MAIN DATA, Orders'!$S:$S,'MAIN DATA, Orders'!$Y:$Y,$A77,'MAIN DATA, Orders'!$D:$D,"Germany",'MAIN DATA, Orders'!$I:$I,{"Missile (Naval)","Development - Missile (Naval)"})/1000000000)</f>
        <v>0.5</v>
      </c>
    </row>
    <row r="78" spans="1:36" x14ac:dyDescent="0.35">
      <c r="A78" s="20">
        <v>202512</v>
      </c>
      <c r="B78" s="17">
        <v>45992</v>
      </c>
      <c r="C78" s="15">
        <f>(SUMIFS('MAIN DATA, Orders'!$S:$S,'MAIN DATA, Orders'!$Y:$Y,$A78,'MAIN DATA, Orders'!$D:$D,"Germany",'MAIN DATA, Orders'!$I:$I,"Air defence system")/1000000000)</f>
        <v>3.7</v>
      </c>
      <c r="D78" s="15">
        <f>(SUMIFS('MAIN DATA, Orders'!$S:$S,'MAIN DATA, Orders'!$Y:$Y,$A78,'MAIN DATA, Orders'!$D:$D,"Germany",'MAIN DATA, Orders'!$I:$I,"Development - Air defence system")/1000000000)</f>
        <v>0</v>
      </c>
      <c r="E78" s="15">
        <f>(SUMIFS('MAIN DATA, Orders'!$S:$S,'MAIN DATA, Orders'!$Y:$Y,$A78,'MAIN DATA, Orders'!$D:$D,"Germany",'MAIN DATA, Orders'!$I:$I,"Aircraft")/1000000000)</f>
        <v>0.38900000000000001</v>
      </c>
      <c r="F78" s="15">
        <f>(SUMIFS('MAIN DATA, Orders'!$S:$S,'MAIN DATA, Orders'!$Y:$Y,$A78,'MAIN DATA, Orders'!$D:$D,"Germany",'MAIN DATA, Orders'!$I:$I,"Development - Aircraft")/1000000000)</f>
        <v>9.5000000000000001E-2</v>
      </c>
      <c r="G78" s="15">
        <f>(SUMIFS('MAIN DATA, Orders'!$S:$S,'MAIN DATA, Orders'!$Y:$Y,$A78,'MAIN DATA, Orders'!$D:$D,"Germany",'MAIN DATA, Orders'!$I:$I,"Ammunition")/1000000000)</f>
        <v>0</v>
      </c>
      <c r="H78" s="15">
        <f>(SUMIFS('MAIN DATA, Orders'!$S:$S,'MAIN DATA, Orders'!$Y:$Y,$A78,'MAIN DATA, Orders'!$D:$D,"Germany",'MAIN DATA, Orders'!$I:$I,"Development - Ammunition")/1000000000)</f>
        <v>0</v>
      </c>
      <c r="I78" s="15">
        <f>(SUMIFS('MAIN DATA, Orders'!$S:$S,'MAIN DATA, Orders'!$Y:$Y,$A78,'MAIN DATA, Orders'!$D:$D,"Germany",'MAIN DATA, Orders'!$I:$I,"Armoured vehicle")/1000000000)</f>
        <v>10.058999999999999</v>
      </c>
      <c r="J78" s="15">
        <f>(SUMIFS('MAIN DATA, Orders'!$S:$S,'MAIN DATA, Orders'!$Y:$Y,$A78,'MAIN DATA, Orders'!$D:$D,"Germany",'MAIN DATA, Orders'!$I:$I,"Development - Armoured vehicle")/1000000000)</f>
        <v>0</v>
      </c>
      <c r="K78" s="15">
        <f>(SUMIFS('MAIN DATA, Orders'!$S:$S,'MAIN DATA, Orders'!$Y:$Y,$A78,'MAIN DATA, Orders'!$D:$D,"Germany",'MAIN DATA, Orders'!$I:$I,"Artillery")/1000000000)</f>
        <v>1.2</v>
      </c>
      <c r="L78" s="15">
        <f>(SUMIFS('MAIN DATA, Orders'!$S:$S,'MAIN DATA, Orders'!$Y:$Y,$A78,'MAIN DATA, Orders'!$D:$D,"Germany",'MAIN DATA, Orders'!$I:$I,"Development - Artillery")/1000000000)</f>
        <v>0</v>
      </c>
      <c r="M78" s="15">
        <f>(SUMIFS('MAIN DATA, Orders'!$S:$S,'MAIN DATA, Orders'!$Y:$Y,$A78,'MAIN DATA, Orders'!$D:$D,"Germany",'MAIN DATA, Orders'!$I:$I,"Drone")/1000000000)</f>
        <v>2.6829999999999998</v>
      </c>
      <c r="N78" s="15">
        <f>(SUMIFS('MAIN DATA, Orders'!$S:$S,'MAIN DATA, Orders'!$Y:$Y,$A78,'MAIN DATA, Orders'!$D:$D,"Germany",'MAIN DATA, Orders'!$I:$I,"Development - Drone")/1000000000)</f>
        <v>0</v>
      </c>
      <c r="O78" s="15">
        <f>(SUMIFS('MAIN DATA, Orders'!$S:$S,'MAIN DATA, Orders'!$Y:$Y,$A78,'MAIN DATA, Orders'!$D:$D,"Germany",'MAIN DATA, Orders'!$I:$I,"Helicopter")/1000000000)</f>
        <v>0</v>
      </c>
      <c r="P78" s="15">
        <f>(SUMIFS('MAIN DATA, Orders'!$S:$S,'MAIN DATA, Orders'!$Y:$Y,$A78,'MAIN DATA, Orders'!$D:$D,"Germany",'MAIN DATA, Orders'!$I:$I,"Development - Helicopter")/1000000000)</f>
        <v>0</v>
      </c>
      <c r="Q78" s="15">
        <f>(SUMIFS('MAIN DATA, Orders'!$S:$S,'MAIN DATA, Orders'!$Y:$Y,$A78,'MAIN DATA, Orders'!$D:$D,"Germany",'MAIN DATA, Orders'!$I:$I,"Infantry")/1000000000)</f>
        <v>1.164688191</v>
      </c>
      <c r="R78" s="15">
        <f>(SUMIFS('MAIN DATA, Orders'!$S:$S,'MAIN DATA, Orders'!$Y:$Y,$A78,'MAIN DATA, Orders'!$D:$D,"Germany",'MAIN DATA, Orders'!$I:$I,"Development - Infantry")/1000000000)</f>
        <v>0</v>
      </c>
      <c r="S78" s="15">
        <f>(SUMIFS('MAIN DATA, Orders'!$S:$S,'MAIN DATA, Orders'!$Y:$Y,$A78,'MAIN DATA, Orders'!$D:$D,"Germany",'MAIN DATA, Orders'!$I:$I,"Tank")/1000000000)</f>
        <v>0</v>
      </c>
      <c r="T78" s="15">
        <f>(SUMIFS('MAIN DATA, Orders'!$S:$S,'MAIN DATA, Orders'!$Y:$Y,$A78,'MAIN DATA, Orders'!$D:$D,"Germany",'MAIN DATA, Orders'!$I:$I,"Development - Tank")/1000000000)</f>
        <v>0</v>
      </c>
      <c r="U78" s="15">
        <f>(SUMIFS('MAIN DATA, Orders'!$S:$S,'MAIN DATA, Orders'!$Y:$Y,$A78,'MAIN DATA, Orders'!$D:$D,"Germany",'MAIN DATA, Orders'!$I:$I,"Maintenance")/1000000000)</f>
        <v>0</v>
      </c>
      <c r="V78" s="15">
        <f>(SUMIFS('MAIN DATA, Orders'!$S:$S,'MAIN DATA, Orders'!$Y:$Y,$A78,'MAIN DATA, Orders'!$D:$D,"Germany",'MAIN DATA, Orders'!$I:$I,"Development - Maintenance")/1000000000)</f>
        <v>0</v>
      </c>
      <c r="W78" s="15">
        <f>(SUMIFS('MAIN DATA, Orders'!$S:$S,'MAIN DATA, Orders'!$Y:$Y,$A78,'MAIN DATA, Orders'!$D:$D,"Germany",'MAIN DATA, Orders'!$I:$I,"Mine")/1000000000)</f>
        <v>0</v>
      </c>
      <c r="X78" s="15">
        <f>(SUMIFS('MAIN DATA, Orders'!$S:$S,'MAIN DATA, Orders'!$Y:$Y,$A78,'MAIN DATA, Orders'!$D:$D,"Germany",'MAIN DATA, Orders'!$I:$I,"Development - Mine")/1000000000)</f>
        <v>0</v>
      </c>
      <c r="Y78" s="15">
        <f>(SUMIFS('MAIN DATA, Orders'!$S:$S,'MAIN DATA, Orders'!$Y:$Y,$A78,'MAIN DATA, Orders'!$D:$D,"Germany",'MAIN DATA, Orders'!$J:$J,"6")/1000000000)</f>
        <v>2.4929999999999999</v>
      </c>
      <c r="Z78" s="15" cm="1">
        <f t="array" ref="Z78">SUM(SUMIFS('MAIN DATA, Orders'!$S:$S,'MAIN DATA, Orders'!$Y:$Y,$A78,'MAIN DATA, Orders'!$D:$D,"Germany",'MAIN DATA, Orders'!$I:$I,{"Development - Missile (Land)","Development - Missile (Naval)","Development - Missile (Air)"})/1000000000)</f>
        <v>0</v>
      </c>
      <c r="AA78" s="15">
        <f>(SUMIFS('MAIN DATA, Orders'!$S:$S,'MAIN DATA, Orders'!$Y:$Y,$A78,'MAIN DATA, Orders'!$D:$D,"Germany",'MAIN DATA, Orders'!$I:$I,"Modernisation")/1000000000)</f>
        <v>23.010999999999999</v>
      </c>
      <c r="AB78" s="15">
        <f>(SUMIFS('MAIN DATA, Orders'!$S:$S,'MAIN DATA, Orders'!$Y:$Y,$A78,'MAIN DATA, Orders'!$D:$D,"Germany",'MAIN DATA, Orders'!$I:$I,"Development - Modernisation")/1000000000)</f>
        <v>0</v>
      </c>
      <c r="AC78" s="15">
        <f>(SUMIFS('MAIN DATA, Orders'!$S:$S,'MAIN DATA, Orders'!$Y:$Y,$A78,'MAIN DATA, Orders'!$D:$D,"Germany",'MAIN DATA, Orders'!$I:$I,"Naval")/1000000000)</f>
        <v>0</v>
      </c>
      <c r="AD78" s="15">
        <f>(SUMIFS('MAIN DATA, Orders'!$S:$S,'MAIN DATA, Orders'!$Y:$Y,$A78,'MAIN DATA, Orders'!$D:$D,"Germany",'MAIN DATA, Orders'!$I:$I,"Development - Naval")/1000000000)</f>
        <v>0</v>
      </c>
      <c r="AE78" s="15">
        <f>(SUMIFS('MAIN DATA, Orders'!$S:$S,'MAIN DATA, Orders'!$Y:$Y,$A78,'MAIN DATA, Orders'!$D:$D,"Germany",'MAIN DATA, Orders'!$I:$I,"Other")/1000000000)</f>
        <v>8.2959999999999994</v>
      </c>
      <c r="AF78" s="15">
        <f>(SUMIFS('MAIN DATA, Orders'!$S:$S,'MAIN DATA, Orders'!$Y:$Y,$A78,'MAIN DATA, Orders'!$D:$D,"Germany",'MAIN DATA, Orders'!$I:$I,"Development - Other")/1000000000)</f>
        <v>0</v>
      </c>
      <c r="AG78" s="15"/>
      <c r="AH78" s="15" cm="1">
        <f t="array" ref="AH78">SUM(SUMIFS('MAIN DATA, Orders'!$S:$S,'MAIN DATA, Orders'!$Y:$Y,$A78,'MAIN DATA, Orders'!$D:$D,"Germany",'MAIN DATA, Orders'!$I:$I,{"Missile (Land)","Development - Missile (Land)"})/1000000000)</f>
        <v>1.6</v>
      </c>
      <c r="AI78" s="15" cm="1">
        <f t="array" ref="AI78">SUM(SUMIFS('MAIN DATA, Orders'!$S:$S,'MAIN DATA, Orders'!$D:$D,"Germany",'MAIN DATA, Orders'!$I:$I,{"Missile (Air)","Development - Missile (Air)"},'MAIN DATA, Orders'!$Y:$Y,$A78)/1000000000)</f>
        <v>0.89300000000000002</v>
      </c>
      <c r="AJ78" s="15" cm="1">
        <f t="array" ref="AJ78">SUM(SUMIFS('MAIN DATA, Orders'!$S:$S,'MAIN DATA, Orders'!$Y:$Y,$A78,'MAIN DATA, Orders'!$D:$D,"Germany",'MAIN DATA, Orders'!$I:$I,{"Missile (Naval)","Development - Missile (Naval)"})/1000000000)</f>
        <v>0</v>
      </c>
    </row>
    <row r="79" spans="1:36" x14ac:dyDescent="0.35">
      <c r="A79" s="20">
        <v>202601</v>
      </c>
      <c r="B79" s="17">
        <v>46023</v>
      </c>
      <c r="C79" s="15">
        <f>(SUMIFS('MAIN DATA, Orders'!$S:$S,'MAIN DATA, Orders'!$Y:$Y,$A79,'MAIN DATA, Orders'!$D:$D,"Germany",'MAIN DATA, Orders'!$I:$I,"Air defence system")/1000000000)</f>
        <v>0</v>
      </c>
      <c r="D79" s="15">
        <f>(SUMIFS('MAIN DATA, Orders'!$S:$S,'MAIN DATA, Orders'!$Y:$Y,$A79,'MAIN DATA, Orders'!$D:$D,"Germany",'MAIN DATA, Orders'!$I:$I,"Development - Air defence system")/1000000000)</f>
        <v>0</v>
      </c>
      <c r="E79" s="15">
        <f>(SUMIFS('MAIN DATA, Orders'!$S:$S,'MAIN DATA, Orders'!$Y:$Y,$A79,'MAIN DATA, Orders'!$D:$D,"Germany",'MAIN DATA, Orders'!$I:$I,"Aircraft")/1000000000)</f>
        <v>0</v>
      </c>
      <c r="F79" s="15">
        <f>(SUMIFS('MAIN DATA, Orders'!$S:$S,'MAIN DATA, Orders'!$Y:$Y,$A79,'MAIN DATA, Orders'!$D:$D,"Germany",'MAIN DATA, Orders'!$I:$I,"Development - Aircraft")/1000000000)</f>
        <v>0</v>
      </c>
      <c r="G79" s="15">
        <f>(SUMIFS('MAIN DATA, Orders'!$S:$S,'MAIN DATA, Orders'!$Y:$Y,$A79,'MAIN DATA, Orders'!$D:$D,"Germany",'MAIN DATA, Orders'!$I:$I,"Ammunition")/1000000000)</f>
        <v>0</v>
      </c>
      <c r="H79" s="15">
        <f>(SUMIFS('MAIN DATA, Orders'!$S:$S,'MAIN DATA, Orders'!$Y:$Y,$A79,'MAIN DATA, Orders'!$D:$D,"Germany",'MAIN DATA, Orders'!$I:$I,"Development - Ammunition")/1000000000)</f>
        <v>0</v>
      </c>
      <c r="I79" s="15">
        <f>(SUMIFS('MAIN DATA, Orders'!$S:$S,'MAIN DATA, Orders'!$Y:$Y,$A79,'MAIN DATA, Orders'!$D:$D,"Germany",'MAIN DATA, Orders'!$I:$I,"Armoured vehicle")/1000000000)</f>
        <v>0</v>
      </c>
      <c r="J79" s="15">
        <f>(SUMIFS('MAIN DATA, Orders'!$S:$S,'MAIN DATA, Orders'!$Y:$Y,$A79,'MAIN DATA, Orders'!$D:$D,"Germany",'MAIN DATA, Orders'!$I:$I,"Development - Armoured vehicle")/1000000000)</f>
        <v>0</v>
      </c>
      <c r="K79" s="15">
        <f>(SUMIFS('MAIN DATA, Orders'!$S:$S,'MAIN DATA, Orders'!$Y:$Y,$A79,'MAIN DATA, Orders'!$D:$D,"Germany",'MAIN DATA, Orders'!$I:$I,"Artillery")/1000000000)</f>
        <v>0</v>
      </c>
      <c r="L79" s="15">
        <f>(SUMIFS('MAIN DATA, Orders'!$S:$S,'MAIN DATA, Orders'!$Y:$Y,$A79,'MAIN DATA, Orders'!$D:$D,"Germany",'MAIN DATA, Orders'!$I:$I,"Development - Artillery")/1000000000)</f>
        <v>0</v>
      </c>
      <c r="M79" s="15">
        <f>(SUMIFS('MAIN DATA, Orders'!$S:$S,'MAIN DATA, Orders'!$Y:$Y,$A79,'MAIN DATA, Orders'!$D:$D,"Germany",'MAIN DATA, Orders'!$I:$I,"Drone")/1000000000)</f>
        <v>0</v>
      </c>
      <c r="N79" s="15">
        <f>(SUMIFS('MAIN DATA, Orders'!$S:$S,'MAIN DATA, Orders'!$Y:$Y,$A79,'MAIN DATA, Orders'!$D:$D,"Germany",'MAIN DATA, Orders'!$I:$I,"Development - Drone")/1000000000)</f>
        <v>0</v>
      </c>
      <c r="O79" s="15">
        <f>(SUMIFS('MAIN DATA, Orders'!$S:$S,'MAIN DATA, Orders'!$Y:$Y,$A79,'MAIN DATA, Orders'!$D:$D,"Germany",'MAIN DATA, Orders'!$I:$I,"Helicopter")/1000000000)</f>
        <v>0</v>
      </c>
      <c r="P79" s="15">
        <f>(SUMIFS('MAIN DATA, Orders'!$S:$S,'MAIN DATA, Orders'!$Y:$Y,$A79,'MAIN DATA, Orders'!$D:$D,"Germany",'MAIN DATA, Orders'!$I:$I,"Development - Helicopter")/1000000000)</f>
        <v>0</v>
      </c>
      <c r="Q79" s="15">
        <f>(SUMIFS('MAIN DATA, Orders'!$S:$S,'MAIN DATA, Orders'!$Y:$Y,$A79,'MAIN DATA, Orders'!$D:$D,"Germany",'MAIN DATA, Orders'!$I:$I,"Infantry")/1000000000)</f>
        <v>0</v>
      </c>
      <c r="R79" s="15">
        <f>(SUMIFS('MAIN DATA, Orders'!$S:$S,'MAIN DATA, Orders'!$Y:$Y,$A79,'MAIN DATA, Orders'!$D:$D,"Germany",'MAIN DATA, Orders'!$I:$I,"Development - Infantry")/1000000000)</f>
        <v>0</v>
      </c>
      <c r="S79" s="15">
        <f>(SUMIFS('MAIN DATA, Orders'!$S:$S,'MAIN DATA, Orders'!$Y:$Y,$A79,'MAIN DATA, Orders'!$D:$D,"Germany",'MAIN DATA, Orders'!$I:$I,"Tank")/1000000000)</f>
        <v>0</v>
      </c>
      <c r="T79" s="15">
        <f>(SUMIFS('MAIN DATA, Orders'!$S:$S,'MAIN DATA, Orders'!$Y:$Y,$A79,'MAIN DATA, Orders'!$D:$D,"Germany",'MAIN DATA, Orders'!$I:$I,"Development - Tank")/1000000000)</f>
        <v>0</v>
      </c>
      <c r="U79" s="15">
        <f>(SUMIFS('MAIN DATA, Orders'!$S:$S,'MAIN DATA, Orders'!$Y:$Y,$A79,'MAIN DATA, Orders'!$D:$D,"Germany",'MAIN DATA, Orders'!$I:$I,"Maintenance")/1000000000)</f>
        <v>0</v>
      </c>
      <c r="V79" s="15">
        <f>(SUMIFS('MAIN DATA, Orders'!$S:$S,'MAIN DATA, Orders'!$Y:$Y,$A79,'MAIN DATA, Orders'!$D:$D,"Germany",'MAIN DATA, Orders'!$I:$I,"Development - Maintenance")/1000000000)</f>
        <v>0</v>
      </c>
      <c r="W79" s="15">
        <f>(SUMIFS('MAIN DATA, Orders'!$S:$S,'MAIN DATA, Orders'!$Y:$Y,$A79,'MAIN DATA, Orders'!$D:$D,"Germany",'MAIN DATA, Orders'!$I:$I,"Mine")/1000000000)</f>
        <v>0</v>
      </c>
      <c r="X79" s="15">
        <f>(SUMIFS('MAIN DATA, Orders'!$S:$S,'MAIN DATA, Orders'!$Y:$Y,$A79,'MAIN DATA, Orders'!$D:$D,"Germany",'MAIN DATA, Orders'!$I:$I,"Development - Mine")/1000000000)</f>
        <v>0</v>
      </c>
      <c r="Y79" s="15">
        <f>(SUMIFS('MAIN DATA, Orders'!$S:$S,'MAIN DATA, Orders'!$Y:$Y,$A79,'MAIN DATA, Orders'!$D:$D,"Germany",'MAIN DATA, Orders'!$J:$J,"6")/1000000000)</f>
        <v>0</v>
      </c>
      <c r="Z79" s="15" cm="1">
        <f t="array" ref="Z79">SUM(SUMIFS('MAIN DATA, Orders'!$S:$S,'MAIN DATA, Orders'!$Y:$Y,$A79,'MAIN DATA, Orders'!$D:$D,"Germany",'MAIN DATA, Orders'!$I:$I,{"Development - Missile (Land)","Development - Missile (Naval)","Development - Missile (Air)"})/1000000000)</f>
        <v>0</v>
      </c>
      <c r="AA79" s="15">
        <f>(SUMIFS('MAIN DATA, Orders'!$S:$S,'MAIN DATA, Orders'!$Y:$Y,$A79,'MAIN DATA, Orders'!$D:$D,"Germany",'MAIN DATA, Orders'!$I:$I,"Modernisation")/1000000000)</f>
        <v>0</v>
      </c>
      <c r="AB79" s="15">
        <f>(SUMIFS('MAIN DATA, Orders'!$S:$S,'MAIN DATA, Orders'!$Y:$Y,$A79,'MAIN DATA, Orders'!$D:$D,"Germany",'MAIN DATA, Orders'!$I:$I,"Development - Modernisation")/1000000000)</f>
        <v>0</v>
      </c>
      <c r="AC79" s="15">
        <f>(SUMIFS('MAIN DATA, Orders'!$S:$S,'MAIN DATA, Orders'!$Y:$Y,$A79,'MAIN DATA, Orders'!$D:$D,"Germany",'MAIN DATA, Orders'!$I:$I,"Naval")/1000000000)</f>
        <v>0</v>
      </c>
      <c r="AD79" s="15">
        <f>(SUMIFS('MAIN DATA, Orders'!$S:$S,'MAIN DATA, Orders'!$Y:$Y,$A79,'MAIN DATA, Orders'!$D:$D,"Germany",'MAIN DATA, Orders'!$I:$I,"Development - Naval")/1000000000)</f>
        <v>0</v>
      </c>
      <c r="AE79" s="15">
        <f>(SUMIFS('MAIN DATA, Orders'!$S:$S,'MAIN DATA, Orders'!$Y:$Y,$A79,'MAIN DATA, Orders'!$D:$D,"Germany",'MAIN DATA, Orders'!$I:$I,"Other")/1000000000)</f>
        <v>0.05</v>
      </c>
      <c r="AF79" s="15">
        <f>(SUMIFS('MAIN DATA, Orders'!$S:$S,'MAIN DATA, Orders'!$Y:$Y,$A79,'MAIN DATA, Orders'!$D:$D,"Germany",'MAIN DATA, Orders'!$I:$I,"Development - Other")/1000000000)</f>
        <v>0</v>
      </c>
      <c r="AG79" s="15"/>
      <c r="AH79" s="15" cm="1">
        <f t="array" ref="AH79">SUM(SUMIFS('MAIN DATA, Orders'!$S:$S,'MAIN DATA, Orders'!$Y:$Y,$A79,'MAIN DATA, Orders'!$D:$D,"Germany",'MAIN DATA, Orders'!$I:$I,{"Missile (Land)","Development - Missile (Land)"})/1000000000)</f>
        <v>0</v>
      </c>
      <c r="AI79" s="15" cm="1">
        <f t="array" ref="AI79">SUM(SUMIFS('MAIN DATA, Orders'!$S:$S,'MAIN DATA, Orders'!$D:$D,"Germany",'MAIN DATA, Orders'!$I:$I,{"Missile (Air)","Development - Missile (Air)"},'MAIN DATA, Orders'!$Y:$Y,$A79)/1000000000)</f>
        <v>0</v>
      </c>
      <c r="AJ79" s="15" cm="1">
        <f t="array" ref="AJ79">SUM(SUMIFS('MAIN DATA, Orders'!$S:$S,'MAIN DATA, Orders'!$Y:$Y,$A79,'MAIN DATA, Orders'!$D:$D,"Germany",'MAIN DATA, Orders'!$I:$I,{"Missile (Naval)","Development - Missile (Naval)"})/1000000000)</f>
        <v>0</v>
      </c>
    </row>
    <row r="80" spans="1:36" x14ac:dyDescent="0.35">
      <c r="A80" s="83"/>
      <c r="B80" s="9" t="s">
        <v>4219</v>
      </c>
      <c r="C80" s="18">
        <f>SUM(C7:C79)</f>
        <v>12.253500000000003</v>
      </c>
      <c r="D80" s="18">
        <f t="shared" ref="D80:AJ80" si="0">SUM(D7:D79)</f>
        <v>1.23</v>
      </c>
      <c r="E80" s="18">
        <f t="shared" si="0"/>
        <v>25.292799999999993</v>
      </c>
      <c r="F80" s="18">
        <f t="shared" si="0"/>
        <v>5.3967000000000001</v>
      </c>
      <c r="G80" s="18">
        <f t="shared" si="0"/>
        <v>3.4569999999999999</v>
      </c>
      <c r="H80" s="18">
        <f t="shared" si="0"/>
        <v>9.74E-2</v>
      </c>
      <c r="I80" s="18">
        <f t="shared" si="0"/>
        <v>22.3842</v>
      </c>
      <c r="J80" s="18">
        <f t="shared" si="0"/>
        <v>3.6919</v>
      </c>
      <c r="K80" s="18">
        <f t="shared" si="0"/>
        <v>1.6396999999999999</v>
      </c>
      <c r="L80" s="18">
        <f t="shared" si="0"/>
        <v>0</v>
      </c>
      <c r="M80" s="18">
        <f t="shared" si="0"/>
        <v>3.6930999999999998</v>
      </c>
      <c r="N80" s="18">
        <f t="shared" si="0"/>
        <v>3.1</v>
      </c>
      <c r="O80" s="18">
        <f t="shared" si="0"/>
        <v>11.006000000000002</v>
      </c>
      <c r="P80" s="18">
        <f t="shared" si="0"/>
        <v>0</v>
      </c>
      <c r="Q80" s="18">
        <f t="shared" si="0"/>
        <v>2.7206881909999998</v>
      </c>
      <c r="R80" s="18">
        <f t="shared" si="0"/>
        <v>0</v>
      </c>
      <c r="S80" s="18">
        <f t="shared" si="0"/>
        <v>3.6175999999999999</v>
      </c>
      <c r="T80" s="18">
        <f t="shared" si="0"/>
        <v>0</v>
      </c>
      <c r="U80" s="18">
        <f t="shared" si="0"/>
        <v>14.56556</v>
      </c>
      <c r="V80" s="18">
        <f t="shared" si="0"/>
        <v>0</v>
      </c>
      <c r="W80" s="18">
        <f t="shared" si="0"/>
        <v>6.8000000000000005E-2</v>
      </c>
      <c r="X80" s="18">
        <f t="shared" si="0"/>
        <v>0</v>
      </c>
      <c r="Y80" s="18">
        <f t="shared" si="0"/>
        <v>14.763510000000002</v>
      </c>
      <c r="Z80" s="18">
        <f t="shared" si="0"/>
        <v>0.74890000000000001</v>
      </c>
      <c r="AA80" s="18">
        <f t="shared" si="0"/>
        <v>64.618229999999997</v>
      </c>
      <c r="AB80" s="18">
        <f t="shared" si="0"/>
        <v>0.11700000000000001</v>
      </c>
      <c r="AC80" s="18">
        <f t="shared" si="0"/>
        <v>28.864236999999996</v>
      </c>
      <c r="AD80" s="18">
        <f t="shared" si="0"/>
        <v>0</v>
      </c>
      <c r="AE80" s="18">
        <f t="shared" si="0"/>
        <v>29.964941</v>
      </c>
      <c r="AF80" s="18">
        <f t="shared" si="0"/>
        <v>0</v>
      </c>
      <c r="AG80" s="18">
        <f t="shared" si="0"/>
        <v>0</v>
      </c>
      <c r="AH80" s="18">
        <f t="shared" si="0"/>
        <v>9.0950000000000006</v>
      </c>
      <c r="AI80" s="18">
        <f t="shared" si="0"/>
        <v>3.2869000000000002</v>
      </c>
      <c r="AJ80" s="18">
        <f t="shared" si="0"/>
        <v>3.1305099999999997</v>
      </c>
    </row>
  </sheetData>
  <sortState xmlns:xlrd2="http://schemas.microsoft.com/office/spreadsheetml/2017/richdata2" ref="F76:F92">
    <sortCondition ref="F92"/>
  </sortState>
  <mergeCells count="1">
    <mergeCell ref="B4:G4"/>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3E8EA-FF11-4166-B641-197A8217BEE0}">
  <sheetPr>
    <tabColor rgb="FFB5E6A2"/>
  </sheetPr>
  <dimension ref="B2:G13"/>
  <sheetViews>
    <sheetView zoomScaleNormal="100" workbookViewId="0"/>
  </sheetViews>
  <sheetFormatPr baseColWidth="10" defaultColWidth="8.75" defaultRowHeight="15.5" x14ac:dyDescent="0.35"/>
  <cols>
    <col min="1" max="1" width="8.75" style="1"/>
    <col min="2" max="2" width="25.33203125" style="1" customWidth="1"/>
    <col min="3" max="4" width="15.75" style="1" customWidth="1"/>
    <col min="5" max="5" width="32.25" style="1" customWidth="1"/>
    <col min="6" max="6" width="22.83203125" style="1" bestFit="1" customWidth="1"/>
    <col min="7" max="7" width="18.08203125" style="1" bestFit="1" customWidth="1"/>
    <col min="8" max="8" width="8.75" style="1"/>
    <col min="9" max="14" width="8.75" style="1" customWidth="1"/>
    <col min="15" max="16384" width="8.75" style="1"/>
  </cols>
  <sheetData>
    <row r="2" spans="2:7" ht="25.9" customHeight="1" x14ac:dyDescent="0.7">
      <c r="B2" s="16" t="s">
        <v>5647</v>
      </c>
    </row>
    <row r="4" spans="2:7" ht="130.15" customHeight="1" x14ac:dyDescent="0.35">
      <c r="B4" s="232" t="s">
        <v>5634</v>
      </c>
      <c r="C4" s="232"/>
      <c r="D4" s="232"/>
      <c r="E4" s="232"/>
      <c r="F4" s="232"/>
    </row>
    <row r="6" spans="2:7" ht="21" customHeight="1" x14ac:dyDescent="0.35">
      <c r="B6" s="13"/>
      <c r="C6" s="69" t="s">
        <v>4219</v>
      </c>
      <c r="D6" s="69" t="s">
        <v>5225</v>
      </c>
      <c r="E6" s="69" t="s">
        <v>5226</v>
      </c>
      <c r="F6" s="69" t="s">
        <v>5227</v>
      </c>
      <c r="G6" s="69" t="s">
        <v>5228</v>
      </c>
    </row>
    <row r="7" spans="2:7" x14ac:dyDescent="0.35">
      <c r="B7" s="83" t="s">
        <v>5229</v>
      </c>
      <c r="C7" s="15">
        <f>(SUMIFS('MAIN DATA, Orders'!$S:$S,'MAIN DATA, Orders'!$Y:$Y,"&lt;=202202",'MAIN DATA, Orders'!$AH:$AH,"&lt;&gt;.",'MAIN DATA, Orders'!$D:$D,"Germany")/1000000000)</f>
        <v>47.445900000000002</v>
      </c>
      <c r="D7" s="15">
        <f>(SUMIFS('MAIN DATA, Orders'!$S:$S,'MAIN DATA, Orders'!$D:$D,"Germany",'MAIN DATA, Orders'!$Y:$Y,"&lt;=202202",'MAIN DATA, Orders'!$AF:$AF,"0",'MAIN DATA, Orders'!$AH:$AH,"Germany")/1000000000)</f>
        <v>16.574000000000002</v>
      </c>
      <c r="E7" s="15">
        <f>(SUMIFS('MAIN DATA, Orders'!$S:$S,'MAIN DATA, Orders'!$D:$D,"Germany",'MAIN DATA, Orders'!$Y:$Y,"&lt;=202202",'MAIN DATA, Orders'!$AF:$AF,"1")/1000000000)</f>
        <v>29.747900000000001</v>
      </c>
      <c r="F7" s="15">
        <f>SUM(SUMIFS('MAIN DATA, Orders'!$S:$S,'MAIN DATA, Orders'!$D:$D,"Germany",'MAIN DATA, Orders'!$Y:$Y,"&lt;=202202",'MAIN DATA, Orders'!$AC:$AC,"1",'MAIN DATA, Orders'!$AF:$AF,"0",'MAIN DATA, Orders'!$AH:$AH,"&lt;&gt;Germany")/1000000000)</f>
        <v>2.4E-2</v>
      </c>
      <c r="G7" s="15">
        <f>SUM(SUMIFS('MAIN DATA, Orders'!$S:$S,'MAIN DATA, Orders'!$D:$D,"Germany",'MAIN DATA, Orders'!$Y:$Y,"&lt;=202202",'MAIN DATA, Orders'!$AC:$AC,"0",'MAIN DATA, Orders'!$AF:$AF,"0")/1000000000)</f>
        <v>1.1000000000000001</v>
      </c>
    </row>
    <row r="8" spans="2:7" x14ac:dyDescent="0.35">
      <c r="B8" s="65" t="s">
        <v>5230</v>
      </c>
      <c r="C8" s="67">
        <f>(SUMIFS('MAIN DATA, Orders'!$S:$S,'MAIN DATA, Orders'!$Y:$Y,"&gt;=202203",'MAIN DATA, Orders'!$AH:$AH,"&lt;&gt;.",'MAIN DATA, Orders'!$D:$D,"Germany")/1000000000)</f>
        <v>174.88919719099999</v>
      </c>
      <c r="D8" s="67">
        <f>(SUMIFS('MAIN DATA, Orders'!$S:$S,'MAIN DATA, Orders'!$D:$D,"Germany",'MAIN DATA, Orders'!$Y:$Y,"&gt;=202203",'MAIN DATA, Orders'!$AF:$AF,"0",'MAIN DATA, Orders'!$AH:$AH,"Germany")/1000000000)</f>
        <v>98.671828191000003</v>
      </c>
      <c r="E8" s="67">
        <f>(SUMIFS('MAIN DATA, Orders'!$S:$S,'MAIN DATA, Orders'!$D:$D,"Germany",'MAIN DATA, Orders'!$Y:$Y,"&gt;=202203",'MAIN DATA, Orders'!$AF:$AF,"1")/1000000000)</f>
        <v>49.496259000000002</v>
      </c>
      <c r="F8" s="67">
        <f>SUM(SUMIFS('MAIN DATA, Orders'!$S:$S,'MAIN DATA, Orders'!$D:$D,"Germany",'MAIN DATA, Orders'!$Y:$Y,"&gt;=202203",'MAIN DATA, Orders'!$AC:$AC,"1",'MAIN DATA, Orders'!$AF:$AF,"0",'MAIN DATA, Orders'!$AH:$AH,"&lt;&gt;Germany")/1000000000)</f>
        <v>2.39</v>
      </c>
      <c r="G8" s="67">
        <f>SUM(SUMIFS('MAIN DATA, Orders'!$S:$S,'MAIN DATA, Orders'!$D:$D,"Germany",'MAIN DATA, Orders'!$Y:$Y,"&gt;=202203",'MAIN DATA, Orders'!$AC:$AC,"0",'MAIN DATA, Orders'!$AF:$AF,"0")/1000000000)</f>
        <v>24.50311</v>
      </c>
    </row>
    <row r="9" spans="2:7" x14ac:dyDescent="0.35">
      <c r="B9" s="19"/>
      <c r="C9" s="19"/>
      <c r="D9" s="19"/>
      <c r="E9" s="19"/>
      <c r="F9" s="83"/>
      <c r="G9" s="83"/>
    </row>
    <row r="10" spans="2:7" x14ac:dyDescent="0.35">
      <c r="B10" s="18" t="s">
        <v>4219</v>
      </c>
      <c r="C10" s="18">
        <f>SUM(C7:C8)</f>
        <v>222.33509719099999</v>
      </c>
      <c r="D10" s="18">
        <f>SUM(D7:D8)</f>
        <v>115.245828191</v>
      </c>
      <c r="E10" s="18">
        <f>SUM(E7:E8)</f>
        <v>79.244158999999996</v>
      </c>
      <c r="F10" s="18">
        <f>SUM(F7:F8)</f>
        <v>2.4140000000000001</v>
      </c>
      <c r="G10" s="18">
        <f>SUM(G7:G8)</f>
        <v>25.603110000000001</v>
      </c>
    </row>
    <row r="12" spans="2:7" x14ac:dyDescent="0.35">
      <c r="E12" s="19"/>
      <c r="F12" s="19"/>
      <c r="G12" s="19"/>
    </row>
    <row r="13" spans="2:7" x14ac:dyDescent="0.35">
      <c r="E13" s="19"/>
      <c r="F13" s="19"/>
      <c r="G13" s="19"/>
    </row>
  </sheetData>
  <mergeCells count="1">
    <mergeCell ref="B4:F4"/>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E980F-2045-4E0B-893D-9F3999AE892E}">
  <sheetPr>
    <tabColor rgb="FFB5E6A2"/>
  </sheetPr>
  <dimension ref="A2:J81"/>
  <sheetViews>
    <sheetView zoomScaleNormal="100" workbookViewId="0"/>
  </sheetViews>
  <sheetFormatPr baseColWidth="10" defaultColWidth="8.75" defaultRowHeight="15.5" x14ac:dyDescent="0.35"/>
  <cols>
    <col min="1" max="1" width="8.75" style="1" customWidth="1"/>
    <col min="2" max="2" width="13.5" style="1" customWidth="1"/>
    <col min="3" max="3" width="27.08203125" style="1" customWidth="1"/>
    <col min="4" max="16384" width="8.75" style="1"/>
  </cols>
  <sheetData>
    <row r="2" spans="1:10" ht="25.9" customHeight="1" x14ac:dyDescent="0.7">
      <c r="B2" s="16" t="s">
        <v>5648</v>
      </c>
    </row>
    <row r="4" spans="1:10" ht="130.15" customHeight="1" x14ac:dyDescent="0.35">
      <c r="B4" s="233" t="s">
        <v>5209</v>
      </c>
      <c r="C4" s="233"/>
      <c r="D4" s="233"/>
      <c r="E4" s="233"/>
      <c r="F4" s="233"/>
      <c r="G4" s="233"/>
      <c r="H4" s="233"/>
      <c r="I4" s="233"/>
      <c r="J4" s="233"/>
    </row>
    <row r="6" spans="1:10" ht="21" customHeight="1" x14ac:dyDescent="0.35">
      <c r="B6" s="68" t="s">
        <v>4197</v>
      </c>
      <c r="C6" s="69" t="s">
        <v>5189</v>
      </c>
    </row>
    <row r="7" spans="1:10" x14ac:dyDescent="0.35">
      <c r="A7" s="20">
        <v>202001</v>
      </c>
      <c r="B7" s="17">
        <v>43831</v>
      </c>
      <c r="C7" s="15">
        <f>(SUMIFS('MAIN DATA, Orders'!$S:$S,'MAIN DATA, Orders'!$Y:$Y,$A7,'MAIN DATA, Orders'!$D:$D,"United Kingdom")/1000000000)</f>
        <v>0.183</v>
      </c>
    </row>
    <row r="8" spans="1:10" x14ac:dyDescent="0.35">
      <c r="A8" s="20">
        <v>202002</v>
      </c>
      <c r="B8" s="17">
        <v>43862</v>
      </c>
      <c r="C8" s="15">
        <f>(SUMIFS('MAIN DATA, Orders'!$S:$S,'MAIN DATA, Orders'!$Y:$Y,$A8,'MAIN DATA, Orders'!$D:$D,"United Kingdom")/1000000000)</f>
        <v>0.33</v>
      </c>
    </row>
    <row r="9" spans="1:10" x14ac:dyDescent="0.35">
      <c r="A9" s="20">
        <v>202003</v>
      </c>
      <c r="B9" s="17">
        <v>43891</v>
      </c>
      <c r="C9" s="15">
        <f>(SUMIFS('MAIN DATA, Orders'!$S:$S,'MAIN DATA, Orders'!$Y:$Y,$A9,'MAIN DATA, Orders'!$D:$D,"United Kingdom")/1000000000)</f>
        <v>0</v>
      </c>
    </row>
    <row r="10" spans="1:10" x14ac:dyDescent="0.35">
      <c r="A10" s="20">
        <v>202004</v>
      </c>
      <c r="B10" s="17">
        <v>43922</v>
      </c>
      <c r="C10" s="15">
        <f>(SUMIFS('MAIN DATA, Orders'!$S:$S,'MAIN DATA, Orders'!$Y:$Y,$A10,'MAIN DATA, Orders'!$D:$D,"United Kingdom")/1000000000)</f>
        <v>4.5999999999999999E-2</v>
      </c>
    </row>
    <row r="11" spans="1:10" x14ac:dyDescent="0.35">
      <c r="A11" s="20">
        <v>202005</v>
      </c>
      <c r="B11" s="17">
        <v>43952</v>
      </c>
      <c r="C11" s="15">
        <f>(SUMIFS('MAIN DATA, Orders'!$S:$S,'MAIN DATA, Orders'!$Y:$Y,$A11,'MAIN DATA, Orders'!$D:$D,"United Kingdom")/1000000000)</f>
        <v>0</v>
      </c>
    </row>
    <row r="12" spans="1:10" x14ac:dyDescent="0.35">
      <c r="A12" s="20">
        <v>202006</v>
      </c>
      <c r="B12" s="17">
        <v>43983</v>
      </c>
      <c r="C12" s="15">
        <f>(SUMIFS('MAIN DATA, Orders'!$S:$S,'MAIN DATA, Orders'!$Y:$Y,$A12,'MAIN DATA, Orders'!$D:$D,"United Kingdom")/1000000000)</f>
        <v>2.6700000000000002E-2</v>
      </c>
    </row>
    <row r="13" spans="1:10" x14ac:dyDescent="0.35">
      <c r="A13" s="20">
        <v>202007</v>
      </c>
      <c r="B13" s="17">
        <v>44013</v>
      </c>
      <c r="C13" s="15">
        <f>(SUMIFS('MAIN DATA, Orders'!$S:$S,'MAIN DATA, Orders'!$Y:$Y,$A13,'MAIN DATA, Orders'!$D:$D,"United Kingdom")/1000000000)</f>
        <v>0.37490000000000001</v>
      </c>
    </row>
    <row r="14" spans="1:10" x14ac:dyDescent="0.35">
      <c r="A14" s="20">
        <v>202008</v>
      </c>
      <c r="B14" s="17">
        <v>44044</v>
      </c>
      <c r="C14" s="15">
        <f>(SUMIFS('MAIN DATA, Orders'!$S:$S,'MAIN DATA, Orders'!$Y:$Y,$A14,'MAIN DATA, Orders'!$D:$D,"United Kingdom")/1000000000)</f>
        <v>0.2412</v>
      </c>
    </row>
    <row r="15" spans="1:10" x14ac:dyDescent="0.35">
      <c r="A15" s="20">
        <v>202009</v>
      </c>
      <c r="B15" s="17">
        <v>44075</v>
      </c>
      <c r="C15" s="15">
        <f>(SUMIFS('MAIN DATA, Orders'!$S:$S,'MAIN DATA, Orders'!$Y:$Y,$A15,'MAIN DATA, Orders'!$D:$D,"United Kingdom")/1000000000)</f>
        <v>0.32400000000000001</v>
      </c>
    </row>
    <row r="16" spans="1:10" x14ac:dyDescent="0.35">
      <c r="A16" s="20">
        <v>202010</v>
      </c>
      <c r="B16" s="17">
        <v>44105</v>
      </c>
      <c r="C16" s="15">
        <f>(SUMIFS('MAIN DATA, Orders'!$S:$S,'MAIN DATA, Orders'!$Y:$Y,$A16,'MAIN DATA, Orders'!$D:$D,"United Kingdom")/1000000000)</f>
        <v>4.5999999999999999E-2</v>
      </c>
    </row>
    <row r="17" spans="1:3" x14ac:dyDescent="0.35">
      <c r="A17" s="20">
        <v>202011</v>
      </c>
      <c r="B17" s="17">
        <v>44136</v>
      </c>
      <c r="C17" s="15">
        <f>(SUMIFS('MAIN DATA, Orders'!$S:$S,'MAIN DATA, Orders'!$Y:$Y,$A17,'MAIN DATA, Orders'!$D:$D,"United Kingdom")/1000000000)</f>
        <v>2.5840000000000001</v>
      </c>
    </row>
    <row r="18" spans="1:3" x14ac:dyDescent="0.35">
      <c r="A18" s="20">
        <v>202012</v>
      </c>
      <c r="B18" s="17">
        <v>44166</v>
      </c>
      <c r="C18" s="15">
        <f>(SUMIFS('MAIN DATA, Orders'!$S:$S,'MAIN DATA, Orders'!$Y:$Y,$A18,'MAIN DATA, Orders'!$D:$D,"United Kingdom")/1000000000)</f>
        <v>0</v>
      </c>
    </row>
    <row r="19" spans="1:3" x14ac:dyDescent="0.35">
      <c r="A19" s="20">
        <v>202101</v>
      </c>
      <c r="B19" s="17">
        <v>44197</v>
      </c>
      <c r="C19" s="15">
        <f>(SUMIFS('MAIN DATA, Orders'!$S:$S,'MAIN DATA, Orders'!$Y:$Y,$A19,'MAIN DATA, Orders'!$D:$D,"United Kingdom")/1000000000)</f>
        <v>1.0129999999999999</v>
      </c>
    </row>
    <row r="20" spans="1:3" x14ac:dyDescent="0.35">
      <c r="A20" s="20">
        <v>202102</v>
      </c>
      <c r="B20" s="17">
        <v>44228</v>
      </c>
      <c r="C20" s="15">
        <f>(SUMIFS('MAIN DATA, Orders'!$S:$S,'MAIN DATA, Orders'!$Y:$Y,$A20,'MAIN DATA, Orders'!$D:$D,"United Kingdom")/1000000000)</f>
        <v>0.18</v>
      </c>
    </row>
    <row r="21" spans="1:3" x14ac:dyDescent="0.35">
      <c r="A21" s="20">
        <v>202103</v>
      </c>
      <c r="B21" s="17">
        <v>44256</v>
      </c>
      <c r="C21" s="15">
        <f>(SUMIFS('MAIN DATA, Orders'!$S:$S,'MAIN DATA, Orders'!$Y:$Y,$A21,'MAIN DATA, Orders'!$D:$D,"United Kingdom")/1000000000)</f>
        <v>9.8400000000000001E-2</v>
      </c>
    </row>
    <row r="22" spans="1:3" x14ac:dyDescent="0.35">
      <c r="A22" s="20">
        <v>202104</v>
      </c>
      <c r="B22" s="17">
        <v>44287</v>
      </c>
      <c r="C22" s="15">
        <f>(SUMIFS('MAIN DATA, Orders'!$S:$S,'MAIN DATA, Orders'!$Y:$Y,$A22,'MAIN DATA, Orders'!$D:$D,"United Kingdom")/1000000000)</f>
        <v>0</v>
      </c>
    </row>
    <row r="23" spans="1:3" x14ac:dyDescent="0.35">
      <c r="A23" s="20">
        <v>202105</v>
      </c>
      <c r="B23" s="17">
        <v>44317</v>
      </c>
      <c r="C23" s="15">
        <f>(SUMIFS('MAIN DATA, Orders'!$S:$S,'MAIN DATA, Orders'!$Y:$Y,$A23,'MAIN DATA, Orders'!$D:$D,"United Kingdom")/1000000000)</f>
        <v>1.121</v>
      </c>
    </row>
    <row r="24" spans="1:3" x14ac:dyDescent="0.35">
      <c r="A24" s="20">
        <v>202106</v>
      </c>
      <c r="B24" s="17">
        <v>44348</v>
      </c>
      <c r="C24" s="15">
        <f>(SUMIFS('MAIN DATA, Orders'!$S:$S,'MAIN DATA, Orders'!$Y:$Y,$A24,'MAIN DATA, Orders'!$D:$D,"United Kingdom")/1000000000)</f>
        <v>3.5999999999999997E-2</v>
      </c>
    </row>
    <row r="25" spans="1:3" x14ac:dyDescent="0.35">
      <c r="A25" s="20">
        <v>202107</v>
      </c>
      <c r="B25" s="17">
        <v>44378</v>
      </c>
      <c r="C25" s="15">
        <f>(SUMIFS('MAIN DATA, Orders'!$S:$S,'MAIN DATA, Orders'!$Y:$Y,$A25,'MAIN DATA, Orders'!$D:$D,"United Kingdom")/1000000000)</f>
        <v>1.2009399999999999</v>
      </c>
    </row>
    <row r="26" spans="1:3" x14ac:dyDescent="0.35">
      <c r="A26" s="20">
        <v>202108</v>
      </c>
      <c r="B26" s="17">
        <v>44409</v>
      </c>
      <c r="C26" s="15">
        <f>(SUMIFS('MAIN DATA, Orders'!$S:$S,'MAIN DATA, Orders'!$Y:$Y,$A26,'MAIN DATA, Orders'!$D:$D,"United Kingdom")/1000000000)</f>
        <v>0</v>
      </c>
    </row>
    <row r="27" spans="1:3" x14ac:dyDescent="0.35">
      <c r="A27" s="20">
        <v>202109</v>
      </c>
      <c r="B27" s="17">
        <v>44440</v>
      </c>
      <c r="C27" s="15">
        <f>(SUMIFS('MAIN DATA, Orders'!$S:$S,'MAIN DATA, Orders'!$Y:$Y,$A27,'MAIN DATA, Orders'!$D:$D,"United Kingdom")/1000000000)</f>
        <v>0.63049999999999995</v>
      </c>
    </row>
    <row r="28" spans="1:3" x14ac:dyDescent="0.35">
      <c r="A28" s="20">
        <v>202110</v>
      </c>
      <c r="B28" s="17">
        <v>44470</v>
      </c>
      <c r="C28" s="15">
        <f>(SUMIFS('MAIN DATA, Orders'!$S:$S,'MAIN DATA, Orders'!$Y:$Y,$A28,'MAIN DATA, Orders'!$D:$D,"United Kingdom")/1000000000)</f>
        <v>0.17499999999999999</v>
      </c>
    </row>
    <row r="29" spans="1:3" x14ac:dyDescent="0.35">
      <c r="A29" s="20">
        <v>202111</v>
      </c>
      <c r="B29" s="17">
        <v>44501</v>
      </c>
      <c r="C29" s="15">
        <f>(SUMIFS('MAIN DATA, Orders'!$S:$S,'MAIN DATA, Orders'!$Y:$Y,$A29,'MAIN DATA, Orders'!$D:$D,"United Kingdom")/1000000000)</f>
        <v>0.21</v>
      </c>
    </row>
    <row r="30" spans="1:3" x14ac:dyDescent="0.35">
      <c r="A30" s="20">
        <v>202112</v>
      </c>
      <c r="B30" s="17">
        <v>44531</v>
      </c>
      <c r="C30" s="15">
        <f>(SUMIFS('MAIN DATA, Orders'!$S:$S,'MAIN DATA, Orders'!$Y:$Y,$A30,'MAIN DATA, Orders'!$D:$D,"United Kingdom")/1000000000)</f>
        <v>1.0200000000000001E-3</v>
      </c>
    </row>
    <row r="31" spans="1:3" x14ac:dyDescent="0.35">
      <c r="A31" s="20">
        <v>202201</v>
      </c>
      <c r="B31" s="17">
        <v>44562</v>
      </c>
      <c r="C31" s="15">
        <f>(SUMIFS('MAIN DATA, Orders'!$S:$S,'MAIN DATA, Orders'!$Y:$Y,$A31,'MAIN DATA, Orders'!$D:$D,"United Kingdom")/1000000000)</f>
        <v>2.2703700000000002</v>
      </c>
    </row>
    <row r="32" spans="1:3" x14ac:dyDescent="0.35">
      <c r="A32" s="20">
        <v>202202</v>
      </c>
      <c r="B32" s="17">
        <v>44593</v>
      </c>
      <c r="C32" s="15">
        <f>(SUMIFS('MAIN DATA, Orders'!$S:$S,'MAIN DATA, Orders'!$Y:$Y,$A32,'MAIN DATA, Orders'!$D:$D,"United Kingdom")/1000000000)</f>
        <v>0.08</v>
      </c>
    </row>
    <row r="33" spans="1:3" x14ac:dyDescent="0.35">
      <c r="A33" s="20">
        <v>202203</v>
      </c>
      <c r="B33" s="17">
        <v>44621</v>
      </c>
      <c r="C33" s="15">
        <f>(SUMIFS('MAIN DATA, Orders'!$S:$S,'MAIN DATA, Orders'!$Y:$Y,$A33,'MAIN DATA, Orders'!$D:$D,"United Kingdom")/1000000000)</f>
        <v>0.69499999999999995</v>
      </c>
    </row>
    <row r="34" spans="1:3" x14ac:dyDescent="0.35">
      <c r="A34" s="20">
        <v>202204</v>
      </c>
      <c r="B34" s="17">
        <v>44652</v>
      </c>
      <c r="C34" s="15">
        <f>(SUMIFS('MAIN DATA, Orders'!$S:$S,'MAIN DATA, Orders'!$Y:$Y,$A34,'MAIN DATA, Orders'!$D:$D,"United Kingdom")/1000000000)</f>
        <v>0.41399999999999998</v>
      </c>
    </row>
    <row r="35" spans="1:3" x14ac:dyDescent="0.35">
      <c r="A35" s="20">
        <v>202205</v>
      </c>
      <c r="B35" s="17">
        <v>44682</v>
      </c>
      <c r="C35" s="15">
        <f>(SUMIFS('MAIN DATA, Orders'!$S:$S,'MAIN DATA, Orders'!$Y:$Y,$A35,'MAIN DATA, Orders'!$D:$D,"United Kingdom")/1000000000)</f>
        <v>2.5649999999999999</v>
      </c>
    </row>
    <row r="36" spans="1:3" x14ac:dyDescent="0.35">
      <c r="A36" s="20">
        <v>202206</v>
      </c>
      <c r="B36" s="17">
        <v>44713</v>
      </c>
      <c r="C36" s="15">
        <f>(SUMIFS('MAIN DATA, Orders'!$S:$S,'MAIN DATA, Orders'!$Y:$Y,$A36,'MAIN DATA, Orders'!$D:$D,"United Kingdom")/1000000000)</f>
        <v>2.0072000000000001</v>
      </c>
    </row>
    <row r="37" spans="1:3" x14ac:dyDescent="0.35">
      <c r="A37" s="20">
        <v>202207</v>
      </c>
      <c r="B37" s="17">
        <v>44743</v>
      </c>
      <c r="C37" s="15">
        <f>(SUMIFS('MAIN DATA, Orders'!$S:$S,'MAIN DATA, Orders'!$Y:$Y,$A37,'MAIN DATA, Orders'!$D:$D,"United Kingdom")/1000000000)</f>
        <v>2.452</v>
      </c>
    </row>
    <row r="38" spans="1:3" x14ac:dyDescent="0.35">
      <c r="A38" s="20">
        <v>202208</v>
      </c>
      <c r="B38" s="17">
        <v>44774</v>
      </c>
      <c r="C38" s="15">
        <f>(SUMIFS('MAIN DATA, Orders'!$S:$S,'MAIN DATA, Orders'!$Y:$Y,$A38,'MAIN DATA, Orders'!$D:$D,"United Kingdom")/1000000000)</f>
        <v>0</v>
      </c>
    </row>
    <row r="39" spans="1:3" x14ac:dyDescent="0.35">
      <c r="A39" s="20">
        <v>202209</v>
      </c>
      <c r="B39" s="17">
        <v>44805</v>
      </c>
      <c r="C39" s="15">
        <f>(SUMIFS('MAIN DATA, Orders'!$S:$S,'MAIN DATA, Orders'!$Y:$Y,$A39,'MAIN DATA, Orders'!$D:$D,"United Kingdom")/1000000000)</f>
        <v>1.4999999999999999E-2</v>
      </c>
    </row>
    <row r="40" spans="1:3" x14ac:dyDescent="0.35">
      <c r="A40" s="20">
        <v>202210</v>
      </c>
      <c r="B40" s="17">
        <v>44835</v>
      </c>
      <c r="C40" s="15">
        <f>(SUMIFS('MAIN DATA, Orders'!$S:$S,'MAIN DATA, Orders'!$Y:$Y,$A40,'MAIN DATA, Orders'!$D:$D,"United Kingdom")/1000000000)</f>
        <v>7.9000000000000001E-2</v>
      </c>
    </row>
    <row r="41" spans="1:3" x14ac:dyDescent="0.35">
      <c r="A41" s="20">
        <v>202211</v>
      </c>
      <c r="B41" s="17">
        <v>44866</v>
      </c>
      <c r="C41" s="15">
        <f>(SUMIFS('MAIN DATA, Orders'!$S:$S,'MAIN DATA, Orders'!$Y:$Y,$A41,'MAIN DATA, Orders'!$D:$D,"United Kingdom")/1000000000)</f>
        <v>4.3209999999999997</v>
      </c>
    </row>
    <row r="42" spans="1:3" x14ac:dyDescent="0.35">
      <c r="A42" s="20">
        <v>202212</v>
      </c>
      <c r="B42" s="17">
        <v>44896</v>
      </c>
      <c r="C42" s="15">
        <f>(SUMIFS('MAIN DATA, Orders'!$S:$S,'MAIN DATA, Orders'!$Y:$Y,$A42,'MAIN DATA, Orders'!$D:$D,"United Kingdom")/1000000000)</f>
        <v>0.51339999999999997</v>
      </c>
    </row>
    <row r="43" spans="1:3" x14ac:dyDescent="0.35">
      <c r="A43" s="20">
        <v>202301</v>
      </c>
      <c r="B43" s="17">
        <v>44927</v>
      </c>
      <c r="C43" s="15">
        <f>(SUMIFS('MAIN DATA, Orders'!$S:$S,'MAIN DATA, Orders'!$Y:$Y,$A43,'MAIN DATA, Orders'!$D:$D,"United Kingdom")/1000000000)</f>
        <v>1.665</v>
      </c>
    </row>
    <row r="44" spans="1:3" x14ac:dyDescent="0.35">
      <c r="A44" s="20">
        <v>202302</v>
      </c>
      <c r="B44" s="17">
        <v>44958</v>
      </c>
      <c r="C44" s="15">
        <f>(SUMIFS('MAIN DATA, Orders'!$S:$S,'MAIN DATA, Orders'!$Y:$Y,$A44,'MAIN DATA, Orders'!$D:$D,"United Kingdom")/1000000000)</f>
        <v>0.51</v>
      </c>
    </row>
    <row r="45" spans="1:3" x14ac:dyDescent="0.35">
      <c r="A45" s="20">
        <v>202303</v>
      </c>
      <c r="B45" s="17">
        <v>44986</v>
      </c>
      <c r="C45" s="15">
        <f>(SUMIFS('MAIN DATA, Orders'!$S:$S,'MAIN DATA, Orders'!$Y:$Y,$A45,'MAIN DATA, Orders'!$D:$D,"United Kingdom")/1000000000)</f>
        <v>1.61E-2</v>
      </c>
    </row>
    <row r="46" spans="1:3" x14ac:dyDescent="0.35">
      <c r="A46" s="20">
        <v>202304</v>
      </c>
      <c r="B46" s="17">
        <v>45017</v>
      </c>
      <c r="C46" s="15">
        <f>(SUMIFS('MAIN DATA, Orders'!$S:$S,'MAIN DATA, Orders'!$Y:$Y,$A46,'MAIN DATA, Orders'!$D:$D,"United Kingdom")/1000000000)</f>
        <v>0.81699999999999995</v>
      </c>
    </row>
    <row r="47" spans="1:3" x14ac:dyDescent="0.35">
      <c r="A47" s="20">
        <v>202305</v>
      </c>
      <c r="B47" s="17">
        <v>45047</v>
      </c>
      <c r="C47" s="15">
        <f>(SUMIFS('MAIN DATA, Orders'!$S:$S,'MAIN DATA, Orders'!$Y:$Y,$A47,'MAIN DATA, Orders'!$D:$D,"United Kingdom")/1000000000)</f>
        <v>0.32</v>
      </c>
    </row>
    <row r="48" spans="1:3" x14ac:dyDescent="0.35">
      <c r="A48" s="20">
        <v>202306</v>
      </c>
      <c r="B48" s="17">
        <v>45078</v>
      </c>
      <c r="C48" s="15">
        <f>(SUMIFS('MAIN DATA, Orders'!$S:$S,'MAIN DATA, Orders'!$Y:$Y,$A48,'MAIN DATA, Orders'!$D:$D,"United Kingdom")/1000000000)</f>
        <v>0.441</v>
      </c>
    </row>
    <row r="49" spans="1:3" x14ac:dyDescent="0.35">
      <c r="A49" s="20">
        <v>202307</v>
      </c>
      <c r="B49" s="17">
        <v>45108</v>
      </c>
      <c r="C49" s="15">
        <f>(SUMIFS('MAIN DATA, Orders'!$S:$S,'MAIN DATA, Orders'!$Y:$Y,$A49,'MAIN DATA, Orders'!$D:$D,"United Kingdom")/1000000000)</f>
        <v>0.35399999999999998</v>
      </c>
    </row>
    <row r="50" spans="1:3" x14ac:dyDescent="0.35">
      <c r="A50" s="20">
        <v>202308</v>
      </c>
      <c r="B50" s="17">
        <v>45139</v>
      </c>
      <c r="C50" s="15">
        <f>(SUMIFS('MAIN DATA, Orders'!$S:$S,'MAIN DATA, Orders'!$Y:$Y,$A50,'MAIN DATA, Orders'!$D:$D,"United Kingdom")/1000000000)</f>
        <v>8.8999999999999996E-2</v>
      </c>
    </row>
    <row r="51" spans="1:3" x14ac:dyDescent="0.35">
      <c r="A51" s="20">
        <v>202309</v>
      </c>
      <c r="B51" s="17">
        <v>45170</v>
      </c>
      <c r="C51" s="15">
        <f>(SUMIFS('MAIN DATA, Orders'!$S:$S,'MAIN DATA, Orders'!$Y:$Y,$A51,'MAIN DATA, Orders'!$D:$D,"United Kingdom")/1000000000)</f>
        <v>5.5E-2</v>
      </c>
    </row>
    <row r="52" spans="1:3" x14ac:dyDescent="0.35">
      <c r="A52" s="20">
        <v>202310</v>
      </c>
      <c r="B52" s="17">
        <v>45200</v>
      </c>
      <c r="C52" s="15">
        <f>(SUMIFS('MAIN DATA, Orders'!$S:$S,'MAIN DATA, Orders'!$Y:$Y,$A52,'MAIN DATA, Orders'!$D:$D,"United Kingdom")/1000000000)</f>
        <v>4.0880000000000001</v>
      </c>
    </row>
    <row r="53" spans="1:3" x14ac:dyDescent="0.35">
      <c r="A53" s="20">
        <v>202311</v>
      </c>
      <c r="B53" s="17">
        <v>45231</v>
      </c>
      <c r="C53" s="15">
        <f>(SUMIFS('MAIN DATA, Orders'!$S:$S,'MAIN DATA, Orders'!$Y:$Y,$A53,'MAIN DATA, Orders'!$D:$D,"United Kingdom")/1000000000)</f>
        <v>3.6999999999999998E-2</v>
      </c>
    </row>
    <row r="54" spans="1:3" x14ac:dyDescent="0.35">
      <c r="A54" s="20">
        <v>202312</v>
      </c>
      <c r="B54" s="17">
        <v>45261</v>
      </c>
      <c r="C54" s="15">
        <f>(SUMIFS('MAIN DATA, Orders'!$S:$S,'MAIN DATA, Orders'!$Y:$Y,$A54,'MAIN DATA, Orders'!$D:$D,"United Kingdom")/1000000000)</f>
        <v>0.05</v>
      </c>
    </row>
    <row r="55" spans="1:3" x14ac:dyDescent="0.35">
      <c r="A55" s="20">
        <v>202401</v>
      </c>
      <c r="B55" s="17">
        <v>45292</v>
      </c>
      <c r="C55" s="15">
        <f>(SUMIFS('MAIN DATA, Orders'!$S:$S,'MAIN DATA, Orders'!$Y:$Y,$A55,'MAIN DATA, Orders'!$D:$D,"United Kingdom")/1000000000)</f>
        <v>0.70499999999999996</v>
      </c>
    </row>
    <row r="56" spans="1:3" x14ac:dyDescent="0.35">
      <c r="A56" s="20">
        <v>202402</v>
      </c>
      <c r="B56" s="17">
        <v>45323</v>
      </c>
      <c r="C56" s="15">
        <f>(SUMIFS('MAIN DATA, Orders'!$S:$S,'MAIN DATA, Orders'!$Y:$Y,$A56,'MAIN DATA, Orders'!$D:$D,"United Kingdom")/1000000000)</f>
        <v>2.3809999999999998</v>
      </c>
    </row>
    <row r="57" spans="1:3" x14ac:dyDescent="0.35">
      <c r="A57" s="20">
        <v>202403</v>
      </c>
      <c r="B57" s="17">
        <v>45352</v>
      </c>
      <c r="C57" s="15">
        <f>(SUMIFS('MAIN DATA, Orders'!$S:$S,'MAIN DATA, Orders'!$Y:$Y,$A57,'MAIN DATA, Orders'!$D:$D,"United Kingdom")/1000000000)</f>
        <v>2.5018199999999999</v>
      </c>
    </row>
    <row r="58" spans="1:3" x14ac:dyDescent="0.35">
      <c r="A58" s="20">
        <v>202404</v>
      </c>
      <c r="B58" s="17">
        <v>45383</v>
      </c>
      <c r="C58" s="15">
        <f>(SUMIFS('MAIN DATA, Orders'!$S:$S,'MAIN DATA, Orders'!$Y:$Y,$A58,'MAIN DATA, Orders'!$D:$D,"United Kingdom")/1000000000)</f>
        <v>0.21199999999999999</v>
      </c>
    </row>
    <row r="59" spans="1:3" x14ac:dyDescent="0.35">
      <c r="A59" s="20">
        <v>202405</v>
      </c>
      <c r="B59" s="17">
        <v>45413</v>
      </c>
      <c r="C59" s="15">
        <f>(SUMIFS('MAIN DATA, Orders'!$S:$S,'MAIN DATA, Orders'!$Y:$Y,$A59,'MAIN DATA, Orders'!$D:$D,"United Kingdom")/1000000000)</f>
        <v>2.1000000000000001E-2</v>
      </c>
    </row>
    <row r="60" spans="1:3" x14ac:dyDescent="0.35">
      <c r="A60" s="20">
        <v>202406</v>
      </c>
      <c r="B60" s="17">
        <v>45444</v>
      </c>
      <c r="C60" s="15">
        <f>(SUMIFS('MAIN DATA, Orders'!$S:$S,'MAIN DATA, Orders'!$Y:$Y,$A60,'MAIN DATA, Orders'!$D:$D,"United Kingdom")/1000000000)</f>
        <v>0</v>
      </c>
    </row>
    <row r="61" spans="1:3" x14ac:dyDescent="0.35">
      <c r="A61" s="20">
        <v>202407</v>
      </c>
      <c r="B61" s="17">
        <v>45474</v>
      </c>
      <c r="C61" s="15">
        <f>(SUMIFS('MAIN DATA, Orders'!$S:$S,'MAIN DATA, Orders'!$Y:$Y,$A61,'MAIN DATA, Orders'!$D:$D,"United Kingdom")/1000000000)</f>
        <v>6.6760000000000002</v>
      </c>
    </row>
    <row r="62" spans="1:3" x14ac:dyDescent="0.35">
      <c r="A62" s="20">
        <v>202408</v>
      </c>
      <c r="B62" s="17">
        <v>45505</v>
      </c>
      <c r="C62" s="15">
        <f>(SUMIFS('MAIN DATA, Orders'!$S:$S,'MAIN DATA, Orders'!$Y:$Y,$A62,'MAIN DATA, Orders'!$D:$D,"United Kingdom")/1000000000)</f>
        <v>0.02</v>
      </c>
    </row>
    <row r="63" spans="1:3" x14ac:dyDescent="0.35">
      <c r="A63" s="20">
        <v>202409</v>
      </c>
      <c r="B63" s="17">
        <v>45536</v>
      </c>
      <c r="C63" s="15">
        <f>(SUMIFS('MAIN DATA, Orders'!$S:$S,'MAIN DATA, Orders'!$Y:$Y,$A63,'MAIN DATA, Orders'!$D:$D,"United Kingdom")/1000000000)</f>
        <v>0.29299999999999998</v>
      </c>
    </row>
    <row r="64" spans="1:3" x14ac:dyDescent="0.35">
      <c r="A64" s="20">
        <v>202410</v>
      </c>
      <c r="B64" s="17">
        <v>45566</v>
      </c>
      <c r="C64" s="15">
        <f>(SUMIFS('MAIN DATA, Orders'!$S:$S,'MAIN DATA, Orders'!$Y:$Y,$A64,'MAIN DATA, Orders'!$D:$D,"United Kingdom")/1000000000)</f>
        <v>0</v>
      </c>
    </row>
    <row r="65" spans="1:3" x14ac:dyDescent="0.35">
      <c r="A65" s="20">
        <v>202411</v>
      </c>
      <c r="B65" s="17">
        <v>45597</v>
      </c>
      <c r="C65" s="15">
        <f>(SUMIFS('MAIN DATA, Orders'!$S:$S,'MAIN DATA, Orders'!$Y:$Y,$A65,'MAIN DATA, Orders'!$D:$D,"United Kingdom")/1000000000)</f>
        <v>0.04</v>
      </c>
    </row>
    <row r="66" spans="1:3" x14ac:dyDescent="0.35">
      <c r="A66" s="20">
        <v>202412</v>
      </c>
      <c r="B66" s="17">
        <v>45627</v>
      </c>
      <c r="C66" s="15">
        <f>(SUMIFS('MAIN DATA, Orders'!$S:$S,'MAIN DATA, Orders'!$Y:$Y,$A66,'MAIN DATA, Orders'!$D:$D,"United Kingdom")/1000000000)</f>
        <v>0.51500000000000001</v>
      </c>
    </row>
    <row r="67" spans="1:3" x14ac:dyDescent="0.35">
      <c r="A67" s="20">
        <v>202501</v>
      </c>
      <c r="B67" s="17">
        <v>45658</v>
      </c>
      <c r="C67" s="15">
        <f>(SUMIFS('MAIN DATA, Orders'!$S:$S,'MAIN DATA, Orders'!$Y:$Y,$A67,'MAIN DATA, Orders'!$D:$D,"United Kingdom")/1000000000)</f>
        <v>9.3460000000000001</v>
      </c>
    </row>
    <row r="68" spans="1:3" x14ac:dyDescent="0.35">
      <c r="A68" s="20">
        <v>202502</v>
      </c>
      <c r="B68" s="17">
        <v>45689</v>
      </c>
      <c r="C68" s="15">
        <f>(SUMIFS('MAIN DATA, Orders'!$S:$S,'MAIN DATA, Orders'!$Y:$Y,$A68,'MAIN DATA, Orders'!$D:$D,"United Kingdom")/1000000000)</f>
        <v>0.52700000000000002</v>
      </c>
    </row>
    <row r="69" spans="1:3" x14ac:dyDescent="0.35">
      <c r="A69" s="20">
        <v>202503</v>
      </c>
      <c r="B69" s="17">
        <v>45717</v>
      </c>
      <c r="C69" s="15">
        <f>(SUMIFS('MAIN DATA, Orders'!$S:$S,'MAIN DATA, Orders'!$Y:$Y,$A69,'MAIN DATA, Orders'!$D:$D,"United Kingdom")/1000000000)</f>
        <v>2.8250000000000002</v>
      </c>
    </row>
    <row r="70" spans="1:3" x14ac:dyDescent="0.35">
      <c r="A70" s="20">
        <v>202504</v>
      </c>
      <c r="B70" s="17">
        <v>45748</v>
      </c>
      <c r="C70" s="15">
        <f>(SUMIFS('MAIN DATA, Orders'!$S:$S,'MAIN DATA, Orders'!$Y:$Y,$A70,'MAIN DATA, Orders'!$D:$D,"United Kingdom")/1000000000)</f>
        <v>0.76500000000000001</v>
      </c>
    </row>
    <row r="71" spans="1:3" x14ac:dyDescent="0.35">
      <c r="A71" s="215">
        <v>202505</v>
      </c>
      <c r="B71" s="216">
        <v>45778</v>
      </c>
      <c r="C71" s="217">
        <f>(SUMIFS('MAIN DATA, Orders'!$S:$S,'MAIN DATA, Orders'!$Y:$Y,$A71,'MAIN DATA, Orders'!$D:$D,"United Kingdom")/1000000000)</f>
        <v>3.3822999999999999</v>
      </c>
    </row>
    <row r="72" spans="1:3" x14ac:dyDescent="0.35">
      <c r="A72" s="215">
        <v>202506</v>
      </c>
      <c r="B72" s="216">
        <v>45809</v>
      </c>
      <c r="C72" s="217">
        <f>(SUMIFS('MAIN DATA, Orders'!$S:$S,'MAIN DATA, Orders'!$Y:$Y,$A72,'MAIN DATA, Orders'!$D:$D,"United Kingdom")/1000000000)</f>
        <v>3.3367499999999999</v>
      </c>
    </row>
    <row r="73" spans="1:3" x14ac:dyDescent="0.35">
      <c r="A73" s="215">
        <v>202507</v>
      </c>
      <c r="B73" s="216">
        <v>45839</v>
      </c>
      <c r="C73" s="217">
        <f>(SUMIFS('MAIN DATA, Orders'!$S:$S,'MAIN DATA, Orders'!$Y:$Y,$A73,'MAIN DATA, Orders'!$D:$D,"United Kingdom")/1000000000)</f>
        <v>0.247</v>
      </c>
    </row>
    <row r="74" spans="1:3" x14ac:dyDescent="0.35">
      <c r="A74" s="215">
        <v>202508</v>
      </c>
      <c r="B74" s="216">
        <v>45870</v>
      </c>
      <c r="C74" s="217">
        <f>(SUMIFS('MAIN DATA, Orders'!$S:$S,'MAIN DATA, Orders'!$Y:$Y,$A74,'MAIN DATA, Orders'!$D:$D,"United Kingdom")/1000000000)</f>
        <v>0.35399999999999998</v>
      </c>
    </row>
    <row r="75" spans="1:3" x14ac:dyDescent="0.35">
      <c r="A75" s="215">
        <v>202509</v>
      </c>
      <c r="B75" s="216">
        <v>45901</v>
      </c>
      <c r="C75" s="217">
        <f>(SUMIFS('MAIN DATA, Orders'!$S:$S,'MAIN DATA, Orders'!$Y:$Y,$A75,'MAIN DATA, Orders'!$D:$D,"United Kingdom")/1000000000)</f>
        <v>0.52200000000000002</v>
      </c>
    </row>
    <row r="76" spans="1:3" x14ac:dyDescent="0.35">
      <c r="A76" s="215">
        <v>202510</v>
      </c>
      <c r="B76" s="216">
        <v>45931</v>
      </c>
      <c r="C76" s="217">
        <f>(SUMIFS('MAIN DATA, Orders'!$S:$S,'MAIN DATA, Orders'!$Y:$Y,$A76,'MAIN DATA, Orders'!$D:$D,"United Kingdom")/1000000000)</f>
        <v>0.52780000000000005</v>
      </c>
    </row>
    <row r="77" spans="1:3" x14ac:dyDescent="0.35">
      <c r="A77" s="215">
        <v>202511</v>
      </c>
      <c r="B77" s="216">
        <v>45962</v>
      </c>
      <c r="C77" s="217">
        <f>(SUMIFS('MAIN DATA, Orders'!$S:$S,'MAIN DATA, Orders'!$Y:$Y,$A77,'MAIN DATA, Orders'!$D:$D,"United Kingdom")/1000000000)</f>
        <v>0.316</v>
      </c>
    </row>
    <row r="78" spans="1:3" x14ac:dyDescent="0.35">
      <c r="A78" s="215">
        <v>202512</v>
      </c>
      <c r="B78" s="216">
        <v>45992</v>
      </c>
      <c r="C78" s="217">
        <f>(SUMIFS('MAIN DATA, Orders'!$S:$S,'MAIN DATA, Orders'!$Y:$Y,$A78,'MAIN DATA, Orders'!$D:$D,"United Kingdom")/1000000000)</f>
        <v>0.2576</v>
      </c>
    </row>
    <row r="79" spans="1:3" x14ac:dyDescent="0.35">
      <c r="A79" s="215">
        <v>202601</v>
      </c>
      <c r="B79" s="216">
        <v>46023</v>
      </c>
      <c r="C79" s="217">
        <f>(SUMIFS('MAIN DATA, Orders'!$S:$S,'MAIN DATA, Orders'!$Y:$Y,$A79,'MAIN DATA, Orders'!$D:$D,"United Kingdom")/1000000000)</f>
        <v>0.69579999999999997</v>
      </c>
    </row>
    <row r="80" spans="1:3" x14ac:dyDescent="0.35">
      <c r="B80" s="66"/>
      <c r="C80" s="66"/>
    </row>
    <row r="81" spans="2:3" x14ac:dyDescent="0.35">
      <c r="B81" s="9" t="s">
        <v>4219</v>
      </c>
      <c r="C81" s="18">
        <f>SUM(C7:C79)</f>
        <v>69.142800000000008</v>
      </c>
    </row>
  </sheetData>
  <mergeCells count="1">
    <mergeCell ref="B4:J4"/>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C4C22-155F-433A-80FC-5D4C5A879762}">
  <sheetPr>
    <tabColor rgb="FFB5E6A2"/>
  </sheetPr>
  <dimension ref="A2:J82"/>
  <sheetViews>
    <sheetView zoomScaleNormal="100" workbookViewId="0"/>
  </sheetViews>
  <sheetFormatPr baseColWidth="10" defaultColWidth="8.75" defaultRowHeight="15.5" x14ac:dyDescent="0.35"/>
  <cols>
    <col min="1" max="1" width="8.75" style="1" customWidth="1"/>
    <col min="2" max="2" width="13.5" style="1" customWidth="1"/>
    <col min="3" max="3" width="27.08203125" style="1" customWidth="1"/>
    <col min="4" max="4" width="8.75" style="1" customWidth="1"/>
    <col min="5" max="5" width="23.33203125" style="1" customWidth="1"/>
    <col min="6" max="6" width="21" style="1" customWidth="1"/>
    <col min="7" max="16384" width="8.75" style="1"/>
  </cols>
  <sheetData>
    <row r="2" spans="1:10" ht="25.9" customHeight="1" x14ac:dyDescent="0.7">
      <c r="B2" s="16" t="s">
        <v>5649</v>
      </c>
    </row>
    <row r="4" spans="1:10" ht="130.15" customHeight="1" x14ac:dyDescent="0.35">
      <c r="B4" s="232" t="s">
        <v>5650</v>
      </c>
      <c r="C4" s="232"/>
      <c r="D4" s="232"/>
      <c r="E4" s="232"/>
      <c r="F4" s="232"/>
      <c r="G4" s="232"/>
      <c r="H4" s="232"/>
      <c r="I4" s="232"/>
      <c r="J4" s="232"/>
    </row>
    <row r="6" spans="1:10" ht="19.899999999999999" customHeight="1" x14ac:dyDescent="0.35">
      <c r="B6" s="68" t="s">
        <v>4197</v>
      </c>
      <c r="C6" s="69" t="s">
        <v>5189</v>
      </c>
      <c r="D6" s="2"/>
      <c r="E6" s="68" t="s">
        <v>5191</v>
      </c>
      <c r="F6" s="69" t="s">
        <v>5189</v>
      </c>
    </row>
    <row r="7" spans="1:10" x14ac:dyDescent="0.35">
      <c r="A7" s="20">
        <v>202001</v>
      </c>
      <c r="B7" s="17">
        <v>43831</v>
      </c>
      <c r="C7" s="15">
        <f>(SUMIFS('MAIN DATA, Orders'!$S:$S,'MAIN DATA, Orders'!$Y:$Y,$A7,'MAIN DATA, Orders'!$D:$D,"United Kingdom")/1000000000)</f>
        <v>0.183</v>
      </c>
      <c r="D7" s="3"/>
      <c r="E7" s="83" t="s">
        <v>5192</v>
      </c>
      <c r="F7" s="19">
        <f>SUM(C9:C20)</f>
        <v>4.8357999999999999</v>
      </c>
    </row>
    <row r="8" spans="1:10" x14ac:dyDescent="0.35">
      <c r="A8" s="20">
        <v>202002</v>
      </c>
      <c r="B8" s="17">
        <v>43862</v>
      </c>
      <c r="C8" s="15">
        <f>(SUMIFS('MAIN DATA, Orders'!$S:$S,'MAIN DATA, Orders'!$Y:$Y,$A8,'MAIN DATA, Orders'!$D:$D,"United Kingdom")/1000000000)</f>
        <v>0.33</v>
      </c>
      <c r="D8" s="3"/>
      <c r="E8" s="83" t="s">
        <v>5193</v>
      </c>
      <c r="F8" s="19">
        <f>SUM(C21:C32)</f>
        <v>5.8232300000000006</v>
      </c>
    </row>
    <row r="9" spans="1:10" x14ac:dyDescent="0.35">
      <c r="A9" s="20">
        <v>202003</v>
      </c>
      <c r="B9" s="17">
        <v>43891</v>
      </c>
      <c r="C9" s="15">
        <f>(SUMIFS('MAIN DATA, Orders'!$S:$S,'MAIN DATA, Orders'!$Y:$Y,$A9,'MAIN DATA, Orders'!$D:$D,"United Kingdom")/1000000000)</f>
        <v>0</v>
      </c>
      <c r="D9" s="3"/>
      <c r="E9" s="83" t="s">
        <v>5194</v>
      </c>
      <c r="F9" s="19">
        <f>SUM(C33:C44)</f>
        <v>15.236600000000001</v>
      </c>
    </row>
    <row r="10" spans="1:10" x14ac:dyDescent="0.35">
      <c r="A10" s="20">
        <v>202004</v>
      </c>
      <c r="B10" s="17">
        <v>43922</v>
      </c>
      <c r="C10" s="15">
        <f>(SUMIFS('MAIN DATA, Orders'!$S:$S,'MAIN DATA, Orders'!$Y:$Y,$A10,'MAIN DATA, Orders'!$D:$D,"United Kingdom")/1000000000)</f>
        <v>4.5999999999999999E-2</v>
      </c>
      <c r="D10" s="3"/>
      <c r="E10" s="83" t="s">
        <v>5195</v>
      </c>
      <c r="F10" s="19">
        <f>SUM(C45:C56)</f>
        <v>9.3530999999999995</v>
      </c>
    </row>
    <row r="11" spans="1:10" x14ac:dyDescent="0.35">
      <c r="A11" s="20">
        <v>202005</v>
      </c>
      <c r="B11" s="17">
        <v>43952</v>
      </c>
      <c r="C11" s="15">
        <f>(SUMIFS('MAIN DATA, Orders'!$S:$S,'MAIN DATA, Orders'!$Y:$Y,$A11,'MAIN DATA, Orders'!$D:$D,"United Kingdom")/1000000000)</f>
        <v>0</v>
      </c>
      <c r="D11" s="3"/>
      <c r="E11" s="83" t="s">
        <v>5196</v>
      </c>
      <c r="F11" s="19">
        <f>SUM(C57:C68)</f>
        <v>20.151820000000001</v>
      </c>
    </row>
    <row r="12" spans="1:10" x14ac:dyDescent="0.35">
      <c r="A12" s="20">
        <v>202006</v>
      </c>
      <c r="B12" s="17">
        <v>43983</v>
      </c>
      <c r="C12" s="15">
        <f>(SUMIFS('MAIN DATA, Orders'!$S:$S,'MAIN DATA, Orders'!$Y:$Y,$A12,'MAIN DATA, Orders'!$D:$D,"United Kingdom")/1000000000)</f>
        <v>2.6700000000000002E-2</v>
      </c>
      <c r="D12" s="3"/>
      <c r="E12" s="218" t="s">
        <v>5197</v>
      </c>
      <c r="F12" s="219">
        <f>SUM(C69:C81)</f>
        <v>13.22925</v>
      </c>
    </row>
    <row r="13" spans="1:10" x14ac:dyDescent="0.35">
      <c r="A13" s="20">
        <v>202007</v>
      </c>
      <c r="B13" s="17">
        <v>44013</v>
      </c>
      <c r="C13" s="15">
        <f>(SUMIFS('MAIN DATA, Orders'!$S:$S,'MAIN DATA, Orders'!$Y:$Y,$A13,'MAIN DATA, Orders'!$D:$D,"United Kingdom")/1000000000)</f>
        <v>0.37490000000000001</v>
      </c>
      <c r="D13" s="3"/>
    </row>
    <row r="14" spans="1:10" x14ac:dyDescent="0.35">
      <c r="A14" s="20">
        <v>202008</v>
      </c>
      <c r="B14" s="17">
        <v>44044</v>
      </c>
      <c r="C14" s="15">
        <f>(SUMIFS('MAIN DATA, Orders'!$S:$S,'MAIN DATA, Orders'!$Y:$Y,$A14,'MAIN DATA, Orders'!$D:$D,"United Kingdom")/1000000000)</f>
        <v>0.2412</v>
      </c>
      <c r="D14" s="3"/>
    </row>
    <row r="15" spans="1:10" x14ac:dyDescent="0.35">
      <c r="A15" s="20">
        <v>202009</v>
      </c>
      <c r="B15" s="17">
        <v>44075</v>
      </c>
      <c r="C15" s="15">
        <f>(SUMIFS('MAIN DATA, Orders'!$S:$S,'MAIN DATA, Orders'!$Y:$Y,$A15,'MAIN DATA, Orders'!$D:$D,"United Kingdom")/1000000000)</f>
        <v>0.32400000000000001</v>
      </c>
      <c r="D15" s="3"/>
    </row>
    <row r="16" spans="1:10" x14ac:dyDescent="0.35">
      <c r="A16" s="20">
        <v>202010</v>
      </c>
      <c r="B16" s="17">
        <v>44105</v>
      </c>
      <c r="C16" s="15">
        <f>(SUMIFS('MAIN DATA, Orders'!$S:$S,'MAIN DATA, Orders'!$Y:$Y,$A16,'MAIN DATA, Orders'!$D:$D,"United Kingdom")/1000000000)</f>
        <v>4.5999999999999999E-2</v>
      </c>
      <c r="D16" s="3"/>
    </row>
    <row r="17" spans="1:3" x14ac:dyDescent="0.35">
      <c r="A17" s="20">
        <v>202011</v>
      </c>
      <c r="B17" s="17">
        <v>44136</v>
      </c>
      <c r="C17" s="15">
        <f>(SUMIFS('MAIN DATA, Orders'!$S:$S,'MAIN DATA, Orders'!$Y:$Y,$A17,'MAIN DATA, Orders'!$D:$D,"United Kingdom")/1000000000)</f>
        <v>2.5840000000000001</v>
      </c>
    </row>
    <row r="18" spans="1:3" x14ac:dyDescent="0.35">
      <c r="A18" s="20">
        <v>202012</v>
      </c>
      <c r="B18" s="17">
        <v>44166</v>
      </c>
      <c r="C18" s="15">
        <f>(SUMIFS('MAIN DATA, Orders'!$S:$S,'MAIN DATA, Orders'!$Y:$Y,$A18,'MAIN DATA, Orders'!$D:$D,"United Kingdom")/1000000000)</f>
        <v>0</v>
      </c>
    </row>
    <row r="19" spans="1:3" x14ac:dyDescent="0.35">
      <c r="A19" s="20">
        <v>202101</v>
      </c>
      <c r="B19" s="17">
        <v>44197</v>
      </c>
      <c r="C19" s="15">
        <f>(SUMIFS('MAIN DATA, Orders'!$S:$S,'MAIN DATA, Orders'!$Y:$Y,$A19,'MAIN DATA, Orders'!$D:$D,"United Kingdom")/1000000000)</f>
        <v>1.0129999999999999</v>
      </c>
    </row>
    <row r="20" spans="1:3" x14ac:dyDescent="0.35">
      <c r="A20" s="20">
        <v>202102</v>
      </c>
      <c r="B20" s="17">
        <v>44228</v>
      </c>
      <c r="C20" s="15">
        <f>(SUMIFS('MAIN DATA, Orders'!$S:$S,'MAIN DATA, Orders'!$Y:$Y,$A20,'MAIN DATA, Orders'!$D:$D,"United Kingdom")/1000000000)</f>
        <v>0.18</v>
      </c>
    </row>
    <row r="21" spans="1:3" x14ac:dyDescent="0.35">
      <c r="A21" s="20">
        <v>202103</v>
      </c>
      <c r="B21" s="17">
        <v>44256</v>
      </c>
      <c r="C21" s="15">
        <f>(SUMIFS('MAIN DATA, Orders'!$S:$S,'MAIN DATA, Orders'!$Y:$Y,$A21,'MAIN DATA, Orders'!$D:$D,"United Kingdom")/1000000000)</f>
        <v>9.8400000000000001E-2</v>
      </c>
    </row>
    <row r="22" spans="1:3" x14ac:dyDescent="0.35">
      <c r="A22" s="20">
        <v>202104</v>
      </c>
      <c r="B22" s="17">
        <v>44287</v>
      </c>
      <c r="C22" s="15">
        <f>(SUMIFS('MAIN DATA, Orders'!$S:$S,'MAIN DATA, Orders'!$Y:$Y,$A22,'MAIN DATA, Orders'!$D:$D,"United Kingdom")/1000000000)</f>
        <v>0</v>
      </c>
    </row>
    <row r="23" spans="1:3" x14ac:dyDescent="0.35">
      <c r="A23" s="20">
        <v>202105</v>
      </c>
      <c r="B23" s="17">
        <v>44317</v>
      </c>
      <c r="C23" s="15">
        <f>(SUMIFS('MAIN DATA, Orders'!$S:$S,'MAIN DATA, Orders'!$Y:$Y,$A23,'MAIN DATA, Orders'!$D:$D,"United Kingdom")/1000000000)</f>
        <v>1.121</v>
      </c>
    </row>
    <row r="24" spans="1:3" x14ac:dyDescent="0.35">
      <c r="A24" s="20">
        <v>202106</v>
      </c>
      <c r="B24" s="17">
        <v>44348</v>
      </c>
      <c r="C24" s="15">
        <f>(SUMIFS('MAIN DATA, Orders'!$S:$S,'MAIN DATA, Orders'!$Y:$Y,$A24,'MAIN DATA, Orders'!$D:$D,"United Kingdom")/1000000000)</f>
        <v>3.5999999999999997E-2</v>
      </c>
    </row>
    <row r="25" spans="1:3" x14ac:dyDescent="0.35">
      <c r="A25" s="20">
        <v>202107</v>
      </c>
      <c r="B25" s="17">
        <v>44378</v>
      </c>
      <c r="C25" s="15">
        <f>(SUMIFS('MAIN DATA, Orders'!$S:$S,'MAIN DATA, Orders'!$Y:$Y,$A25,'MAIN DATA, Orders'!$D:$D,"United Kingdom")/1000000000)</f>
        <v>1.2009399999999999</v>
      </c>
    </row>
    <row r="26" spans="1:3" x14ac:dyDescent="0.35">
      <c r="A26" s="20">
        <v>202108</v>
      </c>
      <c r="B26" s="17">
        <v>44409</v>
      </c>
      <c r="C26" s="15">
        <f>(SUMIFS('MAIN DATA, Orders'!$S:$S,'MAIN DATA, Orders'!$Y:$Y,$A26,'MAIN DATA, Orders'!$D:$D,"United Kingdom")/1000000000)</f>
        <v>0</v>
      </c>
    </row>
    <row r="27" spans="1:3" x14ac:dyDescent="0.35">
      <c r="A27" s="20">
        <v>202109</v>
      </c>
      <c r="B27" s="17">
        <v>44440</v>
      </c>
      <c r="C27" s="15">
        <f>(SUMIFS('MAIN DATA, Orders'!$S:$S,'MAIN DATA, Orders'!$Y:$Y,$A27,'MAIN DATA, Orders'!$D:$D,"United Kingdom")/1000000000)</f>
        <v>0.63049999999999995</v>
      </c>
    </row>
    <row r="28" spans="1:3" x14ac:dyDescent="0.35">
      <c r="A28" s="20">
        <v>202110</v>
      </c>
      <c r="B28" s="17">
        <v>44470</v>
      </c>
      <c r="C28" s="15">
        <f>(SUMIFS('MAIN DATA, Orders'!$S:$S,'MAIN DATA, Orders'!$Y:$Y,$A28,'MAIN DATA, Orders'!$D:$D,"United Kingdom")/1000000000)</f>
        <v>0.17499999999999999</v>
      </c>
    </row>
    <row r="29" spans="1:3" x14ac:dyDescent="0.35">
      <c r="A29" s="20">
        <v>202111</v>
      </c>
      <c r="B29" s="17">
        <v>44501</v>
      </c>
      <c r="C29" s="15">
        <f>(SUMIFS('MAIN DATA, Orders'!$S:$S,'MAIN DATA, Orders'!$Y:$Y,$A29,'MAIN DATA, Orders'!$D:$D,"United Kingdom")/1000000000)</f>
        <v>0.21</v>
      </c>
    </row>
    <row r="30" spans="1:3" x14ac:dyDescent="0.35">
      <c r="A30" s="20">
        <v>202112</v>
      </c>
      <c r="B30" s="17">
        <v>44531</v>
      </c>
      <c r="C30" s="15">
        <f>(SUMIFS('MAIN DATA, Orders'!$S:$S,'MAIN DATA, Orders'!$Y:$Y,$A30,'MAIN DATA, Orders'!$D:$D,"United Kingdom")/1000000000)</f>
        <v>1.0200000000000001E-3</v>
      </c>
    </row>
    <row r="31" spans="1:3" x14ac:dyDescent="0.35">
      <c r="A31" s="20">
        <v>202201</v>
      </c>
      <c r="B31" s="17">
        <v>44562</v>
      </c>
      <c r="C31" s="15">
        <f>(SUMIFS('MAIN DATA, Orders'!$S:$S,'MAIN DATA, Orders'!$Y:$Y,$A31,'MAIN DATA, Orders'!$D:$D,"United Kingdom")/1000000000)</f>
        <v>2.2703700000000002</v>
      </c>
    </row>
    <row r="32" spans="1:3" x14ac:dyDescent="0.35">
      <c r="A32" s="20">
        <v>202202</v>
      </c>
      <c r="B32" s="17">
        <v>44593</v>
      </c>
      <c r="C32" s="15">
        <f>(SUMIFS('MAIN DATA, Orders'!$S:$S,'MAIN DATA, Orders'!$Y:$Y,$A32,'MAIN DATA, Orders'!$D:$D,"United Kingdom")/1000000000)</f>
        <v>0.08</v>
      </c>
    </row>
    <row r="33" spans="1:3" x14ac:dyDescent="0.35">
      <c r="A33" s="20">
        <v>202203</v>
      </c>
      <c r="B33" s="17">
        <v>44621</v>
      </c>
      <c r="C33" s="15">
        <f>(SUMIFS('MAIN DATA, Orders'!$S:$S,'MAIN DATA, Orders'!$Y:$Y,$A33,'MAIN DATA, Orders'!$D:$D,"United Kingdom")/1000000000)</f>
        <v>0.69499999999999995</v>
      </c>
    </row>
    <row r="34" spans="1:3" x14ac:dyDescent="0.35">
      <c r="A34" s="20">
        <v>202204</v>
      </c>
      <c r="B34" s="17">
        <v>44652</v>
      </c>
      <c r="C34" s="15">
        <f>(SUMIFS('MAIN DATA, Orders'!$S:$S,'MAIN DATA, Orders'!$Y:$Y,$A34,'MAIN DATA, Orders'!$D:$D,"United Kingdom")/1000000000)</f>
        <v>0.41399999999999998</v>
      </c>
    </row>
    <row r="35" spans="1:3" x14ac:dyDescent="0.35">
      <c r="A35" s="20">
        <v>202205</v>
      </c>
      <c r="B35" s="17">
        <v>44682</v>
      </c>
      <c r="C35" s="15">
        <f>(SUMIFS('MAIN DATA, Orders'!$S:$S,'MAIN DATA, Orders'!$Y:$Y,$A35,'MAIN DATA, Orders'!$D:$D,"United Kingdom")/1000000000)</f>
        <v>2.5649999999999999</v>
      </c>
    </row>
    <row r="36" spans="1:3" x14ac:dyDescent="0.35">
      <c r="A36" s="20">
        <v>202206</v>
      </c>
      <c r="B36" s="17">
        <v>44713</v>
      </c>
      <c r="C36" s="15">
        <f>(SUMIFS('MAIN DATA, Orders'!$S:$S,'MAIN DATA, Orders'!$Y:$Y,$A36,'MAIN DATA, Orders'!$D:$D,"United Kingdom")/1000000000)</f>
        <v>2.0072000000000001</v>
      </c>
    </row>
    <row r="37" spans="1:3" x14ac:dyDescent="0.35">
      <c r="A37" s="20">
        <v>202207</v>
      </c>
      <c r="B37" s="17">
        <v>44743</v>
      </c>
      <c r="C37" s="15">
        <f>(SUMIFS('MAIN DATA, Orders'!$S:$S,'MAIN DATA, Orders'!$Y:$Y,$A37,'MAIN DATA, Orders'!$D:$D,"United Kingdom")/1000000000)</f>
        <v>2.452</v>
      </c>
    </row>
    <row r="38" spans="1:3" x14ac:dyDescent="0.35">
      <c r="A38" s="20">
        <v>202208</v>
      </c>
      <c r="B38" s="17">
        <v>44774</v>
      </c>
      <c r="C38" s="15">
        <f>(SUMIFS('MAIN DATA, Orders'!$S:$S,'MAIN DATA, Orders'!$Y:$Y,$A38,'MAIN DATA, Orders'!$D:$D,"United Kingdom")/1000000000)</f>
        <v>0</v>
      </c>
    </row>
    <row r="39" spans="1:3" x14ac:dyDescent="0.35">
      <c r="A39" s="20">
        <v>202209</v>
      </c>
      <c r="B39" s="17">
        <v>44805</v>
      </c>
      <c r="C39" s="15">
        <f>(SUMIFS('MAIN DATA, Orders'!$S:$S,'MAIN DATA, Orders'!$Y:$Y,$A39,'MAIN DATA, Orders'!$D:$D,"United Kingdom")/1000000000)</f>
        <v>1.4999999999999999E-2</v>
      </c>
    </row>
    <row r="40" spans="1:3" x14ac:dyDescent="0.35">
      <c r="A40" s="20">
        <v>202210</v>
      </c>
      <c r="B40" s="17">
        <v>44835</v>
      </c>
      <c r="C40" s="15">
        <f>(SUMIFS('MAIN DATA, Orders'!$S:$S,'MAIN DATA, Orders'!$Y:$Y,$A40,'MAIN DATA, Orders'!$D:$D,"United Kingdom")/1000000000)</f>
        <v>7.9000000000000001E-2</v>
      </c>
    </row>
    <row r="41" spans="1:3" x14ac:dyDescent="0.35">
      <c r="A41" s="20">
        <v>202211</v>
      </c>
      <c r="B41" s="17">
        <v>44866</v>
      </c>
      <c r="C41" s="15">
        <f>(SUMIFS('MAIN DATA, Orders'!$S:$S,'MAIN DATA, Orders'!$Y:$Y,$A41,'MAIN DATA, Orders'!$D:$D,"United Kingdom")/1000000000)</f>
        <v>4.3209999999999997</v>
      </c>
    </row>
    <row r="42" spans="1:3" x14ac:dyDescent="0.35">
      <c r="A42" s="20">
        <v>202212</v>
      </c>
      <c r="B42" s="17">
        <v>44896</v>
      </c>
      <c r="C42" s="15">
        <f>(SUMIFS('MAIN DATA, Orders'!$S:$S,'MAIN DATA, Orders'!$Y:$Y,$A42,'MAIN DATA, Orders'!$D:$D,"United Kingdom")/1000000000)</f>
        <v>0.51339999999999997</v>
      </c>
    </row>
    <row r="43" spans="1:3" x14ac:dyDescent="0.35">
      <c r="A43" s="20">
        <v>202301</v>
      </c>
      <c r="B43" s="17">
        <v>44927</v>
      </c>
      <c r="C43" s="15">
        <f>(SUMIFS('MAIN DATA, Orders'!$S:$S,'MAIN DATA, Orders'!$Y:$Y,$A43,'MAIN DATA, Orders'!$D:$D,"United Kingdom")/1000000000)</f>
        <v>1.665</v>
      </c>
    </row>
    <row r="44" spans="1:3" x14ac:dyDescent="0.35">
      <c r="A44" s="20">
        <v>202302</v>
      </c>
      <c r="B44" s="17">
        <v>44958</v>
      </c>
      <c r="C44" s="15">
        <f>(SUMIFS('MAIN DATA, Orders'!$S:$S,'MAIN DATA, Orders'!$Y:$Y,$A44,'MAIN DATA, Orders'!$D:$D,"United Kingdom")/1000000000)</f>
        <v>0.51</v>
      </c>
    </row>
    <row r="45" spans="1:3" x14ac:dyDescent="0.35">
      <c r="A45" s="20">
        <v>202303</v>
      </c>
      <c r="B45" s="17">
        <v>44986</v>
      </c>
      <c r="C45" s="15">
        <f>(SUMIFS('MAIN DATA, Orders'!$S:$S,'MAIN DATA, Orders'!$Y:$Y,$A45,'MAIN DATA, Orders'!$D:$D,"United Kingdom")/1000000000)</f>
        <v>1.61E-2</v>
      </c>
    </row>
    <row r="46" spans="1:3" x14ac:dyDescent="0.35">
      <c r="A46" s="20">
        <v>202304</v>
      </c>
      <c r="B46" s="17">
        <v>45017</v>
      </c>
      <c r="C46" s="15">
        <f>(SUMIFS('MAIN DATA, Orders'!$S:$S,'MAIN DATA, Orders'!$Y:$Y,$A46,'MAIN DATA, Orders'!$D:$D,"United Kingdom")/1000000000)</f>
        <v>0.81699999999999995</v>
      </c>
    </row>
    <row r="47" spans="1:3" x14ac:dyDescent="0.35">
      <c r="A47" s="20">
        <v>202305</v>
      </c>
      <c r="B47" s="17">
        <v>45047</v>
      </c>
      <c r="C47" s="15">
        <f>(SUMIFS('MAIN DATA, Orders'!$S:$S,'MAIN DATA, Orders'!$Y:$Y,$A47,'MAIN DATA, Orders'!$D:$D,"United Kingdom")/1000000000)</f>
        <v>0.32</v>
      </c>
    </row>
    <row r="48" spans="1:3" x14ac:dyDescent="0.35">
      <c r="A48" s="20">
        <v>202306</v>
      </c>
      <c r="B48" s="17">
        <v>45078</v>
      </c>
      <c r="C48" s="15">
        <f>(SUMIFS('MAIN DATA, Orders'!$S:$S,'MAIN DATA, Orders'!$Y:$Y,$A48,'MAIN DATA, Orders'!$D:$D,"United Kingdom")/1000000000)</f>
        <v>0.441</v>
      </c>
    </row>
    <row r="49" spans="1:3" x14ac:dyDescent="0.35">
      <c r="A49" s="20">
        <v>202307</v>
      </c>
      <c r="B49" s="17">
        <v>45108</v>
      </c>
      <c r="C49" s="15">
        <f>(SUMIFS('MAIN DATA, Orders'!$S:$S,'MAIN DATA, Orders'!$Y:$Y,$A49,'MAIN DATA, Orders'!$D:$D,"United Kingdom")/1000000000)</f>
        <v>0.35399999999999998</v>
      </c>
    </row>
    <row r="50" spans="1:3" x14ac:dyDescent="0.35">
      <c r="A50" s="20">
        <v>202308</v>
      </c>
      <c r="B50" s="17">
        <v>45139</v>
      </c>
      <c r="C50" s="15">
        <f>(SUMIFS('MAIN DATA, Orders'!$S:$S,'MAIN DATA, Orders'!$Y:$Y,$A50,'MAIN DATA, Orders'!$D:$D,"United Kingdom")/1000000000)</f>
        <v>8.8999999999999996E-2</v>
      </c>
    </row>
    <row r="51" spans="1:3" x14ac:dyDescent="0.35">
      <c r="A51" s="20">
        <v>202309</v>
      </c>
      <c r="B51" s="17">
        <v>45170</v>
      </c>
      <c r="C51" s="15">
        <f>(SUMIFS('MAIN DATA, Orders'!$S:$S,'MAIN DATA, Orders'!$Y:$Y,$A51,'MAIN DATA, Orders'!$D:$D,"United Kingdom")/1000000000)</f>
        <v>5.5E-2</v>
      </c>
    </row>
    <row r="52" spans="1:3" x14ac:dyDescent="0.35">
      <c r="A52" s="20">
        <v>202310</v>
      </c>
      <c r="B52" s="17">
        <v>45200</v>
      </c>
      <c r="C52" s="15">
        <f>(SUMIFS('MAIN DATA, Orders'!$S:$S,'MAIN DATA, Orders'!$Y:$Y,$A52,'MAIN DATA, Orders'!$D:$D,"United Kingdom")/1000000000)</f>
        <v>4.0880000000000001</v>
      </c>
    </row>
    <row r="53" spans="1:3" x14ac:dyDescent="0.35">
      <c r="A53" s="20">
        <v>202311</v>
      </c>
      <c r="B53" s="17">
        <v>45231</v>
      </c>
      <c r="C53" s="15">
        <f>(SUMIFS('MAIN DATA, Orders'!$S:$S,'MAIN DATA, Orders'!$Y:$Y,$A53,'MAIN DATA, Orders'!$D:$D,"United Kingdom")/1000000000)</f>
        <v>3.6999999999999998E-2</v>
      </c>
    </row>
    <row r="54" spans="1:3" x14ac:dyDescent="0.35">
      <c r="A54" s="20">
        <v>202312</v>
      </c>
      <c r="B54" s="17">
        <v>45261</v>
      </c>
      <c r="C54" s="15">
        <f>(SUMIFS('MAIN DATA, Orders'!$S:$S,'MAIN DATA, Orders'!$Y:$Y,$A54,'MAIN DATA, Orders'!$D:$D,"United Kingdom")/1000000000)</f>
        <v>0.05</v>
      </c>
    </row>
    <row r="55" spans="1:3" x14ac:dyDescent="0.35">
      <c r="A55" s="20">
        <v>202401</v>
      </c>
      <c r="B55" s="17">
        <v>45292</v>
      </c>
      <c r="C55" s="15">
        <f>(SUMIFS('MAIN DATA, Orders'!$S:$S,'MAIN DATA, Orders'!$Y:$Y,$A55,'MAIN DATA, Orders'!$D:$D,"United Kingdom")/1000000000)</f>
        <v>0.70499999999999996</v>
      </c>
    </row>
    <row r="56" spans="1:3" x14ac:dyDescent="0.35">
      <c r="A56" s="20">
        <v>202402</v>
      </c>
      <c r="B56" s="17">
        <v>45323</v>
      </c>
      <c r="C56" s="15">
        <f>(SUMIFS('MAIN DATA, Orders'!$S:$S,'MAIN DATA, Orders'!$Y:$Y,$A56,'MAIN DATA, Orders'!$D:$D,"United Kingdom")/1000000000)</f>
        <v>2.3809999999999998</v>
      </c>
    </row>
    <row r="57" spans="1:3" x14ac:dyDescent="0.35">
      <c r="A57" s="20">
        <v>202403</v>
      </c>
      <c r="B57" s="17">
        <v>45352</v>
      </c>
      <c r="C57" s="15">
        <f>(SUMIFS('MAIN DATA, Orders'!$S:$S,'MAIN DATA, Orders'!$Y:$Y,$A57,'MAIN DATA, Orders'!$D:$D,"United Kingdom")/1000000000)</f>
        <v>2.5018199999999999</v>
      </c>
    </row>
    <row r="58" spans="1:3" x14ac:dyDescent="0.35">
      <c r="A58" s="20">
        <v>202404</v>
      </c>
      <c r="B58" s="17">
        <v>45383</v>
      </c>
      <c r="C58" s="15">
        <f>(SUMIFS('MAIN DATA, Orders'!$S:$S,'MAIN DATA, Orders'!$Y:$Y,$A58,'MAIN DATA, Orders'!$D:$D,"United Kingdom")/1000000000)</f>
        <v>0.21199999999999999</v>
      </c>
    </row>
    <row r="59" spans="1:3" x14ac:dyDescent="0.35">
      <c r="A59" s="20">
        <v>202405</v>
      </c>
      <c r="B59" s="17">
        <v>45413</v>
      </c>
      <c r="C59" s="15">
        <f>(SUMIFS('MAIN DATA, Orders'!$S:$S,'MAIN DATA, Orders'!$Y:$Y,$A59,'MAIN DATA, Orders'!$D:$D,"United Kingdom")/1000000000)</f>
        <v>2.1000000000000001E-2</v>
      </c>
    </row>
    <row r="60" spans="1:3" x14ac:dyDescent="0.35">
      <c r="A60" s="20">
        <v>202406</v>
      </c>
      <c r="B60" s="17">
        <v>45444</v>
      </c>
      <c r="C60" s="15">
        <f>(SUMIFS('MAIN DATA, Orders'!$S:$S,'MAIN DATA, Orders'!$Y:$Y,$A60,'MAIN DATA, Orders'!$D:$D,"United Kingdom")/1000000000)</f>
        <v>0</v>
      </c>
    </row>
    <row r="61" spans="1:3" x14ac:dyDescent="0.35">
      <c r="A61" s="20">
        <v>202407</v>
      </c>
      <c r="B61" s="17">
        <v>45474</v>
      </c>
      <c r="C61" s="15">
        <f>(SUMIFS('MAIN DATA, Orders'!$S:$S,'MAIN DATA, Orders'!$Y:$Y,$A61,'MAIN DATA, Orders'!$D:$D,"United Kingdom")/1000000000)</f>
        <v>6.6760000000000002</v>
      </c>
    </row>
    <row r="62" spans="1:3" x14ac:dyDescent="0.35">
      <c r="A62" s="20">
        <v>202408</v>
      </c>
      <c r="B62" s="17">
        <v>45505</v>
      </c>
      <c r="C62" s="15">
        <f>(SUMIFS('MAIN DATA, Orders'!$S:$S,'MAIN DATA, Orders'!$Y:$Y,$A62,'MAIN DATA, Orders'!$D:$D,"United Kingdom")/1000000000)</f>
        <v>0.02</v>
      </c>
    </row>
    <row r="63" spans="1:3" x14ac:dyDescent="0.35">
      <c r="A63" s="20">
        <v>202409</v>
      </c>
      <c r="B63" s="17">
        <v>45536</v>
      </c>
      <c r="C63" s="15">
        <f>(SUMIFS('MAIN DATA, Orders'!$S:$S,'MAIN DATA, Orders'!$Y:$Y,$A63,'MAIN DATA, Orders'!$D:$D,"United Kingdom")/1000000000)</f>
        <v>0.29299999999999998</v>
      </c>
    </row>
    <row r="64" spans="1:3" x14ac:dyDescent="0.35">
      <c r="A64" s="20">
        <v>202410</v>
      </c>
      <c r="B64" s="17">
        <v>45566</v>
      </c>
      <c r="C64" s="15">
        <f>(SUMIFS('MAIN DATA, Orders'!$S:$S,'MAIN DATA, Orders'!$Y:$Y,$A64,'MAIN DATA, Orders'!$D:$D,"United Kingdom")/1000000000)</f>
        <v>0</v>
      </c>
    </row>
    <row r="65" spans="1:3" x14ac:dyDescent="0.35">
      <c r="A65" s="20">
        <v>202411</v>
      </c>
      <c r="B65" s="17">
        <v>45597</v>
      </c>
      <c r="C65" s="15">
        <f>(SUMIFS('MAIN DATA, Orders'!$S:$S,'MAIN DATA, Orders'!$Y:$Y,$A65,'MAIN DATA, Orders'!$D:$D,"United Kingdom")/1000000000)</f>
        <v>0.04</v>
      </c>
    </row>
    <row r="66" spans="1:3" x14ac:dyDescent="0.35">
      <c r="A66" s="20">
        <v>202412</v>
      </c>
      <c r="B66" s="17">
        <v>45627</v>
      </c>
      <c r="C66" s="15">
        <f>(SUMIFS('MAIN DATA, Orders'!$S:$S,'MAIN DATA, Orders'!$Y:$Y,$A66,'MAIN DATA, Orders'!$D:$D,"United Kingdom")/1000000000)</f>
        <v>0.51500000000000001</v>
      </c>
    </row>
    <row r="67" spans="1:3" x14ac:dyDescent="0.35">
      <c r="A67" s="20">
        <v>202501</v>
      </c>
      <c r="B67" s="17">
        <v>45658</v>
      </c>
      <c r="C67" s="15">
        <f>(SUMIFS('MAIN DATA, Orders'!$S:$S,'MAIN DATA, Orders'!$Y:$Y,$A67,'MAIN DATA, Orders'!$D:$D,"United Kingdom")/1000000000)</f>
        <v>9.3460000000000001</v>
      </c>
    </row>
    <row r="68" spans="1:3" x14ac:dyDescent="0.35">
      <c r="A68" s="20">
        <v>202502</v>
      </c>
      <c r="B68" s="17">
        <v>45689</v>
      </c>
      <c r="C68" s="15">
        <f>(SUMIFS('MAIN DATA, Orders'!$S:$S,'MAIN DATA, Orders'!$Y:$Y,$A68,'MAIN DATA, Orders'!$D:$D,"United Kingdom")/1000000000)</f>
        <v>0.52700000000000002</v>
      </c>
    </row>
    <row r="69" spans="1:3" x14ac:dyDescent="0.35">
      <c r="A69" s="20">
        <v>202503</v>
      </c>
      <c r="B69" s="17">
        <v>45717</v>
      </c>
      <c r="C69" s="15">
        <f>(SUMIFS('MAIN DATA, Orders'!$S:$S,'MAIN DATA, Orders'!$Y:$Y,$A69,'MAIN DATA, Orders'!$D:$D,"United Kingdom")/1000000000)</f>
        <v>2.8250000000000002</v>
      </c>
    </row>
    <row r="70" spans="1:3" x14ac:dyDescent="0.35">
      <c r="A70" s="20">
        <v>202504</v>
      </c>
      <c r="B70" s="17">
        <v>45748</v>
      </c>
      <c r="C70" s="15">
        <f>(SUMIFS('MAIN DATA, Orders'!$S:$S,'MAIN DATA, Orders'!$Y:$Y,$A70,'MAIN DATA, Orders'!$D:$D,"United Kingdom")/1000000000)</f>
        <v>0.76500000000000001</v>
      </c>
    </row>
    <row r="71" spans="1:3" x14ac:dyDescent="0.35">
      <c r="A71" s="20">
        <v>202505</v>
      </c>
      <c r="B71" s="17">
        <v>45778</v>
      </c>
      <c r="C71" s="15">
        <f>(SUMIFS('MAIN DATA, Orders'!$S:$S,'MAIN DATA, Orders'!$Y:$Y,$A71,'MAIN DATA, Orders'!$D:$D,"United Kingdom")/1000000000)</f>
        <v>3.3822999999999999</v>
      </c>
    </row>
    <row r="72" spans="1:3" x14ac:dyDescent="0.35">
      <c r="A72" s="20">
        <v>202506</v>
      </c>
      <c r="B72" s="17">
        <v>45809</v>
      </c>
      <c r="C72" s="15">
        <f>(SUMIFS('MAIN DATA, Orders'!$S:$S,'MAIN DATA, Orders'!$Y:$Y,$A72,'MAIN DATA, Orders'!$D:$D,"United Kingdom")/1000000000)</f>
        <v>3.3367499999999999</v>
      </c>
    </row>
    <row r="73" spans="1:3" x14ac:dyDescent="0.35">
      <c r="A73" s="20">
        <v>202507</v>
      </c>
      <c r="B73" s="17">
        <v>45839</v>
      </c>
      <c r="C73" s="15">
        <f>(SUMIFS('MAIN DATA, Orders'!$S:$S,'MAIN DATA, Orders'!$Y:$Y,$A73,'MAIN DATA, Orders'!$D:$D,"United Kingdom")/1000000000)</f>
        <v>0.247</v>
      </c>
    </row>
    <row r="74" spans="1:3" x14ac:dyDescent="0.35">
      <c r="A74" s="20">
        <v>202508</v>
      </c>
      <c r="B74" s="17">
        <v>45870</v>
      </c>
      <c r="C74" s="15">
        <f>(SUMIFS('MAIN DATA, Orders'!$S:$S,'MAIN DATA, Orders'!$Y:$Y,$A74,'MAIN DATA, Orders'!$D:$D,"United Kingdom")/1000000000)</f>
        <v>0.35399999999999998</v>
      </c>
    </row>
    <row r="75" spans="1:3" x14ac:dyDescent="0.35">
      <c r="A75" s="20">
        <v>202509</v>
      </c>
      <c r="B75" s="17">
        <v>45901</v>
      </c>
      <c r="C75" s="15">
        <f>(SUMIFS('MAIN DATA, Orders'!$S:$S,'MAIN DATA, Orders'!$Y:$Y,$A75,'MAIN DATA, Orders'!$D:$D,"United Kingdom")/1000000000)</f>
        <v>0.52200000000000002</v>
      </c>
    </row>
    <row r="76" spans="1:3" x14ac:dyDescent="0.35">
      <c r="A76" s="20">
        <v>202510</v>
      </c>
      <c r="B76" s="17">
        <v>45931</v>
      </c>
      <c r="C76" s="15">
        <f>(SUMIFS('MAIN DATA, Orders'!$S:$S,'MAIN DATA, Orders'!$Y:$Y,$A76,'MAIN DATA, Orders'!$D:$D,"United Kingdom")/1000000000)</f>
        <v>0.52780000000000005</v>
      </c>
    </row>
    <row r="77" spans="1:3" x14ac:dyDescent="0.35">
      <c r="A77" s="20">
        <v>202511</v>
      </c>
      <c r="B77" s="17">
        <v>45962</v>
      </c>
      <c r="C77" s="15">
        <f>(SUMIFS('MAIN DATA, Orders'!$S:$S,'MAIN DATA, Orders'!$Y:$Y,$A77,'MAIN DATA, Orders'!$D:$D,"United Kingdom")/1000000000)</f>
        <v>0.316</v>
      </c>
    </row>
    <row r="78" spans="1:3" x14ac:dyDescent="0.35">
      <c r="A78" s="20">
        <v>202512</v>
      </c>
      <c r="B78" s="17">
        <v>45992</v>
      </c>
      <c r="C78" s="15">
        <f>(SUMIFS('MAIN DATA, Orders'!$S:$S,'MAIN DATA, Orders'!$Y:$Y,$A78,'MAIN DATA, Orders'!$D:$D,"United Kingdom")/1000000000)</f>
        <v>0.2576</v>
      </c>
    </row>
    <row r="79" spans="1:3" x14ac:dyDescent="0.35">
      <c r="A79" s="20">
        <v>202601</v>
      </c>
      <c r="B79" s="17">
        <v>46023</v>
      </c>
      <c r="C79" s="15">
        <f>(SUMIFS('MAIN DATA, Orders'!$S:$S,'MAIN DATA, Orders'!$Y:$Y,$A79,'MAIN DATA, Orders'!$D:$D,"United Kingdom")/1000000000)</f>
        <v>0.69579999999999997</v>
      </c>
    </row>
    <row r="80" spans="1:3" x14ac:dyDescent="0.35">
      <c r="A80" s="20">
        <v>202602</v>
      </c>
      <c r="B80" s="17">
        <v>46054</v>
      </c>
      <c r="C80" s="15">
        <f>(SUMIFS('MAIN DATA, Orders'!$S:$S,'MAIN DATA, Orders'!$Y:$Y,$A80,'MAIN DATA, Orders'!$D:$D,"United Kingdom")/1000000000)</f>
        <v>0</v>
      </c>
    </row>
    <row r="81" spans="2:3" x14ac:dyDescent="0.35">
      <c r="B81" s="66"/>
      <c r="C81" s="66"/>
    </row>
    <row r="82" spans="2:3" x14ac:dyDescent="0.35">
      <c r="B82" s="9" t="s">
        <v>4219</v>
      </c>
      <c r="C82" s="18">
        <f>SUM(C7:C80)</f>
        <v>69.142800000000008</v>
      </c>
    </row>
  </sheetData>
  <mergeCells count="1">
    <mergeCell ref="B4:J4"/>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ACA6D-805A-4D8F-8D3E-3839306FE8BC}">
  <sheetPr>
    <tabColor rgb="FFB5E6A2"/>
  </sheetPr>
  <dimension ref="B2:Q9"/>
  <sheetViews>
    <sheetView workbookViewId="0"/>
  </sheetViews>
  <sheetFormatPr baseColWidth="10" defaultColWidth="8.75" defaultRowHeight="15.5" x14ac:dyDescent="0.35"/>
  <cols>
    <col min="1" max="16384" width="8.75" style="1"/>
  </cols>
  <sheetData>
    <row r="2" spans="2:17" ht="25.9" customHeight="1" x14ac:dyDescent="0.7">
      <c r="B2" s="238" t="s">
        <v>5651</v>
      </c>
      <c r="C2" s="238"/>
      <c r="D2" s="238"/>
      <c r="E2" s="238"/>
      <c r="F2" s="238"/>
      <c r="G2" s="238"/>
      <c r="H2" s="238"/>
      <c r="I2" s="238"/>
      <c r="J2" s="238"/>
      <c r="K2" s="238"/>
      <c r="L2" s="238"/>
      <c r="M2" s="238"/>
      <c r="N2" s="238"/>
      <c r="O2" s="238"/>
      <c r="P2" s="238"/>
      <c r="Q2" s="238"/>
    </row>
    <row r="4" spans="2:17" ht="130.15" customHeight="1" x14ac:dyDescent="0.35">
      <c r="B4" s="232" t="s">
        <v>5211</v>
      </c>
      <c r="C4" s="232"/>
      <c r="D4" s="232"/>
      <c r="E4" s="232"/>
      <c r="F4" s="232"/>
      <c r="G4" s="232"/>
      <c r="H4" s="232"/>
      <c r="I4" s="232"/>
      <c r="J4" s="232"/>
      <c r="K4" s="232"/>
      <c r="L4" s="232"/>
    </row>
    <row r="6" spans="2:17" x14ac:dyDescent="0.35">
      <c r="B6" s="12"/>
      <c r="C6" s="239" t="s">
        <v>4219</v>
      </c>
      <c r="D6" s="239"/>
      <c r="E6" s="239" t="s">
        <v>5199</v>
      </c>
      <c r="F6" s="239"/>
      <c r="G6" s="239" t="s">
        <v>5200</v>
      </c>
      <c r="H6" s="239"/>
      <c r="I6" s="239" t="s">
        <v>5201</v>
      </c>
      <c r="J6" s="239"/>
      <c r="K6" s="239" t="s">
        <v>287</v>
      </c>
      <c r="L6" s="239"/>
    </row>
    <row r="7" spans="2:17" x14ac:dyDescent="0.35">
      <c r="B7" s="70"/>
      <c r="C7" s="71" t="s">
        <v>5203</v>
      </c>
      <c r="D7" s="71" t="s">
        <v>5204</v>
      </c>
      <c r="E7" s="71" t="s">
        <v>5203</v>
      </c>
      <c r="F7" s="71" t="s">
        <v>5204</v>
      </c>
      <c r="G7" s="71" t="s">
        <v>5203</v>
      </c>
      <c r="H7" s="71" t="s">
        <v>5204</v>
      </c>
      <c r="I7" s="71" t="s">
        <v>5203</v>
      </c>
      <c r="J7" s="71" t="s">
        <v>5204</v>
      </c>
      <c r="K7" s="71" t="s">
        <v>5203</v>
      </c>
      <c r="L7" s="71" t="s">
        <v>5204</v>
      </c>
    </row>
    <row r="8" spans="2:17" x14ac:dyDescent="0.35">
      <c r="B8" s="11" t="s">
        <v>5205</v>
      </c>
      <c r="C8" s="15">
        <f>(SUMIFS('MAIN DATA, Orders'!$S:$S,'MAIN DATA, Orders'!$D:$D,"United Kingdom",'MAIN DATA, Orders'!$Y:$Y,"&lt;=202112")/1000000000)</f>
        <v>8.8216599999999996</v>
      </c>
      <c r="D8" s="15">
        <f>(SUMIFS('MAIN DATA, Orders'!$S:$S,'MAIN DATA, Orders'!$D:$D,"United Kingdom",'MAIN DATA, Orders'!$Y:$Y,"&gt;=202201")/1000000000)</f>
        <v>60.32114</v>
      </c>
      <c r="E8" s="15" cm="1">
        <f t="array" ref="E8">SUM(SUMIFS('MAIN DATA, Orders'!$S:$S,'MAIN DATA, Orders'!$D:$D,"United Kingdom",'MAIN DATA, Orders'!$I:$I,{"Aircraft","Development - Aircraft","Missile (Air)","Development - Missile (Air)"},'MAIN DATA, Orders'!$Y:$Y,"&lt;=202112")/1000000000)</f>
        <v>1.6385000000000001</v>
      </c>
      <c r="F8" s="15" cm="1">
        <f t="array" ref="F8">SUM(SUMIFS('MAIN DATA, Orders'!$S:$S,'MAIN DATA, Orders'!$D:$D,"United Kingdom",'MAIN DATA, Orders'!$I:$I,{"Aircraft","Development - Aircraft","Missile (Air)","Development - Missile (Air)"},'MAIN DATA, Orders'!$Y:$Y,"&gt;=202201")/1000000000)</f>
        <v>4.8900999999999994</v>
      </c>
      <c r="G8" s="15" cm="1">
        <f t="array" ref="G8">SUM(SUMIFS('MAIN DATA, Orders'!$S:$S,'MAIN DATA, Orders'!$D:$D,"United Kingdom",'MAIN DATA, Orders'!$I:$I,{"Naval","Development - Naval","Missile (Naval)","Development - Missile (Naval)"},'MAIN DATA, Orders'!$Y:$Y,"&lt;=202112")/1000000000)</f>
        <v>1.33734</v>
      </c>
      <c r="H8" s="15" cm="1">
        <f t="array" ref="H8">SUM(SUMIFS('MAIN DATA, Orders'!$S:$S,'MAIN DATA, Orders'!$D:$D,"United Kingdom",'MAIN DATA, Orders'!$I:$I,{"Naval","Development - Naval","Missile (Naval)","Development - Missile (Naval)"},'MAIN DATA, Orders'!$Y:$Y,"&gt;=202201")/1000000000)</f>
        <v>25.731299999999997</v>
      </c>
      <c r="I8" s="79" cm="1">
        <f t="array" ref="I8">SUM(SUMIFS('MAIN DATA, Orders'!$S:$S,'MAIN DATA, Orders'!$D:$D,"United Kingdom",'MAIN DATA, Orders'!$I:$I,{"Air defence system","Development - Air defence system","Ammunition","Development - Ammunition","Armoured vehicle","Development - Artillery","Artillery""Development - Armoured vehicle","Drone","Development - Drone","Helicopter","Development - Helicopter","Infantry","Development - Infantry","Tank","Development - Tank","Mine","Development - Mine","Missile (Land)","Development - Missile (Land)"},'MAIN DATA, Orders'!$Y:$Y,"&lt;=202112")/1000000000)</f>
        <v>3.6166</v>
      </c>
      <c r="J8" s="79" cm="1">
        <f t="array" ref="J8">SUM(SUMIFS('MAIN DATA, Orders'!$S:$S,'MAIN DATA, Orders'!$D:$D,"United Kingdom",'MAIN DATA, Orders'!$I:$I,{"Air defence system","Development - Air defence system","Ammunition","Development - Ammunition","Armoured vehicle","Development - Artillery","Artillery","Development - Armoured vehicle","Drone","Development - Drone","Helicopter","Development - Helicopter","Infantry","Development - Infantry","Tank","Development - Tank","Mine","Development - Mine","Missile (Land)","Development - Missile (Land)"},'MAIN DATA, Orders'!$Y:$Y,"&gt;=202201")/1000000000)</f>
        <v>6.1919999999999984</v>
      </c>
      <c r="K8" s="15" cm="1">
        <f t="array" ref="K8">SUM(SUMIFS('MAIN DATA, Orders'!$S:$S,'MAIN DATA, Orders'!$D:$D,"United Kingdom",'MAIN DATA, Orders'!$I:$I,{"Maintenance","Development - Maintenance","Modernisation","Development - Modernisation","Other","Development - Other"},'MAIN DATA, Orders'!$Y:$Y,"&lt;=202112")/1000000000)</f>
        <v>2.2292199999999998</v>
      </c>
      <c r="L8" s="15" cm="1">
        <f t="array" ref="L8">SUM(SUMIFS('MAIN DATA, Orders'!$S:$S,'MAIN DATA, Orders'!$D:$D,"United Kingdom",'MAIN DATA, Orders'!$I:$I,{"Maintenance","Development - Maintenance","Modernisation","Development - Modernisation","Other","Development - Other"},'MAIN DATA, Orders'!$Y:$Y,"&gt;=202201")/1000000000)</f>
        <v>23.507739999999998</v>
      </c>
    </row>
    <row r="9" spans="2:17" x14ac:dyDescent="0.35">
      <c r="B9" s="62" t="s">
        <v>5206</v>
      </c>
      <c r="C9" s="63" t="s">
        <v>127</v>
      </c>
      <c r="D9" s="63" t="s">
        <v>127</v>
      </c>
      <c r="E9" s="64">
        <f>E8/C8</f>
        <v>0.18573601793766709</v>
      </c>
      <c r="F9" s="64">
        <f>F8/D8</f>
        <v>8.1067764965980407E-2</v>
      </c>
      <c r="G9" s="64">
        <f>G8/C8</f>
        <v>0.15159731841852894</v>
      </c>
      <c r="H9" s="64">
        <f>H8/D8</f>
        <v>0.42657184529337472</v>
      </c>
      <c r="I9" s="64">
        <f>I8/C8</f>
        <v>0.40996819192759643</v>
      </c>
      <c r="J9" s="64">
        <f>J8/D8</f>
        <v>0.10265057987962427</v>
      </c>
      <c r="K9" s="64">
        <f>K8/C8</f>
        <v>0.25269847171620757</v>
      </c>
      <c r="L9" s="64">
        <f>L8/D8</f>
        <v>0.3897098098610205</v>
      </c>
    </row>
  </sheetData>
  <mergeCells count="7">
    <mergeCell ref="B2:Q2"/>
    <mergeCell ref="B4:L4"/>
    <mergeCell ref="C6:D6"/>
    <mergeCell ref="E6:F6"/>
    <mergeCell ref="G6:H6"/>
    <mergeCell ref="I6:J6"/>
    <mergeCell ref="K6:L6"/>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65E6B-5EC9-48D5-B99C-373C29DA2D4C}">
  <sheetPr>
    <tabColor rgb="FFB5E6A2"/>
  </sheetPr>
  <dimension ref="A2:I81"/>
  <sheetViews>
    <sheetView zoomScaleNormal="100" workbookViewId="0"/>
  </sheetViews>
  <sheetFormatPr baseColWidth="10" defaultColWidth="8.75" defaultRowHeight="15.5" x14ac:dyDescent="0.35"/>
  <cols>
    <col min="1" max="1" width="8.75" style="1" customWidth="1"/>
    <col min="2" max="2" width="13.5" style="1" customWidth="1"/>
    <col min="3" max="4" width="20" style="1" customWidth="1"/>
    <col min="5" max="16384" width="8.75" style="1"/>
  </cols>
  <sheetData>
    <row r="2" spans="1:9" ht="25.9" customHeight="1" x14ac:dyDescent="0.7">
      <c r="B2" s="16" t="s">
        <v>5652</v>
      </c>
    </row>
    <row r="4" spans="1:9" ht="130.15" customHeight="1" x14ac:dyDescent="0.35">
      <c r="B4" s="232" t="s">
        <v>5212</v>
      </c>
      <c r="C4" s="232"/>
      <c r="D4" s="232"/>
      <c r="E4" s="232"/>
      <c r="F4" s="232"/>
      <c r="G4" s="232"/>
      <c r="H4" s="232"/>
      <c r="I4" s="232"/>
    </row>
    <row r="6" spans="1:9" ht="21" customHeight="1" x14ac:dyDescent="0.35">
      <c r="B6" s="68" t="s">
        <v>4197</v>
      </c>
      <c r="C6" s="69" t="s">
        <v>2580</v>
      </c>
      <c r="D6" s="69" t="s">
        <v>4406</v>
      </c>
    </row>
    <row r="7" spans="1:9" x14ac:dyDescent="0.35">
      <c r="A7" s="20">
        <v>202001</v>
      </c>
      <c r="B7" s="17">
        <v>43831</v>
      </c>
      <c r="C7" s="15" cm="1">
        <f t="array" ref="C7">SUM(SUMIFS('MAIN DATA, Orders'!$S:$S,'MAIN DATA, Orders'!$D:$D,"United Kingdom",'MAIN DATA, Orders'!$I:$I,{"Drone"},'MAIN DATA, Orders'!$Y:$Y,$A7)/1000000)</f>
        <v>0</v>
      </c>
      <c r="D7" s="15" cm="1">
        <f t="array" ref="D7">SUM(SUMIFS('MAIN DATA, Orders'!$S:$S,'MAIN DATA, Orders'!$D:$D,"United Kingdom",'MAIN DATA, Orders'!$I:$I,{"Development - drone"},'MAIN DATA, Orders'!$Y:$Y,$A7)/1000000)</f>
        <v>0</v>
      </c>
    </row>
    <row r="8" spans="1:9" x14ac:dyDescent="0.35">
      <c r="A8" s="20">
        <v>202002</v>
      </c>
      <c r="B8" s="17">
        <v>43862</v>
      </c>
      <c r="C8" s="15" cm="1">
        <f t="array" ref="C8">SUM(SUMIFS('MAIN DATA, Orders'!$S:$S,'MAIN DATA, Orders'!$D:$D,"United Kingdom",'MAIN DATA, Orders'!$I:$I,{"Drone"},'MAIN DATA, Orders'!$Y:$Y,$A8)/1000000)</f>
        <v>0</v>
      </c>
      <c r="D8" s="15" cm="1">
        <f t="array" ref="D8">SUM(SUMIFS('MAIN DATA, Orders'!$S:$S,'MAIN DATA, Orders'!$D:$D,"United Kingdom",'MAIN DATA, Orders'!$I:$I,{"Development - drone"},'MAIN DATA, Orders'!$Y:$Y,$A8)/1000000)</f>
        <v>0</v>
      </c>
    </row>
    <row r="9" spans="1:9" x14ac:dyDescent="0.35">
      <c r="A9" s="20">
        <v>202003</v>
      </c>
      <c r="B9" s="17">
        <v>43891</v>
      </c>
      <c r="C9" s="15" cm="1">
        <f t="array" ref="C9">SUM(SUMIFS('MAIN DATA, Orders'!$S:$S,'MAIN DATA, Orders'!$D:$D,"United Kingdom",'MAIN DATA, Orders'!$I:$I,{"Drone"},'MAIN DATA, Orders'!$Y:$Y,$A9)/1000000)</f>
        <v>0</v>
      </c>
      <c r="D9" s="15" cm="1">
        <f t="array" ref="D9">SUM(SUMIFS('MAIN DATA, Orders'!$S:$S,'MAIN DATA, Orders'!$D:$D,"United Kingdom",'MAIN DATA, Orders'!$I:$I,{"Development - drone"},'MAIN DATA, Orders'!$Y:$Y,$A9)/1000000)</f>
        <v>0</v>
      </c>
    </row>
    <row r="10" spans="1:9" x14ac:dyDescent="0.35">
      <c r="A10" s="20">
        <v>202004</v>
      </c>
      <c r="B10" s="17">
        <v>43922</v>
      </c>
      <c r="C10" s="15" cm="1">
        <f t="array" ref="C10">SUM(SUMIFS('MAIN DATA, Orders'!$S:$S,'MAIN DATA, Orders'!$D:$D,"United Kingdom",'MAIN DATA, Orders'!$I:$I,{"Drone"},'MAIN DATA, Orders'!$Y:$Y,$A10)/1000000)</f>
        <v>0</v>
      </c>
      <c r="D10" s="15" cm="1">
        <f t="array" ref="D10">SUM(SUMIFS('MAIN DATA, Orders'!$S:$S,'MAIN DATA, Orders'!$D:$D,"United Kingdom",'MAIN DATA, Orders'!$I:$I,{"Development - drone"},'MAIN DATA, Orders'!$Y:$Y,$A10)/1000000)</f>
        <v>0</v>
      </c>
    </row>
    <row r="11" spans="1:9" x14ac:dyDescent="0.35">
      <c r="A11" s="20">
        <v>202005</v>
      </c>
      <c r="B11" s="17">
        <v>43952</v>
      </c>
      <c r="C11" s="15" cm="1">
        <f t="array" ref="C11">SUM(SUMIFS('MAIN DATA, Orders'!$S:$S,'MAIN DATA, Orders'!$D:$D,"United Kingdom",'MAIN DATA, Orders'!$I:$I,{"Drone"},'MAIN DATA, Orders'!$Y:$Y,$A11)/1000000)</f>
        <v>0</v>
      </c>
      <c r="D11" s="15" cm="1">
        <f t="array" ref="D11">SUM(SUMIFS('MAIN DATA, Orders'!$S:$S,'MAIN DATA, Orders'!$D:$D,"United Kingdom",'MAIN DATA, Orders'!$I:$I,{"Development - drone"},'MAIN DATA, Orders'!$Y:$Y,$A11)/1000000)</f>
        <v>0</v>
      </c>
    </row>
    <row r="12" spans="1:9" x14ac:dyDescent="0.35">
      <c r="A12" s="20">
        <v>202006</v>
      </c>
      <c r="B12" s="17">
        <v>43983</v>
      </c>
      <c r="C12" s="15" cm="1">
        <f t="array" ref="C12">SUM(SUMIFS('MAIN DATA, Orders'!$S:$S,'MAIN DATA, Orders'!$D:$D,"United Kingdom",'MAIN DATA, Orders'!$I:$I,{"Drone"},'MAIN DATA, Orders'!$Y:$Y,$A12)/1000000)</f>
        <v>0</v>
      </c>
      <c r="D12" s="15" cm="1">
        <f t="array" ref="D12">SUM(SUMIFS('MAIN DATA, Orders'!$S:$S,'MAIN DATA, Orders'!$D:$D,"United Kingdom",'MAIN DATA, Orders'!$I:$I,{"Development - drone"},'MAIN DATA, Orders'!$Y:$Y,$A12)/1000000)</f>
        <v>0</v>
      </c>
    </row>
    <row r="13" spans="1:9" x14ac:dyDescent="0.35">
      <c r="A13" s="20">
        <v>202007</v>
      </c>
      <c r="B13" s="17">
        <v>44013</v>
      </c>
      <c r="C13" s="15" cm="1">
        <f t="array" ref="C13">SUM(SUMIFS('MAIN DATA, Orders'!$S:$S,'MAIN DATA, Orders'!$D:$D,"United Kingdom",'MAIN DATA, Orders'!$I:$I,{"Drone"},'MAIN DATA, Orders'!$Y:$Y,$A13)/1000000)</f>
        <v>65</v>
      </c>
      <c r="D13" s="15" cm="1">
        <f t="array" ref="D13">SUM(SUMIFS('MAIN DATA, Orders'!$S:$S,'MAIN DATA, Orders'!$D:$D,"United Kingdom",'MAIN DATA, Orders'!$I:$I,{"Development - drone"},'MAIN DATA, Orders'!$Y:$Y,$A13)/1000000)</f>
        <v>0</v>
      </c>
    </row>
    <row r="14" spans="1:9" x14ac:dyDescent="0.35">
      <c r="A14" s="20">
        <v>202008</v>
      </c>
      <c r="B14" s="17">
        <v>44044</v>
      </c>
      <c r="C14" s="15" cm="1">
        <f t="array" ref="C14">SUM(SUMIFS('MAIN DATA, Orders'!$S:$S,'MAIN DATA, Orders'!$D:$D,"United Kingdom",'MAIN DATA, Orders'!$I:$I,{"Drone"},'MAIN DATA, Orders'!$Y:$Y,$A14)/1000000)</f>
        <v>0</v>
      </c>
      <c r="D14" s="15" cm="1">
        <f t="array" ref="D14">SUM(SUMIFS('MAIN DATA, Orders'!$S:$S,'MAIN DATA, Orders'!$D:$D,"United Kingdom",'MAIN DATA, Orders'!$I:$I,{"Development - drone"},'MAIN DATA, Orders'!$Y:$Y,$A14)/1000000)</f>
        <v>1.2</v>
      </c>
    </row>
    <row r="15" spans="1:9" x14ac:dyDescent="0.35">
      <c r="A15" s="20">
        <v>202009</v>
      </c>
      <c r="B15" s="17">
        <v>44075</v>
      </c>
      <c r="C15" s="15" cm="1">
        <f t="array" ref="C15">SUM(SUMIFS('MAIN DATA, Orders'!$S:$S,'MAIN DATA, Orders'!$D:$D,"United Kingdom",'MAIN DATA, Orders'!$I:$I,{"Drone"},'MAIN DATA, Orders'!$Y:$Y,$A15)/1000000)</f>
        <v>0</v>
      </c>
      <c r="D15" s="15" cm="1">
        <f t="array" ref="D15">SUM(SUMIFS('MAIN DATA, Orders'!$S:$S,'MAIN DATA, Orders'!$D:$D,"United Kingdom",'MAIN DATA, Orders'!$I:$I,{"Development - drone"},'MAIN DATA, Orders'!$Y:$Y,$A15)/1000000)</f>
        <v>0</v>
      </c>
    </row>
    <row r="16" spans="1:9" x14ac:dyDescent="0.35">
      <c r="A16" s="20">
        <v>202010</v>
      </c>
      <c r="B16" s="17">
        <v>44105</v>
      </c>
      <c r="C16" s="15" cm="1">
        <f t="array" ref="C16">SUM(SUMIFS('MAIN DATA, Orders'!$S:$S,'MAIN DATA, Orders'!$D:$D,"United Kingdom",'MAIN DATA, Orders'!$I:$I,{"Drone"},'MAIN DATA, Orders'!$Y:$Y,$A16)/1000000)</f>
        <v>0</v>
      </c>
      <c r="D16" s="15" cm="1">
        <f t="array" ref="D16">SUM(SUMIFS('MAIN DATA, Orders'!$S:$S,'MAIN DATA, Orders'!$D:$D,"United Kingdom",'MAIN DATA, Orders'!$I:$I,{"Development - drone"},'MAIN DATA, Orders'!$Y:$Y,$A16)/1000000)</f>
        <v>0</v>
      </c>
    </row>
    <row r="17" spans="1:4" x14ac:dyDescent="0.35">
      <c r="A17" s="20">
        <v>202011</v>
      </c>
      <c r="B17" s="17">
        <v>44136</v>
      </c>
      <c r="C17" s="15" cm="1">
        <f t="array" ref="C17">SUM(SUMIFS('MAIN DATA, Orders'!$S:$S,'MAIN DATA, Orders'!$D:$D,"United Kingdom",'MAIN DATA, Orders'!$I:$I,{"Drone"},'MAIN DATA, Orders'!$Y:$Y,$A17)/1000000)</f>
        <v>0</v>
      </c>
      <c r="D17" s="15" cm="1">
        <f t="array" ref="D17">SUM(SUMIFS('MAIN DATA, Orders'!$S:$S,'MAIN DATA, Orders'!$D:$D,"United Kingdom",'MAIN DATA, Orders'!$I:$I,{"Development - drone"},'MAIN DATA, Orders'!$Y:$Y,$A17)/1000000)</f>
        <v>0</v>
      </c>
    </row>
    <row r="18" spans="1:4" x14ac:dyDescent="0.35">
      <c r="A18" s="20">
        <v>202012</v>
      </c>
      <c r="B18" s="17">
        <v>44166</v>
      </c>
      <c r="C18" s="15" cm="1">
        <f t="array" ref="C18">SUM(SUMIFS('MAIN DATA, Orders'!$S:$S,'MAIN DATA, Orders'!$D:$D,"United Kingdom",'MAIN DATA, Orders'!$I:$I,{"Drone"},'MAIN DATA, Orders'!$Y:$Y,$A18)/1000000)</f>
        <v>0</v>
      </c>
      <c r="D18" s="15" cm="1">
        <f t="array" ref="D18">SUM(SUMIFS('MAIN DATA, Orders'!$S:$S,'MAIN DATA, Orders'!$D:$D,"United Kingdom",'MAIN DATA, Orders'!$I:$I,{"Development - drone"},'MAIN DATA, Orders'!$Y:$Y,$A18)/1000000)</f>
        <v>0</v>
      </c>
    </row>
    <row r="19" spans="1:4" x14ac:dyDescent="0.35">
      <c r="A19" s="20">
        <v>202101</v>
      </c>
      <c r="B19" s="17">
        <v>44197</v>
      </c>
      <c r="C19" s="15" cm="1">
        <f t="array" ref="C19">SUM(SUMIFS('MAIN DATA, Orders'!$S:$S,'MAIN DATA, Orders'!$D:$D,"United Kingdom",'MAIN DATA, Orders'!$I:$I,{"Drone"},'MAIN DATA, Orders'!$Y:$Y,$A19)/1000000)</f>
        <v>25</v>
      </c>
      <c r="D19" s="15" cm="1">
        <f t="array" ref="D19">SUM(SUMIFS('MAIN DATA, Orders'!$S:$S,'MAIN DATA, Orders'!$D:$D,"United Kingdom",'MAIN DATA, Orders'!$I:$I,{"Development - drone"},'MAIN DATA, Orders'!$Y:$Y,$A19)/1000000)</f>
        <v>30</v>
      </c>
    </row>
    <row r="20" spans="1:4" x14ac:dyDescent="0.35">
      <c r="A20" s="20">
        <v>202102</v>
      </c>
      <c r="B20" s="17">
        <v>44228</v>
      </c>
      <c r="C20" s="15" cm="1">
        <f t="array" ref="C20">SUM(SUMIFS('MAIN DATA, Orders'!$S:$S,'MAIN DATA, Orders'!$D:$D,"United Kingdom",'MAIN DATA, Orders'!$I:$I,{"Drone"},'MAIN DATA, Orders'!$Y:$Y,$A20)/1000000)</f>
        <v>0</v>
      </c>
      <c r="D20" s="15" cm="1">
        <f t="array" ref="D20">SUM(SUMIFS('MAIN DATA, Orders'!$S:$S,'MAIN DATA, Orders'!$D:$D,"United Kingdom",'MAIN DATA, Orders'!$I:$I,{"Development - drone"},'MAIN DATA, Orders'!$Y:$Y,$A20)/1000000)</f>
        <v>0</v>
      </c>
    </row>
    <row r="21" spans="1:4" x14ac:dyDescent="0.35">
      <c r="A21" s="20">
        <v>202103</v>
      </c>
      <c r="B21" s="17">
        <v>44256</v>
      </c>
      <c r="C21" s="15" cm="1">
        <f t="array" ref="C21">SUM(SUMIFS('MAIN DATA, Orders'!$S:$S,'MAIN DATA, Orders'!$D:$D,"United Kingdom",'MAIN DATA, Orders'!$I:$I,{"Drone"},'MAIN DATA, Orders'!$Y:$Y,$A21)/1000000)</f>
        <v>0</v>
      </c>
      <c r="D21" s="15" cm="1">
        <f t="array" ref="D21">SUM(SUMIFS('MAIN DATA, Orders'!$S:$S,'MAIN DATA, Orders'!$D:$D,"United Kingdom",'MAIN DATA, Orders'!$I:$I,{"Development - drone"},'MAIN DATA, Orders'!$Y:$Y,$A21)/1000000)</f>
        <v>0</v>
      </c>
    </row>
    <row r="22" spans="1:4" x14ac:dyDescent="0.35">
      <c r="A22" s="20">
        <v>202104</v>
      </c>
      <c r="B22" s="17">
        <v>44287</v>
      </c>
      <c r="C22" s="15" cm="1">
        <f t="array" ref="C22">SUM(SUMIFS('MAIN DATA, Orders'!$S:$S,'MAIN DATA, Orders'!$D:$D,"United Kingdom",'MAIN DATA, Orders'!$I:$I,{"Drone"},'MAIN DATA, Orders'!$Y:$Y,$A22)/1000000)</f>
        <v>0</v>
      </c>
      <c r="D22" s="15" cm="1">
        <f t="array" ref="D22">SUM(SUMIFS('MAIN DATA, Orders'!$S:$S,'MAIN DATA, Orders'!$D:$D,"United Kingdom",'MAIN DATA, Orders'!$I:$I,{"Development - drone"},'MAIN DATA, Orders'!$Y:$Y,$A22)/1000000)</f>
        <v>0</v>
      </c>
    </row>
    <row r="23" spans="1:4" x14ac:dyDescent="0.35">
      <c r="A23" s="20">
        <v>202105</v>
      </c>
      <c r="B23" s="17">
        <v>44317</v>
      </c>
      <c r="C23" s="15" cm="1">
        <f t="array" ref="C23">SUM(SUMIFS('MAIN DATA, Orders'!$S:$S,'MAIN DATA, Orders'!$D:$D,"United Kingdom",'MAIN DATA, Orders'!$I:$I,{"Drone"},'MAIN DATA, Orders'!$Y:$Y,$A23)/1000000)</f>
        <v>0</v>
      </c>
      <c r="D23" s="15" cm="1">
        <f t="array" ref="D23">SUM(SUMIFS('MAIN DATA, Orders'!$S:$S,'MAIN DATA, Orders'!$D:$D,"United Kingdom",'MAIN DATA, Orders'!$I:$I,{"Development - drone"},'MAIN DATA, Orders'!$Y:$Y,$A23)/1000000)</f>
        <v>0</v>
      </c>
    </row>
    <row r="24" spans="1:4" x14ac:dyDescent="0.35">
      <c r="A24" s="20">
        <v>202106</v>
      </c>
      <c r="B24" s="17">
        <v>44348</v>
      </c>
      <c r="C24" s="15" cm="1">
        <f t="array" ref="C24">SUM(SUMIFS('MAIN DATA, Orders'!$S:$S,'MAIN DATA, Orders'!$D:$D,"United Kingdom",'MAIN DATA, Orders'!$I:$I,{"Drone"},'MAIN DATA, Orders'!$Y:$Y,$A24)/1000000)</f>
        <v>0</v>
      </c>
      <c r="D24" s="15" cm="1">
        <f t="array" ref="D24">SUM(SUMIFS('MAIN DATA, Orders'!$S:$S,'MAIN DATA, Orders'!$D:$D,"United Kingdom",'MAIN DATA, Orders'!$I:$I,{"Development - drone"},'MAIN DATA, Orders'!$Y:$Y,$A24)/1000000)</f>
        <v>0</v>
      </c>
    </row>
    <row r="25" spans="1:4" x14ac:dyDescent="0.35">
      <c r="A25" s="20">
        <v>202107</v>
      </c>
      <c r="B25" s="17">
        <v>44378</v>
      </c>
      <c r="C25" s="15" cm="1">
        <f t="array" ref="C25">SUM(SUMIFS('MAIN DATA, Orders'!$S:$S,'MAIN DATA, Orders'!$D:$D,"United Kingdom",'MAIN DATA, Orders'!$I:$I,{"Drone"},'MAIN DATA, Orders'!$Y:$Y,$A25)/1000000)</f>
        <v>195</v>
      </c>
      <c r="D25" s="15" cm="1">
        <f t="array" ref="D25">SUM(SUMIFS('MAIN DATA, Orders'!$S:$S,'MAIN DATA, Orders'!$D:$D,"United Kingdom",'MAIN DATA, Orders'!$I:$I,{"Development - drone"},'MAIN DATA, Orders'!$Y:$Y,$A25)/1000000)</f>
        <v>2</v>
      </c>
    </row>
    <row r="26" spans="1:4" x14ac:dyDescent="0.35">
      <c r="A26" s="20">
        <v>202108</v>
      </c>
      <c r="B26" s="17">
        <v>44409</v>
      </c>
      <c r="C26" s="15" cm="1">
        <f t="array" ref="C26">SUM(SUMIFS('MAIN DATA, Orders'!$S:$S,'MAIN DATA, Orders'!$D:$D,"United Kingdom",'MAIN DATA, Orders'!$I:$I,{"Drone"},'MAIN DATA, Orders'!$Y:$Y,$A26)/1000000)</f>
        <v>0</v>
      </c>
      <c r="D26" s="15" cm="1">
        <f t="array" ref="D26">SUM(SUMIFS('MAIN DATA, Orders'!$S:$S,'MAIN DATA, Orders'!$D:$D,"United Kingdom",'MAIN DATA, Orders'!$I:$I,{"Development - drone"},'MAIN DATA, Orders'!$Y:$Y,$A26)/1000000)</f>
        <v>0</v>
      </c>
    </row>
    <row r="27" spans="1:4" x14ac:dyDescent="0.35">
      <c r="A27" s="20">
        <v>202109</v>
      </c>
      <c r="B27" s="17">
        <v>44440</v>
      </c>
      <c r="C27" s="15" cm="1">
        <f t="array" ref="C27">SUM(SUMIFS('MAIN DATA, Orders'!$S:$S,'MAIN DATA, Orders'!$D:$D,"United Kingdom",'MAIN DATA, Orders'!$I:$I,{"Drone"},'MAIN DATA, Orders'!$Y:$Y,$A27)/1000000)</f>
        <v>0</v>
      </c>
      <c r="D27" s="15" cm="1">
        <f t="array" ref="D27">SUM(SUMIFS('MAIN DATA, Orders'!$S:$S,'MAIN DATA, Orders'!$D:$D,"United Kingdom",'MAIN DATA, Orders'!$I:$I,{"Development - drone"},'MAIN DATA, Orders'!$Y:$Y,$A27)/1000000)</f>
        <v>0</v>
      </c>
    </row>
    <row r="28" spans="1:4" x14ac:dyDescent="0.35">
      <c r="A28" s="20">
        <v>202110</v>
      </c>
      <c r="B28" s="17">
        <v>44470</v>
      </c>
      <c r="C28" s="15" cm="1">
        <f t="array" ref="C28">SUM(SUMIFS('MAIN DATA, Orders'!$S:$S,'MAIN DATA, Orders'!$D:$D,"United Kingdom",'MAIN DATA, Orders'!$I:$I,{"Drone"},'MAIN DATA, Orders'!$Y:$Y,$A28)/1000000)</f>
        <v>0</v>
      </c>
      <c r="D28" s="15" cm="1">
        <f t="array" ref="D28">SUM(SUMIFS('MAIN DATA, Orders'!$S:$S,'MAIN DATA, Orders'!$D:$D,"United Kingdom",'MAIN DATA, Orders'!$I:$I,{"Development - drone"},'MAIN DATA, Orders'!$Y:$Y,$A28)/1000000)</f>
        <v>0</v>
      </c>
    </row>
    <row r="29" spans="1:4" x14ac:dyDescent="0.35">
      <c r="A29" s="20">
        <v>202111</v>
      </c>
      <c r="B29" s="17">
        <v>44501</v>
      </c>
      <c r="C29" s="15" cm="1">
        <f t="array" ref="C29">SUM(SUMIFS('MAIN DATA, Orders'!$S:$S,'MAIN DATA, Orders'!$D:$D,"United Kingdom",'MAIN DATA, Orders'!$I:$I,{"Drone"},'MAIN DATA, Orders'!$Y:$Y,$A29)/1000000)</f>
        <v>0</v>
      </c>
      <c r="D29" s="15" cm="1">
        <f t="array" ref="D29">SUM(SUMIFS('MAIN DATA, Orders'!$S:$S,'MAIN DATA, Orders'!$D:$D,"United Kingdom",'MAIN DATA, Orders'!$I:$I,{"Development - drone"},'MAIN DATA, Orders'!$Y:$Y,$A29)/1000000)</f>
        <v>0</v>
      </c>
    </row>
    <row r="30" spans="1:4" x14ac:dyDescent="0.35">
      <c r="A30" s="20">
        <v>202112</v>
      </c>
      <c r="B30" s="17">
        <v>44531</v>
      </c>
      <c r="C30" s="15" cm="1">
        <f t="array" ref="C30">SUM(SUMIFS('MAIN DATA, Orders'!$S:$S,'MAIN DATA, Orders'!$D:$D,"United Kingdom",'MAIN DATA, Orders'!$I:$I,{"Drone"},'MAIN DATA, Orders'!$Y:$Y,$A30)/1000000)</f>
        <v>0</v>
      </c>
      <c r="D30" s="15" cm="1">
        <f t="array" ref="D30">SUM(SUMIFS('MAIN DATA, Orders'!$S:$S,'MAIN DATA, Orders'!$D:$D,"United Kingdom",'MAIN DATA, Orders'!$I:$I,{"Development - drone"},'MAIN DATA, Orders'!$Y:$Y,$A30)/1000000)</f>
        <v>0</v>
      </c>
    </row>
    <row r="31" spans="1:4" x14ac:dyDescent="0.35">
      <c r="A31" s="20">
        <v>202201</v>
      </c>
      <c r="B31" s="17">
        <v>44562</v>
      </c>
      <c r="C31" s="15" cm="1">
        <f t="array" ref="C31">SUM(SUMIFS('MAIN DATA, Orders'!$S:$S,'MAIN DATA, Orders'!$D:$D,"United Kingdom",'MAIN DATA, Orders'!$I:$I,{"Drone"},'MAIN DATA, Orders'!$Y:$Y,$A31)/1000000)</f>
        <v>0</v>
      </c>
      <c r="D31" s="15" cm="1">
        <f t="array" ref="D31">SUM(SUMIFS('MAIN DATA, Orders'!$S:$S,'MAIN DATA, Orders'!$D:$D,"United Kingdom",'MAIN DATA, Orders'!$I:$I,{"Development - drone"},'MAIN DATA, Orders'!$Y:$Y,$A31)/1000000)</f>
        <v>0</v>
      </c>
    </row>
    <row r="32" spans="1:4" x14ac:dyDescent="0.35">
      <c r="A32" s="20">
        <v>202202</v>
      </c>
      <c r="B32" s="17">
        <v>44593</v>
      </c>
      <c r="C32" s="15" cm="1">
        <f t="array" ref="C32">SUM(SUMIFS('MAIN DATA, Orders'!$S:$S,'MAIN DATA, Orders'!$D:$D,"United Kingdom",'MAIN DATA, Orders'!$I:$I,{"Drone"},'MAIN DATA, Orders'!$Y:$Y,$A32)/1000000)</f>
        <v>0</v>
      </c>
      <c r="D32" s="15" cm="1">
        <f t="array" ref="D32">SUM(SUMIFS('MAIN DATA, Orders'!$S:$S,'MAIN DATA, Orders'!$D:$D,"United Kingdom",'MAIN DATA, Orders'!$I:$I,{"Development - drone"},'MAIN DATA, Orders'!$Y:$Y,$A32)/1000000)</f>
        <v>0</v>
      </c>
    </row>
    <row r="33" spans="1:4" x14ac:dyDescent="0.35">
      <c r="A33" s="20">
        <v>202203</v>
      </c>
      <c r="B33" s="17">
        <v>44621</v>
      </c>
      <c r="C33" s="15" cm="1">
        <f t="array" ref="C33">SUM(SUMIFS('MAIN DATA, Orders'!$S:$S,'MAIN DATA, Orders'!$D:$D,"United Kingdom",'MAIN DATA, Orders'!$I:$I,{"Drone"},'MAIN DATA, Orders'!$Y:$Y,$A33)/1000000)</f>
        <v>0</v>
      </c>
      <c r="D33" s="15" cm="1">
        <f t="array" ref="D33">SUM(SUMIFS('MAIN DATA, Orders'!$S:$S,'MAIN DATA, Orders'!$D:$D,"United Kingdom",'MAIN DATA, Orders'!$I:$I,{"Development - drone"},'MAIN DATA, Orders'!$Y:$Y,$A33)/1000000)</f>
        <v>0</v>
      </c>
    </row>
    <row r="34" spans="1:4" x14ac:dyDescent="0.35">
      <c r="A34" s="20">
        <v>202204</v>
      </c>
      <c r="B34" s="17">
        <v>44652</v>
      </c>
      <c r="C34" s="15" cm="1">
        <f t="array" ref="C34">SUM(SUMIFS('MAIN DATA, Orders'!$S:$S,'MAIN DATA, Orders'!$D:$D,"United Kingdom",'MAIN DATA, Orders'!$I:$I,{"Drone"},'MAIN DATA, Orders'!$Y:$Y,$A34)/1000000)</f>
        <v>32</v>
      </c>
      <c r="D34" s="15" cm="1">
        <f t="array" ref="D34">SUM(SUMIFS('MAIN DATA, Orders'!$S:$S,'MAIN DATA, Orders'!$D:$D,"United Kingdom",'MAIN DATA, Orders'!$I:$I,{"Development - drone"},'MAIN DATA, Orders'!$Y:$Y,$A34)/1000000)</f>
        <v>0</v>
      </c>
    </row>
    <row r="35" spans="1:4" x14ac:dyDescent="0.35">
      <c r="A35" s="20">
        <v>202205</v>
      </c>
      <c r="B35" s="17">
        <v>44682</v>
      </c>
      <c r="C35" s="15" cm="1">
        <f t="array" ref="C35">SUM(SUMIFS('MAIN DATA, Orders'!$S:$S,'MAIN DATA, Orders'!$D:$D,"United Kingdom",'MAIN DATA, Orders'!$I:$I,{"Drone"},'MAIN DATA, Orders'!$Y:$Y,$A35)/1000000)</f>
        <v>0</v>
      </c>
      <c r="D35" s="15" cm="1">
        <f t="array" ref="D35">SUM(SUMIFS('MAIN DATA, Orders'!$S:$S,'MAIN DATA, Orders'!$D:$D,"United Kingdom",'MAIN DATA, Orders'!$I:$I,{"Development - drone"},'MAIN DATA, Orders'!$Y:$Y,$A35)/1000000)</f>
        <v>0</v>
      </c>
    </row>
    <row r="36" spans="1:4" x14ac:dyDescent="0.35">
      <c r="A36" s="20">
        <v>202206</v>
      </c>
      <c r="B36" s="17">
        <v>44713</v>
      </c>
      <c r="C36" s="15" cm="1">
        <f t="array" ref="C36">SUM(SUMIFS('MAIN DATA, Orders'!$S:$S,'MAIN DATA, Orders'!$D:$D,"United Kingdom",'MAIN DATA, Orders'!$I:$I,{"Drone"},'MAIN DATA, Orders'!$Y:$Y,$A36)/1000000)</f>
        <v>0</v>
      </c>
      <c r="D36" s="15" cm="1">
        <f t="array" ref="D36">SUM(SUMIFS('MAIN DATA, Orders'!$S:$S,'MAIN DATA, Orders'!$D:$D,"United Kingdom",'MAIN DATA, Orders'!$I:$I,{"Development - drone"},'MAIN DATA, Orders'!$Y:$Y,$A36)/1000000)</f>
        <v>0</v>
      </c>
    </row>
    <row r="37" spans="1:4" x14ac:dyDescent="0.35">
      <c r="A37" s="20">
        <v>202207</v>
      </c>
      <c r="B37" s="17">
        <v>44743</v>
      </c>
      <c r="C37" s="15" cm="1">
        <f t="array" ref="C37">SUM(SUMIFS('MAIN DATA, Orders'!$S:$S,'MAIN DATA, Orders'!$D:$D,"United Kingdom",'MAIN DATA, Orders'!$I:$I,{"Drone"},'MAIN DATA, Orders'!$Y:$Y,$A37)/1000000)</f>
        <v>0</v>
      </c>
      <c r="D37" s="15" cm="1">
        <f t="array" ref="D37">SUM(SUMIFS('MAIN DATA, Orders'!$S:$S,'MAIN DATA, Orders'!$D:$D,"United Kingdom",'MAIN DATA, Orders'!$I:$I,{"Development - drone"},'MAIN DATA, Orders'!$Y:$Y,$A37)/1000000)</f>
        <v>60</v>
      </c>
    </row>
    <row r="38" spans="1:4" x14ac:dyDescent="0.35">
      <c r="A38" s="20">
        <v>202208</v>
      </c>
      <c r="B38" s="17">
        <v>44774</v>
      </c>
      <c r="C38" s="15" cm="1">
        <f t="array" ref="C38">SUM(SUMIFS('MAIN DATA, Orders'!$S:$S,'MAIN DATA, Orders'!$D:$D,"United Kingdom",'MAIN DATA, Orders'!$I:$I,{"Drone"},'MAIN DATA, Orders'!$Y:$Y,$A38)/1000000)</f>
        <v>0</v>
      </c>
      <c r="D38" s="15" cm="1">
        <f t="array" ref="D38">SUM(SUMIFS('MAIN DATA, Orders'!$S:$S,'MAIN DATA, Orders'!$D:$D,"United Kingdom",'MAIN DATA, Orders'!$I:$I,{"Development - drone"},'MAIN DATA, Orders'!$Y:$Y,$A38)/1000000)</f>
        <v>0</v>
      </c>
    </row>
    <row r="39" spans="1:4" x14ac:dyDescent="0.35">
      <c r="A39" s="20">
        <v>202209</v>
      </c>
      <c r="B39" s="17">
        <v>44805</v>
      </c>
      <c r="C39" s="15" cm="1">
        <f t="array" ref="C39">SUM(SUMIFS('MAIN DATA, Orders'!$S:$S,'MAIN DATA, Orders'!$D:$D,"United Kingdom",'MAIN DATA, Orders'!$I:$I,{"Drone"},'MAIN DATA, Orders'!$Y:$Y,$A39)/1000000)</f>
        <v>0</v>
      </c>
      <c r="D39" s="15" cm="1">
        <f t="array" ref="D39">SUM(SUMIFS('MAIN DATA, Orders'!$S:$S,'MAIN DATA, Orders'!$D:$D,"United Kingdom",'MAIN DATA, Orders'!$I:$I,{"Development - drone"},'MAIN DATA, Orders'!$Y:$Y,$A39)/1000000)</f>
        <v>0</v>
      </c>
    </row>
    <row r="40" spans="1:4" x14ac:dyDescent="0.35">
      <c r="A40" s="20">
        <v>202210</v>
      </c>
      <c r="B40" s="17">
        <v>44835</v>
      </c>
      <c r="C40" s="15" cm="1">
        <f t="array" ref="C40">SUM(SUMIFS('MAIN DATA, Orders'!$S:$S,'MAIN DATA, Orders'!$D:$D,"United Kingdom",'MAIN DATA, Orders'!$I:$I,{"Drone"},'MAIN DATA, Orders'!$Y:$Y,$A40)/1000000)</f>
        <v>0</v>
      </c>
      <c r="D40" s="15" cm="1">
        <f t="array" ref="D40">SUM(SUMIFS('MAIN DATA, Orders'!$S:$S,'MAIN DATA, Orders'!$D:$D,"United Kingdom",'MAIN DATA, Orders'!$I:$I,{"Development - drone"},'MAIN DATA, Orders'!$Y:$Y,$A40)/1000000)</f>
        <v>0</v>
      </c>
    </row>
    <row r="41" spans="1:4" x14ac:dyDescent="0.35">
      <c r="A41" s="20">
        <v>202211</v>
      </c>
      <c r="B41" s="17">
        <v>44866</v>
      </c>
      <c r="C41" s="15" cm="1">
        <f t="array" ref="C41">SUM(SUMIFS('MAIN DATA, Orders'!$S:$S,'MAIN DATA, Orders'!$D:$D,"United Kingdom",'MAIN DATA, Orders'!$I:$I,{"Drone"},'MAIN DATA, Orders'!$Y:$Y,$A41)/1000000)</f>
        <v>0</v>
      </c>
      <c r="D41" s="15" cm="1">
        <f t="array" ref="D41">SUM(SUMIFS('MAIN DATA, Orders'!$S:$S,'MAIN DATA, Orders'!$D:$D,"United Kingdom",'MAIN DATA, Orders'!$I:$I,{"Development - drone"},'MAIN DATA, Orders'!$Y:$Y,$A41)/1000000)</f>
        <v>0</v>
      </c>
    </row>
    <row r="42" spans="1:4" x14ac:dyDescent="0.35">
      <c r="A42" s="20">
        <v>202212</v>
      </c>
      <c r="B42" s="17">
        <v>44896</v>
      </c>
      <c r="C42" s="15" cm="1">
        <f t="array" ref="C42">SUM(SUMIFS('MAIN DATA, Orders'!$S:$S,'MAIN DATA, Orders'!$D:$D,"United Kingdom",'MAIN DATA, Orders'!$I:$I,{"Drone"},'MAIN DATA, Orders'!$Y:$Y,$A42)/1000000)</f>
        <v>144.4</v>
      </c>
      <c r="D42" s="15" cm="1">
        <f t="array" ref="D42">SUM(SUMIFS('MAIN DATA, Orders'!$S:$S,'MAIN DATA, Orders'!$D:$D,"United Kingdom",'MAIN DATA, Orders'!$I:$I,{"Development - drone"},'MAIN DATA, Orders'!$Y:$Y,$A42)/1000000)</f>
        <v>0</v>
      </c>
    </row>
    <row r="43" spans="1:4" x14ac:dyDescent="0.35">
      <c r="A43" s="20">
        <v>202301</v>
      </c>
      <c r="B43" s="17">
        <v>44927</v>
      </c>
      <c r="C43" s="15" cm="1">
        <f t="array" ref="C43">SUM(SUMIFS('MAIN DATA, Orders'!$S:$S,'MAIN DATA, Orders'!$D:$D,"United Kingdom",'MAIN DATA, Orders'!$I:$I,{"Drone"},'MAIN DATA, Orders'!$Y:$Y,$A43)/1000000)</f>
        <v>0</v>
      </c>
      <c r="D43" s="15" cm="1">
        <f t="array" ref="D43">SUM(SUMIFS('MAIN DATA, Orders'!$S:$S,'MAIN DATA, Orders'!$D:$D,"United Kingdom",'MAIN DATA, Orders'!$I:$I,{"Development - drone"},'MAIN DATA, Orders'!$Y:$Y,$A43)/1000000)</f>
        <v>0</v>
      </c>
    </row>
    <row r="44" spans="1:4" x14ac:dyDescent="0.35">
      <c r="A44" s="20">
        <v>202302</v>
      </c>
      <c r="B44" s="17">
        <v>44958</v>
      </c>
      <c r="C44" s="15" cm="1">
        <f t="array" ref="C44">SUM(SUMIFS('MAIN DATA, Orders'!$S:$S,'MAIN DATA, Orders'!$D:$D,"United Kingdom",'MAIN DATA, Orders'!$I:$I,{"Drone"},'MAIN DATA, Orders'!$Y:$Y,$A44)/1000000)</f>
        <v>20</v>
      </c>
      <c r="D44" s="15" cm="1">
        <f t="array" ref="D44">SUM(SUMIFS('MAIN DATA, Orders'!$S:$S,'MAIN DATA, Orders'!$D:$D,"United Kingdom",'MAIN DATA, Orders'!$I:$I,{"Development - drone"},'MAIN DATA, Orders'!$Y:$Y,$A44)/1000000)</f>
        <v>0</v>
      </c>
    </row>
    <row r="45" spans="1:4" x14ac:dyDescent="0.35">
      <c r="A45" s="20">
        <v>202303</v>
      </c>
      <c r="B45" s="17">
        <v>44986</v>
      </c>
      <c r="C45" s="15" cm="1">
        <f t="array" ref="C45">SUM(SUMIFS('MAIN DATA, Orders'!$S:$S,'MAIN DATA, Orders'!$D:$D,"United Kingdom",'MAIN DATA, Orders'!$I:$I,{"Drone"},'MAIN DATA, Orders'!$Y:$Y,$A45)/1000000)</f>
        <v>0</v>
      </c>
      <c r="D45" s="15" cm="1">
        <f t="array" ref="D45">SUM(SUMIFS('MAIN DATA, Orders'!$S:$S,'MAIN DATA, Orders'!$D:$D,"United Kingdom",'MAIN DATA, Orders'!$I:$I,{"Development - drone"},'MAIN DATA, Orders'!$Y:$Y,$A45)/1000000)</f>
        <v>0</v>
      </c>
    </row>
    <row r="46" spans="1:4" x14ac:dyDescent="0.35">
      <c r="A46" s="20">
        <v>202304</v>
      </c>
      <c r="B46" s="17">
        <v>45017</v>
      </c>
      <c r="C46" s="15" cm="1">
        <f t="array" ref="C46">SUM(SUMIFS('MAIN DATA, Orders'!$S:$S,'MAIN DATA, Orders'!$D:$D,"United Kingdom",'MAIN DATA, Orders'!$I:$I,{"Drone"},'MAIN DATA, Orders'!$Y:$Y,$A46)/1000000)</f>
        <v>0</v>
      </c>
      <c r="D46" s="15" cm="1">
        <f t="array" ref="D46">SUM(SUMIFS('MAIN DATA, Orders'!$S:$S,'MAIN DATA, Orders'!$D:$D,"United Kingdom",'MAIN DATA, Orders'!$I:$I,{"Development - drone"},'MAIN DATA, Orders'!$Y:$Y,$A46)/1000000)</f>
        <v>0</v>
      </c>
    </row>
    <row r="47" spans="1:4" x14ac:dyDescent="0.35">
      <c r="A47" s="20">
        <v>202305</v>
      </c>
      <c r="B47" s="17">
        <v>45047</v>
      </c>
      <c r="C47" s="15" cm="1">
        <f t="array" ref="C47">SUM(SUMIFS('MAIN DATA, Orders'!$S:$S,'MAIN DATA, Orders'!$D:$D,"United Kingdom",'MAIN DATA, Orders'!$I:$I,{"Drone"},'MAIN DATA, Orders'!$Y:$Y,$A47)/1000000)</f>
        <v>0</v>
      </c>
      <c r="D47" s="15" cm="1">
        <f t="array" ref="D47">SUM(SUMIFS('MAIN DATA, Orders'!$S:$S,'MAIN DATA, Orders'!$D:$D,"United Kingdom",'MAIN DATA, Orders'!$I:$I,{"Development - drone"},'MAIN DATA, Orders'!$Y:$Y,$A47)/1000000)</f>
        <v>0</v>
      </c>
    </row>
    <row r="48" spans="1:4" x14ac:dyDescent="0.35">
      <c r="A48" s="20">
        <v>202306</v>
      </c>
      <c r="B48" s="17">
        <v>45078</v>
      </c>
      <c r="C48" s="15" cm="1">
        <f t="array" ref="C48">SUM(SUMIFS('MAIN DATA, Orders'!$S:$S,'MAIN DATA, Orders'!$D:$D,"United Kingdom",'MAIN DATA, Orders'!$I:$I,{"Drone"},'MAIN DATA, Orders'!$Y:$Y,$A48)/1000000)</f>
        <v>0</v>
      </c>
      <c r="D48" s="15" cm="1">
        <f t="array" ref="D48">SUM(SUMIFS('MAIN DATA, Orders'!$S:$S,'MAIN DATA, Orders'!$D:$D,"United Kingdom",'MAIN DATA, Orders'!$I:$I,{"Development - drone"},'MAIN DATA, Orders'!$Y:$Y,$A48)/1000000)</f>
        <v>0</v>
      </c>
    </row>
    <row r="49" spans="1:4" x14ac:dyDescent="0.35">
      <c r="A49" s="20">
        <v>202307</v>
      </c>
      <c r="B49" s="17">
        <v>45108</v>
      </c>
      <c r="C49" s="15" cm="1">
        <f t="array" ref="C49">SUM(SUMIFS('MAIN DATA, Orders'!$S:$S,'MAIN DATA, Orders'!$D:$D,"United Kingdom",'MAIN DATA, Orders'!$I:$I,{"Drone"},'MAIN DATA, Orders'!$Y:$Y,$A49)/1000000)</f>
        <v>0</v>
      </c>
      <c r="D49" s="15" cm="1">
        <f t="array" ref="D49">SUM(SUMIFS('MAIN DATA, Orders'!$S:$S,'MAIN DATA, Orders'!$D:$D,"United Kingdom",'MAIN DATA, Orders'!$I:$I,{"Development - drone"},'MAIN DATA, Orders'!$Y:$Y,$A49)/1000000)</f>
        <v>0</v>
      </c>
    </row>
    <row r="50" spans="1:4" x14ac:dyDescent="0.35">
      <c r="A50" s="20">
        <v>202308</v>
      </c>
      <c r="B50" s="17">
        <v>45139</v>
      </c>
      <c r="C50" s="15" cm="1">
        <f t="array" ref="C50">SUM(SUMIFS('MAIN DATA, Orders'!$S:$S,'MAIN DATA, Orders'!$D:$D,"United Kingdom",'MAIN DATA, Orders'!$I:$I,{"Drone"},'MAIN DATA, Orders'!$Y:$Y,$A50)/1000000)</f>
        <v>0</v>
      </c>
      <c r="D50" s="15" cm="1">
        <f t="array" ref="D50">SUM(SUMIFS('MAIN DATA, Orders'!$S:$S,'MAIN DATA, Orders'!$D:$D,"United Kingdom",'MAIN DATA, Orders'!$I:$I,{"Development - drone"},'MAIN DATA, Orders'!$Y:$Y,$A50)/1000000)</f>
        <v>0</v>
      </c>
    </row>
    <row r="51" spans="1:4" x14ac:dyDescent="0.35">
      <c r="A51" s="20">
        <v>202309</v>
      </c>
      <c r="B51" s="17">
        <v>45170</v>
      </c>
      <c r="C51" s="15" cm="1">
        <f t="array" ref="C51">SUM(SUMIFS('MAIN DATA, Orders'!$S:$S,'MAIN DATA, Orders'!$D:$D,"United Kingdom",'MAIN DATA, Orders'!$I:$I,{"Drone"},'MAIN DATA, Orders'!$Y:$Y,$A51)/1000000)</f>
        <v>0</v>
      </c>
      <c r="D51" s="15" cm="1">
        <f t="array" ref="D51">SUM(SUMIFS('MAIN DATA, Orders'!$S:$S,'MAIN DATA, Orders'!$D:$D,"United Kingdom",'MAIN DATA, Orders'!$I:$I,{"Development - drone"},'MAIN DATA, Orders'!$Y:$Y,$A51)/1000000)</f>
        <v>0</v>
      </c>
    </row>
    <row r="52" spans="1:4" x14ac:dyDescent="0.35">
      <c r="A52" s="20">
        <v>202310</v>
      </c>
      <c r="B52" s="17">
        <v>45200</v>
      </c>
      <c r="C52" s="15" cm="1">
        <f t="array" ref="C52">SUM(SUMIFS('MAIN DATA, Orders'!$S:$S,'MAIN DATA, Orders'!$D:$D,"United Kingdom",'MAIN DATA, Orders'!$I:$I,{"Drone"},'MAIN DATA, Orders'!$Y:$Y,$A52)/1000000)</f>
        <v>0</v>
      </c>
      <c r="D52" s="15" cm="1">
        <f t="array" ref="D52">SUM(SUMIFS('MAIN DATA, Orders'!$S:$S,'MAIN DATA, Orders'!$D:$D,"United Kingdom",'MAIN DATA, Orders'!$I:$I,{"Development - drone"},'MAIN DATA, Orders'!$Y:$Y,$A52)/1000000)</f>
        <v>0</v>
      </c>
    </row>
    <row r="53" spans="1:4" x14ac:dyDescent="0.35">
      <c r="A53" s="20">
        <v>202311</v>
      </c>
      <c r="B53" s="17">
        <v>45231</v>
      </c>
      <c r="C53" s="15" cm="1">
        <f t="array" ref="C53">SUM(SUMIFS('MAIN DATA, Orders'!$S:$S,'MAIN DATA, Orders'!$D:$D,"United Kingdom",'MAIN DATA, Orders'!$I:$I,{"Drone"},'MAIN DATA, Orders'!$Y:$Y,$A53)/1000000)</f>
        <v>0</v>
      </c>
      <c r="D53" s="15" cm="1">
        <f t="array" ref="D53">SUM(SUMIFS('MAIN DATA, Orders'!$S:$S,'MAIN DATA, Orders'!$D:$D,"United Kingdom",'MAIN DATA, Orders'!$I:$I,{"Development - drone"},'MAIN DATA, Orders'!$Y:$Y,$A53)/1000000)</f>
        <v>0</v>
      </c>
    </row>
    <row r="54" spans="1:4" x14ac:dyDescent="0.35">
      <c r="A54" s="20">
        <v>202312</v>
      </c>
      <c r="B54" s="17">
        <v>45261</v>
      </c>
      <c r="C54" s="15" cm="1">
        <f t="array" ref="C54">SUM(SUMIFS('MAIN DATA, Orders'!$S:$S,'MAIN DATA, Orders'!$D:$D,"United Kingdom",'MAIN DATA, Orders'!$I:$I,{"Drone"},'MAIN DATA, Orders'!$Y:$Y,$A54)/1000000)</f>
        <v>0</v>
      </c>
      <c r="D54" s="15" cm="1">
        <f t="array" ref="D54">SUM(SUMIFS('MAIN DATA, Orders'!$S:$S,'MAIN DATA, Orders'!$D:$D,"United Kingdom",'MAIN DATA, Orders'!$I:$I,{"Development - drone"},'MAIN DATA, Orders'!$Y:$Y,$A54)/1000000)</f>
        <v>0</v>
      </c>
    </row>
    <row r="55" spans="1:4" x14ac:dyDescent="0.35">
      <c r="A55" s="20">
        <v>202401</v>
      </c>
      <c r="B55" s="17">
        <v>45292</v>
      </c>
      <c r="C55" s="15" cm="1">
        <f t="array" ref="C55">SUM(SUMIFS('MAIN DATA, Orders'!$S:$S,'MAIN DATA, Orders'!$D:$D,"United Kingdom",'MAIN DATA, Orders'!$I:$I,{"Drone"},'MAIN DATA, Orders'!$Y:$Y,$A55)/1000000)</f>
        <v>0</v>
      </c>
      <c r="D55" s="15" cm="1">
        <f t="array" ref="D55">SUM(SUMIFS('MAIN DATA, Orders'!$S:$S,'MAIN DATA, Orders'!$D:$D,"United Kingdom",'MAIN DATA, Orders'!$I:$I,{"Development - drone"},'MAIN DATA, Orders'!$Y:$Y,$A55)/1000000)</f>
        <v>0</v>
      </c>
    </row>
    <row r="56" spans="1:4" x14ac:dyDescent="0.35">
      <c r="A56" s="20">
        <v>202402</v>
      </c>
      <c r="B56" s="17">
        <v>45323</v>
      </c>
      <c r="C56" s="15" cm="1">
        <f t="array" ref="C56">SUM(SUMIFS('MAIN DATA, Orders'!$S:$S,'MAIN DATA, Orders'!$D:$D,"United Kingdom",'MAIN DATA, Orders'!$I:$I,{"Drone"},'MAIN DATA, Orders'!$Y:$Y,$A56)/1000000)</f>
        <v>0</v>
      </c>
      <c r="D56" s="15" cm="1">
        <f t="array" ref="D56">SUM(SUMIFS('MAIN DATA, Orders'!$S:$S,'MAIN DATA, Orders'!$D:$D,"United Kingdom",'MAIN DATA, Orders'!$I:$I,{"Development - drone"},'MAIN DATA, Orders'!$Y:$Y,$A56)/1000000)</f>
        <v>0</v>
      </c>
    </row>
    <row r="57" spans="1:4" x14ac:dyDescent="0.35">
      <c r="A57" s="20">
        <v>202403</v>
      </c>
      <c r="B57" s="17">
        <v>45352</v>
      </c>
      <c r="C57" s="15" cm="1">
        <f t="array" ref="C57">SUM(SUMIFS('MAIN DATA, Orders'!$S:$S,'MAIN DATA, Orders'!$D:$D,"United Kingdom",'MAIN DATA, Orders'!$I:$I,{"Drone"},'MAIN DATA, Orders'!$Y:$Y,$A57)/1000000)</f>
        <v>125</v>
      </c>
      <c r="D57" s="15" cm="1">
        <f t="array" ref="D57">SUM(SUMIFS('MAIN DATA, Orders'!$S:$S,'MAIN DATA, Orders'!$D:$D,"United Kingdom",'MAIN DATA, Orders'!$I:$I,{"Development - drone"},'MAIN DATA, Orders'!$Y:$Y,$A57)/1000000)</f>
        <v>0</v>
      </c>
    </row>
    <row r="58" spans="1:4" x14ac:dyDescent="0.35">
      <c r="A58" s="20">
        <v>202404</v>
      </c>
      <c r="B58" s="17">
        <v>45383</v>
      </c>
      <c r="C58" s="15" cm="1">
        <f t="array" ref="C58">SUM(SUMIFS('MAIN DATA, Orders'!$S:$S,'MAIN DATA, Orders'!$D:$D,"United Kingdom",'MAIN DATA, Orders'!$I:$I,{"Drone"},'MAIN DATA, Orders'!$Y:$Y,$A58)/1000000)</f>
        <v>0</v>
      </c>
      <c r="D58" s="15" cm="1">
        <f t="array" ref="D58">SUM(SUMIFS('MAIN DATA, Orders'!$S:$S,'MAIN DATA, Orders'!$D:$D,"United Kingdom",'MAIN DATA, Orders'!$I:$I,{"Development - drone"},'MAIN DATA, Orders'!$Y:$Y,$A58)/1000000)</f>
        <v>0</v>
      </c>
    </row>
    <row r="59" spans="1:4" x14ac:dyDescent="0.35">
      <c r="A59" s="20">
        <v>202405</v>
      </c>
      <c r="B59" s="17">
        <v>45413</v>
      </c>
      <c r="C59" s="15" cm="1">
        <f t="array" ref="C59">SUM(SUMIFS('MAIN DATA, Orders'!$S:$S,'MAIN DATA, Orders'!$D:$D,"United Kingdom",'MAIN DATA, Orders'!$I:$I,{"Drone"},'MAIN DATA, Orders'!$Y:$Y,$A59)/1000000)</f>
        <v>21</v>
      </c>
      <c r="D59" s="15" cm="1">
        <f t="array" ref="D59">SUM(SUMIFS('MAIN DATA, Orders'!$S:$S,'MAIN DATA, Orders'!$D:$D,"United Kingdom",'MAIN DATA, Orders'!$I:$I,{"Development - drone"},'MAIN DATA, Orders'!$Y:$Y,$A59)/1000000)</f>
        <v>0</v>
      </c>
    </row>
    <row r="60" spans="1:4" x14ac:dyDescent="0.35">
      <c r="A60" s="20">
        <v>202406</v>
      </c>
      <c r="B60" s="17">
        <v>45444</v>
      </c>
      <c r="C60" s="15" cm="1">
        <f t="array" ref="C60">SUM(SUMIFS('MAIN DATA, Orders'!$S:$S,'MAIN DATA, Orders'!$D:$D,"United Kingdom",'MAIN DATA, Orders'!$I:$I,{"Drone"},'MAIN DATA, Orders'!$Y:$Y,$A60)/1000000)</f>
        <v>0</v>
      </c>
      <c r="D60" s="15" cm="1">
        <f t="array" ref="D60">SUM(SUMIFS('MAIN DATA, Orders'!$S:$S,'MAIN DATA, Orders'!$D:$D,"United Kingdom",'MAIN DATA, Orders'!$I:$I,{"Development - drone"},'MAIN DATA, Orders'!$Y:$Y,$A60)/1000000)</f>
        <v>0</v>
      </c>
    </row>
    <row r="61" spans="1:4" x14ac:dyDescent="0.35">
      <c r="A61" s="20">
        <v>202407</v>
      </c>
      <c r="B61" s="17">
        <v>45474</v>
      </c>
      <c r="C61" s="15" cm="1">
        <f t="array" ref="C61">SUM(SUMIFS('MAIN DATA, Orders'!$S:$S,'MAIN DATA, Orders'!$D:$D,"United Kingdom",'MAIN DATA, Orders'!$I:$I,{"Drone"},'MAIN DATA, Orders'!$Y:$Y,$A61)/1000000)</f>
        <v>0</v>
      </c>
      <c r="D61" s="15" cm="1">
        <f t="array" ref="D61">SUM(SUMIFS('MAIN DATA, Orders'!$S:$S,'MAIN DATA, Orders'!$D:$D,"United Kingdom",'MAIN DATA, Orders'!$I:$I,{"Development - drone"},'MAIN DATA, Orders'!$Y:$Y,$A61)/1000000)</f>
        <v>0</v>
      </c>
    </row>
    <row r="62" spans="1:4" x14ac:dyDescent="0.35">
      <c r="A62" s="20">
        <v>202408</v>
      </c>
      <c r="B62" s="17">
        <v>45505</v>
      </c>
      <c r="C62" s="15" cm="1">
        <f t="array" ref="C62">SUM(SUMIFS('MAIN DATA, Orders'!$S:$S,'MAIN DATA, Orders'!$D:$D,"United Kingdom",'MAIN DATA, Orders'!$I:$I,{"Drone"},'MAIN DATA, Orders'!$Y:$Y,$A62)/1000000)</f>
        <v>0</v>
      </c>
      <c r="D62" s="15" cm="1">
        <f t="array" ref="D62">SUM(SUMIFS('MAIN DATA, Orders'!$S:$S,'MAIN DATA, Orders'!$D:$D,"United Kingdom",'MAIN DATA, Orders'!$I:$I,{"Development - drone"},'MAIN DATA, Orders'!$Y:$Y,$A62)/1000000)</f>
        <v>0</v>
      </c>
    </row>
    <row r="63" spans="1:4" x14ac:dyDescent="0.35">
      <c r="A63" s="20">
        <v>202409</v>
      </c>
      <c r="B63" s="17">
        <v>45536</v>
      </c>
      <c r="C63" s="15" cm="1">
        <f t="array" ref="C63">SUM(SUMIFS('MAIN DATA, Orders'!$S:$S,'MAIN DATA, Orders'!$D:$D,"United Kingdom",'MAIN DATA, Orders'!$I:$I,{"Drone"},'MAIN DATA, Orders'!$Y:$Y,$A63)/1000000)</f>
        <v>0</v>
      </c>
      <c r="D63" s="15" cm="1">
        <f t="array" ref="D63">SUM(SUMIFS('MAIN DATA, Orders'!$S:$S,'MAIN DATA, Orders'!$D:$D,"United Kingdom",'MAIN DATA, Orders'!$I:$I,{"Development - drone"},'MAIN DATA, Orders'!$Y:$Y,$A63)/1000000)</f>
        <v>0</v>
      </c>
    </row>
    <row r="64" spans="1:4" x14ac:dyDescent="0.35">
      <c r="A64" s="20">
        <v>202410</v>
      </c>
      <c r="B64" s="17">
        <v>45566</v>
      </c>
      <c r="C64" s="15" cm="1">
        <f t="array" ref="C64">SUM(SUMIFS('MAIN DATA, Orders'!$S:$S,'MAIN DATA, Orders'!$D:$D,"United Kingdom",'MAIN DATA, Orders'!$I:$I,{"Drone"},'MAIN DATA, Orders'!$Y:$Y,$A64)/1000000)</f>
        <v>0</v>
      </c>
      <c r="D64" s="15" cm="1">
        <f t="array" ref="D64">SUM(SUMIFS('MAIN DATA, Orders'!$S:$S,'MAIN DATA, Orders'!$D:$D,"United Kingdom",'MAIN DATA, Orders'!$I:$I,{"Development - drone"},'MAIN DATA, Orders'!$Y:$Y,$A64)/1000000)</f>
        <v>0</v>
      </c>
    </row>
    <row r="65" spans="1:4" x14ac:dyDescent="0.35">
      <c r="A65" s="20">
        <v>202411</v>
      </c>
      <c r="B65" s="17">
        <v>45597</v>
      </c>
      <c r="C65" s="15" cm="1">
        <f t="array" ref="C65">SUM(SUMIFS('MAIN DATA, Orders'!$S:$S,'MAIN DATA, Orders'!$D:$D,"United Kingdom",'MAIN DATA, Orders'!$I:$I,{"Drone"},'MAIN DATA, Orders'!$Y:$Y,$A65)/1000000)</f>
        <v>0</v>
      </c>
      <c r="D65" s="15" cm="1">
        <f t="array" ref="D65">SUM(SUMIFS('MAIN DATA, Orders'!$S:$S,'MAIN DATA, Orders'!$D:$D,"United Kingdom",'MAIN DATA, Orders'!$I:$I,{"Development - drone"},'MAIN DATA, Orders'!$Y:$Y,$A65)/1000000)</f>
        <v>0</v>
      </c>
    </row>
    <row r="66" spans="1:4" x14ac:dyDescent="0.35">
      <c r="A66" s="20">
        <v>202412</v>
      </c>
      <c r="B66" s="17">
        <v>45627</v>
      </c>
      <c r="C66" s="15" cm="1">
        <f t="array" ref="C66">SUM(SUMIFS('MAIN DATA, Orders'!$S:$S,'MAIN DATA, Orders'!$D:$D,"United Kingdom",'MAIN DATA, Orders'!$I:$I,{"Drone"},'MAIN DATA, Orders'!$Y:$Y,$A66)/1000000)</f>
        <v>0</v>
      </c>
      <c r="D66" s="15" cm="1">
        <f t="array" ref="D66">SUM(SUMIFS('MAIN DATA, Orders'!$S:$S,'MAIN DATA, Orders'!$D:$D,"United Kingdom",'MAIN DATA, Orders'!$I:$I,{"Development - drone"},'MAIN DATA, Orders'!$Y:$Y,$A66)/1000000)</f>
        <v>0</v>
      </c>
    </row>
    <row r="67" spans="1:4" x14ac:dyDescent="0.35">
      <c r="A67" s="20">
        <v>202501</v>
      </c>
      <c r="B67" s="17">
        <v>45658</v>
      </c>
      <c r="C67" s="15" cm="1">
        <f t="array" ref="C67">SUM(SUMIFS('MAIN DATA, Orders'!$S:$S,'MAIN DATA, Orders'!$D:$D,"United Kingdom",'MAIN DATA, Orders'!$I:$I,{"Drone"},'MAIN DATA, Orders'!$Y:$Y,$A67)/1000000)</f>
        <v>0</v>
      </c>
      <c r="D67" s="15" cm="1">
        <f t="array" ref="D67">SUM(SUMIFS('MAIN DATA, Orders'!$S:$S,'MAIN DATA, Orders'!$D:$D,"United Kingdom",'MAIN DATA, Orders'!$I:$I,{"Development - drone"},'MAIN DATA, Orders'!$Y:$Y,$A67)/1000000)</f>
        <v>0</v>
      </c>
    </row>
    <row r="68" spans="1:4" x14ac:dyDescent="0.35">
      <c r="A68" s="20">
        <v>202502</v>
      </c>
      <c r="B68" s="17">
        <v>45689</v>
      </c>
      <c r="C68" s="15" cm="1">
        <f t="array" ref="C68">SUM(SUMIFS('MAIN DATA, Orders'!$S:$S,'MAIN DATA, Orders'!$D:$D,"United Kingdom",'MAIN DATA, Orders'!$I:$I,{"Drone"},'MAIN DATA, Orders'!$Y:$Y,$A68)/1000000)</f>
        <v>0</v>
      </c>
      <c r="D68" s="15" cm="1">
        <f t="array" ref="D68">SUM(SUMIFS('MAIN DATA, Orders'!$S:$S,'MAIN DATA, Orders'!$D:$D,"United Kingdom",'MAIN DATA, Orders'!$I:$I,{"Development - drone"},'MAIN DATA, Orders'!$Y:$Y,$A68)/1000000)</f>
        <v>0</v>
      </c>
    </row>
    <row r="69" spans="1:4" x14ac:dyDescent="0.35">
      <c r="A69" s="20">
        <v>202503</v>
      </c>
      <c r="B69" s="17">
        <v>45717</v>
      </c>
      <c r="C69" s="15" cm="1">
        <f t="array" ref="C69">SUM(SUMIFS('MAIN DATA, Orders'!$S:$S,'MAIN DATA, Orders'!$D:$D,"United Kingdom",'MAIN DATA, Orders'!$I:$I,{"Drone"},'MAIN DATA, Orders'!$Y:$Y,$A69)/1000000)</f>
        <v>0</v>
      </c>
      <c r="D69" s="15" cm="1">
        <f t="array" ref="D69">SUM(SUMIFS('MAIN DATA, Orders'!$S:$S,'MAIN DATA, Orders'!$D:$D,"United Kingdom",'MAIN DATA, Orders'!$I:$I,{"Development - drone"},'MAIN DATA, Orders'!$Y:$Y,$A69)/1000000)</f>
        <v>0</v>
      </c>
    </row>
    <row r="70" spans="1:4" x14ac:dyDescent="0.35">
      <c r="A70" s="20">
        <v>202504</v>
      </c>
      <c r="B70" s="17">
        <v>45748</v>
      </c>
      <c r="C70" s="15" cm="1">
        <f t="array" ref="C70">SUM(SUMIFS('MAIN DATA, Orders'!$S:$S,'MAIN DATA, Orders'!$D:$D,"United Kingdom",'MAIN DATA, Orders'!$I:$I,{"Drone"},'MAIN DATA, Orders'!$Y:$Y,$A70)/1000000)</f>
        <v>0</v>
      </c>
      <c r="D70" s="15" cm="1">
        <f t="array" ref="D70">SUM(SUMIFS('MAIN DATA, Orders'!$S:$S,'MAIN DATA, Orders'!$D:$D,"United Kingdom",'MAIN DATA, Orders'!$I:$I,{"Development - drone"},'MAIN DATA, Orders'!$Y:$Y,$A70)/1000000)</f>
        <v>0</v>
      </c>
    </row>
    <row r="71" spans="1:4" x14ac:dyDescent="0.35">
      <c r="A71" s="20">
        <v>202505</v>
      </c>
      <c r="B71" s="17">
        <v>45778</v>
      </c>
      <c r="C71" s="15" cm="1">
        <f t="array" ref="C71">SUM(SUMIFS('MAIN DATA, Orders'!$S:$S,'MAIN DATA, Orders'!$D:$D,"United Kingdom",'MAIN DATA, Orders'!$I:$I,{"Drone"},'MAIN DATA, Orders'!$Y:$Y,$A71)/1000000)</f>
        <v>19</v>
      </c>
      <c r="D71" s="15" cm="1">
        <f t="array" ref="D71">SUM(SUMIFS('MAIN DATA, Orders'!$S:$S,'MAIN DATA, Orders'!$D:$D,"United Kingdom",'MAIN DATA, Orders'!$I:$I,{"Development - drone"},'MAIN DATA, Orders'!$Y:$Y,$A71)/1000000)</f>
        <v>0</v>
      </c>
    </row>
    <row r="72" spans="1:4" x14ac:dyDescent="0.35">
      <c r="A72" s="20">
        <v>202506</v>
      </c>
      <c r="B72" s="17">
        <v>45809</v>
      </c>
      <c r="C72" s="15" cm="1">
        <f t="array" ref="C72">SUM(SUMIFS('MAIN DATA, Orders'!$S:$S,'MAIN DATA, Orders'!$D:$D,"United Kingdom",'MAIN DATA, Orders'!$I:$I,{"Drone"},'MAIN DATA, Orders'!$Y:$Y,$A72)/1000000)</f>
        <v>350</v>
      </c>
      <c r="D72" s="15" cm="1">
        <f t="array" ref="D72">SUM(SUMIFS('MAIN DATA, Orders'!$S:$S,'MAIN DATA, Orders'!$D:$D,"United Kingdom",'MAIN DATA, Orders'!$I:$I,{"Development - drone"},'MAIN DATA, Orders'!$Y:$Y,$A72)/1000000)</f>
        <v>0</v>
      </c>
    </row>
    <row r="73" spans="1:4" x14ac:dyDescent="0.35">
      <c r="A73" s="20">
        <v>202507</v>
      </c>
      <c r="B73" s="17">
        <v>45839</v>
      </c>
      <c r="C73" s="15" cm="1">
        <f t="array" ref="C73">SUM(SUMIFS('MAIN DATA, Orders'!$S:$S,'MAIN DATA, Orders'!$D:$D,"United Kingdom",'MAIN DATA, Orders'!$I:$I,{"Drone"},'MAIN DATA, Orders'!$Y:$Y,$A73)/1000000)</f>
        <v>0</v>
      </c>
      <c r="D73" s="15" cm="1">
        <f t="array" ref="D73">SUM(SUMIFS('MAIN DATA, Orders'!$S:$S,'MAIN DATA, Orders'!$D:$D,"United Kingdom",'MAIN DATA, Orders'!$I:$I,{"Development - drone"},'MAIN DATA, Orders'!$Y:$Y,$A73)/1000000)</f>
        <v>0</v>
      </c>
    </row>
    <row r="74" spans="1:4" x14ac:dyDescent="0.35">
      <c r="A74" s="20">
        <v>202508</v>
      </c>
      <c r="B74" s="17">
        <v>45870</v>
      </c>
      <c r="C74" s="15" cm="1">
        <f t="array" ref="C74">SUM(SUMIFS('MAIN DATA, Orders'!$S:$S,'MAIN DATA, Orders'!$D:$D,"United Kingdom",'MAIN DATA, Orders'!$I:$I,{"Drone"},'MAIN DATA, Orders'!$Y:$Y,$A74)/1000000)</f>
        <v>0</v>
      </c>
      <c r="D74" s="15" cm="1">
        <f t="array" ref="D74">SUM(SUMIFS('MAIN DATA, Orders'!$S:$S,'MAIN DATA, Orders'!$D:$D,"United Kingdom",'MAIN DATA, Orders'!$I:$I,{"Development - drone"},'MAIN DATA, Orders'!$Y:$Y,$A74)/1000000)</f>
        <v>0</v>
      </c>
    </row>
    <row r="75" spans="1:4" x14ac:dyDescent="0.35">
      <c r="A75" s="20">
        <v>202509</v>
      </c>
      <c r="B75" s="17">
        <v>45901</v>
      </c>
      <c r="C75" s="15" cm="1">
        <f t="array" ref="C75">SUM(SUMIFS('MAIN DATA, Orders'!$S:$S,'MAIN DATA, Orders'!$D:$D,"United Kingdom",'MAIN DATA, Orders'!$I:$I,{"Drone"},'MAIN DATA, Orders'!$Y:$Y,$A75)/1000000)</f>
        <v>0</v>
      </c>
      <c r="D75" s="15" cm="1">
        <f t="array" ref="D75">SUM(SUMIFS('MAIN DATA, Orders'!$S:$S,'MAIN DATA, Orders'!$D:$D,"United Kingdom",'MAIN DATA, Orders'!$I:$I,{"Development - drone"},'MAIN DATA, Orders'!$Y:$Y,$A75)/1000000)</f>
        <v>0</v>
      </c>
    </row>
    <row r="76" spans="1:4" x14ac:dyDescent="0.35">
      <c r="A76" s="20">
        <v>202510</v>
      </c>
      <c r="B76" s="17">
        <v>45931</v>
      </c>
      <c r="C76" s="15" cm="1">
        <f t="array" ref="C76">SUM(SUMIFS('MAIN DATA, Orders'!$S:$S,'MAIN DATA, Orders'!$D:$D,"United Kingdom",'MAIN DATA, Orders'!$I:$I,{"Drone"},'MAIN DATA, Orders'!$Y:$Y,$A76)/1000000)</f>
        <v>0</v>
      </c>
      <c r="D76" s="15" cm="1">
        <f t="array" ref="D76">SUM(SUMIFS('MAIN DATA, Orders'!$S:$S,'MAIN DATA, Orders'!$D:$D,"United Kingdom",'MAIN DATA, Orders'!$I:$I,{"Development - drone"},'MAIN DATA, Orders'!$Y:$Y,$A76)/1000000)</f>
        <v>0</v>
      </c>
    </row>
    <row r="77" spans="1:4" x14ac:dyDescent="0.35">
      <c r="A77" s="20">
        <v>202511</v>
      </c>
      <c r="B77" s="17">
        <v>45962</v>
      </c>
      <c r="C77" s="15" cm="1">
        <f t="array" ref="C77">SUM(SUMIFS('MAIN DATA, Orders'!$S:$S,'MAIN DATA, Orders'!$D:$D,"United Kingdom",'MAIN DATA, Orders'!$I:$I,{"Drone"},'MAIN DATA, Orders'!$Y:$Y,$A77)/1000000)</f>
        <v>0</v>
      </c>
      <c r="D77" s="15" cm="1">
        <f t="array" ref="D77">SUM(SUMIFS('MAIN DATA, Orders'!$S:$S,'MAIN DATA, Orders'!$D:$D,"United Kingdom",'MAIN DATA, Orders'!$I:$I,{"Development - drone"},'MAIN DATA, Orders'!$Y:$Y,$A77)/1000000)</f>
        <v>0</v>
      </c>
    </row>
    <row r="78" spans="1:4" x14ac:dyDescent="0.35">
      <c r="A78" s="20">
        <v>202512</v>
      </c>
      <c r="B78" s="17">
        <v>45992</v>
      </c>
      <c r="C78" s="15" cm="1">
        <f t="array" ref="C78">SUM(SUMIFS('MAIN DATA, Orders'!$S:$S,'MAIN DATA, Orders'!$D:$D,"United Kingdom",'MAIN DATA, Orders'!$I:$I,{"Drone"},'MAIN DATA, Orders'!$Y:$Y,$A78)/1000000)</f>
        <v>0</v>
      </c>
      <c r="D78" s="15" cm="1">
        <f t="array" ref="D78">SUM(SUMIFS('MAIN DATA, Orders'!$S:$S,'MAIN DATA, Orders'!$D:$D,"United Kingdom",'MAIN DATA, Orders'!$I:$I,{"Development - drone"},'MAIN DATA, Orders'!$Y:$Y,$A78)/1000000)</f>
        <v>112</v>
      </c>
    </row>
    <row r="79" spans="1:4" x14ac:dyDescent="0.35">
      <c r="A79" s="20">
        <v>202601</v>
      </c>
      <c r="B79" s="17">
        <v>46023</v>
      </c>
      <c r="C79" s="15" cm="1">
        <f t="array" ref="C79">SUM(SUMIFS('MAIN DATA, Orders'!$S:$S,'MAIN DATA, Orders'!$D:$D,"United Kingdom",'MAIN DATA, Orders'!$I:$I,{"Drone"},'MAIN DATA, Orders'!$Y:$Y,$A79)/1000000)</f>
        <v>0</v>
      </c>
      <c r="D79" s="15" cm="1">
        <f t="array" ref="D79">SUM(SUMIFS('MAIN DATA, Orders'!$S:$S,'MAIN DATA, Orders'!$D:$D,"United Kingdom",'MAIN DATA, Orders'!$I:$I,{"Development - drone"},'MAIN DATA, Orders'!$Y:$Y,$A79)/1000000)</f>
        <v>0</v>
      </c>
    </row>
    <row r="80" spans="1:4" x14ac:dyDescent="0.35">
      <c r="B80" s="66"/>
      <c r="C80" s="66"/>
      <c r="D80" s="105"/>
    </row>
    <row r="81" spans="2:4" x14ac:dyDescent="0.35">
      <c r="B81" s="9" t="s">
        <v>4219</v>
      </c>
      <c r="C81" s="18">
        <f>SUM(C7:C79)</f>
        <v>996.4</v>
      </c>
      <c r="D81" s="18">
        <f>SUM(D7:D79)</f>
        <v>205.2</v>
      </c>
    </row>
  </sheetData>
  <mergeCells count="1">
    <mergeCell ref="B4:I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B1006-08EF-4694-B193-E0F9954A976A}">
  <sheetPr>
    <tabColor rgb="FFB5E6A2"/>
  </sheetPr>
  <dimension ref="A2:J81"/>
  <sheetViews>
    <sheetView workbookViewId="0"/>
  </sheetViews>
  <sheetFormatPr baseColWidth="10" defaultColWidth="8.75" defaultRowHeight="15.5" x14ac:dyDescent="0.35"/>
  <cols>
    <col min="1" max="1" width="8.75" style="1" customWidth="1"/>
    <col min="2" max="2" width="13.5" style="1" customWidth="1"/>
    <col min="3" max="6" width="14.75" style="1" customWidth="1"/>
    <col min="7" max="16384" width="8.75" style="1"/>
  </cols>
  <sheetData>
    <row r="2" spans="1:10" ht="25.9" customHeight="1" x14ac:dyDescent="0.7">
      <c r="B2" s="16" t="s">
        <v>5653</v>
      </c>
    </row>
    <row r="4" spans="1:10" ht="130.15" customHeight="1" x14ac:dyDescent="0.35">
      <c r="B4" s="232" t="s">
        <v>5213</v>
      </c>
      <c r="C4" s="232"/>
      <c r="D4" s="232"/>
      <c r="E4" s="232"/>
      <c r="F4" s="232"/>
      <c r="G4" s="232"/>
      <c r="H4" s="232"/>
      <c r="I4" s="232"/>
      <c r="J4" s="232"/>
    </row>
    <row r="6" spans="1:10" ht="21" customHeight="1" x14ac:dyDescent="0.35">
      <c r="B6" s="68" t="s">
        <v>4197</v>
      </c>
      <c r="C6" s="69" t="s">
        <v>5199</v>
      </c>
      <c r="D6" s="69" t="s">
        <v>5200</v>
      </c>
      <c r="E6" s="69" t="s">
        <v>5201</v>
      </c>
      <c r="F6" s="69" t="s">
        <v>287</v>
      </c>
    </row>
    <row r="7" spans="1:10" x14ac:dyDescent="0.35">
      <c r="A7" s="20">
        <v>202001</v>
      </c>
      <c r="B7" s="17">
        <v>43831</v>
      </c>
      <c r="C7" s="15" cm="1">
        <f t="array" ref="C7">SUM(SUMIFS('MAIN DATA, Orders'!$S:$S,'MAIN DATA, Orders'!$D:$D,"IFU",'MAIN DATA, Orders'!$I:$I,{"Aircraft","Development - Aircraft","Missile (Air)","Development - Missile (Air)"},'MAIN DATA, Orders'!$Y:$Y,$A7)/1000000)</f>
        <v>0</v>
      </c>
      <c r="D7" s="15" cm="1">
        <f t="array" ref="D7">SUM(SUMIFS('MAIN DATA, Orders'!$S:$S,'MAIN DATA, Orders'!$D:$D,"IFU",'MAIN DATA, Orders'!$I:$I,{"Naval","Development - Naval","Missile (Naval)","Development - Missile (Naval)"},'MAIN DATA, Orders'!$Y:$Y,$A7)/1000000)</f>
        <v>0</v>
      </c>
      <c r="E7" s="15" cm="1">
        <f t="array" ref="E7">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Orders'!$Y:$Y,$A7)/1000000)</f>
        <v>0</v>
      </c>
      <c r="F7" s="15" cm="1">
        <f t="array" ref="F7">SUM(SUMIFS('MAIN DATA, Orders'!$S:$S,'MAIN DATA, Orders'!$D:$D,"IFU",'MAIN DATA, Orders'!$I:$I,{"Maintenance","Development - Maintenance","Modernisation","Development - Modernisation","Other","Development - Other"},'MAIN DATA, Orders'!$Y:$Y,$A7)/1000000)</f>
        <v>0</v>
      </c>
    </row>
    <row r="8" spans="1:10" x14ac:dyDescent="0.35">
      <c r="A8" s="20">
        <v>202002</v>
      </c>
      <c r="B8" s="17">
        <v>43862</v>
      </c>
      <c r="C8" s="15" cm="1">
        <f t="array" ref="C8">SUM(SUMIFS('MAIN DATA, Orders'!$S:$S,'MAIN DATA, Orders'!$D:$D,"IFU",'MAIN DATA, Orders'!$I:$I,{"Aircraft","Development - Aircraft","Missile (Air)","Development - Missile (Air)"},'MAIN DATA, Orders'!$Y:$Y,$A8)/1000000)</f>
        <v>0</v>
      </c>
      <c r="D8" s="15" cm="1">
        <f t="array" ref="D8">SUM(SUMIFS('MAIN DATA, Orders'!$S:$S,'MAIN DATA, Orders'!$D:$D,"IFU",'MAIN DATA, Orders'!$I:$I,{"Naval","Development - Naval","Missile (Naval)","Development - Missile (Naval)"},'MAIN DATA, Orders'!$Y:$Y,$A8)/1000000)</f>
        <v>0</v>
      </c>
      <c r="E8" s="15" cm="1">
        <f t="array" ref="E8">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Orders'!$Y:$Y,$A8)/1000000)</f>
        <v>0</v>
      </c>
      <c r="F8" s="15" cm="1">
        <f t="array" ref="F8">SUM(SUMIFS('MAIN DATA, Orders'!$S:$S,'MAIN DATA, Orders'!$D:$D,"IFU",'MAIN DATA, Orders'!$I:$I,{"Maintenance","Development - Maintenance","Modernisation","Development - Modernisation","Other","Development - Other"},'MAIN DATA, Orders'!$Y:$Y,$A8)/1000000)</f>
        <v>0</v>
      </c>
    </row>
    <row r="9" spans="1:10" x14ac:dyDescent="0.35">
      <c r="A9" s="20">
        <v>202003</v>
      </c>
      <c r="B9" s="17">
        <v>43891</v>
      </c>
      <c r="C9" s="15" cm="1">
        <f t="array" ref="C9">SUM(SUMIFS('MAIN DATA, Orders'!$S:$S,'MAIN DATA, Orders'!$D:$D,"IFU",'MAIN DATA, Orders'!$I:$I,{"Aircraft","Development - Aircraft","Missile (Air)","Development - Missile (Air)"},'MAIN DATA, Orders'!$Y:$Y,$A9)/1000000)</f>
        <v>0</v>
      </c>
      <c r="D9" s="15" cm="1">
        <f t="array" ref="D9">SUM(SUMIFS('MAIN DATA, Orders'!$S:$S,'MAIN DATA, Orders'!$D:$D,"IFU",'MAIN DATA, Orders'!$I:$I,{"Naval","Development - Naval","Missile (Naval)","Development - Missile (Naval)"},'MAIN DATA, Orders'!$Y:$Y,$A9)/1000000)</f>
        <v>0</v>
      </c>
      <c r="E9" s="15" cm="1">
        <f t="array" ref="E9">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Orders'!$Y:$Y,$A9)/1000000)</f>
        <v>0</v>
      </c>
      <c r="F9" s="15" cm="1">
        <f t="array" ref="F9">SUM(SUMIFS('MAIN DATA, Orders'!$S:$S,'MAIN DATA, Orders'!$D:$D,"IFU",'MAIN DATA, Orders'!$I:$I,{"Maintenance","Development - Maintenance","Modernisation","Development - Modernisation","Other","Development - Other"},'MAIN DATA, Orders'!$Y:$Y,$A9)/1000000)</f>
        <v>0</v>
      </c>
    </row>
    <row r="10" spans="1:10" x14ac:dyDescent="0.35">
      <c r="A10" s="20">
        <v>202004</v>
      </c>
      <c r="B10" s="17">
        <v>43922</v>
      </c>
      <c r="C10" s="15" cm="1">
        <f t="array" ref="C10">SUM(SUMIFS('MAIN DATA, Orders'!$S:$S,'MAIN DATA, Orders'!$D:$D,"IFU",'MAIN DATA, Orders'!$I:$I,{"Aircraft","Development - Aircraft","Missile (Air)","Development - Missile (Air)"},'MAIN DATA, Orders'!$Y:$Y,$A10)/1000000)</f>
        <v>0</v>
      </c>
      <c r="D10" s="15" cm="1">
        <f t="array" ref="D10">SUM(SUMIFS('MAIN DATA, Orders'!$S:$S,'MAIN DATA, Orders'!$D:$D,"IFU",'MAIN DATA, Orders'!$I:$I,{"Naval","Development - Naval","Missile (Naval)","Development - Missile (Naval)"},'MAIN DATA, Orders'!$Y:$Y,$A10)/1000000)</f>
        <v>0</v>
      </c>
      <c r="E10" s="15" cm="1">
        <f t="array" ref="E10">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Orders'!$Y:$Y,$A10)/1000000)</f>
        <v>0</v>
      </c>
      <c r="F10" s="15" cm="1">
        <f t="array" ref="F10">SUM(SUMIFS('MAIN DATA, Orders'!$S:$S,'MAIN DATA, Orders'!$D:$D,"IFU",'MAIN DATA, Orders'!$I:$I,{"Maintenance","Development - Maintenance","Modernisation","Development - Modernisation","Other","Development - Other"},'MAIN DATA, Orders'!$Y:$Y,$A10)/1000000)</f>
        <v>0</v>
      </c>
    </row>
    <row r="11" spans="1:10" x14ac:dyDescent="0.35">
      <c r="A11" s="20">
        <v>202005</v>
      </c>
      <c r="B11" s="17">
        <v>43952</v>
      </c>
      <c r="C11" s="15" cm="1">
        <f t="array" ref="C11">SUM(SUMIFS('MAIN DATA, Orders'!$S:$S,'MAIN DATA, Orders'!$D:$D,"IFU",'MAIN DATA, Orders'!$I:$I,{"Aircraft","Development - Aircraft","Missile (Air)","Development - Missile (Air)"},'MAIN DATA, Orders'!$Y:$Y,$A11)/1000000)</f>
        <v>0</v>
      </c>
      <c r="D11" s="15" cm="1">
        <f t="array" ref="D11">SUM(SUMIFS('MAIN DATA, Orders'!$S:$S,'MAIN DATA, Orders'!$D:$D,"IFU",'MAIN DATA, Orders'!$I:$I,{"Naval","Development - Naval","Missile (Naval)","Development - Missile (Naval)"},'MAIN DATA, Orders'!$Y:$Y,$A11)/1000000)</f>
        <v>0</v>
      </c>
      <c r="E11" s="15" cm="1">
        <f t="array" ref="E11">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Orders'!$Y:$Y,$A11)/1000000)</f>
        <v>0</v>
      </c>
      <c r="F11" s="15" cm="1">
        <f t="array" ref="F11">SUM(SUMIFS('MAIN DATA, Orders'!$S:$S,'MAIN DATA, Orders'!$D:$D,"IFU",'MAIN DATA, Orders'!$I:$I,{"Maintenance","Development - Maintenance","Modernisation","Development - Modernisation","Other","Development - Other"},'MAIN DATA, Orders'!$Y:$Y,$A11)/1000000)</f>
        <v>0</v>
      </c>
    </row>
    <row r="12" spans="1:10" x14ac:dyDescent="0.35">
      <c r="A12" s="20">
        <v>202006</v>
      </c>
      <c r="B12" s="17">
        <v>43983</v>
      </c>
      <c r="C12" s="15" cm="1">
        <f t="array" ref="C12">SUM(SUMIFS('MAIN DATA, Orders'!$S:$S,'MAIN DATA, Orders'!$D:$D,"IFU",'MAIN DATA, Orders'!$I:$I,{"Aircraft","Development - Aircraft","Missile (Air)","Development - Missile (Air)"},'MAIN DATA, Orders'!$Y:$Y,$A12)/1000000)</f>
        <v>0</v>
      </c>
      <c r="D12" s="15" cm="1">
        <f t="array" ref="D12">SUM(SUMIFS('MAIN DATA, Orders'!$S:$S,'MAIN DATA, Orders'!$D:$D,"IFU",'MAIN DATA, Orders'!$I:$I,{"Naval","Development - Naval","Missile (Naval)","Development - Missile (Naval)"},'MAIN DATA, Orders'!$Y:$Y,$A12)/1000000)</f>
        <v>0</v>
      </c>
      <c r="E12" s="15" cm="1">
        <f t="array" ref="E12">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Orders'!$Y:$Y,$A12)/1000000)</f>
        <v>0</v>
      </c>
      <c r="F12" s="15" cm="1">
        <f t="array" ref="F12">SUM(SUMIFS('MAIN DATA, Orders'!$S:$S,'MAIN DATA, Orders'!$D:$D,"IFU",'MAIN DATA, Orders'!$I:$I,{"Maintenance","Development - Maintenance","Modernisation","Development - Modernisation","Other","Development - Other"},'MAIN DATA, Orders'!$Y:$Y,$A12)/1000000)</f>
        <v>0</v>
      </c>
    </row>
    <row r="13" spans="1:10" x14ac:dyDescent="0.35">
      <c r="A13" s="20">
        <v>202007</v>
      </c>
      <c r="B13" s="17">
        <v>44013</v>
      </c>
      <c r="C13" s="15" cm="1">
        <f t="array" ref="C13">SUM(SUMIFS('MAIN DATA, Orders'!$S:$S,'MAIN DATA, Orders'!$D:$D,"IFU",'MAIN DATA, Orders'!$I:$I,{"Aircraft","Development - Aircraft","Missile (Air)","Development - Missile (Air)"},'MAIN DATA, Orders'!$Y:$Y,$A13)/1000000)</f>
        <v>0</v>
      </c>
      <c r="D13" s="15" cm="1">
        <f t="array" ref="D13">SUM(SUMIFS('MAIN DATA, Orders'!$S:$S,'MAIN DATA, Orders'!$D:$D,"IFU",'MAIN DATA, Orders'!$I:$I,{"Naval","Development - Naval","Missile (Naval)","Development - Missile (Naval)"},'MAIN DATA, Orders'!$Y:$Y,$A13)/1000000)</f>
        <v>0</v>
      </c>
      <c r="E13" s="15" cm="1">
        <f t="array" ref="E13">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Orders'!$Y:$Y,$A13)/1000000)</f>
        <v>0</v>
      </c>
      <c r="F13" s="15" cm="1">
        <f t="array" ref="F13">SUM(SUMIFS('MAIN DATA, Orders'!$S:$S,'MAIN DATA, Orders'!$D:$D,"IFU",'MAIN DATA, Orders'!$I:$I,{"Maintenance","Development - Maintenance","Modernisation","Development - Modernisation","Other","Development - Other"},'MAIN DATA, Orders'!$Y:$Y,$A13)/1000000)</f>
        <v>0</v>
      </c>
    </row>
    <row r="14" spans="1:10" x14ac:dyDescent="0.35">
      <c r="A14" s="20">
        <v>202008</v>
      </c>
      <c r="B14" s="17">
        <v>44044</v>
      </c>
      <c r="C14" s="15" cm="1">
        <f t="array" ref="C14">SUM(SUMIFS('MAIN DATA, Orders'!$S:$S,'MAIN DATA, Orders'!$D:$D,"IFU",'MAIN DATA, Orders'!$I:$I,{"Aircraft","Development - Aircraft","Missile (Air)","Development - Missile (Air)"},'MAIN DATA, Orders'!$Y:$Y,$A14)/1000000)</f>
        <v>0</v>
      </c>
      <c r="D14" s="15" cm="1">
        <f t="array" ref="D14">SUM(SUMIFS('MAIN DATA, Orders'!$S:$S,'MAIN DATA, Orders'!$D:$D,"IFU",'MAIN DATA, Orders'!$I:$I,{"Naval","Development - Naval","Missile (Naval)","Development - Missile (Naval)"},'MAIN DATA, Orders'!$Y:$Y,$A14)/1000000)</f>
        <v>0</v>
      </c>
      <c r="E14" s="15" cm="1">
        <f t="array" ref="E14">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Orders'!$Y:$Y,$A14)/1000000)</f>
        <v>0</v>
      </c>
      <c r="F14" s="15" cm="1">
        <f t="array" ref="F14">SUM(SUMIFS('MAIN DATA, Orders'!$S:$S,'MAIN DATA, Orders'!$D:$D,"IFU",'MAIN DATA, Orders'!$I:$I,{"Maintenance","Development - Maintenance","Modernisation","Development - Modernisation","Other","Development - Other"},'MAIN DATA, Orders'!$Y:$Y,$A14)/1000000)</f>
        <v>0</v>
      </c>
    </row>
    <row r="15" spans="1:10" x14ac:dyDescent="0.35">
      <c r="A15" s="20">
        <v>202009</v>
      </c>
      <c r="B15" s="17">
        <v>44075</v>
      </c>
      <c r="C15" s="15" cm="1">
        <f t="array" ref="C15">SUM(SUMIFS('MAIN DATA, Orders'!$S:$S,'MAIN DATA, Orders'!$D:$D,"IFU",'MAIN DATA, Orders'!$I:$I,{"Aircraft","Development - Aircraft","Missile (Air)","Development - Missile (Air)"},'MAIN DATA, Orders'!$Y:$Y,$A15)/1000000)</f>
        <v>0</v>
      </c>
      <c r="D15" s="15" cm="1">
        <f t="array" ref="D15">SUM(SUMIFS('MAIN DATA, Orders'!$S:$S,'MAIN DATA, Orders'!$D:$D,"IFU",'MAIN DATA, Orders'!$I:$I,{"Naval","Development - Naval","Missile (Naval)","Development - Missile (Naval)"},'MAIN DATA, Orders'!$Y:$Y,$A15)/1000000)</f>
        <v>0</v>
      </c>
      <c r="E15" s="15" cm="1">
        <f t="array" ref="E15">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Orders'!$Y:$Y,$A15)/1000000)</f>
        <v>0</v>
      </c>
      <c r="F15" s="15" cm="1">
        <f t="array" ref="F15">SUM(SUMIFS('MAIN DATA, Orders'!$S:$S,'MAIN DATA, Orders'!$D:$D,"IFU",'MAIN DATA, Orders'!$I:$I,{"Maintenance","Development - Maintenance","Modernisation","Development - Modernisation","Other","Development - Other"},'MAIN DATA, Orders'!$Y:$Y,$A15)/1000000)</f>
        <v>0</v>
      </c>
    </row>
    <row r="16" spans="1:10" x14ac:dyDescent="0.35">
      <c r="A16" s="20">
        <v>202010</v>
      </c>
      <c r="B16" s="17">
        <v>44105</v>
      </c>
      <c r="C16" s="15" cm="1">
        <f t="array" ref="C16">SUM(SUMIFS('MAIN DATA, Orders'!$S:$S,'MAIN DATA, Orders'!$D:$D,"IFU",'MAIN DATA, Orders'!$I:$I,{"Aircraft","Development - Aircraft","Missile (Air)","Development - Missile (Air)"},'MAIN DATA, Orders'!$Y:$Y,$A16)/1000000)</f>
        <v>0</v>
      </c>
      <c r="D16" s="15" cm="1">
        <f t="array" ref="D16">SUM(SUMIFS('MAIN DATA, Orders'!$S:$S,'MAIN DATA, Orders'!$D:$D,"IFU",'MAIN DATA, Orders'!$I:$I,{"Naval","Development - Naval","Missile (Naval)","Development - Missile (Naval)"},'MAIN DATA, Orders'!$Y:$Y,$A16)/1000000)</f>
        <v>0</v>
      </c>
      <c r="E16" s="15" cm="1">
        <f t="array" ref="E16">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Orders'!$Y:$Y,$A16)/1000000)</f>
        <v>0</v>
      </c>
      <c r="F16" s="15" cm="1">
        <f t="array" ref="F16">SUM(SUMIFS('MAIN DATA, Orders'!$S:$S,'MAIN DATA, Orders'!$D:$D,"IFU",'MAIN DATA, Orders'!$I:$I,{"Maintenance","Development - Maintenance","Modernisation","Development - Modernisation","Other","Development - Other"},'MAIN DATA, Orders'!$Y:$Y,$A16)/1000000)</f>
        <v>0</v>
      </c>
    </row>
    <row r="17" spans="1:6" x14ac:dyDescent="0.35">
      <c r="A17" s="20">
        <v>202011</v>
      </c>
      <c r="B17" s="17">
        <v>44136</v>
      </c>
      <c r="C17" s="15" cm="1">
        <f t="array" ref="C17">SUM(SUMIFS('MAIN DATA, Orders'!$S:$S,'MAIN DATA, Orders'!$D:$D,"IFU",'MAIN DATA, Orders'!$I:$I,{"Aircraft","Development - Aircraft","Missile (Air)","Development - Missile (Air)"},'MAIN DATA, Orders'!$Y:$Y,$A17)/1000000)</f>
        <v>0</v>
      </c>
      <c r="D17" s="15" cm="1">
        <f t="array" ref="D17">SUM(SUMIFS('MAIN DATA, Orders'!$S:$S,'MAIN DATA, Orders'!$D:$D,"IFU",'MAIN DATA, Orders'!$I:$I,{"Naval","Development - Naval","Missile (Naval)","Development - Missile (Naval)"},'MAIN DATA, Orders'!$Y:$Y,$A17)/1000000)</f>
        <v>0</v>
      </c>
      <c r="E17" s="15" cm="1">
        <f t="array" ref="E17">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Orders'!$Y:$Y,$A17)/1000000)</f>
        <v>0</v>
      </c>
      <c r="F17" s="15" cm="1">
        <f t="array" ref="F17">SUM(SUMIFS('MAIN DATA, Orders'!$S:$S,'MAIN DATA, Orders'!$D:$D,"IFU",'MAIN DATA, Orders'!$I:$I,{"Maintenance","Development - Maintenance","Modernisation","Development - Modernisation","Other","Development - Other"},'MAIN DATA, Orders'!$Y:$Y,$A17)/1000000)</f>
        <v>0</v>
      </c>
    </row>
    <row r="18" spans="1:6" x14ac:dyDescent="0.35">
      <c r="A18" s="20">
        <v>202012</v>
      </c>
      <c r="B18" s="17">
        <v>44166</v>
      </c>
      <c r="C18" s="15" cm="1">
        <f t="array" ref="C18">SUM(SUMIFS('MAIN DATA, Orders'!$S:$S,'MAIN DATA, Orders'!$D:$D,"IFU",'MAIN DATA, Orders'!$I:$I,{"Aircraft","Development - Aircraft","Missile (Air)","Development - Missile (Air)"},'MAIN DATA, Orders'!$Y:$Y,$A18)/1000000)</f>
        <v>0</v>
      </c>
      <c r="D18" s="15" cm="1">
        <f t="array" ref="D18">SUM(SUMIFS('MAIN DATA, Orders'!$S:$S,'MAIN DATA, Orders'!$D:$D,"IFU",'MAIN DATA, Orders'!$I:$I,{"Naval","Development - Naval","Missile (Naval)","Development - Missile (Naval)"},'MAIN DATA, Orders'!$Y:$Y,$A18)/1000000)</f>
        <v>0</v>
      </c>
      <c r="E18" s="15" cm="1">
        <f t="array" ref="E18">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Orders'!$Y:$Y,$A18)/1000000)</f>
        <v>0</v>
      </c>
      <c r="F18" s="15" cm="1">
        <f t="array" ref="F18">SUM(SUMIFS('MAIN DATA, Orders'!$S:$S,'MAIN DATA, Orders'!$D:$D,"IFU",'MAIN DATA, Orders'!$I:$I,{"Maintenance","Development - Maintenance","Modernisation","Development - Modernisation","Other","Development - Other"},'MAIN DATA, Orders'!$Y:$Y,$A18)/1000000)</f>
        <v>0</v>
      </c>
    </row>
    <row r="19" spans="1:6" x14ac:dyDescent="0.35">
      <c r="A19" s="20">
        <v>202101</v>
      </c>
      <c r="B19" s="17">
        <v>44197</v>
      </c>
      <c r="C19" s="15" cm="1">
        <f t="array" ref="C19">SUM(SUMIFS('MAIN DATA, Orders'!$S:$S,'MAIN DATA, Orders'!$D:$D,"IFU",'MAIN DATA, Orders'!$I:$I,{"Aircraft","Development - Aircraft","Missile (Air)","Development - Missile (Air)"},'MAIN DATA, Orders'!$Y:$Y,$A19)/1000000)</f>
        <v>0</v>
      </c>
      <c r="D19" s="15" cm="1">
        <f t="array" ref="D19">SUM(SUMIFS('MAIN DATA, Orders'!$S:$S,'MAIN DATA, Orders'!$D:$D,"IFU",'MAIN DATA, Orders'!$I:$I,{"Naval","Development - Naval","Missile (Naval)","Development - Missile (Naval)"},'MAIN DATA, Orders'!$Y:$Y,$A19)/1000000)</f>
        <v>0</v>
      </c>
      <c r="E19" s="15" cm="1">
        <f t="array" ref="E19">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Orders'!$Y:$Y,$A19)/1000000)</f>
        <v>0</v>
      </c>
      <c r="F19" s="15" cm="1">
        <f t="array" ref="F19">SUM(SUMIFS('MAIN DATA, Orders'!$S:$S,'MAIN DATA, Orders'!$D:$D,"IFU",'MAIN DATA, Orders'!$I:$I,{"Maintenance","Development - Maintenance","Modernisation","Development - Modernisation","Other","Development - Other"},'MAIN DATA, Orders'!$Y:$Y,$A19)/1000000)</f>
        <v>0</v>
      </c>
    </row>
    <row r="20" spans="1:6" x14ac:dyDescent="0.35">
      <c r="A20" s="20">
        <v>202102</v>
      </c>
      <c r="B20" s="17">
        <v>44228</v>
      </c>
      <c r="C20" s="15" cm="1">
        <f t="array" ref="C20">SUM(SUMIFS('MAIN DATA, Orders'!$S:$S,'MAIN DATA, Orders'!$D:$D,"IFU",'MAIN DATA, Orders'!$I:$I,{"Aircraft","Development - Aircraft","Missile (Air)","Development - Missile (Air)"},'MAIN DATA, Orders'!$Y:$Y,$A20)/1000000)</f>
        <v>0</v>
      </c>
      <c r="D20" s="15" cm="1">
        <f t="array" ref="D20">SUM(SUMIFS('MAIN DATA, Orders'!$S:$S,'MAIN DATA, Orders'!$D:$D,"IFU",'MAIN DATA, Orders'!$I:$I,{"Naval","Development - Naval","Missile (Naval)","Development - Missile (Naval)"},'MAIN DATA, Orders'!$Y:$Y,$A20)/1000000)</f>
        <v>0</v>
      </c>
      <c r="E20" s="15" cm="1">
        <f t="array" ref="E20">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Orders'!$Y:$Y,$A20)/1000000)</f>
        <v>0</v>
      </c>
      <c r="F20" s="15" cm="1">
        <f t="array" ref="F20">SUM(SUMIFS('MAIN DATA, Orders'!$S:$S,'MAIN DATA, Orders'!$D:$D,"IFU",'MAIN DATA, Orders'!$I:$I,{"Maintenance","Development - Maintenance","Modernisation","Development - Modernisation","Other","Development - Other"},'MAIN DATA, Orders'!$Y:$Y,$A20)/1000000)</f>
        <v>0</v>
      </c>
    </row>
    <row r="21" spans="1:6" x14ac:dyDescent="0.35">
      <c r="A21" s="20">
        <v>202103</v>
      </c>
      <c r="B21" s="17">
        <v>44256</v>
      </c>
      <c r="C21" s="15" cm="1">
        <f t="array" ref="C21">SUM(SUMIFS('MAIN DATA, Orders'!$S:$S,'MAIN DATA, Orders'!$D:$D,"IFU",'MAIN DATA, Orders'!$I:$I,{"Aircraft","Development - Aircraft","Missile (Air)","Development - Missile (Air)"},'MAIN DATA, Orders'!$Y:$Y,$A21)/1000000)</f>
        <v>0</v>
      </c>
      <c r="D21" s="15" cm="1">
        <f t="array" ref="D21">SUM(SUMIFS('MAIN DATA, Orders'!$S:$S,'MAIN DATA, Orders'!$D:$D,"IFU",'MAIN DATA, Orders'!$I:$I,{"Naval","Development - Naval","Missile (Naval)","Development - Missile (Naval)"},'MAIN DATA, Orders'!$Y:$Y,$A21)/1000000)</f>
        <v>0</v>
      </c>
      <c r="E21" s="15" cm="1">
        <f t="array" ref="E21">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Orders'!$Y:$Y,$A21)/1000000)</f>
        <v>0</v>
      </c>
      <c r="F21" s="15" cm="1">
        <f t="array" ref="F21">SUM(SUMIFS('MAIN DATA, Orders'!$S:$S,'MAIN DATA, Orders'!$D:$D,"IFU",'MAIN DATA, Orders'!$I:$I,{"Maintenance","Development - Maintenance","Modernisation","Development - Modernisation","Other","Development - Other"},'MAIN DATA, Orders'!$Y:$Y,$A21)/1000000)</f>
        <v>0</v>
      </c>
    </row>
    <row r="22" spans="1:6" x14ac:dyDescent="0.35">
      <c r="A22" s="20">
        <v>202104</v>
      </c>
      <c r="B22" s="17">
        <v>44287</v>
      </c>
      <c r="C22" s="15" cm="1">
        <f t="array" ref="C22">SUM(SUMIFS('MAIN DATA, Orders'!$S:$S,'MAIN DATA, Orders'!$D:$D,"IFU",'MAIN DATA, Orders'!$I:$I,{"Aircraft","Development - Aircraft","Missile (Air)","Development - Missile (Air)"},'MAIN DATA, Orders'!$Y:$Y,$A22)/1000000)</f>
        <v>0</v>
      </c>
      <c r="D22" s="15" cm="1">
        <f t="array" ref="D22">SUM(SUMIFS('MAIN DATA, Orders'!$S:$S,'MAIN DATA, Orders'!$D:$D,"IFU",'MAIN DATA, Orders'!$I:$I,{"Naval","Development - Naval","Missile (Naval)","Development - Missile (Naval)"},'MAIN DATA, Orders'!$Y:$Y,$A22)/1000000)</f>
        <v>0</v>
      </c>
      <c r="E22" s="15" cm="1">
        <f t="array" ref="E22">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Orders'!$Y:$Y,$A22)/1000000)</f>
        <v>0</v>
      </c>
      <c r="F22" s="15" cm="1">
        <f t="array" ref="F22">SUM(SUMIFS('MAIN DATA, Orders'!$S:$S,'MAIN DATA, Orders'!$D:$D,"IFU",'MAIN DATA, Orders'!$I:$I,{"Maintenance","Development - Maintenance","Modernisation","Development - Modernisation","Other","Development - Other"},'MAIN DATA, Orders'!$Y:$Y,$A22)/1000000)</f>
        <v>0</v>
      </c>
    </row>
    <row r="23" spans="1:6" x14ac:dyDescent="0.35">
      <c r="A23" s="20">
        <v>202105</v>
      </c>
      <c r="B23" s="17">
        <v>44317</v>
      </c>
      <c r="C23" s="15" cm="1">
        <f t="array" ref="C23">SUM(SUMIFS('MAIN DATA, Orders'!$S:$S,'MAIN DATA, Orders'!$D:$D,"IFU",'MAIN DATA, Orders'!$I:$I,{"Aircraft","Development - Aircraft","Missile (Air)","Development - Missile (Air)"},'MAIN DATA, Orders'!$Y:$Y,$A23)/1000000)</f>
        <v>0</v>
      </c>
      <c r="D23" s="15" cm="1">
        <f t="array" ref="D23">SUM(SUMIFS('MAIN DATA, Orders'!$S:$S,'MAIN DATA, Orders'!$D:$D,"IFU",'MAIN DATA, Orders'!$I:$I,{"Naval","Development - Naval","Missile (Naval)","Development - Missile (Naval)"},'MAIN DATA, Orders'!$Y:$Y,$A23)/1000000)</f>
        <v>0</v>
      </c>
      <c r="E23" s="15" cm="1">
        <f t="array" ref="E23">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Orders'!$Y:$Y,$A23)/1000000)</f>
        <v>0</v>
      </c>
      <c r="F23" s="15" cm="1">
        <f t="array" ref="F23">SUM(SUMIFS('MAIN DATA, Orders'!$S:$S,'MAIN DATA, Orders'!$D:$D,"IFU",'MAIN DATA, Orders'!$I:$I,{"Maintenance","Development - Maintenance","Modernisation","Development - Modernisation","Other","Development - Other"},'MAIN DATA, Orders'!$Y:$Y,$A23)/1000000)</f>
        <v>0</v>
      </c>
    </row>
    <row r="24" spans="1:6" x14ac:dyDescent="0.35">
      <c r="A24" s="20">
        <v>202106</v>
      </c>
      <c r="B24" s="17">
        <v>44348</v>
      </c>
      <c r="C24" s="15" cm="1">
        <f t="array" ref="C24">SUM(SUMIFS('MAIN DATA, Orders'!$S:$S,'MAIN DATA, Orders'!$D:$D,"IFU",'MAIN DATA, Orders'!$I:$I,{"Aircraft","Development - Aircraft","Missile (Air)","Development - Missile (Air)"},'MAIN DATA, Orders'!$Y:$Y,$A24)/1000000)</f>
        <v>0</v>
      </c>
      <c r="D24" s="15" cm="1">
        <f t="array" ref="D24">SUM(SUMIFS('MAIN DATA, Orders'!$S:$S,'MAIN DATA, Orders'!$D:$D,"IFU",'MAIN DATA, Orders'!$I:$I,{"Naval","Development - Naval","Missile (Naval)","Development - Missile (Naval)"},'MAIN DATA, Orders'!$Y:$Y,$A24)/1000000)</f>
        <v>0</v>
      </c>
      <c r="E24" s="15" cm="1">
        <f t="array" ref="E24">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Orders'!$Y:$Y,$A24)/1000000)</f>
        <v>0</v>
      </c>
      <c r="F24" s="15" cm="1">
        <f t="array" ref="F24">SUM(SUMIFS('MAIN DATA, Orders'!$S:$S,'MAIN DATA, Orders'!$D:$D,"IFU",'MAIN DATA, Orders'!$I:$I,{"Maintenance","Development - Maintenance","Modernisation","Development - Modernisation","Other","Development - Other"},'MAIN DATA, Orders'!$Y:$Y,$A24)/1000000)</f>
        <v>0</v>
      </c>
    </row>
    <row r="25" spans="1:6" x14ac:dyDescent="0.35">
      <c r="A25" s="20">
        <v>202107</v>
      </c>
      <c r="B25" s="17">
        <v>44378</v>
      </c>
      <c r="C25" s="15" cm="1">
        <f t="array" ref="C25">SUM(SUMIFS('MAIN DATA, Orders'!$S:$S,'MAIN DATA, Orders'!$D:$D,"IFU",'MAIN DATA, Orders'!$I:$I,{"Aircraft","Development - Aircraft","Missile (Air)","Development - Missile (Air)"},'MAIN DATA, Orders'!$Y:$Y,$A25)/1000000)</f>
        <v>0</v>
      </c>
      <c r="D25" s="15" cm="1">
        <f t="array" ref="D25">SUM(SUMIFS('MAIN DATA, Orders'!$S:$S,'MAIN DATA, Orders'!$D:$D,"IFU",'MAIN DATA, Orders'!$I:$I,{"Naval","Development - Naval","Missile (Naval)","Development - Missile (Naval)"},'MAIN DATA, Orders'!$Y:$Y,$A25)/1000000)</f>
        <v>0</v>
      </c>
      <c r="E25" s="15" cm="1">
        <f t="array" ref="E25">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Orders'!$Y:$Y,$A25)/1000000)</f>
        <v>0</v>
      </c>
      <c r="F25" s="15" cm="1">
        <f t="array" ref="F25">SUM(SUMIFS('MAIN DATA, Orders'!$S:$S,'MAIN DATA, Orders'!$D:$D,"IFU",'MAIN DATA, Orders'!$I:$I,{"Maintenance","Development - Maintenance","Modernisation","Development - Modernisation","Other","Development - Other"},'MAIN DATA, Orders'!$Y:$Y,$A25)/1000000)</f>
        <v>0</v>
      </c>
    </row>
    <row r="26" spans="1:6" x14ac:dyDescent="0.35">
      <c r="A26" s="20">
        <v>202108</v>
      </c>
      <c r="B26" s="17">
        <v>44409</v>
      </c>
      <c r="C26" s="15" cm="1">
        <f t="array" ref="C26">SUM(SUMIFS('MAIN DATA, Orders'!$S:$S,'MAIN DATA, Orders'!$D:$D,"IFU",'MAIN DATA, Orders'!$I:$I,{"Aircraft","Development - Aircraft","Missile (Air)","Development - Missile (Air)"},'MAIN DATA, Orders'!$Y:$Y,$A26)/1000000)</f>
        <v>0</v>
      </c>
      <c r="D26" s="15" cm="1">
        <f t="array" ref="D26">SUM(SUMIFS('MAIN DATA, Orders'!$S:$S,'MAIN DATA, Orders'!$D:$D,"IFU",'MAIN DATA, Orders'!$I:$I,{"Naval","Development - Naval","Missile (Naval)","Development - Missile (Naval)"},'MAIN DATA, Orders'!$Y:$Y,$A26)/1000000)</f>
        <v>0</v>
      </c>
      <c r="E26" s="15" cm="1">
        <f t="array" ref="E26">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Orders'!$Y:$Y,$A26)/1000000)</f>
        <v>0</v>
      </c>
      <c r="F26" s="15" cm="1">
        <f t="array" ref="F26">SUM(SUMIFS('MAIN DATA, Orders'!$S:$S,'MAIN DATA, Orders'!$D:$D,"IFU",'MAIN DATA, Orders'!$I:$I,{"Maintenance","Development - Maintenance","Modernisation","Development - Modernisation","Other","Development - Other"},'MAIN DATA, Orders'!$Y:$Y,$A26)/1000000)</f>
        <v>0</v>
      </c>
    </row>
    <row r="27" spans="1:6" x14ac:dyDescent="0.35">
      <c r="A27" s="20">
        <v>202109</v>
      </c>
      <c r="B27" s="17">
        <v>44440</v>
      </c>
      <c r="C27" s="15" cm="1">
        <f t="array" ref="C27">SUM(SUMIFS('MAIN DATA, Orders'!$S:$S,'MAIN DATA, Orders'!$D:$D,"IFU",'MAIN DATA, Orders'!$I:$I,{"Aircraft","Development - Aircraft","Missile (Air)","Development - Missile (Air)"},'MAIN DATA, Orders'!$Y:$Y,$A27)/1000000)</f>
        <v>0</v>
      </c>
      <c r="D27" s="15" cm="1">
        <f t="array" ref="D27">SUM(SUMIFS('MAIN DATA, Orders'!$S:$S,'MAIN DATA, Orders'!$D:$D,"IFU",'MAIN DATA, Orders'!$I:$I,{"Naval","Development - Naval","Missile (Naval)","Development - Missile (Naval)"},'MAIN DATA, Orders'!$Y:$Y,$A27)/1000000)</f>
        <v>0</v>
      </c>
      <c r="E27" s="15" cm="1">
        <f t="array" ref="E27">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Orders'!$Y:$Y,$A27)/1000000)</f>
        <v>0</v>
      </c>
      <c r="F27" s="15" cm="1">
        <f t="array" ref="F27">SUM(SUMIFS('MAIN DATA, Orders'!$S:$S,'MAIN DATA, Orders'!$D:$D,"IFU",'MAIN DATA, Orders'!$I:$I,{"Maintenance","Development - Maintenance","Modernisation","Development - Modernisation","Other","Development - Other"},'MAIN DATA, Orders'!$Y:$Y,$A27)/1000000)</f>
        <v>0</v>
      </c>
    </row>
    <row r="28" spans="1:6" x14ac:dyDescent="0.35">
      <c r="A28" s="20">
        <v>202110</v>
      </c>
      <c r="B28" s="17">
        <v>44470</v>
      </c>
      <c r="C28" s="15" cm="1">
        <f t="array" ref="C28">SUM(SUMIFS('MAIN DATA, Orders'!$S:$S,'MAIN DATA, Orders'!$D:$D,"IFU",'MAIN DATA, Orders'!$I:$I,{"Aircraft","Development - Aircraft","Missile (Air)","Development - Missile (Air)"},'MAIN DATA, Orders'!$Y:$Y,$A28)/1000000)</f>
        <v>0</v>
      </c>
      <c r="D28" s="15" cm="1">
        <f t="array" ref="D28">SUM(SUMIFS('MAIN DATA, Orders'!$S:$S,'MAIN DATA, Orders'!$D:$D,"IFU",'MAIN DATA, Orders'!$I:$I,{"Naval","Development - Naval","Missile (Naval)","Development - Missile (Naval)"},'MAIN DATA, Orders'!$Y:$Y,$A28)/1000000)</f>
        <v>0</v>
      </c>
      <c r="E28" s="15" cm="1">
        <f t="array" ref="E28">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Orders'!$Y:$Y,$A28)/1000000)</f>
        <v>0</v>
      </c>
      <c r="F28" s="15" cm="1">
        <f t="array" ref="F28">SUM(SUMIFS('MAIN DATA, Orders'!$S:$S,'MAIN DATA, Orders'!$D:$D,"IFU",'MAIN DATA, Orders'!$I:$I,{"Maintenance","Development - Maintenance","Modernisation","Development - Modernisation","Other","Development - Other"},'MAIN DATA, Orders'!$Y:$Y,$A28)/1000000)</f>
        <v>0</v>
      </c>
    </row>
    <row r="29" spans="1:6" x14ac:dyDescent="0.35">
      <c r="A29" s="20">
        <v>202111</v>
      </c>
      <c r="B29" s="17">
        <v>44501</v>
      </c>
      <c r="C29" s="15" cm="1">
        <f t="array" ref="C29">SUM(SUMIFS('MAIN DATA, Orders'!$S:$S,'MAIN DATA, Orders'!$D:$D,"IFU",'MAIN DATA, Orders'!$I:$I,{"Aircraft","Development - Aircraft","Missile (Air)","Development - Missile (Air)"},'MAIN DATA, Orders'!$Y:$Y,$A29)/1000000)</f>
        <v>0</v>
      </c>
      <c r="D29" s="15" cm="1">
        <f t="array" ref="D29">SUM(SUMIFS('MAIN DATA, Orders'!$S:$S,'MAIN DATA, Orders'!$D:$D,"IFU",'MAIN DATA, Orders'!$I:$I,{"Naval","Development - Naval","Missile (Naval)","Development - Missile (Naval)"},'MAIN DATA, Orders'!$Y:$Y,$A29)/1000000)</f>
        <v>0</v>
      </c>
      <c r="E29" s="15" cm="1">
        <f t="array" ref="E29">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Orders'!$Y:$Y,$A29)/1000000)</f>
        <v>0</v>
      </c>
      <c r="F29" s="15" cm="1">
        <f t="array" ref="F29">SUM(SUMIFS('MAIN DATA, Orders'!$S:$S,'MAIN DATA, Orders'!$D:$D,"IFU",'MAIN DATA, Orders'!$I:$I,{"Maintenance","Development - Maintenance","Modernisation","Development - Modernisation","Other","Development - Other"},'MAIN DATA, Orders'!$Y:$Y,$A29)/1000000)</f>
        <v>0</v>
      </c>
    </row>
    <row r="30" spans="1:6" x14ac:dyDescent="0.35">
      <c r="A30" s="20">
        <v>202112</v>
      </c>
      <c r="B30" s="17">
        <v>44531</v>
      </c>
      <c r="C30" s="15" cm="1">
        <f t="array" ref="C30">SUM(SUMIFS('MAIN DATA, Orders'!$S:$S,'MAIN DATA, Orders'!$D:$D,"IFU",'MAIN DATA, Orders'!$I:$I,{"Aircraft","Development - Aircraft","Missile (Air)","Development - Missile (Air)"},'MAIN DATA, Orders'!$Y:$Y,$A30)/1000000)</f>
        <v>0</v>
      </c>
      <c r="D30" s="15" cm="1">
        <f t="array" ref="D30">SUM(SUMIFS('MAIN DATA, Orders'!$S:$S,'MAIN DATA, Orders'!$D:$D,"IFU",'MAIN DATA, Orders'!$I:$I,{"Naval","Development - Naval","Missile (Naval)","Development - Missile (Naval)"},'MAIN DATA, Orders'!$Y:$Y,$A30)/1000000)</f>
        <v>0</v>
      </c>
      <c r="E30" s="15" cm="1">
        <f t="array" ref="E30">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Orders'!$Y:$Y,$A30)/1000000)</f>
        <v>0</v>
      </c>
      <c r="F30" s="15" cm="1">
        <f t="array" ref="F30">SUM(SUMIFS('MAIN DATA, Orders'!$S:$S,'MAIN DATA, Orders'!$D:$D,"IFU",'MAIN DATA, Orders'!$I:$I,{"Maintenance","Development - Maintenance","Modernisation","Development - Modernisation","Other","Development - Other"},'MAIN DATA, Orders'!$Y:$Y,$A30)/1000000)</f>
        <v>0</v>
      </c>
    </row>
    <row r="31" spans="1:6" x14ac:dyDescent="0.35">
      <c r="A31" s="20">
        <v>202201</v>
      </c>
      <c r="B31" s="17">
        <v>44562</v>
      </c>
      <c r="C31" s="15" cm="1">
        <f t="array" ref="C31">SUM(SUMIFS('MAIN DATA, Orders'!$S:$S,'MAIN DATA, Orders'!$D:$D,"IFU",'MAIN DATA, Orders'!$I:$I,{"Aircraft","Development - Aircraft","Missile (Air)","Development - Missile (Air)"},'MAIN DATA, Orders'!$Y:$Y,$A31)/1000000)</f>
        <v>0</v>
      </c>
      <c r="D31" s="15" cm="1">
        <f t="array" ref="D31">SUM(SUMIFS('MAIN DATA, Orders'!$S:$S,'MAIN DATA, Orders'!$D:$D,"IFU",'MAIN DATA, Orders'!$I:$I,{"Naval","Development - Naval","Missile (Naval)","Development - Missile (Naval)"},'MAIN DATA, Orders'!$Y:$Y,$A31)/1000000)</f>
        <v>0</v>
      </c>
      <c r="E31" s="15" cm="1">
        <f t="array" ref="E31">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Orders'!$Y:$Y,$A31)/1000000)</f>
        <v>0</v>
      </c>
      <c r="F31" s="15" cm="1">
        <f t="array" ref="F31">SUM(SUMIFS('MAIN DATA, Orders'!$S:$S,'MAIN DATA, Orders'!$D:$D,"IFU",'MAIN DATA, Orders'!$I:$I,{"Maintenance","Development - Maintenance","Modernisation","Development - Modernisation","Other","Development - Other"},'MAIN DATA, Orders'!$Y:$Y,$A31)/1000000)</f>
        <v>0</v>
      </c>
    </row>
    <row r="32" spans="1:6" x14ac:dyDescent="0.35">
      <c r="A32" s="20">
        <v>202202</v>
      </c>
      <c r="B32" s="17">
        <v>44593</v>
      </c>
      <c r="C32" s="15" cm="1">
        <f t="array" ref="C32">SUM(SUMIFS('MAIN DATA, Orders'!$S:$S,'MAIN DATA, Orders'!$D:$D,"IFU",'MAIN DATA, Orders'!$I:$I,{"Aircraft","Development - Aircraft","Missile (Air)","Development - Missile (Air)"},'MAIN DATA, Orders'!$Y:$Y,$A32)/1000000)</f>
        <v>0</v>
      </c>
      <c r="D32" s="15" cm="1">
        <f t="array" ref="D32">SUM(SUMIFS('MAIN DATA, Orders'!$S:$S,'MAIN DATA, Orders'!$D:$D,"IFU",'MAIN DATA, Orders'!$I:$I,{"Naval","Development - Naval","Missile (Naval)","Development - Missile (Naval)"},'MAIN DATA, Orders'!$Y:$Y,$A32)/1000000)</f>
        <v>0</v>
      </c>
      <c r="E32" s="15" cm="1">
        <f t="array" ref="E32">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Orders'!$Y:$Y,$A32)/1000000)</f>
        <v>0</v>
      </c>
      <c r="F32" s="15" cm="1">
        <f t="array" ref="F32">SUM(SUMIFS('MAIN DATA, Orders'!$S:$S,'MAIN DATA, Orders'!$D:$D,"IFU",'MAIN DATA, Orders'!$I:$I,{"Maintenance","Development - Maintenance","Modernisation","Development - Modernisation","Other","Development - Other"},'MAIN DATA, Orders'!$Y:$Y,$A32)/1000000)</f>
        <v>0</v>
      </c>
    </row>
    <row r="33" spans="1:6" x14ac:dyDescent="0.35">
      <c r="A33" s="20">
        <v>202203</v>
      </c>
      <c r="B33" s="17">
        <v>44621</v>
      </c>
      <c r="C33" s="15" cm="1">
        <f t="array" ref="C33">SUM(SUMIFS('MAIN DATA, Orders'!$S:$S,'MAIN DATA, Orders'!$D:$D,"IFU",'MAIN DATA, Orders'!$I:$I,{"Aircraft","Development - Aircraft","Missile (Air)","Development - Missile (Air)"},'MAIN DATA, Orders'!$Y:$Y,$A33)/1000000)</f>
        <v>0</v>
      </c>
      <c r="D33" s="15" cm="1">
        <f t="array" ref="D33">SUM(SUMIFS('MAIN DATA, Orders'!$S:$S,'MAIN DATA, Orders'!$D:$D,"IFU",'MAIN DATA, Orders'!$I:$I,{"Naval","Development - Naval","Missile (Naval)","Development - Missile (Naval)"},'MAIN DATA, Orders'!$Y:$Y,$A33)/1000000)</f>
        <v>0</v>
      </c>
      <c r="E33" s="15" cm="1">
        <f t="array" ref="E33">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Orders'!$Y:$Y,$A33)/1000000)</f>
        <v>0</v>
      </c>
      <c r="F33" s="15" cm="1">
        <f t="array" ref="F33">SUM(SUMIFS('MAIN DATA, Orders'!$S:$S,'MAIN DATA, Orders'!$D:$D,"IFU",'MAIN DATA, Orders'!$I:$I,{"Maintenance","Development - Maintenance","Modernisation","Development - Modernisation","Other","Development - Other"},'MAIN DATA, Orders'!$Y:$Y,$A33)/1000000)</f>
        <v>0</v>
      </c>
    </row>
    <row r="34" spans="1:6" x14ac:dyDescent="0.35">
      <c r="A34" s="20">
        <v>202204</v>
      </c>
      <c r="B34" s="17">
        <v>44652</v>
      </c>
      <c r="C34" s="15" cm="1">
        <f t="array" ref="C34">SUM(SUMIFS('MAIN DATA, Orders'!$S:$S,'MAIN DATA, Orders'!$D:$D,"IFU",'MAIN DATA, Orders'!$I:$I,{"Aircraft","Development - Aircraft","Missile (Air)","Development - Missile (Air)"},'MAIN DATA, Orders'!$Y:$Y,$A34)/1000000)</f>
        <v>0</v>
      </c>
      <c r="D34" s="15" cm="1">
        <f t="array" ref="D34">SUM(SUMIFS('MAIN DATA, Orders'!$S:$S,'MAIN DATA, Orders'!$D:$D,"IFU",'MAIN DATA, Orders'!$I:$I,{"Naval","Development - Naval","Missile (Naval)","Development - Missile (Naval)"},'MAIN DATA, Orders'!$Y:$Y,$A34)/1000000)</f>
        <v>0</v>
      </c>
      <c r="E34" s="15" cm="1">
        <f t="array" ref="E34">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Orders'!$Y:$Y,$A34)/1000000)</f>
        <v>0</v>
      </c>
      <c r="F34" s="15" cm="1">
        <f t="array" ref="F34">SUM(SUMIFS('MAIN DATA, Orders'!$S:$S,'MAIN DATA, Orders'!$D:$D,"IFU",'MAIN DATA, Orders'!$I:$I,{"Maintenance","Development - Maintenance","Modernisation","Development - Modernisation","Other","Development - Other"},'MAIN DATA, Orders'!$Y:$Y,$A34)/1000000)</f>
        <v>0</v>
      </c>
    </row>
    <row r="35" spans="1:6" x14ac:dyDescent="0.35">
      <c r="A35" s="20">
        <v>202205</v>
      </c>
      <c r="B35" s="17">
        <v>44682</v>
      </c>
      <c r="C35" s="15" cm="1">
        <f t="array" ref="C35">SUM(SUMIFS('MAIN DATA, Orders'!$S:$S,'MAIN DATA, Orders'!$D:$D,"IFU",'MAIN DATA, Orders'!$I:$I,{"Aircraft","Development - Aircraft","Missile (Air)","Development - Missile (Air)"},'MAIN DATA, Orders'!$Y:$Y,$A35)/1000000)</f>
        <v>0</v>
      </c>
      <c r="D35" s="15" cm="1">
        <f t="array" ref="D35">SUM(SUMIFS('MAIN DATA, Orders'!$S:$S,'MAIN DATA, Orders'!$D:$D,"IFU",'MAIN DATA, Orders'!$I:$I,{"Naval","Development - Naval","Missile (Naval)","Development - Missile (Naval)"},'MAIN DATA, Orders'!$Y:$Y,$A35)/1000000)</f>
        <v>0</v>
      </c>
      <c r="E35" s="15" cm="1">
        <f t="array" ref="E35">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Orders'!$Y:$Y,$A35)/1000000)</f>
        <v>0</v>
      </c>
      <c r="F35" s="15" cm="1">
        <f t="array" ref="F35">SUM(SUMIFS('MAIN DATA, Orders'!$S:$S,'MAIN DATA, Orders'!$D:$D,"IFU",'MAIN DATA, Orders'!$I:$I,{"Maintenance","Development - Maintenance","Modernisation","Development - Modernisation","Other","Development - Other"},'MAIN DATA, Orders'!$Y:$Y,$A35)/1000000)</f>
        <v>0</v>
      </c>
    </row>
    <row r="36" spans="1:6" x14ac:dyDescent="0.35">
      <c r="A36" s="20">
        <v>202206</v>
      </c>
      <c r="B36" s="17">
        <v>44713</v>
      </c>
      <c r="C36" s="15" cm="1">
        <f t="array" ref="C36">SUM(SUMIFS('MAIN DATA, Orders'!$S:$S,'MAIN DATA, Orders'!$D:$D,"IFU",'MAIN DATA, Orders'!$I:$I,{"Aircraft","Development - Aircraft","Missile (Air)","Development - Missile (Air)"},'MAIN DATA, Orders'!$Y:$Y,$A36)/1000000)</f>
        <v>0</v>
      </c>
      <c r="D36" s="15" cm="1">
        <f t="array" ref="D36">SUM(SUMIFS('MAIN DATA, Orders'!$S:$S,'MAIN DATA, Orders'!$D:$D,"IFU",'MAIN DATA, Orders'!$I:$I,{"Naval","Development - Naval","Missile (Naval)","Development - Missile (Naval)"},'MAIN DATA, Orders'!$Y:$Y,$A36)/1000000)</f>
        <v>0</v>
      </c>
      <c r="E36" s="15" cm="1">
        <f t="array" ref="E36">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Orders'!$Y:$Y,$A36)/1000000)</f>
        <v>0</v>
      </c>
      <c r="F36" s="15" cm="1">
        <f t="array" ref="F36">SUM(SUMIFS('MAIN DATA, Orders'!$S:$S,'MAIN DATA, Orders'!$D:$D,"IFU",'MAIN DATA, Orders'!$I:$I,{"Maintenance","Development - Maintenance","Modernisation","Development - Modernisation","Other","Development - Other"},'MAIN DATA, Orders'!$Y:$Y,$A36)/1000000)</f>
        <v>0</v>
      </c>
    </row>
    <row r="37" spans="1:6" x14ac:dyDescent="0.35">
      <c r="A37" s="20">
        <v>202207</v>
      </c>
      <c r="B37" s="17">
        <v>44743</v>
      </c>
      <c r="C37" s="15" cm="1">
        <f t="array" ref="C37">SUM(SUMIFS('MAIN DATA, Orders'!$S:$S,'MAIN DATA, Orders'!$D:$D,"IFU",'MAIN DATA, Orders'!$I:$I,{"Aircraft","Development - Aircraft","Missile (Air)","Development - Missile (Air)"},'MAIN DATA, Orders'!$Y:$Y,$A37)/1000000)</f>
        <v>0</v>
      </c>
      <c r="D37" s="15" cm="1">
        <f t="array" ref="D37">SUM(SUMIFS('MAIN DATA, Orders'!$S:$S,'MAIN DATA, Orders'!$D:$D,"IFU",'MAIN DATA, Orders'!$I:$I,{"Naval","Development - Naval","Missile (Naval)","Development - Missile (Naval)"},'MAIN DATA, Orders'!$Y:$Y,$A37)/1000000)</f>
        <v>0</v>
      </c>
      <c r="E37" s="15" cm="1">
        <f t="array" ref="E37">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Orders'!$Y:$Y,$A37)/1000000)</f>
        <v>0</v>
      </c>
      <c r="F37" s="15" cm="1">
        <f t="array" ref="F37">SUM(SUMIFS('MAIN DATA, Orders'!$S:$S,'MAIN DATA, Orders'!$D:$D,"IFU",'MAIN DATA, Orders'!$I:$I,{"Maintenance","Development - Maintenance","Modernisation","Development - Modernisation","Other","Development - Other"},'MAIN DATA, Orders'!$Y:$Y,$A37)/1000000)</f>
        <v>0</v>
      </c>
    </row>
    <row r="38" spans="1:6" x14ac:dyDescent="0.35">
      <c r="A38" s="20">
        <v>202208</v>
      </c>
      <c r="B38" s="17">
        <v>44774</v>
      </c>
      <c r="C38" s="15" cm="1">
        <f t="array" ref="C38">SUM(SUMIFS('MAIN DATA, Orders'!$S:$S,'MAIN DATA, Orders'!$D:$D,"IFU",'MAIN DATA, Orders'!$I:$I,{"Aircraft","Development - Aircraft","Missile (Air)","Development - Missile (Air)"},'MAIN DATA, Orders'!$Y:$Y,$A38)/1000000)</f>
        <v>0</v>
      </c>
      <c r="D38" s="15" cm="1">
        <f t="array" ref="D38">SUM(SUMIFS('MAIN DATA, Orders'!$S:$S,'MAIN DATA, Orders'!$D:$D,"IFU",'MAIN DATA, Orders'!$I:$I,{"Naval","Development - Naval","Missile (Naval)","Development - Missile (Naval)"},'MAIN DATA, Orders'!$Y:$Y,$A38)/1000000)</f>
        <v>0</v>
      </c>
      <c r="E38" s="15" cm="1">
        <f t="array" ref="E38">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Orders'!$Y:$Y,$A38)/1000000)</f>
        <v>0</v>
      </c>
      <c r="F38" s="15" cm="1">
        <f t="array" ref="F38">SUM(SUMIFS('MAIN DATA, Orders'!$S:$S,'MAIN DATA, Orders'!$D:$D,"IFU",'MAIN DATA, Orders'!$I:$I,{"Maintenance","Development - Maintenance","Modernisation","Development - Modernisation","Other","Development - Other"},'MAIN DATA, Orders'!$Y:$Y,$A38)/1000000)</f>
        <v>0</v>
      </c>
    </row>
    <row r="39" spans="1:6" x14ac:dyDescent="0.35">
      <c r="A39" s="20">
        <v>202209</v>
      </c>
      <c r="B39" s="17">
        <v>44805</v>
      </c>
      <c r="C39" s="15" cm="1">
        <f t="array" ref="C39">SUM(SUMIFS('MAIN DATA, Orders'!$S:$S,'MAIN DATA, Orders'!$D:$D,"IFU",'MAIN DATA, Orders'!$I:$I,{"Aircraft","Development - Aircraft","Missile (Air)","Development - Missile (Air)"},'MAIN DATA, Orders'!$Y:$Y,$A39)/1000000)</f>
        <v>0</v>
      </c>
      <c r="D39" s="15" cm="1">
        <f t="array" ref="D39">SUM(SUMIFS('MAIN DATA, Orders'!$S:$S,'MAIN DATA, Orders'!$D:$D,"IFU",'MAIN DATA, Orders'!$I:$I,{"Naval","Development - Naval","Missile (Naval)","Development - Missile (Naval)"},'MAIN DATA, Orders'!$Y:$Y,$A39)/1000000)</f>
        <v>0</v>
      </c>
      <c r="E39" s="15" cm="1">
        <f t="array" ref="E39">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Orders'!$Y:$Y,$A39)/1000000)</f>
        <v>0</v>
      </c>
      <c r="F39" s="15" cm="1">
        <f t="array" ref="F39">SUM(SUMIFS('MAIN DATA, Orders'!$S:$S,'MAIN DATA, Orders'!$D:$D,"IFU",'MAIN DATA, Orders'!$I:$I,{"Maintenance","Development - Maintenance","Modernisation","Development - Modernisation","Other","Development - Other"},'MAIN DATA, Orders'!$Y:$Y,$A39)/1000000)</f>
        <v>0</v>
      </c>
    </row>
    <row r="40" spans="1:6" x14ac:dyDescent="0.35">
      <c r="A40" s="20">
        <v>202210</v>
      </c>
      <c r="B40" s="17">
        <v>44835</v>
      </c>
      <c r="C40" s="15" cm="1">
        <f t="array" ref="C40">SUM(SUMIFS('MAIN DATA, Orders'!$S:$S,'MAIN DATA, Orders'!$D:$D,"IFU",'MAIN DATA, Orders'!$I:$I,{"Aircraft","Development - Aircraft","Missile (Air)","Development - Missile (Air)"},'MAIN DATA, Orders'!$Y:$Y,$A40)/1000000)</f>
        <v>0</v>
      </c>
      <c r="D40" s="15" cm="1">
        <f t="array" ref="D40">SUM(SUMIFS('MAIN DATA, Orders'!$S:$S,'MAIN DATA, Orders'!$D:$D,"IFU",'MAIN DATA, Orders'!$I:$I,{"Naval","Development - Naval","Missile (Naval)","Development - Missile (Naval)"},'MAIN DATA, Orders'!$Y:$Y,$A40)/1000000)</f>
        <v>0</v>
      </c>
      <c r="E40" s="15" cm="1">
        <f t="array" ref="E40">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Orders'!$Y:$Y,$A40)/1000000)</f>
        <v>0</v>
      </c>
      <c r="F40" s="15" cm="1">
        <f t="array" ref="F40">SUM(SUMIFS('MAIN DATA, Orders'!$S:$S,'MAIN DATA, Orders'!$D:$D,"IFU",'MAIN DATA, Orders'!$I:$I,{"Maintenance","Development - Maintenance","Modernisation","Development - Modernisation","Other","Development - Other"},'MAIN DATA, Orders'!$Y:$Y,$A40)/1000000)</f>
        <v>0</v>
      </c>
    </row>
    <row r="41" spans="1:6" x14ac:dyDescent="0.35">
      <c r="A41" s="20">
        <v>202211</v>
      </c>
      <c r="B41" s="17">
        <v>44866</v>
      </c>
      <c r="C41" s="15" cm="1">
        <f t="array" ref="C41">SUM(SUMIFS('MAIN DATA, Orders'!$S:$S,'MAIN DATA, Orders'!$D:$D,"IFU",'MAIN DATA, Orders'!$I:$I,{"Aircraft","Development - Aircraft","Missile (Air)","Development - Missile (Air)"},'MAIN DATA, Orders'!$Y:$Y,$A41)/1000000)</f>
        <v>0</v>
      </c>
      <c r="D41" s="15" cm="1">
        <f t="array" ref="D41">SUM(SUMIFS('MAIN DATA, Orders'!$S:$S,'MAIN DATA, Orders'!$D:$D,"IFU",'MAIN DATA, Orders'!$I:$I,{"Naval","Development - Naval","Missile (Naval)","Development - Missile (Naval)"},'MAIN DATA, Orders'!$Y:$Y,$A41)/1000000)</f>
        <v>0</v>
      </c>
      <c r="E41" s="15" cm="1">
        <f t="array" ref="E41">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Orders'!$Y:$Y,$A41)/1000000)</f>
        <v>0</v>
      </c>
      <c r="F41" s="15" cm="1">
        <f t="array" ref="F41">SUM(SUMIFS('MAIN DATA, Orders'!$S:$S,'MAIN DATA, Orders'!$D:$D,"IFU",'MAIN DATA, Orders'!$I:$I,{"Maintenance","Development - Maintenance","Modernisation","Development - Modernisation","Other","Development - Other"},'MAIN DATA, Orders'!$Y:$Y,$A41)/1000000)</f>
        <v>0</v>
      </c>
    </row>
    <row r="42" spans="1:6" x14ac:dyDescent="0.35">
      <c r="A42" s="20">
        <v>202212</v>
      </c>
      <c r="B42" s="17">
        <v>44896</v>
      </c>
      <c r="C42" s="15" cm="1">
        <f t="array" ref="C42">SUM(SUMIFS('MAIN DATA, Orders'!$S:$S,'MAIN DATA, Orders'!$D:$D,"IFU",'MAIN DATA, Orders'!$I:$I,{"Aircraft","Development - Aircraft","Missile (Air)","Development - Missile (Air)"},'MAIN DATA, Orders'!$Y:$Y,$A42)/1000000)</f>
        <v>0</v>
      </c>
      <c r="D42" s="15" cm="1">
        <f t="array" ref="D42">SUM(SUMIFS('MAIN DATA, Orders'!$S:$S,'MAIN DATA, Orders'!$D:$D,"IFU",'MAIN DATA, Orders'!$I:$I,{"Naval","Development - Naval","Missile (Naval)","Development - Missile (Naval)"},'MAIN DATA, Orders'!$Y:$Y,$A42)/1000000)</f>
        <v>0</v>
      </c>
      <c r="E42" s="15" cm="1">
        <f t="array" ref="E42">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Orders'!$Y:$Y,$A42)/1000000)</f>
        <v>0</v>
      </c>
      <c r="F42" s="15" cm="1">
        <f t="array" ref="F42">SUM(SUMIFS('MAIN DATA, Orders'!$S:$S,'MAIN DATA, Orders'!$D:$D,"IFU",'MAIN DATA, Orders'!$I:$I,{"Maintenance","Development - Maintenance","Modernisation","Development - Modernisation","Other","Development - Other"},'MAIN DATA, Orders'!$Y:$Y,$A42)/1000000)</f>
        <v>0</v>
      </c>
    </row>
    <row r="43" spans="1:6" x14ac:dyDescent="0.35">
      <c r="A43" s="20">
        <v>202301</v>
      </c>
      <c r="B43" s="17">
        <v>44927</v>
      </c>
      <c r="C43" s="15" cm="1">
        <f t="array" ref="C43">SUM(SUMIFS('MAIN DATA, Orders'!$S:$S,'MAIN DATA, Orders'!$D:$D,"IFU",'MAIN DATA, Orders'!$I:$I,{"Aircraft","Development - Aircraft","Missile (Air)","Development - Missile (Air)"},'MAIN DATA, Orders'!$Y:$Y,$A43)/1000000)</f>
        <v>0</v>
      </c>
      <c r="D43" s="15" cm="1">
        <f t="array" ref="D43">SUM(SUMIFS('MAIN DATA, Orders'!$S:$S,'MAIN DATA, Orders'!$D:$D,"IFU",'MAIN DATA, Orders'!$I:$I,{"Naval","Development - Naval","Missile (Naval)","Development - Missile (Naval)"},'MAIN DATA, Orders'!$Y:$Y,$A43)/1000000)</f>
        <v>0</v>
      </c>
      <c r="E43" s="15" cm="1">
        <f t="array" ref="E43">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Orders'!$Y:$Y,$A43)/1000000)</f>
        <v>0</v>
      </c>
      <c r="F43" s="15" cm="1">
        <f t="array" ref="F43">SUM(SUMIFS('MAIN DATA, Orders'!$S:$S,'MAIN DATA, Orders'!$D:$D,"IFU",'MAIN DATA, Orders'!$I:$I,{"Maintenance","Development - Maintenance","Modernisation","Development - Modernisation","Other","Development - Other"},'MAIN DATA, Orders'!$Y:$Y,$A43)/1000000)</f>
        <v>0</v>
      </c>
    </row>
    <row r="44" spans="1:6" x14ac:dyDescent="0.35">
      <c r="A44" s="20">
        <v>202302</v>
      </c>
      <c r="B44" s="17">
        <v>44958</v>
      </c>
      <c r="C44" s="15" cm="1">
        <f t="array" ref="C44">SUM(SUMIFS('MAIN DATA, Orders'!$S:$S,'MAIN DATA, Orders'!$D:$D,"IFU",'MAIN DATA, Orders'!$I:$I,{"Aircraft","Development - Aircraft","Missile (Air)","Development - Missile (Air)"},'MAIN DATA, Orders'!$Y:$Y,$A44)/1000000)</f>
        <v>0</v>
      </c>
      <c r="D44" s="15" cm="1">
        <f t="array" ref="D44">SUM(SUMIFS('MAIN DATA, Orders'!$S:$S,'MAIN DATA, Orders'!$D:$D,"IFU",'MAIN DATA, Orders'!$I:$I,{"Naval","Development - Naval","Missile (Naval)","Development - Missile (Naval)"},'MAIN DATA, Orders'!$Y:$Y,$A44)/1000000)</f>
        <v>0</v>
      </c>
      <c r="E44" s="15" cm="1">
        <f t="array" ref="E44">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Orders'!$Y:$Y,$A44)/1000000)</f>
        <v>0</v>
      </c>
      <c r="F44" s="15" cm="1">
        <f t="array" ref="F44">SUM(SUMIFS('MAIN DATA, Orders'!$S:$S,'MAIN DATA, Orders'!$D:$D,"IFU",'MAIN DATA, Orders'!$I:$I,{"Maintenance","Development - Maintenance","Modernisation","Development - Modernisation","Other","Development - Other"},'MAIN DATA, Orders'!$Y:$Y,$A44)/1000000)</f>
        <v>200</v>
      </c>
    </row>
    <row r="45" spans="1:6" x14ac:dyDescent="0.35">
      <c r="A45" s="20">
        <v>202303</v>
      </c>
      <c r="B45" s="17">
        <v>44986</v>
      </c>
      <c r="C45" s="15" cm="1">
        <f t="array" ref="C45">SUM(SUMIFS('MAIN DATA, Orders'!$S:$S,'MAIN DATA, Orders'!$D:$D,"IFU",'MAIN DATA, Orders'!$I:$I,{"Aircraft","Development - Aircraft","Missile (Air)","Development - Missile (Air)"},'MAIN DATA, Orders'!$Y:$Y,$A45)/1000000)</f>
        <v>0</v>
      </c>
      <c r="D45" s="15" cm="1">
        <f t="array" ref="D45">SUM(SUMIFS('MAIN DATA, Orders'!$S:$S,'MAIN DATA, Orders'!$D:$D,"IFU",'MAIN DATA, Orders'!$I:$I,{"Naval","Development - Naval","Missile (Naval)","Development - Missile (Naval)"},'MAIN DATA, Orders'!$Y:$Y,$A45)/1000000)</f>
        <v>0</v>
      </c>
      <c r="E45" s="15" cm="1">
        <f t="array" ref="E45">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Orders'!$Y:$Y,$A45)/1000000)</f>
        <v>0</v>
      </c>
      <c r="F45" s="15" cm="1">
        <f t="array" ref="F45">SUM(SUMIFS('MAIN DATA, Orders'!$S:$S,'MAIN DATA, Orders'!$D:$D,"IFU",'MAIN DATA, Orders'!$I:$I,{"Maintenance","Development - Maintenance","Modernisation","Development - Modernisation","Other","Development - Other"},'MAIN DATA, Orders'!$Y:$Y,$A45)/1000000)</f>
        <v>0</v>
      </c>
    </row>
    <row r="46" spans="1:6" x14ac:dyDescent="0.35">
      <c r="A46" s="20">
        <v>202304</v>
      </c>
      <c r="B46" s="17">
        <v>45017</v>
      </c>
      <c r="C46" s="15" cm="1">
        <f t="array" ref="C46">SUM(SUMIFS('MAIN DATA, Orders'!$S:$S,'MAIN DATA, Orders'!$D:$D,"IFU",'MAIN DATA, Orders'!$I:$I,{"Aircraft","Development - Aircraft","Missile (Air)","Development - Missile (Air)"},'MAIN DATA, Orders'!$Y:$Y,$A46)/1000000)</f>
        <v>0</v>
      </c>
      <c r="D46" s="15" cm="1">
        <f t="array" ref="D46">SUM(SUMIFS('MAIN DATA, Orders'!$S:$S,'MAIN DATA, Orders'!$D:$D,"IFU",'MAIN DATA, Orders'!$I:$I,{"Naval","Development - Naval","Missile (Naval)","Development - Missile (Naval)"},'MAIN DATA, Orders'!$Y:$Y,$A46)/1000000)</f>
        <v>0</v>
      </c>
      <c r="E46" s="15" cm="1">
        <f t="array" ref="E46">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Orders'!$Y:$Y,$A46)/1000000)</f>
        <v>0</v>
      </c>
      <c r="F46" s="15" cm="1">
        <f t="array" ref="F46">SUM(SUMIFS('MAIN DATA, Orders'!$S:$S,'MAIN DATA, Orders'!$D:$D,"IFU",'MAIN DATA, Orders'!$I:$I,{"Maintenance","Development - Maintenance","Modernisation","Development - Modernisation","Other","Development - Other"},'MAIN DATA, Orders'!$Y:$Y,$A46)/1000000)</f>
        <v>0</v>
      </c>
    </row>
    <row r="47" spans="1:6" x14ac:dyDescent="0.35">
      <c r="A47" s="20">
        <v>202305</v>
      </c>
      <c r="B47" s="17">
        <v>45047</v>
      </c>
      <c r="C47" s="15" cm="1">
        <f t="array" ref="C47">SUM(SUMIFS('MAIN DATA, Orders'!$S:$S,'MAIN DATA, Orders'!$D:$D,"IFU",'MAIN DATA, Orders'!$I:$I,{"Aircraft","Development - Aircraft","Missile (Air)","Development - Missile (Air)"},'MAIN DATA, Orders'!$Y:$Y,$A47)/1000000)</f>
        <v>0</v>
      </c>
      <c r="D47" s="15" cm="1">
        <f t="array" ref="D47">SUM(SUMIFS('MAIN DATA, Orders'!$S:$S,'MAIN DATA, Orders'!$D:$D,"IFU",'MAIN DATA, Orders'!$I:$I,{"Naval","Development - Naval","Missile (Naval)","Development - Missile (Naval)"},'MAIN DATA, Orders'!$Y:$Y,$A47)/1000000)</f>
        <v>0</v>
      </c>
      <c r="E47" s="15" cm="1">
        <f t="array" ref="E47">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Orders'!$Y:$Y,$A47)/1000000)</f>
        <v>0</v>
      </c>
      <c r="F47" s="15" cm="1">
        <f t="array" ref="F47">SUM(SUMIFS('MAIN DATA, Orders'!$S:$S,'MAIN DATA, Orders'!$D:$D,"IFU",'MAIN DATA, Orders'!$I:$I,{"Maintenance","Development - Maintenance","Modernisation","Development - Modernisation","Other","Development - Other"},'MAIN DATA, Orders'!$Y:$Y,$A47)/1000000)</f>
        <v>0</v>
      </c>
    </row>
    <row r="48" spans="1:6" x14ac:dyDescent="0.35">
      <c r="A48" s="20">
        <v>202306</v>
      </c>
      <c r="B48" s="17">
        <v>45078</v>
      </c>
      <c r="C48" s="15" cm="1">
        <f t="array" ref="C48">SUM(SUMIFS('MAIN DATA, Orders'!$S:$S,'MAIN DATA, Orders'!$D:$D,"IFU",'MAIN DATA, Orders'!$I:$I,{"Aircraft","Development - Aircraft","Missile (Air)","Development - Missile (Air)"},'MAIN DATA, Orders'!$Y:$Y,$A48)/1000000)</f>
        <v>0</v>
      </c>
      <c r="D48" s="15" cm="1">
        <f t="array" ref="D48">SUM(SUMIFS('MAIN DATA, Orders'!$S:$S,'MAIN DATA, Orders'!$D:$D,"IFU",'MAIN DATA, Orders'!$I:$I,{"Naval","Development - Naval","Missile (Naval)","Development - Missile (Naval)"},'MAIN DATA, Orders'!$Y:$Y,$A48)/1000000)</f>
        <v>0</v>
      </c>
      <c r="E48" s="15" cm="1">
        <f t="array" ref="E48">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Orders'!$Y:$Y,$A48)/1000000)</f>
        <v>0</v>
      </c>
      <c r="F48" s="15" cm="1">
        <f t="array" ref="F48">SUM(SUMIFS('MAIN DATA, Orders'!$S:$S,'MAIN DATA, Orders'!$D:$D,"IFU",'MAIN DATA, Orders'!$I:$I,{"Maintenance","Development - Maintenance","Modernisation","Development - Modernisation","Other","Development - Other"},'MAIN DATA, Orders'!$Y:$Y,$A48)/1000000)</f>
        <v>92</v>
      </c>
    </row>
    <row r="49" spans="1:6" x14ac:dyDescent="0.35">
      <c r="A49" s="20">
        <v>202307</v>
      </c>
      <c r="B49" s="17">
        <v>45108</v>
      </c>
      <c r="C49" s="15" cm="1">
        <f t="array" ref="C49">SUM(SUMIFS('MAIN DATA, Orders'!$S:$S,'MAIN DATA, Orders'!$D:$D,"IFU",'MAIN DATA, Orders'!$I:$I,{"Aircraft","Development - Aircraft","Missile (Air)","Development - Missile (Air)"},'MAIN DATA, Orders'!$Y:$Y,$A49)/1000000)</f>
        <v>0</v>
      </c>
      <c r="D49" s="15" cm="1">
        <f t="array" ref="D49">SUM(SUMIFS('MAIN DATA, Orders'!$S:$S,'MAIN DATA, Orders'!$D:$D,"IFU",'MAIN DATA, Orders'!$I:$I,{"Naval","Development - Naval","Missile (Naval)","Development - Missile (Naval)"},'MAIN DATA, Orders'!$Y:$Y,$A49)/1000000)</f>
        <v>0</v>
      </c>
      <c r="E49" s="15" cm="1">
        <f t="array" ref="E49">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Orders'!$Y:$Y,$A49)/1000000)</f>
        <v>0</v>
      </c>
      <c r="F49" s="15" cm="1">
        <f t="array" ref="F49">SUM(SUMIFS('MAIN DATA, Orders'!$S:$S,'MAIN DATA, Orders'!$D:$D,"IFU",'MAIN DATA, Orders'!$I:$I,{"Maintenance","Development - Maintenance","Modernisation","Development - Modernisation","Other","Development - Other"},'MAIN DATA, Orders'!$Y:$Y,$A49)/1000000)</f>
        <v>0</v>
      </c>
    </row>
    <row r="50" spans="1:6" x14ac:dyDescent="0.35">
      <c r="A50" s="20">
        <v>202308</v>
      </c>
      <c r="B50" s="17">
        <v>45139</v>
      </c>
      <c r="C50" s="15" cm="1">
        <f t="array" ref="C50">SUM(SUMIFS('MAIN DATA, Orders'!$S:$S,'MAIN DATA, Orders'!$D:$D,"IFU",'MAIN DATA, Orders'!$I:$I,{"Aircraft","Development - Aircraft","Missile (Air)","Development - Missile (Air)"},'MAIN DATA, Orders'!$Y:$Y,$A50)/1000000)</f>
        <v>0</v>
      </c>
      <c r="D50" s="15" cm="1">
        <f t="array" ref="D50">SUM(SUMIFS('MAIN DATA, Orders'!$S:$S,'MAIN DATA, Orders'!$D:$D,"IFU",'MAIN DATA, Orders'!$I:$I,{"Naval","Development - Naval","Missile (Naval)","Development - Missile (Naval)"},'MAIN DATA, Orders'!$Y:$Y,$A50)/1000000)</f>
        <v>0</v>
      </c>
      <c r="E50" s="15" cm="1">
        <f t="array" ref="E50">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Orders'!$Y:$Y,$A50)/1000000)</f>
        <v>0</v>
      </c>
      <c r="F50" s="15" cm="1">
        <f t="array" ref="F50">SUM(SUMIFS('MAIN DATA, Orders'!$S:$S,'MAIN DATA, Orders'!$D:$D,"IFU",'MAIN DATA, Orders'!$I:$I,{"Maintenance","Development - Maintenance","Modernisation","Development - Modernisation","Other","Development - Other"},'MAIN DATA, Orders'!$Y:$Y,$A50)/1000000)</f>
        <v>0</v>
      </c>
    </row>
    <row r="51" spans="1:6" x14ac:dyDescent="0.35">
      <c r="A51" s="20">
        <v>202309</v>
      </c>
      <c r="B51" s="17">
        <v>45170</v>
      </c>
      <c r="C51" s="15" cm="1">
        <f t="array" ref="C51">SUM(SUMIFS('MAIN DATA, Orders'!$S:$S,'MAIN DATA, Orders'!$D:$D,"IFU",'MAIN DATA, Orders'!$I:$I,{"Aircraft","Development - Aircraft","Missile (Air)","Development - Missile (Air)"},'MAIN DATA, Orders'!$Y:$Y,$A51)/1000000)</f>
        <v>0</v>
      </c>
      <c r="D51" s="15" cm="1">
        <f t="array" ref="D51">SUM(SUMIFS('MAIN DATA, Orders'!$S:$S,'MAIN DATA, Orders'!$D:$D,"IFU",'MAIN DATA, Orders'!$I:$I,{"Naval","Development - Naval","Missile (Naval)","Development - Missile (Naval)"},'MAIN DATA, Orders'!$Y:$Y,$A51)/1000000)</f>
        <v>0</v>
      </c>
      <c r="E51" s="15" cm="1">
        <f t="array" ref="E51">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Orders'!$Y:$Y,$A51)/1000000)</f>
        <v>0</v>
      </c>
      <c r="F51" s="15" cm="1">
        <f t="array" ref="F51">SUM(SUMIFS('MAIN DATA, Orders'!$S:$S,'MAIN DATA, Orders'!$D:$D,"IFU",'MAIN DATA, Orders'!$I:$I,{"Maintenance","Development - Maintenance","Modernisation","Development - Modernisation","Other","Development - Other"},'MAIN DATA, Orders'!$Y:$Y,$A51)/1000000)</f>
        <v>0</v>
      </c>
    </row>
    <row r="52" spans="1:6" x14ac:dyDescent="0.35">
      <c r="A52" s="20">
        <v>202310</v>
      </c>
      <c r="B52" s="17">
        <v>45200</v>
      </c>
      <c r="C52" s="15" cm="1">
        <f t="array" ref="C52">SUM(SUMIFS('MAIN DATA, Orders'!$S:$S,'MAIN DATA, Orders'!$D:$D,"IFU",'MAIN DATA, Orders'!$I:$I,{"Aircraft","Development - Aircraft","Missile (Air)","Development - Missile (Air)"},'MAIN DATA, Orders'!$Y:$Y,$A52)/1000000)</f>
        <v>0</v>
      </c>
      <c r="D52" s="15" cm="1">
        <f t="array" ref="D52">SUM(SUMIFS('MAIN DATA, Orders'!$S:$S,'MAIN DATA, Orders'!$D:$D,"IFU",'MAIN DATA, Orders'!$I:$I,{"Naval","Development - Naval","Missile (Naval)","Development - Missile (Naval)"},'MAIN DATA, Orders'!$Y:$Y,$A52)/1000000)</f>
        <v>0</v>
      </c>
      <c r="E52" s="15" cm="1">
        <f t="array" ref="E52">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Orders'!$Y:$Y,$A52)/1000000)</f>
        <v>0</v>
      </c>
      <c r="F52" s="15" cm="1">
        <f t="array" ref="F52">SUM(SUMIFS('MAIN DATA, Orders'!$S:$S,'MAIN DATA, Orders'!$D:$D,"IFU",'MAIN DATA, Orders'!$I:$I,{"Maintenance","Development - Maintenance","Modernisation","Development - Modernisation","Other","Development - Other"},'MAIN DATA, Orders'!$Y:$Y,$A52)/1000000)</f>
        <v>100</v>
      </c>
    </row>
    <row r="53" spans="1:6" x14ac:dyDescent="0.35">
      <c r="A53" s="20">
        <v>202311</v>
      </c>
      <c r="B53" s="17">
        <v>45231</v>
      </c>
      <c r="C53" s="15" cm="1">
        <f t="array" ref="C53">SUM(SUMIFS('MAIN DATA, Orders'!$S:$S,'MAIN DATA, Orders'!$D:$D,"IFU",'MAIN DATA, Orders'!$I:$I,{"Aircraft","Development - Aircraft","Missile (Air)","Development - Missile (Air)"},'MAIN DATA, Orders'!$Y:$Y,$A53)/1000000)</f>
        <v>0</v>
      </c>
      <c r="D53" s="15" cm="1">
        <f t="array" ref="D53">SUM(SUMIFS('MAIN DATA, Orders'!$S:$S,'MAIN DATA, Orders'!$D:$D,"IFU",'MAIN DATA, Orders'!$I:$I,{"Naval","Development - Naval","Missile (Naval)","Development - Missile (Naval)"},'MAIN DATA, Orders'!$Y:$Y,$A53)/1000000)</f>
        <v>0</v>
      </c>
      <c r="E53" s="15" cm="1">
        <f t="array" ref="E53">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Orders'!$Y:$Y,$A53)/1000000)</f>
        <v>0</v>
      </c>
      <c r="F53" s="15" cm="1">
        <f t="array" ref="F53">SUM(SUMIFS('MAIN DATA, Orders'!$S:$S,'MAIN DATA, Orders'!$D:$D,"IFU",'MAIN DATA, Orders'!$I:$I,{"Maintenance","Development - Maintenance","Modernisation","Development - Modernisation","Other","Development - Other"},'MAIN DATA, Orders'!$Y:$Y,$A53)/1000000)</f>
        <v>0</v>
      </c>
    </row>
    <row r="54" spans="1:6" x14ac:dyDescent="0.35">
      <c r="A54" s="20">
        <v>202312</v>
      </c>
      <c r="B54" s="17">
        <v>45261</v>
      </c>
      <c r="C54" s="15" cm="1">
        <f t="array" ref="C54">SUM(SUMIFS('MAIN DATA, Orders'!$S:$S,'MAIN DATA, Orders'!$D:$D,"IFU",'MAIN DATA, Orders'!$I:$I,{"Aircraft","Development - Aircraft","Missile (Air)","Development - Missile (Air)"},'MAIN DATA, Orders'!$Y:$Y,$A54)/1000000)</f>
        <v>0</v>
      </c>
      <c r="D54" s="15" cm="1">
        <f t="array" ref="D54">SUM(SUMIFS('MAIN DATA, Orders'!$S:$S,'MAIN DATA, Orders'!$D:$D,"IFU",'MAIN DATA, Orders'!$I:$I,{"Naval","Development - Naval","Missile (Naval)","Development - Missile (Naval)"},'MAIN DATA, Orders'!$Y:$Y,$A54)/1000000)</f>
        <v>0</v>
      </c>
      <c r="E54" s="15" cm="1">
        <f t="array" ref="E54">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Orders'!$Y:$Y,$A54)/1000000)</f>
        <v>0</v>
      </c>
      <c r="F54" s="15" cm="1">
        <f t="array" ref="F54">SUM(SUMIFS('MAIN DATA, Orders'!$S:$S,'MAIN DATA, Orders'!$D:$D,"IFU",'MAIN DATA, Orders'!$I:$I,{"Maintenance","Development - Maintenance","Modernisation","Development - Modernisation","Other","Development - Other"},'MAIN DATA, Orders'!$Y:$Y,$A54)/1000000)</f>
        <v>0</v>
      </c>
    </row>
    <row r="55" spans="1:6" x14ac:dyDescent="0.35">
      <c r="A55" s="20">
        <v>202401</v>
      </c>
      <c r="B55" s="17">
        <v>45292</v>
      </c>
      <c r="C55" s="15" cm="1">
        <f t="array" ref="C55">SUM(SUMIFS('MAIN DATA, Orders'!$S:$S,'MAIN DATA, Orders'!$D:$D,"IFU",'MAIN DATA, Orders'!$I:$I,{"Aircraft","Development - Aircraft","Missile (Air)","Development - Missile (Air)"},'MAIN DATA, Orders'!$Y:$Y,$A55)/1000000)</f>
        <v>0</v>
      </c>
      <c r="D55" s="15" cm="1">
        <f t="array" ref="D55">SUM(SUMIFS('MAIN DATA, Orders'!$S:$S,'MAIN DATA, Orders'!$D:$D,"IFU",'MAIN DATA, Orders'!$I:$I,{"Naval","Development - Naval","Missile (Naval)","Development - Missile (Naval)"},'MAIN DATA, Orders'!$Y:$Y,$A55)/1000000)</f>
        <v>0</v>
      </c>
      <c r="E55" s="15" cm="1">
        <f t="array" ref="E55">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Orders'!$Y:$Y,$A55)/1000000)</f>
        <v>0</v>
      </c>
      <c r="F55" s="15" cm="1">
        <f t="array" ref="F55">SUM(SUMIFS('MAIN DATA, Orders'!$S:$S,'MAIN DATA, Orders'!$D:$D,"IFU",'MAIN DATA, Orders'!$I:$I,{"Maintenance","Development - Maintenance","Modernisation","Development - Modernisation","Other","Development - Other"},'MAIN DATA, Orders'!$Y:$Y,$A55)/1000000)</f>
        <v>0</v>
      </c>
    </row>
    <row r="56" spans="1:6" x14ac:dyDescent="0.35">
      <c r="A56" s="20">
        <v>202402</v>
      </c>
      <c r="B56" s="17">
        <v>45323</v>
      </c>
      <c r="C56" s="15" cm="1">
        <f t="array" ref="C56">SUM(SUMIFS('MAIN DATA, Orders'!$S:$S,'MAIN DATA, Orders'!$D:$D,"IFU",'MAIN DATA, Orders'!$I:$I,{"Aircraft","Development - Aircraft","Missile (Air)","Development - Missile (Air)"},'MAIN DATA, Orders'!$Y:$Y,$A56)/1000000)</f>
        <v>0</v>
      </c>
      <c r="D56" s="15" cm="1">
        <f t="array" ref="D56">SUM(SUMIFS('MAIN DATA, Orders'!$S:$S,'MAIN DATA, Orders'!$D:$D,"IFU",'MAIN DATA, Orders'!$I:$I,{"Naval","Development - Naval","Missile (Naval)","Development - Missile (Naval)"},'MAIN DATA, Orders'!$Y:$Y,$A56)/1000000)</f>
        <v>0</v>
      </c>
      <c r="E56" s="15" cm="1">
        <f t="array" ref="E56">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Orders'!$Y:$Y,$A56)/1000000)</f>
        <v>0</v>
      </c>
      <c r="F56" s="15" cm="1">
        <f t="array" ref="F56">SUM(SUMIFS('MAIN DATA, Orders'!$S:$S,'MAIN DATA, Orders'!$D:$D,"IFU",'MAIN DATA, Orders'!$I:$I,{"Maintenance","Development - Maintenance","Modernisation","Development - Modernisation","Other","Development - Other"},'MAIN DATA, Orders'!$Y:$Y,$A56)/1000000)</f>
        <v>0</v>
      </c>
    </row>
    <row r="57" spans="1:6" x14ac:dyDescent="0.35">
      <c r="A57" s="20">
        <v>202403</v>
      </c>
      <c r="B57" s="17">
        <v>45352</v>
      </c>
      <c r="C57" s="15" cm="1">
        <f t="array" ref="C57">SUM(SUMIFS('MAIN DATA, Orders'!$S:$S,'MAIN DATA, Orders'!$D:$D,"IFU",'MAIN DATA, Orders'!$I:$I,{"Aircraft","Development - Aircraft","Missile (Air)","Development - Missile (Air)"},'MAIN DATA, Orders'!$Y:$Y,$A57)/1000000)</f>
        <v>0</v>
      </c>
      <c r="D57" s="15" cm="1">
        <f t="array" ref="D57">SUM(SUMIFS('MAIN DATA, Orders'!$S:$S,'MAIN DATA, Orders'!$D:$D,"IFU",'MAIN DATA, Orders'!$I:$I,{"Naval","Development - Naval","Missile (Naval)","Development - Missile (Naval)"},'MAIN DATA, Orders'!$Y:$Y,$A57)/1000000)</f>
        <v>0</v>
      </c>
      <c r="E57" s="15" cm="1">
        <f t="array" ref="E57">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Orders'!$Y:$Y,$A57)/1000000)</f>
        <v>60</v>
      </c>
      <c r="F57" s="15" cm="1">
        <f t="array" ref="F57">SUM(SUMIFS('MAIN DATA, Orders'!$S:$S,'MAIN DATA, Orders'!$D:$D,"IFU",'MAIN DATA, Orders'!$I:$I,{"Maintenance","Development - Maintenance","Modernisation","Development - Modernisation","Other","Development - Other"},'MAIN DATA, Orders'!$Y:$Y,$A57)/1000000)</f>
        <v>0</v>
      </c>
    </row>
    <row r="58" spans="1:6" x14ac:dyDescent="0.35">
      <c r="A58" s="20">
        <v>202404</v>
      </c>
      <c r="B58" s="17">
        <v>45383</v>
      </c>
      <c r="C58" s="15" cm="1">
        <f t="array" ref="C58">SUM(SUMIFS('MAIN DATA, Orders'!$S:$S,'MAIN DATA, Orders'!$D:$D,"IFU",'MAIN DATA, Orders'!$I:$I,{"Aircraft","Development - Aircraft","Missile (Air)","Development - Missile (Air)"},'MAIN DATA, Orders'!$Y:$Y,$A58)/1000000)</f>
        <v>0</v>
      </c>
      <c r="D58" s="15" cm="1">
        <f t="array" ref="D58">SUM(SUMIFS('MAIN DATA, Orders'!$S:$S,'MAIN DATA, Orders'!$D:$D,"IFU",'MAIN DATA, Orders'!$I:$I,{"Naval","Development - Naval","Missile (Naval)","Development - Missile (Naval)"},'MAIN DATA, Orders'!$Y:$Y,$A58)/1000000)</f>
        <v>0</v>
      </c>
      <c r="E58" s="15" cm="1">
        <f t="array" ref="E58">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Orders'!$Y:$Y,$A58)/1000000)</f>
        <v>0</v>
      </c>
      <c r="F58" s="15" cm="1">
        <f t="array" ref="F58">SUM(SUMIFS('MAIN DATA, Orders'!$S:$S,'MAIN DATA, Orders'!$D:$D,"IFU",'MAIN DATA, Orders'!$I:$I,{"Maintenance","Development - Maintenance","Modernisation","Development - Modernisation","Other","Development - Other"},'MAIN DATA, Orders'!$Y:$Y,$A58)/1000000)</f>
        <v>0</v>
      </c>
    </row>
    <row r="59" spans="1:6" x14ac:dyDescent="0.35">
      <c r="A59" s="20">
        <v>202405</v>
      </c>
      <c r="B59" s="17">
        <v>45413</v>
      </c>
      <c r="C59" s="15" cm="1">
        <f t="array" ref="C59">SUM(SUMIFS('MAIN DATA, Orders'!$S:$S,'MAIN DATA, Orders'!$D:$D,"IFU",'MAIN DATA, Orders'!$I:$I,{"Aircraft","Development - Aircraft","Missile (Air)","Development - Missile (Air)"},'MAIN DATA, Orders'!$Y:$Y,$A59)/1000000)</f>
        <v>0</v>
      </c>
      <c r="D59" s="15" cm="1">
        <f t="array" ref="D59">SUM(SUMIFS('MAIN DATA, Orders'!$S:$S,'MAIN DATA, Orders'!$D:$D,"IFU",'MAIN DATA, Orders'!$I:$I,{"Naval","Development - Naval","Missile (Naval)","Development - Missile (Naval)"},'MAIN DATA, Orders'!$Y:$Y,$A59)/1000000)</f>
        <v>0</v>
      </c>
      <c r="E59" s="15" cm="1">
        <f t="array" ref="E59">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Orders'!$Y:$Y,$A59)/1000000)</f>
        <v>0</v>
      </c>
      <c r="F59" s="15" cm="1">
        <f t="array" ref="F59">SUM(SUMIFS('MAIN DATA, Orders'!$S:$S,'MAIN DATA, Orders'!$D:$D,"IFU",'MAIN DATA, Orders'!$I:$I,{"Maintenance","Development - Maintenance","Modernisation","Development - Modernisation","Other","Development - Other"},'MAIN DATA, Orders'!$Y:$Y,$A59)/1000000)</f>
        <v>0</v>
      </c>
    </row>
    <row r="60" spans="1:6" x14ac:dyDescent="0.35">
      <c r="A60" s="20">
        <v>202406</v>
      </c>
      <c r="B60" s="17">
        <v>45444</v>
      </c>
      <c r="C60" s="15" cm="1">
        <f t="array" ref="C60">SUM(SUMIFS('MAIN DATA, Orders'!$S:$S,'MAIN DATA, Orders'!$D:$D,"IFU",'MAIN DATA, Orders'!$I:$I,{"Aircraft","Development - Aircraft","Missile (Air)","Development - Missile (Air)"},'MAIN DATA, Orders'!$Y:$Y,$A60)/1000000)</f>
        <v>0</v>
      </c>
      <c r="D60" s="15" cm="1">
        <f t="array" ref="D60">SUM(SUMIFS('MAIN DATA, Orders'!$S:$S,'MAIN DATA, Orders'!$D:$D,"IFU",'MAIN DATA, Orders'!$I:$I,{"Naval","Development - Naval","Missile (Naval)","Development - Missile (Naval)"},'MAIN DATA, Orders'!$Y:$Y,$A60)/1000000)</f>
        <v>0</v>
      </c>
      <c r="E60" s="15" cm="1">
        <f t="array" ref="E60">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Orders'!$Y:$Y,$A60)/1000000)</f>
        <v>0</v>
      </c>
      <c r="F60" s="15" cm="1">
        <f t="array" ref="F60">SUM(SUMIFS('MAIN DATA, Orders'!$S:$S,'MAIN DATA, Orders'!$D:$D,"IFU",'MAIN DATA, Orders'!$I:$I,{"Maintenance","Development - Maintenance","Modernisation","Development - Modernisation","Other","Development - Other"},'MAIN DATA, Orders'!$Y:$Y,$A60)/1000000)</f>
        <v>0</v>
      </c>
    </row>
    <row r="61" spans="1:6" x14ac:dyDescent="0.35">
      <c r="A61" s="20">
        <v>202407</v>
      </c>
      <c r="B61" s="17">
        <v>45474</v>
      </c>
      <c r="C61" s="15" cm="1">
        <f t="array" ref="C61">SUM(SUMIFS('MAIN DATA, Orders'!$S:$S,'MAIN DATA, Orders'!$D:$D,"IFU",'MAIN DATA, Orders'!$I:$I,{"Aircraft","Development - Aircraft","Missile (Air)","Development - Missile (Air)"},'MAIN DATA, Orders'!$Y:$Y,$A61)/1000000)</f>
        <v>0</v>
      </c>
      <c r="D61" s="15" cm="1">
        <f t="array" ref="D61">SUM(SUMIFS('MAIN DATA, Orders'!$S:$S,'MAIN DATA, Orders'!$D:$D,"IFU",'MAIN DATA, Orders'!$I:$I,{"Naval","Development - Naval","Missile (Naval)","Development - Missile (Naval)"},'MAIN DATA, Orders'!$Y:$Y,$A61)/1000000)</f>
        <v>0</v>
      </c>
      <c r="E61" s="15" cm="1">
        <f t="array" ref="E61">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Orders'!$Y:$Y,$A61)/1000000)</f>
        <v>300</v>
      </c>
      <c r="F61" s="15" cm="1">
        <f t="array" ref="F61">SUM(SUMIFS('MAIN DATA, Orders'!$S:$S,'MAIN DATA, Orders'!$D:$D,"IFU",'MAIN DATA, Orders'!$I:$I,{"Maintenance","Development - Maintenance","Modernisation","Development - Modernisation","Other","Development - Other"},'MAIN DATA, Orders'!$Y:$Y,$A61)/1000000)</f>
        <v>0</v>
      </c>
    </row>
    <row r="62" spans="1:6" x14ac:dyDescent="0.35">
      <c r="A62" s="20">
        <v>202408</v>
      </c>
      <c r="B62" s="17">
        <v>45505</v>
      </c>
      <c r="C62" s="15" cm="1">
        <f t="array" ref="C62">SUM(SUMIFS('MAIN DATA, Orders'!$S:$S,'MAIN DATA, Orders'!$D:$D,"IFU",'MAIN DATA, Orders'!$I:$I,{"Aircraft","Development - Aircraft","Missile (Air)","Development - Missile (Air)"},'MAIN DATA, Orders'!$Y:$Y,$A62)/1000000)</f>
        <v>0</v>
      </c>
      <c r="D62" s="15" cm="1">
        <f t="array" ref="D62">SUM(SUMIFS('MAIN DATA, Orders'!$S:$S,'MAIN DATA, Orders'!$D:$D,"IFU",'MAIN DATA, Orders'!$I:$I,{"Naval","Development - Naval","Missile (Naval)","Development - Missile (Naval)"},'MAIN DATA, Orders'!$Y:$Y,$A62)/1000000)</f>
        <v>0</v>
      </c>
      <c r="E62" s="15" cm="1">
        <f t="array" ref="E62">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Orders'!$Y:$Y,$A62)/1000000)</f>
        <v>0</v>
      </c>
      <c r="F62" s="15" cm="1">
        <f t="array" ref="F62">SUM(SUMIFS('MAIN DATA, Orders'!$S:$S,'MAIN DATA, Orders'!$D:$D,"IFU",'MAIN DATA, Orders'!$I:$I,{"Maintenance","Development - Maintenance","Modernisation","Development - Modernisation","Other","Development - Other"},'MAIN DATA, Orders'!$Y:$Y,$A62)/1000000)</f>
        <v>0</v>
      </c>
    </row>
    <row r="63" spans="1:6" x14ac:dyDescent="0.35">
      <c r="A63" s="20">
        <v>202409</v>
      </c>
      <c r="B63" s="17">
        <v>45536</v>
      </c>
      <c r="C63" s="15" cm="1">
        <f t="array" ref="C63">SUM(SUMIFS('MAIN DATA, Orders'!$S:$S,'MAIN DATA, Orders'!$D:$D,"IFU",'MAIN DATA, Orders'!$I:$I,{"Aircraft","Development - Aircraft","Missile (Air)","Development - Missile (Air)"},'MAIN DATA, Orders'!$Y:$Y,$A63)/1000000)</f>
        <v>0</v>
      </c>
      <c r="D63" s="15" cm="1">
        <f t="array" ref="D63">SUM(SUMIFS('MAIN DATA, Orders'!$S:$S,'MAIN DATA, Orders'!$D:$D,"IFU",'MAIN DATA, Orders'!$I:$I,{"Naval","Development - Naval","Missile (Naval)","Development - Missile (Naval)"},'MAIN DATA, Orders'!$Y:$Y,$A63)/1000000)</f>
        <v>0</v>
      </c>
      <c r="E63" s="15" cm="1">
        <f t="array" ref="E63">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Orders'!$Y:$Y,$A63)/1000000)</f>
        <v>0</v>
      </c>
      <c r="F63" s="15" cm="1">
        <f t="array" ref="F63">SUM(SUMIFS('MAIN DATA, Orders'!$S:$S,'MAIN DATA, Orders'!$D:$D,"IFU",'MAIN DATA, Orders'!$I:$I,{"Maintenance","Development - Maintenance","Modernisation","Development - Modernisation","Other","Development - Other"},'MAIN DATA, Orders'!$Y:$Y,$A63)/1000000)</f>
        <v>0</v>
      </c>
    </row>
    <row r="64" spans="1:6" x14ac:dyDescent="0.35">
      <c r="A64" s="20">
        <v>202410</v>
      </c>
      <c r="B64" s="17">
        <v>45566</v>
      </c>
      <c r="C64" s="15" cm="1">
        <f t="array" ref="C64">SUM(SUMIFS('MAIN DATA, Orders'!$S:$S,'MAIN DATA, Orders'!$D:$D,"IFU",'MAIN DATA, Orders'!$I:$I,{"Aircraft","Development - Aircraft","Missile (Air)","Development - Missile (Air)"},'MAIN DATA, Orders'!$Y:$Y,$A64)/1000000)</f>
        <v>0</v>
      </c>
      <c r="D64" s="15" cm="1">
        <f t="array" ref="D64">SUM(SUMIFS('MAIN DATA, Orders'!$S:$S,'MAIN DATA, Orders'!$D:$D,"IFU",'MAIN DATA, Orders'!$I:$I,{"Naval","Development - Naval","Missile (Naval)","Development - Missile (Naval)"},'MAIN DATA, Orders'!$Y:$Y,$A64)/1000000)</f>
        <v>0</v>
      </c>
      <c r="E64" s="15" cm="1">
        <f t="array" ref="E64">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Orders'!$Y:$Y,$A64)/1000000)</f>
        <v>0</v>
      </c>
      <c r="F64" s="15" cm="1">
        <f t="array" ref="F64">SUM(SUMIFS('MAIN DATA, Orders'!$S:$S,'MAIN DATA, Orders'!$D:$D,"IFU",'MAIN DATA, Orders'!$I:$I,{"Maintenance","Development - Maintenance","Modernisation","Development - Modernisation","Other","Development - Other"},'MAIN DATA, Orders'!$Y:$Y,$A64)/1000000)</f>
        <v>0</v>
      </c>
    </row>
    <row r="65" spans="1:6" x14ac:dyDescent="0.35">
      <c r="A65" s="20">
        <v>202411</v>
      </c>
      <c r="B65" s="17">
        <v>45597</v>
      </c>
      <c r="C65" s="15" cm="1">
        <f t="array" ref="C65">SUM(SUMIFS('MAIN DATA, Orders'!$S:$S,'MAIN DATA, Orders'!$D:$D,"IFU",'MAIN DATA, Orders'!$I:$I,{"Aircraft","Development - Aircraft","Missile (Air)","Development - Missile (Air)"},'MAIN DATA, Orders'!$Y:$Y,$A65)/1000000)</f>
        <v>0</v>
      </c>
      <c r="D65" s="15" cm="1">
        <f t="array" ref="D65">SUM(SUMIFS('MAIN DATA, Orders'!$S:$S,'MAIN DATA, Orders'!$D:$D,"IFU",'MAIN DATA, Orders'!$I:$I,{"Naval","Development - Naval","Missile (Naval)","Development - Missile (Naval)"},'MAIN DATA, Orders'!$Y:$Y,$A65)/1000000)</f>
        <v>0</v>
      </c>
      <c r="E65" s="15" cm="1">
        <f t="array" ref="E65">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Orders'!$Y:$Y,$A65)/1000000)</f>
        <v>0</v>
      </c>
      <c r="F65" s="15" cm="1">
        <f t="array" ref="F65">SUM(SUMIFS('MAIN DATA, Orders'!$S:$S,'MAIN DATA, Orders'!$D:$D,"IFU",'MAIN DATA, Orders'!$I:$I,{"Maintenance","Development - Maintenance","Modernisation","Development - Modernisation","Other","Development - Other"},'MAIN DATA, Orders'!$Y:$Y,$A65)/1000000)</f>
        <v>0</v>
      </c>
    </row>
    <row r="66" spans="1:6" x14ac:dyDescent="0.35">
      <c r="A66" s="20">
        <v>202412</v>
      </c>
      <c r="B66" s="17">
        <v>45627</v>
      </c>
      <c r="C66" s="15" cm="1">
        <f t="array" ref="C66">SUM(SUMIFS('MAIN DATA, Orders'!$S:$S,'MAIN DATA, Orders'!$D:$D,"IFU",'MAIN DATA, Orders'!$I:$I,{"Aircraft","Development - Aircraft","Missile (Air)","Development - Missile (Air)"},'MAIN DATA, Orders'!$Y:$Y,$A66)/1000000)</f>
        <v>0</v>
      </c>
      <c r="D66" s="15" cm="1">
        <f t="array" ref="D66">SUM(SUMIFS('MAIN DATA, Orders'!$S:$S,'MAIN DATA, Orders'!$D:$D,"IFU",'MAIN DATA, Orders'!$I:$I,{"Naval","Development - Naval","Missile (Naval)","Development - Missile (Naval)"},'MAIN DATA, Orders'!$Y:$Y,$A66)/1000000)</f>
        <v>92</v>
      </c>
      <c r="E66" s="15" cm="1">
        <f t="array" ref="E66">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Orders'!$Y:$Y,$A66)/1000000)</f>
        <v>68</v>
      </c>
      <c r="F66" s="15" cm="1">
        <f t="array" ref="F66">SUM(SUMIFS('MAIN DATA, Orders'!$S:$S,'MAIN DATA, Orders'!$D:$D,"IFU",'MAIN DATA, Orders'!$I:$I,{"Maintenance","Development - Maintenance","Modernisation","Development - Modernisation","Other","Development - Other"},'MAIN DATA, Orders'!$Y:$Y,$A66)/1000000)</f>
        <v>26</v>
      </c>
    </row>
    <row r="67" spans="1:6" x14ac:dyDescent="0.35">
      <c r="A67" s="20">
        <v>202501</v>
      </c>
      <c r="B67" s="17">
        <v>45658</v>
      </c>
      <c r="C67" s="15" cm="1">
        <f t="array" ref="C67">SUM(SUMIFS('MAIN DATA, Orders'!$S:$S,'MAIN DATA, Orders'!$D:$D,"IFU",'MAIN DATA, Orders'!$I:$I,{"Aircraft","Development - Aircraft","Missile (Air)","Development - Missile (Air)"},'MAIN DATA, Orders'!$Y:$Y,$A67)/1000000)</f>
        <v>0</v>
      </c>
      <c r="D67" s="15" cm="1">
        <f t="array" ref="D67">SUM(SUMIFS('MAIN DATA, Orders'!$S:$S,'MAIN DATA, Orders'!$D:$D,"IFU",'MAIN DATA, Orders'!$I:$I,{"Naval","Development - Naval","Missile (Naval)","Development - Missile (Naval)"},'MAIN DATA, Orders'!$Y:$Y,$A67)/1000000)</f>
        <v>0</v>
      </c>
      <c r="E67" s="15" cm="1">
        <f t="array" ref="E67">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Orders'!$Y:$Y,$A67)/1000000)</f>
        <v>45</v>
      </c>
      <c r="F67" s="15" cm="1">
        <f t="array" ref="F67">SUM(SUMIFS('MAIN DATA, Orders'!$S:$S,'MAIN DATA, Orders'!$D:$D,"IFU",'MAIN DATA, Orders'!$I:$I,{"Maintenance","Development - Maintenance","Modernisation","Development - Modernisation","Other","Development - Other"},'MAIN DATA, Orders'!$Y:$Y,$A67)/1000000)</f>
        <v>0</v>
      </c>
    </row>
    <row r="68" spans="1:6" x14ac:dyDescent="0.35">
      <c r="A68" s="20">
        <v>202502</v>
      </c>
      <c r="B68" s="17">
        <v>45689</v>
      </c>
      <c r="C68" s="15" cm="1">
        <f t="array" ref="C68">SUM(SUMIFS('MAIN DATA, Orders'!$S:$S,'MAIN DATA, Orders'!$D:$D,"IFU",'MAIN DATA, Orders'!$I:$I,{"Aircraft","Development - Aircraft","Missile (Air)","Development - Missile (Air)"},'MAIN DATA, Orders'!$Y:$Y,$A68)/1000000)</f>
        <v>0</v>
      </c>
      <c r="D68" s="15" cm="1">
        <f t="array" ref="D68">SUM(SUMIFS('MAIN DATA, Orders'!$S:$S,'MAIN DATA, Orders'!$D:$D,"IFU",'MAIN DATA, Orders'!$I:$I,{"Naval","Development - Naval","Missile (Naval)","Development - Missile (Naval)"},'MAIN DATA, Orders'!$Y:$Y,$A68)/1000000)</f>
        <v>0</v>
      </c>
      <c r="E68" s="15" cm="1">
        <f t="array" ref="E68">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Orders'!$Y:$Y,$A68)/1000000)</f>
        <v>0</v>
      </c>
      <c r="F68" s="15" cm="1">
        <f t="array" ref="F68">SUM(SUMIFS('MAIN DATA, Orders'!$S:$S,'MAIN DATA, Orders'!$D:$D,"IFU",'MAIN DATA, Orders'!$I:$I,{"Maintenance","Development - Maintenance","Modernisation","Development - Modernisation","Other","Development - Other"},'MAIN DATA, Orders'!$Y:$Y,$A68)/1000000)</f>
        <v>0</v>
      </c>
    </row>
    <row r="69" spans="1:6" x14ac:dyDescent="0.35">
      <c r="A69" s="20">
        <v>202503</v>
      </c>
      <c r="B69" s="17">
        <v>45717</v>
      </c>
      <c r="C69" s="15" cm="1">
        <f t="array" ref="C69">SUM(SUMIFS('MAIN DATA, Orders'!$S:$S,'MAIN DATA, Orders'!$D:$D,"IFU",'MAIN DATA, Orders'!$I:$I,{"Aircraft","Development - Aircraft","Missile (Air)","Development - Missile (Air)"},'MAIN DATA, Orders'!$Y:$Y,$A69)/1000000)</f>
        <v>0</v>
      </c>
      <c r="D69" s="15" cm="1">
        <f t="array" ref="D69">SUM(SUMIFS('MAIN DATA, Orders'!$S:$S,'MAIN DATA, Orders'!$D:$D,"IFU",'MAIN DATA, Orders'!$I:$I,{"Naval","Development - Naval","Missile (Naval)","Development - Missile (Naval)"},'MAIN DATA, Orders'!$Y:$Y,$A69)/1000000)</f>
        <v>0</v>
      </c>
      <c r="E69" s="15" cm="1">
        <f t="array" ref="E69">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Orders'!$Y:$Y,$A69)/1000000)</f>
        <v>30</v>
      </c>
      <c r="F69" s="15" cm="1">
        <f t="array" ref="F69">SUM(SUMIFS('MAIN DATA, Orders'!$S:$S,'MAIN DATA, Orders'!$D:$D,"IFU",'MAIN DATA, Orders'!$I:$I,{"Maintenance","Development - Maintenance","Modernisation","Development - Modernisation","Other","Development - Other"},'MAIN DATA, Orders'!$Y:$Y,$A69)/1000000)</f>
        <v>0</v>
      </c>
    </row>
    <row r="70" spans="1:6" x14ac:dyDescent="0.35">
      <c r="A70" s="20">
        <v>202504</v>
      </c>
      <c r="B70" s="17">
        <v>45748</v>
      </c>
      <c r="C70" s="15" cm="1">
        <f t="array" ref="C70">SUM(SUMIFS('MAIN DATA, Orders'!$S:$S,'MAIN DATA, Orders'!$D:$D,"IFU",'MAIN DATA, Orders'!$I:$I,{"Aircraft","Development - Aircraft","Missile (Air)","Development - Missile (Air)"},'MAIN DATA, Orders'!$Y:$Y,$A70)/1000000)</f>
        <v>0</v>
      </c>
      <c r="D70" s="15" cm="1">
        <f t="array" ref="D70">SUM(SUMIFS('MAIN DATA, Orders'!$S:$S,'MAIN DATA, Orders'!$D:$D,"IFU",'MAIN DATA, Orders'!$I:$I,{"Naval","Development - Naval","Missile (Naval)","Development - Missile (Naval)"},'MAIN DATA, Orders'!$Y:$Y,$A70)/1000000)</f>
        <v>0</v>
      </c>
      <c r="E70" s="15" cm="1">
        <f t="array" ref="E70">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Orders'!$Y:$Y,$A70)/1000000)</f>
        <v>0</v>
      </c>
      <c r="F70" s="15" cm="1">
        <f t="array" ref="F70">SUM(SUMIFS('MAIN DATA, Orders'!$S:$S,'MAIN DATA, Orders'!$D:$D,"IFU",'MAIN DATA, Orders'!$I:$I,{"Maintenance","Development - Maintenance","Modernisation","Development - Modernisation","Other","Development - Other"},'MAIN DATA, Orders'!$Y:$Y,$A70)/1000000)</f>
        <v>0</v>
      </c>
    </row>
    <row r="71" spans="1:6" x14ac:dyDescent="0.35">
      <c r="A71" s="20">
        <v>202505</v>
      </c>
      <c r="B71" s="17">
        <v>45778</v>
      </c>
      <c r="C71" s="15" cm="1">
        <f t="array" ref="C71">SUM(SUMIFS('MAIN DATA, Orders'!$S:$S,'MAIN DATA, Orders'!$D:$D,"IFU",'MAIN DATA, Orders'!$I:$I,{"Aircraft","Development - Aircraft","Missile (Air)","Development - Missile (Air)"},'MAIN DATA, Orders'!$Y:$Y,$A71)/1000000)</f>
        <v>0</v>
      </c>
      <c r="D71" s="15" cm="1">
        <f t="array" ref="D71">SUM(SUMIFS('MAIN DATA, Orders'!$S:$S,'MAIN DATA, Orders'!$D:$D,"IFU",'MAIN DATA, Orders'!$I:$I,{"Naval","Development - Naval","Missile (Naval)","Development - Missile (Naval)"},'MAIN DATA, Orders'!$Y:$Y,$A71)/1000000)</f>
        <v>0</v>
      </c>
      <c r="E71" s="15" cm="1">
        <f t="array" ref="E71">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Orders'!$Y:$Y,$A71)/1000000)</f>
        <v>0</v>
      </c>
      <c r="F71" s="15" cm="1">
        <f t="array" ref="F71">SUM(SUMIFS('MAIN DATA, Orders'!$S:$S,'MAIN DATA, Orders'!$D:$D,"IFU",'MAIN DATA, Orders'!$I:$I,{"Maintenance","Development - Maintenance","Modernisation","Development - Modernisation","Other","Development - Other"},'MAIN DATA, Orders'!$Y:$Y,$A71)/1000000)</f>
        <v>0</v>
      </c>
    </row>
    <row r="72" spans="1:6" x14ac:dyDescent="0.35">
      <c r="A72" s="20">
        <v>202506</v>
      </c>
      <c r="B72" s="17">
        <v>45809</v>
      </c>
      <c r="C72" s="15" cm="1">
        <f t="array" ref="C72">SUM(SUMIFS('MAIN DATA, Orders'!$S:$S,'MAIN DATA, Orders'!$D:$D,"IFU",'MAIN DATA, Orders'!$I:$I,{"Aircraft","Development - Aircraft","Missile (Air)","Development - Missile (Air)"},'MAIN DATA, Orders'!$Y:$Y,$A72)/1000000)</f>
        <v>0</v>
      </c>
      <c r="D72" s="15" cm="1">
        <f t="array" ref="D72">SUM(SUMIFS('MAIN DATA, Orders'!$S:$S,'MAIN DATA, Orders'!$D:$D,"IFU",'MAIN DATA, Orders'!$I:$I,{"Naval","Development - Naval","Missile (Naval)","Development - Missile (Naval)"},'MAIN DATA, Orders'!$Y:$Y,$A72)/1000000)</f>
        <v>0</v>
      </c>
      <c r="E72" s="15" cm="1">
        <f t="array" ref="E72">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Orders'!$Y:$Y,$A72)/1000000)</f>
        <v>0</v>
      </c>
      <c r="F72" s="15" cm="1">
        <f t="array" ref="F72">SUM(SUMIFS('MAIN DATA, Orders'!$S:$S,'MAIN DATA, Orders'!$D:$D,"IFU",'MAIN DATA, Orders'!$I:$I,{"Maintenance","Development - Maintenance","Modernisation","Development - Modernisation","Other","Development - Other"},'MAIN DATA, Orders'!$Y:$Y,$A72)/1000000)</f>
        <v>0</v>
      </c>
    </row>
    <row r="73" spans="1:6" x14ac:dyDescent="0.35">
      <c r="A73" s="20">
        <v>202507</v>
      </c>
      <c r="B73" s="17">
        <v>45839</v>
      </c>
      <c r="C73" s="15" cm="1">
        <f t="array" ref="C73">SUM(SUMIFS('MAIN DATA, Orders'!$S:$S,'MAIN DATA, Orders'!$D:$D,"IFU",'MAIN DATA, Orders'!$I:$I,{"Aircraft","Development - Aircraft","Missile (Air)","Development - Missile (Air)"},'MAIN DATA, Orders'!$Y:$Y,$A73)/1000000)</f>
        <v>0</v>
      </c>
      <c r="D73" s="15" cm="1">
        <f t="array" ref="D73">SUM(SUMIFS('MAIN DATA, Orders'!$S:$S,'MAIN DATA, Orders'!$D:$D,"IFU",'MAIN DATA, Orders'!$I:$I,{"Naval","Development - Naval","Missile (Naval)","Development - Missile (Naval)"},'MAIN DATA, Orders'!$Y:$Y,$A73)/1000000)</f>
        <v>0</v>
      </c>
      <c r="E73" s="15" cm="1">
        <f t="array" ref="E73">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Orders'!$Y:$Y,$A73)/1000000)</f>
        <v>0</v>
      </c>
      <c r="F73" s="15" cm="1">
        <f t="array" ref="F73">SUM(SUMIFS('MAIN DATA, Orders'!$S:$S,'MAIN DATA, Orders'!$D:$D,"IFU",'MAIN DATA, Orders'!$I:$I,{"Maintenance","Development - Maintenance","Modernisation","Development - Modernisation","Other","Development - Other"},'MAIN DATA, Orders'!$Y:$Y,$A73)/1000000)</f>
        <v>0</v>
      </c>
    </row>
    <row r="74" spans="1:6" x14ac:dyDescent="0.35">
      <c r="A74" s="20">
        <v>202508</v>
      </c>
      <c r="B74" s="17">
        <v>45870</v>
      </c>
      <c r="C74" s="15" cm="1">
        <f t="array" ref="C74">SUM(SUMIFS('MAIN DATA, Orders'!$S:$S,'MAIN DATA, Orders'!$D:$D,"IFU",'MAIN DATA, Orders'!$I:$I,{"Aircraft","Development - Aircraft","Missile (Air)","Development - Missile (Air)"},'MAIN DATA, Orders'!$Y:$Y,$A74)/1000000)</f>
        <v>0</v>
      </c>
      <c r="D74" s="15" cm="1">
        <f t="array" ref="D74">SUM(SUMIFS('MAIN DATA, Orders'!$S:$S,'MAIN DATA, Orders'!$D:$D,"IFU",'MAIN DATA, Orders'!$I:$I,{"Naval","Development - Naval","Missile (Naval)","Development - Missile (Naval)"},'MAIN DATA, Orders'!$Y:$Y,$A74)/1000000)</f>
        <v>0</v>
      </c>
      <c r="E74" s="15" cm="1">
        <f t="array" ref="E74">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Orders'!$Y:$Y,$A74)/1000000)</f>
        <v>0</v>
      </c>
      <c r="F74" s="15" cm="1">
        <f t="array" ref="F74">SUM(SUMIFS('MAIN DATA, Orders'!$S:$S,'MAIN DATA, Orders'!$D:$D,"IFU",'MAIN DATA, Orders'!$I:$I,{"Maintenance","Development - Maintenance","Modernisation","Development - Modernisation","Other","Development - Other"},'MAIN DATA, Orders'!$Y:$Y,$A74)/1000000)</f>
        <v>0</v>
      </c>
    </row>
    <row r="75" spans="1:6" x14ac:dyDescent="0.35">
      <c r="A75" s="20">
        <v>202509</v>
      </c>
      <c r="B75" s="17">
        <v>45901</v>
      </c>
      <c r="C75" s="15" cm="1">
        <f t="array" ref="C75">SUM(SUMIFS('MAIN DATA, Orders'!$S:$S,'MAIN DATA, Orders'!$D:$D,"IFU",'MAIN DATA, Orders'!$I:$I,{"Aircraft","Development - Aircraft","Missile (Air)","Development - Missile (Air)"},'MAIN DATA, Orders'!$Y:$Y,$A75)/1000000)</f>
        <v>0</v>
      </c>
      <c r="D75" s="15" cm="1">
        <f t="array" ref="D75">SUM(SUMIFS('MAIN DATA, Orders'!$S:$S,'MAIN DATA, Orders'!$D:$D,"IFU",'MAIN DATA, Orders'!$I:$I,{"Naval","Development - Naval","Missile (Naval)","Development - Missile (Naval)"},'MAIN DATA, Orders'!$Y:$Y,$A75)/1000000)</f>
        <v>0</v>
      </c>
      <c r="E75" s="15" cm="1">
        <f t="array" ref="E75">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Orders'!$Y:$Y,$A75)/1000000)</f>
        <v>0</v>
      </c>
      <c r="F75" s="15" cm="1">
        <f t="array" ref="F75">SUM(SUMIFS('MAIN DATA, Orders'!$S:$S,'MAIN DATA, Orders'!$D:$D,"IFU",'MAIN DATA, Orders'!$I:$I,{"Maintenance","Development - Maintenance","Modernisation","Development - Modernisation","Other","Development - Other"},'MAIN DATA, Orders'!$Y:$Y,$A75)/1000000)</f>
        <v>0</v>
      </c>
    </row>
    <row r="76" spans="1:6" x14ac:dyDescent="0.35">
      <c r="A76" s="20">
        <v>202510</v>
      </c>
      <c r="B76" s="17">
        <v>45931</v>
      </c>
      <c r="C76" s="15" cm="1">
        <f t="array" ref="C76">SUM(SUMIFS('MAIN DATA, Orders'!$S:$S,'MAIN DATA, Orders'!$D:$D,"IFU",'MAIN DATA, Orders'!$I:$I,{"Aircraft","Development - Aircraft","Missile (Air)","Development - Missile (Air)"},'MAIN DATA, Orders'!$Y:$Y,$A76)/1000000)</f>
        <v>0</v>
      </c>
      <c r="D76" s="15" cm="1">
        <f t="array" ref="D76">SUM(SUMIFS('MAIN DATA, Orders'!$S:$S,'MAIN DATA, Orders'!$D:$D,"IFU",'MAIN DATA, Orders'!$I:$I,{"Naval","Development - Naval","Missile (Naval)","Development - Missile (Naval)"},'MAIN DATA, Orders'!$Y:$Y,$A76)/1000000)</f>
        <v>0</v>
      </c>
      <c r="E76" s="15" cm="1">
        <f t="array" ref="E76">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Orders'!$Y:$Y,$A76)/1000000)</f>
        <v>0</v>
      </c>
      <c r="F76" s="15" cm="1">
        <f t="array" ref="F76">SUM(SUMIFS('MAIN DATA, Orders'!$S:$S,'MAIN DATA, Orders'!$D:$D,"IFU",'MAIN DATA, Orders'!$I:$I,{"Maintenance","Development - Maintenance","Modernisation","Development - Modernisation","Other","Development - Other"},'MAIN DATA, Orders'!$Y:$Y,$A76)/1000000)</f>
        <v>0</v>
      </c>
    </row>
    <row r="77" spans="1:6" x14ac:dyDescent="0.35">
      <c r="A77" s="20">
        <v>202511</v>
      </c>
      <c r="B77" s="17">
        <v>45962</v>
      </c>
      <c r="C77" s="15" cm="1">
        <f t="array" ref="C77">SUM(SUMIFS('MAIN DATA, Orders'!$S:$S,'MAIN DATA, Orders'!$D:$D,"IFU",'MAIN DATA, Orders'!$I:$I,{"Aircraft","Development - Aircraft","Missile (Air)","Development - Missile (Air)"},'MAIN DATA, Orders'!$Y:$Y,$A77)/1000000)</f>
        <v>0</v>
      </c>
      <c r="D77" s="15" cm="1">
        <f t="array" ref="D77">SUM(SUMIFS('MAIN DATA, Orders'!$S:$S,'MAIN DATA, Orders'!$D:$D,"IFU",'MAIN DATA, Orders'!$I:$I,{"Naval","Development - Naval","Missile (Naval)","Development - Missile (Naval)"},'MAIN DATA, Orders'!$Y:$Y,$A77)/1000000)</f>
        <v>0</v>
      </c>
      <c r="E77" s="15" cm="1">
        <f t="array" ref="E77">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Orders'!$Y:$Y,$A77)/1000000)</f>
        <v>0</v>
      </c>
      <c r="F77" s="15" cm="1">
        <f t="array" ref="F77">SUM(SUMIFS('MAIN DATA, Orders'!$S:$S,'MAIN DATA, Orders'!$D:$D,"IFU",'MAIN DATA, Orders'!$I:$I,{"Maintenance","Development - Maintenance","Modernisation","Development - Modernisation","Other","Development - Other"},'MAIN DATA, Orders'!$Y:$Y,$A77)/1000000)</f>
        <v>0</v>
      </c>
    </row>
    <row r="78" spans="1:6" x14ac:dyDescent="0.35">
      <c r="A78" s="20">
        <v>202512</v>
      </c>
      <c r="B78" s="17">
        <v>45992</v>
      </c>
      <c r="C78" s="15" cm="1">
        <f t="array" ref="C78">SUM(SUMIFS('MAIN DATA, Orders'!$S:$S,'MAIN DATA, Orders'!$D:$D,"IFU",'MAIN DATA, Orders'!$I:$I,{"Aircraft","Development - Aircraft","Missile (Air)","Development - Missile (Air)"},'MAIN DATA, Orders'!$Y:$Y,$A78)/1000000)</f>
        <v>0</v>
      </c>
      <c r="D78" s="15" cm="1">
        <f t="array" ref="D78">SUM(SUMIFS('MAIN DATA, Orders'!$S:$S,'MAIN DATA, Orders'!$D:$D,"IFU",'MAIN DATA, Orders'!$I:$I,{"Naval","Development - Naval","Missile (Naval)","Development - Missile (Naval)"},'MAIN DATA, Orders'!$Y:$Y,$A78)/1000000)</f>
        <v>0</v>
      </c>
      <c r="E78" s="15" cm="1">
        <f t="array" ref="E78">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Orders'!$Y:$Y,$A78)/1000000)</f>
        <v>0</v>
      </c>
      <c r="F78" s="15" cm="1">
        <f t="array" ref="F78">SUM(SUMIFS('MAIN DATA, Orders'!$S:$S,'MAIN DATA, Orders'!$D:$D,"IFU",'MAIN DATA, Orders'!$I:$I,{"Maintenance","Development - Maintenance","Modernisation","Development - Modernisation","Other","Development - Other"},'MAIN DATA, Orders'!$Y:$Y,$A78)/1000000)</f>
        <v>0</v>
      </c>
    </row>
    <row r="79" spans="1:6" x14ac:dyDescent="0.35">
      <c r="A79" s="20">
        <v>202601</v>
      </c>
      <c r="B79" s="17">
        <v>46023</v>
      </c>
      <c r="C79" s="15" cm="1">
        <f t="array" ref="C79">SUM(SUMIFS('MAIN DATA, Orders'!$S:$S,'MAIN DATA, Orders'!$D:$D,"IFU",'MAIN DATA, Orders'!$I:$I,{"Aircraft","Development - Aircraft","Missile (Air)","Development - Missile (Air)"},'MAIN DATA, Orders'!$Y:$Y,$A79)/1000000)</f>
        <v>0</v>
      </c>
      <c r="D79" s="15" cm="1">
        <f t="array" ref="D79">SUM(SUMIFS('MAIN DATA, Orders'!$S:$S,'MAIN DATA, Orders'!$D:$D,"IFU",'MAIN DATA, Orders'!$I:$I,{"Naval","Development - Naval","Missile (Naval)","Development - Missile (Naval)"},'MAIN DATA, Orders'!$Y:$Y,$A79)/1000000)</f>
        <v>0</v>
      </c>
      <c r="E79" s="15" cm="1">
        <f t="array" ref="E79">SUM(SUMIFS('MAIN DATA, Orders'!$S:$S,'MAIN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Orders'!$Y:$Y,$A79)/1000000)</f>
        <v>0</v>
      </c>
      <c r="F79" s="15" cm="1">
        <f t="array" ref="F79">SUM(SUMIFS('MAIN DATA, Orders'!$S:$S,'MAIN DATA, Orders'!$D:$D,"IFU",'MAIN DATA, Orders'!$I:$I,{"Maintenance","Development - Maintenance","Modernisation","Development - Modernisation","Other","Development - Other"},'MAIN DATA, Orders'!$Y:$Y,$A79)/1000000)</f>
        <v>0</v>
      </c>
    </row>
    <row r="80" spans="1:6" x14ac:dyDescent="0.35">
      <c r="B80" s="66"/>
      <c r="C80" s="66"/>
      <c r="D80" s="66"/>
      <c r="E80" s="66"/>
      <c r="F80" s="66"/>
    </row>
    <row r="81" spans="2:6" x14ac:dyDescent="0.35">
      <c r="B81" s="9" t="s">
        <v>4219</v>
      </c>
      <c r="C81" s="18">
        <f>SUM(C7:C79)</f>
        <v>0</v>
      </c>
      <c r="D81" s="18">
        <f t="shared" ref="D81:F81" si="0">SUM(D7:D79)</f>
        <v>92</v>
      </c>
      <c r="E81" s="18">
        <f t="shared" si="0"/>
        <v>503</v>
      </c>
      <c r="F81" s="18">
        <f t="shared" si="0"/>
        <v>418</v>
      </c>
    </row>
  </sheetData>
  <mergeCells count="1">
    <mergeCell ref="B4:J4"/>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01E41-5505-43E1-92F5-D0B9DABB4F02}">
  <sheetPr>
    <tabColor rgb="FFB5E6A2"/>
  </sheetPr>
  <dimension ref="A2:F81"/>
  <sheetViews>
    <sheetView workbookViewId="0"/>
  </sheetViews>
  <sheetFormatPr baseColWidth="10" defaultColWidth="8.75" defaultRowHeight="15.5" x14ac:dyDescent="0.35"/>
  <cols>
    <col min="1" max="1" width="8.75" style="1" customWidth="1"/>
    <col min="2" max="2" width="13.5" style="1" customWidth="1"/>
    <col min="3" max="3" width="16.75" style="1" customWidth="1"/>
    <col min="4" max="4" width="34.75" style="1" customWidth="1"/>
    <col min="5" max="5" width="30.75" style="1" customWidth="1"/>
    <col min="6" max="6" width="20.75" style="1" customWidth="1"/>
    <col min="7" max="16384" width="8.75" style="1"/>
  </cols>
  <sheetData>
    <row r="2" spans="1:6" ht="25.9" customHeight="1" x14ac:dyDescent="0.7">
      <c r="B2" s="16" t="s">
        <v>5654</v>
      </c>
    </row>
    <row r="4" spans="1:6" ht="130.15" customHeight="1" x14ac:dyDescent="0.35">
      <c r="B4" s="232" t="s">
        <v>5668</v>
      </c>
      <c r="C4" s="232"/>
      <c r="D4" s="232"/>
      <c r="E4" s="232"/>
      <c r="F4" s="232"/>
    </row>
    <row r="6" spans="1:6" ht="21" customHeight="1" x14ac:dyDescent="0.35">
      <c r="B6" s="68" t="s">
        <v>4197</v>
      </c>
      <c r="C6" s="69" t="s">
        <v>5232</v>
      </c>
      <c r="D6" s="69" t="s">
        <v>5233</v>
      </c>
      <c r="E6" s="69" t="s">
        <v>5234</v>
      </c>
      <c r="F6" s="69" t="s">
        <v>5228</v>
      </c>
    </row>
    <row r="7" spans="1:6" x14ac:dyDescent="0.35">
      <c r="A7" s="20">
        <v>202001</v>
      </c>
      <c r="B7" s="17">
        <v>43831</v>
      </c>
      <c r="C7" s="15">
        <f>(SUMIFS('MAIN DATA, Orders'!$S:$S,'MAIN DATA, Orders'!$D:$D,"United Kingdom",'MAIN DATA, Orders'!$Y:$Y,$A7,'MAIN DATA, Orders'!$AF:$AF,"0",'MAIN DATA, Orders'!$AH:$AH,"United Kingdom")/1000000000)</f>
        <v>0.183</v>
      </c>
      <c r="D7" s="15">
        <f>(SUMIFS('MAIN DATA, Orders'!$S:$S,'MAIN DATA, Orders'!$D:$D,"United Kingdom",'MAIN DATA, Orders'!$Y:$Y,$A7,'MAIN DATA, Orders'!$AF:$AF,"1")/1000000000)</f>
        <v>0</v>
      </c>
      <c r="E7" s="15">
        <f>(SUMIFS('MAIN DATA, Orders'!$S:$S,'MAIN DATA, Orders'!$D:$D,"United Kingdom",'MAIN DATA, Orders'!$Y:$Y,$A7,'MAIN DATA, Orders'!$AC:$AC,"1",'MAIN DATA, Orders'!$AF:$AF,"0",'MAIN DATA, Orders'!$AH:$AH,"&lt;&gt;United Kingdom")/1000000000)</f>
        <v>0</v>
      </c>
      <c r="F7" s="15">
        <f>(SUMIFS('MAIN DATA, Orders'!$S:$S,'MAIN DATA, Orders'!$D:$D,"United Kingdom",'MAIN DATA, Orders'!$Y:$Y,$A7,'MAIN DATA, Orders'!$AC:$AC,"0",'MAIN DATA, Orders'!$AF:$AF,"0")/1000000000)</f>
        <v>0</v>
      </c>
    </row>
    <row r="8" spans="1:6" x14ac:dyDescent="0.35">
      <c r="A8" s="20">
        <v>202002</v>
      </c>
      <c r="B8" s="17">
        <v>43862</v>
      </c>
      <c r="C8" s="15">
        <f>(SUMIFS('MAIN DATA, Orders'!$S:$S,'MAIN DATA, Orders'!$D:$D,"United Kingdom",'MAIN DATA, Orders'!$Y:$Y,$A8,'MAIN DATA, Orders'!$AF:$AF,"0",'MAIN DATA, Orders'!$AH:$AH,"United Kingdom")/1000000000)</f>
        <v>0</v>
      </c>
      <c r="D8" s="15">
        <f>(SUMIFS('MAIN DATA, Orders'!$S:$S,'MAIN DATA, Orders'!$D:$D,"United Kingdom",'MAIN DATA, Orders'!$Y:$Y,$A8,'MAIN DATA, Orders'!$AF:$AF,"1")/1000000000)</f>
        <v>0.33</v>
      </c>
      <c r="E8" s="15">
        <f>(SUMIFS('MAIN DATA, Orders'!$S:$S,'MAIN DATA, Orders'!$D:$D,"United Kingdom",'MAIN DATA, Orders'!$Y:$Y,$A8,'MAIN DATA, Orders'!$AC:$AC,"1",'MAIN DATA, Orders'!$AF:$AF,"0",'MAIN DATA, Orders'!$AH:$AH,"&lt;&gt;United Kingdom")/1000000000)</f>
        <v>0</v>
      </c>
      <c r="F8" s="15">
        <f>(SUMIFS('MAIN DATA, Orders'!$S:$S,'MAIN DATA, Orders'!$D:$D,"United Kingdom",'MAIN DATA, Orders'!$Y:$Y,$A8,'MAIN DATA, Orders'!$AC:$AC,"0",'MAIN DATA, Orders'!$AF:$AF,"0")/1000000000)</f>
        <v>0</v>
      </c>
    </row>
    <row r="9" spans="1:6" x14ac:dyDescent="0.35">
      <c r="A9" s="20">
        <v>202003</v>
      </c>
      <c r="B9" s="17">
        <v>43891</v>
      </c>
      <c r="C9" s="15">
        <f>(SUMIFS('MAIN DATA, Orders'!$S:$S,'MAIN DATA, Orders'!$D:$D,"United Kingdom",'MAIN DATA, Orders'!$Y:$Y,$A9,'MAIN DATA, Orders'!$AF:$AF,"0",'MAIN DATA, Orders'!$AH:$AH,"United Kingdom")/1000000000)</f>
        <v>0</v>
      </c>
      <c r="D9" s="15">
        <f>(SUMIFS('MAIN DATA, Orders'!$S:$S,'MAIN DATA, Orders'!$D:$D,"United Kingdom",'MAIN DATA, Orders'!$Y:$Y,$A9,'MAIN DATA, Orders'!$AF:$AF,"1")/1000000000)</f>
        <v>0</v>
      </c>
      <c r="E9" s="15">
        <f>(SUMIFS('MAIN DATA, Orders'!$S:$S,'MAIN DATA, Orders'!$D:$D,"United Kingdom",'MAIN DATA, Orders'!$Y:$Y,$A9,'MAIN DATA, Orders'!$AC:$AC,"1",'MAIN DATA, Orders'!$AF:$AF,"0",'MAIN DATA, Orders'!$AH:$AH,"&lt;&gt;United Kingdom")/1000000000)</f>
        <v>0</v>
      </c>
      <c r="F9" s="15">
        <f>(SUMIFS('MAIN DATA, Orders'!$S:$S,'MAIN DATA, Orders'!$D:$D,"United Kingdom",'MAIN DATA, Orders'!$Y:$Y,$A9,'MAIN DATA, Orders'!$AC:$AC,"0",'MAIN DATA, Orders'!$AF:$AF,"0")/1000000000)</f>
        <v>0</v>
      </c>
    </row>
    <row r="10" spans="1:6" x14ac:dyDescent="0.35">
      <c r="A10" s="20">
        <v>202004</v>
      </c>
      <c r="B10" s="17">
        <v>43922</v>
      </c>
      <c r="C10" s="15">
        <f>(SUMIFS('MAIN DATA, Orders'!$S:$S,'MAIN DATA, Orders'!$D:$D,"United Kingdom",'MAIN DATA, Orders'!$Y:$Y,$A10,'MAIN DATA, Orders'!$AF:$AF,"0",'MAIN DATA, Orders'!$AH:$AH,"United Kingdom")/1000000000)</f>
        <v>0</v>
      </c>
      <c r="D10" s="15">
        <f>(SUMIFS('MAIN DATA, Orders'!$S:$S,'MAIN DATA, Orders'!$D:$D,"United Kingdom",'MAIN DATA, Orders'!$Y:$Y,$A10,'MAIN DATA, Orders'!$AF:$AF,"1")/1000000000)</f>
        <v>0</v>
      </c>
      <c r="E10" s="15">
        <f>(SUMIFS('MAIN DATA, Orders'!$S:$S,'MAIN DATA, Orders'!$D:$D,"United Kingdom",'MAIN DATA, Orders'!$Y:$Y,$A10,'MAIN DATA, Orders'!$AC:$AC,"1",'MAIN DATA, Orders'!$AF:$AF,"0",'MAIN DATA, Orders'!$AH:$AH,"&lt;&gt;United Kingdom")/1000000000)</f>
        <v>4.5999999999999999E-2</v>
      </c>
      <c r="F10" s="15">
        <f>(SUMIFS('MAIN DATA, Orders'!$S:$S,'MAIN DATA, Orders'!$D:$D,"United Kingdom",'MAIN DATA, Orders'!$Y:$Y,$A10,'MAIN DATA, Orders'!$AC:$AC,"0",'MAIN DATA, Orders'!$AF:$AF,"0")/1000000000)</f>
        <v>0</v>
      </c>
    </row>
    <row r="11" spans="1:6" x14ac:dyDescent="0.35">
      <c r="A11" s="20">
        <v>202005</v>
      </c>
      <c r="B11" s="17">
        <v>43952</v>
      </c>
      <c r="C11" s="15">
        <f>(SUMIFS('MAIN DATA, Orders'!$S:$S,'MAIN DATA, Orders'!$D:$D,"United Kingdom",'MAIN DATA, Orders'!$Y:$Y,$A11,'MAIN DATA, Orders'!$AF:$AF,"0",'MAIN DATA, Orders'!$AH:$AH,"United Kingdom")/1000000000)</f>
        <v>0</v>
      </c>
      <c r="D11" s="15">
        <f>(SUMIFS('MAIN DATA, Orders'!$S:$S,'MAIN DATA, Orders'!$D:$D,"United Kingdom",'MAIN DATA, Orders'!$Y:$Y,$A11,'MAIN DATA, Orders'!$AF:$AF,"1")/1000000000)</f>
        <v>0</v>
      </c>
      <c r="E11" s="15">
        <f>(SUMIFS('MAIN DATA, Orders'!$S:$S,'MAIN DATA, Orders'!$D:$D,"United Kingdom",'MAIN DATA, Orders'!$Y:$Y,$A11,'MAIN DATA, Orders'!$AC:$AC,"1",'MAIN DATA, Orders'!$AF:$AF,"0",'MAIN DATA, Orders'!$AH:$AH,"&lt;&gt;United Kingdom")/1000000000)</f>
        <v>0</v>
      </c>
      <c r="F11" s="15">
        <f>(SUMIFS('MAIN DATA, Orders'!$S:$S,'MAIN DATA, Orders'!$D:$D,"United Kingdom",'MAIN DATA, Orders'!$Y:$Y,$A11,'MAIN DATA, Orders'!$AC:$AC,"0",'MAIN DATA, Orders'!$AF:$AF,"0")/1000000000)</f>
        <v>0</v>
      </c>
    </row>
    <row r="12" spans="1:6" x14ac:dyDescent="0.35">
      <c r="A12" s="20">
        <v>202006</v>
      </c>
      <c r="B12" s="17">
        <v>43983</v>
      </c>
      <c r="C12" s="15">
        <f>(SUMIFS('MAIN DATA, Orders'!$S:$S,'MAIN DATA, Orders'!$D:$D,"United Kingdom",'MAIN DATA, Orders'!$Y:$Y,$A12,'MAIN DATA, Orders'!$AF:$AF,"0",'MAIN DATA, Orders'!$AH:$AH,"United Kingdom")/1000000000)</f>
        <v>2.6700000000000002E-2</v>
      </c>
      <c r="D12" s="15">
        <f>(SUMIFS('MAIN DATA, Orders'!$S:$S,'MAIN DATA, Orders'!$D:$D,"United Kingdom",'MAIN DATA, Orders'!$Y:$Y,$A12,'MAIN DATA, Orders'!$AF:$AF,"1")/1000000000)</f>
        <v>0</v>
      </c>
      <c r="E12" s="15">
        <f>(SUMIFS('MAIN DATA, Orders'!$S:$S,'MAIN DATA, Orders'!$D:$D,"United Kingdom",'MAIN DATA, Orders'!$Y:$Y,$A12,'MAIN DATA, Orders'!$AC:$AC,"1",'MAIN DATA, Orders'!$AF:$AF,"0",'MAIN DATA, Orders'!$AH:$AH,"&lt;&gt;United Kingdom")/1000000000)</f>
        <v>0</v>
      </c>
      <c r="F12" s="15">
        <f>(SUMIFS('MAIN DATA, Orders'!$S:$S,'MAIN DATA, Orders'!$D:$D,"United Kingdom",'MAIN DATA, Orders'!$Y:$Y,$A12,'MAIN DATA, Orders'!$AC:$AC,"0",'MAIN DATA, Orders'!$AF:$AF,"0")/1000000000)</f>
        <v>0</v>
      </c>
    </row>
    <row r="13" spans="1:6" x14ac:dyDescent="0.35">
      <c r="A13" s="20">
        <v>202007</v>
      </c>
      <c r="B13" s="17">
        <v>44013</v>
      </c>
      <c r="C13" s="15">
        <f>(SUMIFS('MAIN DATA, Orders'!$S:$S,'MAIN DATA, Orders'!$D:$D,"United Kingdom",'MAIN DATA, Orders'!$Y:$Y,$A13,'MAIN DATA, Orders'!$AF:$AF,"0",'MAIN DATA, Orders'!$AH:$AH,"United Kingdom")/1000000000)</f>
        <v>0.30990000000000001</v>
      </c>
      <c r="D13" s="15">
        <f>(SUMIFS('MAIN DATA, Orders'!$S:$S,'MAIN DATA, Orders'!$D:$D,"United Kingdom",'MAIN DATA, Orders'!$Y:$Y,$A13,'MAIN DATA, Orders'!$AF:$AF,"1")/1000000000)</f>
        <v>0</v>
      </c>
      <c r="E13" s="15">
        <f>(SUMIFS('MAIN DATA, Orders'!$S:$S,'MAIN DATA, Orders'!$D:$D,"United Kingdom",'MAIN DATA, Orders'!$Y:$Y,$A13,'MAIN DATA, Orders'!$AC:$AC,"1",'MAIN DATA, Orders'!$AF:$AF,"0",'MAIN DATA, Orders'!$AH:$AH,"&lt;&gt;United Kingdom")/1000000000)</f>
        <v>0</v>
      </c>
      <c r="F13" s="15">
        <f>(SUMIFS('MAIN DATA, Orders'!$S:$S,'MAIN DATA, Orders'!$D:$D,"United Kingdom",'MAIN DATA, Orders'!$Y:$Y,$A13,'MAIN DATA, Orders'!$AC:$AC,"0",'MAIN DATA, Orders'!$AF:$AF,"0")/1000000000)</f>
        <v>6.5000000000000002E-2</v>
      </c>
    </row>
    <row r="14" spans="1:6" x14ac:dyDescent="0.35">
      <c r="A14" s="20">
        <v>202008</v>
      </c>
      <c r="B14" s="17">
        <v>44044</v>
      </c>
      <c r="C14" s="15">
        <f>(SUMIFS('MAIN DATA, Orders'!$S:$S,'MAIN DATA, Orders'!$D:$D,"United Kingdom",'MAIN DATA, Orders'!$Y:$Y,$A14,'MAIN DATA, Orders'!$AF:$AF,"0",'MAIN DATA, Orders'!$AH:$AH,"United Kingdom")/1000000000)</f>
        <v>0.24</v>
      </c>
      <c r="D14" s="15">
        <f>(SUMIFS('MAIN DATA, Orders'!$S:$S,'MAIN DATA, Orders'!$D:$D,"United Kingdom",'MAIN DATA, Orders'!$Y:$Y,$A14,'MAIN DATA, Orders'!$AF:$AF,"1")/1000000000)</f>
        <v>1.1999999999999999E-3</v>
      </c>
      <c r="E14" s="15">
        <f>(SUMIFS('MAIN DATA, Orders'!$S:$S,'MAIN DATA, Orders'!$D:$D,"United Kingdom",'MAIN DATA, Orders'!$Y:$Y,$A14,'MAIN DATA, Orders'!$AC:$AC,"1",'MAIN DATA, Orders'!$AF:$AF,"0",'MAIN DATA, Orders'!$AH:$AH,"&lt;&gt;United Kingdom")/1000000000)</f>
        <v>0</v>
      </c>
      <c r="F14" s="15">
        <f>(SUMIFS('MAIN DATA, Orders'!$S:$S,'MAIN DATA, Orders'!$D:$D,"United Kingdom",'MAIN DATA, Orders'!$Y:$Y,$A14,'MAIN DATA, Orders'!$AC:$AC,"0",'MAIN DATA, Orders'!$AF:$AF,"0")/1000000000)</f>
        <v>0</v>
      </c>
    </row>
    <row r="15" spans="1:6" x14ac:dyDescent="0.35">
      <c r="A15" s="20">
        <v>202009</v>
      </c>
      <c r="B15" s="17">
        <v>44075</v>
      </c>
      <c r="C15" s="15">
        <f>(SUMIFS('MAIN DATA, Orders'!$S:$S,'MAIN DATA, Orders'!$D:$D,"United Kingdom",'MAIN DATA, Orders'!$Y:$Y,$A15,'MAIN DATA, Orders'!$AF:$AF,"0",'MAIN DATA, Orders'!$AH:$AH,"United Kingdom")/1000000000)</f>
        <v>7.0000000000000001E-3</v>
      </c>
      <c r="D15" s="15">
        <f>(SUMIFS('MAIN DATA, Orders'!$S:$S,'MAIN DATA, Orders'!$D:$D,"United Kingdom",'MAIN DATA, Orders'!$Y:$Y,$A15,'MAIN DATA, Orders'!$AF:$AF,"1")/1000000000)</f>
        <v>0.317</v>
      </c>
      <c r="E15" s="15">
        <f>(SUMIFS('MAIN DATA, Orders'!$S:$S,'MAIN DATA, Orders'!$D:$D,"United Kingdom",'MAIN DATA, Orders'!$Y:$Y,$A15,'MAIN DATA, Orders'!$AC:$AC,"1",'MAIN DATA, Orders'!$AF:$AF,"0",'MAIN DATA, Orders'!$AH:$AH,"&lt;&gt;United Kingdom")/1000000000)</f>
        <v>0</v>
      </c>
      <c r="F15" s="15">
        <f>(SUMIFS('MAIN DATA, Orders'!$S:$S,'MAIN DATA, Orders'!$D:$D,"United Kingdom",'MAIN DATA, Orders'!$Y:$Y,$A15,'MAIN DATA, Orders'!$AC:$AC,"0",'MAIN DATA, Orders'!$AF:$AF,"0")/1000000000)</f>
        <v>0</v>
      </c>
    </row>
    <row r="16" spans="1:6" x14ac:dyDescent="0.35">
      <c r="A16" s="20">
        <v>202010</v>
      </c>
      <c r="B16" s="17">
        <v>44105</v>
      </c>
      <c r="C16" s="15">
        <f>(SUMIFS('MAIN DATA, Orders'!$S:$S,'MAIN DATA, Orders'!$D:$D,"United Kingdom",'MAIN DATA, Orders'!$Y:$Y,$A16,'MAIN DATA, Orders'!$AF:$AF,"0",'MAIN DATA, Orders'!$AH:$AH,"United Kingdom")/1000000000)</f>
        <v>4.5999999999999999E-2</v>
      </c>
      <c r="D16" s="15">
        <f>(SUMIFS('MAIN DATA, Orders'!$S:$S,'MAIN DATA, Orders'!$D:$D,"United Kingdom",'MAIN DATA, Orders'!$Y:$Y,$A16,'MAIN DATA, Orders'!$AF:$AF,"1")/1000000000)</f>
        <v>0</v>
      </c>
      <c r="E16" s="15">
        <f>(SUMIFS('MAIN DATA, Orders'!$S:$S,'MAIN DATA, Orders'!$D:$D,"United Kingdom",'MAIN DATA, Orders'!$Y:$Y,$A16,'MAIN DATA, Orders'!$AC:$AC,"1",'MAIN DATA, Orders'!$AF:$AF,"0",'MAIN DATA, Orders'!$AH:$AH,"&lt;&gt;United Kingdom")/1000000000)</f>
        <v>0</v>
      </c>
      <c r="F16" s="15">
        <f>(SUMIFS('MAIN DATA, Orders'!$S:$S,'MAIN DATA, Orders'!$D:$D,"United Kingdom",'MAIN DATA, Orders'!$Y:$Y,$A16,'MAIN DATA, Orders'!$AC:$AC,"0",'MAIN DATA, Orders'!$AF:$AF,"0")/1000000000)</f>
        <v>0</v>
      </c>
    </row>
    <row r="17" spans="1:6" x14ac:dyDescent="0.35">
      <c r="A17" s="20">
        <v>202011</v>
      </c>
      <c r="B17" s="17">
        <v>44136</v>
      </c>
      <c r="C17" s="15">
        <f>(SUMIFS('MAIN DATA, Orders'!$S:$S,'MAIN DATA, Orders'!$D:$D,"United Kingdom",'MAIN DATA, Orders'!$Y:$Y,$A17,'MAIN DATA, Orders'!$AF:$AF,"0",'MAIN DATA, Orders'!$AH:$AH,"United Kingdom")/1000000000)</f>
        <v>2.4</v>
      </c>
      <c r="D17" s="15">
        <f>(SUMIFS('MAIN DATA, Orders'!$S:$S,'MAIN DATA, Orders'!$D:$D,"United Kingdom",'MAIN DATA, Orders'!$Y:$Y,$A17,'MAIN DATA, Orders'!$AF:$AF,"1")/1000000000)</f>
        <v>0.184</v>
      </c>
      <c r="E17" s="15">
        <f>(SUMIFS('MAIN DATA, Orders'!$S:$S,'MAIN DATA, Orders'!$D:$D,"United Kingdom",'MAIN DATA, Orders'!$Y:$Y,$A17,'MAIN DATA, Orders'!$AC:$AC,"1",'MAIN DATA, Orders'!$AF:$AF,"0",'MAIN DATA, Orders'!$AH:$AH,"&lt;&gt;United Kingdom")/1000000000)</f>
        <v>0</v>
      </c>
      <c r="F17" s="15">
        <f>(SUMIFS('MAIN DATA, Orders'!$S:$S,'MAIN DATA, Orders'!$D:$D,"United Kingdom",'MAIN DATA, Orders'!$Y:$Y,$A17,'MAIN DATA, Orders'!$AC:$AC,"0",'MAIN DATA, Orders'!$AF:$AF,"0")/1000000000)</f>
        <v>0</v>
      </c>
    </row>
    <row r="18" spans="1:6" x14ac:dyDescent="0.35">
      <c r="A18" s="20">
        <v>202012</v>
      </c>
      <c r="B18" s="17">
        <v>44166</v>
      </c>
      <c r="C18" s="15">
        <f>(SUMIFS('MAIN DATA, Orders'!$S:$S,'MAIN DATA, Orders'!$D:$D,"United Kingdom",'MAIN DATA, Orders'!$Y:$Y,$A18,'MAIN DATA, Orders'!$AF:$AF,"0",'MAIN DATA, Orders'!$AH:$AH,"United Kingdom")/1000000000)</f>
        <v>0</v>
      </c>
      <c r="D18" s="15">
        <f>(SUMIFS('MAIN DATA, Orders'!$S:$S,'MAIN DATA, Orders'!$D:$D,"United Kingdom",'MAIN DATA, Orders'!$Y:$Y,$A18,'MAIN DATA, Orders'!$AF:$AF,"1")/1000000000)</f>
        <v>0</v>
      </c>
      <c r="E18" s="15">
        <f>(SUMIFS('MAIN DATA, Orders'!$S:$S,'MAIN DATA, Orders'!$D:$D,"United Kingdom",'MAIN DATA, Orders'!$Y:$Y,$A18,'MAIN DATA, Orders'!$AC:$AC,"1",'MAIN DATA, Orders'!$AF:$AF,"0",'MAIN DATA, Orders'!$AH:$AH,"&lt;&gt;United Kingdom")/1000000000)</f>
        <v>0</v>
      </c>
      <c r="F18" s="15">
        <f>(SUMIFS('MAIN DATA, Orders'!$S:$S,'MAIN DATA, Orders'!$D:$D,"United Kingdom",'MAIN DATA, Orders'!$Y:$Y,$A18,'MAIN DATA, Orders'!$AC:$AC,"0",'MAIN DATA, Orders'!$AF:$AF,"0")/1000000000)</f>
        <v>0</v>
      </c>
    </row>
    <row r="19" spans="1:6" x14ac:dyDescent="0.35">
      <c r="A19" s="20">
        <v>202101</v>
      </c>
      <c r="B19" s="17">
        <v>44197</v>
      </c>
      <c r="C19" s="15">
        <f>(SUMIFS('MAIN DATA, Orders'!$S:$S,'MAIN DATA, Orders'!$D:$D,"United Kingdom",'MAIN DATA, Orders'!$Y:$Y,$A19,'MAIN DATA, Orders'!$AF:$AF,"0",'MAIN DATA, Orders'!$AH:$AH,"United Kingdom")/1000000000)</f>
        <v>0.26</v>
      </c>
      <c r="D19" s="15">
        <f>(SUMIFS('MAIN DATA, Orders'!$S:$S,'MAIN DATA, Orders'!$D:$D,"United Kingdom",'MAIN DATA, Orders'!$Y:$Y,$A19,'MAIN DATA, Orders'!$AF:$AF,"1")/1000000000)</f>
        <v>0.753</v>
      </c>
      <c r="E19" s="15">
        <f>(SUMIFS('MAIN DATA, Orders'!$S:$S,'MAIN DATA, Orders'!$D:$D,"United Kingdom",'MAIN DATA, Orders'!$Y:$Y,$A19,'MAIN DATA, Orders'!$AC:$AC,"1",'MAIN DATA, Orders'!$AF:$AF,"0",'MAIN DATA, Orders'!$AH:$AH,"&lt;&gt;United Kingdom")/1000000000)</f>
        <v>0</v>
      </c>
      <c r="F19" s="15">
        <f>(SUMIFS('MAIN DATA, Orders'!$S:$S,'MAIN DATA, Orders'!$D:$D,"United Kingdom",'MAIN DATA, Orders'!$Y:$Y,$A19,'MAIN DATA, Orders'!$AC:$AC,"0",'MAIN DATA, Orders'!$AF:$AF,"0")/1000000000)</f>
        <v>0</v>
      </c>
    </row>
    <row r="20" spans="1:6" x14ac:dyDescent="0.35">
      <c r="A20" s="20">
        <v>202102</v>
      </c>
      <c r="B20" s="17">
        <v>44228</v>
      </c>
      <c r="C20" s="15">
        <f>(SUMIFS('MAIN DATA, Orders'!$S:$S,'MAIN DATA, Orders'!$D:$D,"United Kingdom",'MAIN DATA, Orders'!$Y:$Y,$A20,'MAIN DATA, Orders'!$AF:$AF,"0",'MAIN DATA, Orders'!$AH:$AH,"United Kingdom")/1000000000)</f>
        <v>0</v>
      </c>
      <c r="D20" s="15">
        <f>(SUMIFS('MAIN DATA, Orders'!$S:$S,'MAIN DATA, Orders'!$D:$D,"United Kingdom",'MAIN DATA, Orders'!$Y:$Y,$A20,'MAIN DATA, Orders'!$AF:$AF,"1")/1000000000)</f>
        <v>0.18</v>
      </c>
      <c r="E20" s="15">
        <f>(SUMIFS('MAIN DATA, Orders'!$S:$S,'MAIN DATA, Orders'!$D:$D,"United Kingdom",'MAIN DATA, Orders'!$Y:$Y,$A20,'MAIN DATA, Orders'!$AC:$AC,"1",'MAIN DATA, Orders'!$AF:$AF,"0",'MAIN DATA, Orders'!$AH:$AH,"&lt;&gt;United Kingdom")/1000000000)</f>
        <v>0</v>
      </c>
      <c r="F20" s="15">
        <f>(SUMIFS('MAIN DATA, Orders'!$S:$S,'MAIN DATA, Orders'!$D:$D,"United Kingdom",'MAIN DATA, Orders'!$Y:$Y,$A20,'MAIN DATA, Orders'!$AC:$AC,"0",'MAIN DATA, Orders'!$AF:$AF,"0")/1000000000)</f>
        <v>0</v>
      </c>
    </row>
    <row r="21" spans="1:6" x14ac:dyDescent="0.35">
      <c r="A21" s="20">
        <v>202103</v>
      </c>
      <c r="B21" s="17">
        <v>44256</v>
      </c>
      <c r="C21" s="15">
        <f>(SUMIFS('MAIN DATA, Orders'!$S:$S,'MAIN DATA, Orders'!$D:$D,"United Kingdom",'MAIN DATA, Orders'!$Y:$Y,$A21,'MAIN DATA, Orders'!$AF:$AF,"0",'MAIN DATA, Orders'!$AH:$AH,"United Kingdom")/1000000000)</f>
        <v>0</v>
      </c>
      <c r="D21" s="15">
        <f>(SUMIFS('MAIN DATA, Orders'!$S:$S,'MAIN DATA, Orders'!$D:$D,"United Kingdom",'MAIN DATA, Orders'!$Y:$Y,$A21,'MAIN DATA, Orders'!$AF:$AF,"1")/1000000000)</f>
        <v>9.8400000000000001E-2</v>
      </c>
      <c r="E21" s="15">
        <f>(SUMIFS('MAIN DATA, Orders'!$S:$S,'MAIN DATA, Orders'!$D:$D,"United Kingdom",'MAIN DATA, Orders'!$Y:$Y,$A21,'MAIN DATA, Orders'!$AC:$AC,"1",'MAIN DATA, Orders'!$AF:$AF,"0",'MAIN DATA, Orders'!$AH:$AH,"&lt;&gt;United Kingdom")/1000000000)</f>
        <v>0</v>
      </c>
      <c r="F21" s="15">
        <f>(SUMIFS('MAIN DATA, Orders'!$S:$S,'MAIN DATA, Orders'!$D:$D,"United Kingdom",'MAIN DATA, Orders'!$Y:$Y,$A21,'MAIN DATA, Orders'!$AC:$AC,"0",'MAIN DATA, Orders'!$AF:$AF,"0")/1000000000)</f>
        <v>0</v>
      </c>
    </row>
    <row r="22" spans="1:6" x14ac:dyDescent="0.35">
      <c r="A22" s="20">
        <v>202104</v>
      </c>
      <c r="B22" s="17">
        <v>44287</v>
      </c>
      <c r="C22" s="15">
        <f>(SUMIFS('MAIN DATA, Orders'!$S:$S,'MAIN DATA, Orders'!$D:$D,"United Kingdom",'MAIN DATA, Orders'!$Y:$Y,$A22,'MAIN DATA, Orders'!$AF:$AF,"0",'MAIN DATA, Orders'!$AH:$AH,"United Kingdom")/1000000000)</f>
        <v>0</v>
      </c>
      <c r="D22" s="15">
        <f>(SUMIFS('MAIN DATA, Orders'!$S:$S,'MAIN DATA, Orders'!$D:$D,"United Kingdom",'MAIN DATA, Orders'!$Y:$Y,$A22,'MAIN DATA, Orders'!$AF:$AF,"1")/1000000000)</f>
        <v>0</v>
      </c>
      <c r="E22" s="15">
        <f>(SUMIFS('MAIN DATA, Orders'!$S:$S,'MAIN DATA, Orders'!$D:$D,"United Kingdom",'MAIN DATA, Orders'!$Y:$Y,$A22,'MAIN DATA, Orders'!$AC:$AC,"1",'MAIN DATA, Orders'!$AF:$AF,"0",'MAIN DATA, Orders'!$AH:$AH,"&lt;&gt;United Kingdom")/1000000000)</f>
        <v>0</v>
      </c>
      <c r="F22" s="15">
        <f>(SUMIFS('MAIN DATA, Orders'!$S:$S,'MAIN DATA, Orders'!$D:$D,"United Kingdom",'MAIN DATA, Orders'!$Y:$Y,$A22,'MAIN DATA, Orders'!$AC:$AC,"0",'MAIN DATA, Orders'!$AF:$AF,"0")/1000000000)</f>
        <v>0</v>
      </c>
    </row>
    <row r="23" spans="1:6" x14ac:dyDescent="0.35">
      <c r="A23" s="20">
        <v>202105</v>
      </c>
      <c r="B23" s="17">
        <v>44317</v>
      </c>
      <c r="C23" s="15">
        <f>(SUMIFS('MAIN DATA, Orders'!$S:$S,'MAIN DATA, Orders'!$D:$D,"United Kingdom",'MAIN DATA, Orders'!$Y:$Y,$A23,'MAIN DATA, Orders'!$AF:$AF,"0",'MAIN DATA, Orders'!$AH:$AH,"United Kingdom")/1000000000)</f>
        <v>0</v>
      </c>
      <c r="D23" s="15">
        <f>(SUMIFS('MAIN DATA, Orders'!$S:$S,'MAIN DATA, Orders'!$D:$D,"United Kingdom",'MAIN DATA, Orders'!$Y:$Y,$A23,'MAIN DATA, Orders'!$AF:$AF,"1")/1000000000)</f>
        <v>1.121</v>
      </c>
      <c r="E23" s="15">
        <f>(SUMIFS('MAIN DATA, Orders'!$S:$S,'MAIN DATA, Orders'!$D:$D,"United Kingdom",'MAIN DATA, Orders'!$Y:$Y,$A23,'MAIN DATA, Orders'!$AC:$AC,"1",'MAIN DATA, Orders'!$AF:$AF,"0",'MAIN DATA, Orders'!$AH:$AH,"&lt;&gt;United Kingdom")/1000000000)</f>
        <v>0</v>
      </c>
      <c r="F23" s="15">
        <f>(SUMIFS('MAIN DATA, Orders'!$S:$S,'MAIN DATA, Orders'!$D:$D,"United Kingdom",'MAIN DATA, Orders'!$Y:$Y,$A23,'MAIN DATA, Orders'!$AC:$AC,"0",'MAIN DATA, Orders'!$AF:$AF,"0")/1000000000)</f>
        <v>0</v>
      </c>
    </row>
    <row r="24" spans="1:6" x14ac:dyDescent="0.35">
      <c r="A24" s="20">
        <v>202106</v>
      </c>
      <c r="B24" s="17">
        <v>44348</v>
      </c>
      <c r="C24" s="15">
        <f>(SUMIFS('MAIN DATA, Orders'!$S:$S,'MAIN DATA, Orders'!$D:$D,"United Kingdom",'MAIN DATA, Orders'!$Y:$Y,$A24,'MAIN DATA, Orders'!$AF:$AF,"0",'MAIN DATA, Orders'!$AH:$AH,"United Kingdom")/1000000000)</f>
        <v>3.5999999999999997E-2</v>
      </c>
      <c r="D24" s="15">
        <f>(SUMIFS('MAIN DATA, Orders'!$S:$S,'MAIN DATA, Orders'!$D:$D,"United Kingdom",'MAIN DATA, Orders'!$Y:$Y,$A24,'MAIN DATA, Orders'!$AF:$AF,"1")/1000000000)</f>
        <v>0</v>
      </c>
      <c r="E24" s="15">
        <f>(SUMIFS('MAIN DATA, Orders'!$S:$S,'MAIN DATA, Orders'!$D:$D,"United Kingdom",'MAIN DATA, Orders'!$Y:$Y,$A24,'MAIN DATA, Orders'!$AC:$AC,"1",'MAIN DATA, Orders'!$AF:$AF,"0",'MAIN DATA, Orders'!$AH:$AH,"&lt;&gt;United Kingdom")/1000000000)</f>
        <v>0</v>
      </c>
      <c r="F24" s="15">
        <f>(SUMIFS('MAIN DATA, Orders'!$S:$S,'MAIN DATA, Orders'!$D:$D,"United Kingdom",'MAIN DATA, Orders'!$Y:$Y,$A24,'MAIN DATA, Orders'!$AC:$AC,"0",'MAIN DATA, Orders'!$AF:$AF,"0")/1000000000)</f>
        <v>0</v>
      </c>
    </row>
    <row r="25" spans="1:6" x14ac:dyDescent="0.35">
      <c r="A25" s="20">
        <v>202107</v>
      </c>
      <c r="B25" s="17">
        <v>44378</v>
      </c>
      <c r="C25" s="15">
        <f>(SUMIFS('MAIN DATA, Orders'!$S:$S,'MAIN DATA, Orders'!$D:$D,"United Kingdom",'MAIN DATA, Orders'!$Y:$Y,$A25,'MAIN DATA, Orders'!$AF:$AF,"0",'MAIN DATA, Orders'!$AH:$AH,"United Kingdom")/1000000000)</f>
        <v>5.94E-3</v>
      </c>
      <c r="D25" s="15">
        <f>(SUMIFS('MAIN DATA, Orders'!$S:$S,'MAIN DATA, Orders'!$D:$D,"United Kingdom",'MAIN DATA, Orders'!$Y:$Y,$A25,'MAIN DATA, Orders'!$AF:$AF,"1")/1000000000)</f>
        <v>0.69499999999999995</v>
      </c>
      <c r="E25" s="15">
        <f>(SUMIFS('MAIN DATA, Orders'!$S:$S,'MAIN DATA, Orders'!$D:$D,"United Kingdom",'MAIN DATA, Orders'!$Y:$Y,$A25,'MAIN DATA, Orders'!$AC:$AC,"1",'MAIN DATA, Orders'!$AF:$AF,"0",'MAIN DATA, Orders'!$AH:$AH,"&lt;&gt;United Kingdom")/1000000000)</f>
        <v>0</v>
      </c>
      <c r="F25" s="15">
        <f>(SUMIFS('MAIN DATA, Orders'!$S:$S,'MAIN DATA, Orders'!$D:$D,"United Kingdom",'MAIN DATA, Orders'!$Y:$Y,$A25,'MAIN DATA, Orders'!$AC:$AC,"0",'MAIN DATA, Orders'!$AF:$AF,"0")/1000000000)</f>
        <v>0</v>
      </c>
    </row>
    <row r="26" spans="1:6" x14ac:dyDescent="0.35">
      <c r="A26" s="20">
        <v>202108</v>
      </c>
      <c r="B26" s="17">
        <v>44409</v>
      </c>
      <c r="C26" s="15">
        <f>(SUMIFS('MAIN DATA, Orders'!$S:$S,'MAIN DATA, Orders'!$D:$D,"United Kingdom",'MAIN DATA, Orders'!$Y:$Y,$A26,'MAIN DATA, Orders'!$AF:$AF,"0",'MAIN DATA, Orders'!$AH:$AH,"United Kingdom")/1000000000)</f>
        <v>0</v>
      </c>
      <c r="D26" s="15">
        <f>(SUMIFS('MAIN DATA, Orders'!$S:$S,'MAIN DATA, Orders'!$D:$D,"United Kingdom",'MAIN DATA, Orders'!$Y:$Y,$A26,'MAIN DATA, Orders'!$AF:$AF,"1")/1000000000)</f>
        <v>0</v>
      </c>
      <c r="E26" s="15">
        <f>(SUMIFS('MAIN DATA, Orders'!$S:$S,'MAIN DATA, Orders'!$D:$D,"United Kingdom",'MAIN DATA, Orders'!$Y:$Y,$A26,'MAIN DATA, Orders'!$AC:$AC,"1",'MAIN DATA, Orders'!$AF:$AF,"0",'MAIN DATA, Orders'!$AH:$AH,"&lt;&gt;United Kingdom")/1000000000)</f>
        <v>0</v>
      </c>
      <c r="F26" s="15">
        <f>(SUMIFS('MAIN DATA, Orders'!$S:$S,'MAIN DATA, Orders'!$D:$D,"United Kingdom",'MAIN DATA, Orders'!$Y:$Y,$A26,'MAIN DATA, Orders'!$AC:$AC,"0",'MAIN DATA, Orders'!$AF:$AF,"0")/1000000000)</f>
        <v>0</v>
      </c>
    </row>
    <row r="27" spans="1:6" x14ac:dyDescent="0.35">
      <c r="A27" s="20">
        <v>202109</v>
      </c>
      <c r="B27" s="17">
        <v>44440</v>
      </c>
      <c r="C27" s="15">
        <f>(SUMIFS('MAIN DATA, Orders'!$S:$S,'MAIN DATA, Orders'!$D:$D,"United Kingdom",'MAIN DATA, Orders'!$Y:$Y,$A27,'MAIN DATA, Orders'!$AF:$AF,"0",'MAIN DATA, Orders'!$AH:$AH,"United Kingdom")/1000000000)</f>
        <v>0.17</v>
      </c>
      <c r="D27" s="15">
        <f>(SUMIFS('MAIN DATA, Orders'!$S:$S,'MAIN DATA, Orders'!$D:$D,"United Kingdom",'MAIN DATA, Orders'!$Y:$Y,$A27,'MAIN DATA, Orders'!$AF:$AF,"1")/1000000000)</f>
        <v>0.13650000000000001</v>
      </c>
      <c r="E27" s="15">
        <f>(SUMIFS('MAIN DATA, Orders'!$S:$S,'MAIN DATA, Orders'!$D:$D,"United Kingdom",'MAIN DATA, Orders'!$Y:$Y,$A27,'MAIN DATA, Orders'!$AC:$AC,"1",'MAIN DATA, Orders'!$AF:$AF,"0",'MAIN DATA, Orders'!$AH:$AH,"&lt;&gt;United Kingdom")/1000000000)</f>
        <v>0</v>
      </c>
      <c r="F27" s="15">
        <f>(SUMIFS('MAIN DATA, Orders'!$S:$S,'MAIN DATA, Orders'!$D:$D,"United Kingdom",'MAIN DATA, Orders'!$Y:$Y,$A27,'MAIN DATA, Orders'!$AC:$AC,"0",'MAIN DATA, Orders'!$AF:$AF,"0")/1000000000)</f>
        <v>0.32400000000000001</v>
      </c>
    </row>
    <row r="28" spans="1:6" x14ac:dyDescent="0.35">
      <c r="A28" s="20">
        <v>202110</v>
      </c>
      <c r="B28" s="17">
        <v>44470</v>
      </c>
      <c r="C28" s="15">
        <f>(SUMIFS('MAIN DATA, Orders'!$S:$S,'MAIN DATA, Orders'!$D:$D,"United Kingdom",'MAIN DATA, Orders'!$Y:$Y,$A28,'MAIN DATA, Orders'!$AF:$AF,"0",'MAIN DATA, Orders'!$AH:$AH,"United Kingdom")/1000000000)</f>
        <v>0</v>
      </c>
      <c r="D28" s="15">
        <f>(SUMIFS('MAIN DATA, Orders'!$S:$S,'MAIN DATA, Orders'!$D:$D,"United Kingdom",'MAIN DATA, Orders'!$Y:$Y,$A28,'MAIN DATA, Orders'!$AF:$AF,"1")/1000000000)</f>
        <v>0.17499999999999999</v>
      </c>
      <c r="E28" s="15">
        <f>(SUMIFS('MAIN DATA, Orders'!$S:$S,'MAIN DATA, Orders'!$D:$D,"United Kingdom",'MAIN DATA, Orders'!$Y:$Y,$A28,'MAIN DATA, Orders'!$AC:$AC,"1",'MAIN DATA, Orders'!$AF:$AF,"0",'MAIN DATA, Orders'!$AH:$AH,"&lt;&gt;United Kingdom")/1000000000)</f>
        <v>0</v>
      </c>
      <c r="F28" s="15">
        <f>(SUMIFS('MAIN DATA, Orders'!$S:$S,'MAIN DATA, Orders'!$D:$D,"United Kingdom",'MAIN DATA, Orders'!$Y:$Y,$A28,'MAIN DATA, Orders'!$AC:$AC,"0",'MAIN DATA, Orders'!$AF:$AF,"0")/1000000000)</f>
        <v>0</v>
      </c>
    </row>
    <row r="29" spans="1:6" x14ac:dyDescent="0.35">
      <c r="A29" s="20">
        <v>202111</v>
      </c>
      <c r="B29" s="17">
        <v>44501</v>
      </c>
      <c r="C29" s="15">
        <f>(SUMIFS('MAIN DATA, Orders'!$S:$S,'MAIN DATA, Orders'!$D:$D,"United Kingdom",'MAIN DATA, Orders'!$Y:$Y,$A29,'MAIN DATA, Orders'!$AF:$AF,"0",'MAIN DATA, Orders'!$AH:$AH,"United Kingdom")/1000000000)</f>
        <v>0</v>
      </c>
      <c r="D29" s="15">
        <f>(SUMIFS('MAIN DATA, Orders'!$S:$S,'MAIN DATA, Orders'!$D:$D,"United Kingdom",'MAIN DATA, Orders'!$Y:$Y,$A29,'MAIN DATA, Orders'!$AF:$AF,"1")/1000000000)</f>
        <v>0.21</v>
      </c>
      <c r="E29" s="15">
        <f>(SUMIFS('MAIN DATA, Orders'!$S:$S,'MAIN DATA, Orders'!$D:$D,"United Kingdom",'MAIN DATA, Orders'!$Y:$Y,$A29,'MAIN DATA, Orders'!$AC:$AC,"1",'MAIN DATA, Orders'!$AF:$AF,"0",'MAIN DATA, Orders'!$AH:$AH,"&lt;&gt;United Kingdom")/1000000000)</f>
        <v>0</v>
      </c>
      <c r="F29" s="15">
        <f>(SUMIFS('MAIN DATA, Orders'!$S:$S,'MAIN DATA, Orders'!$D:$D,"United Kingdom",'MAIN DATA, Orders'!$Y:$Y,$A29,'MAIN DATA, Orders'!$AC:$AC,"0",'MAIN DATA, Orders'!$AF:$AF,"0")/1000000000)</f>
        <v>0</v>
      </c>
    </row>
    <row r="30" spans="1:6" x14ac:dyDescent="0.35">
      <c r="A30" s="20">
        <v>202112</v>
      </c>
      <c r="B30" s="17">
        <v>44531</v>
      </c>
      <c r="C30" s="15">
        <f>(SUMIFS('MAIN DATA, Orders'!$S:$S,'MAIN DATA, Orders'!$D:$D,"United Kingdom",'MAIN DATA, Orders'!$Y:$Y,$A30,'MAIN DATA, Orders'!$AF:$AF,"0",'MAIN DATA, Orders'!$AH:$AH,"United Kingdom")/1000000000)</f>
        <v>1.0200000000000001E-3</v>
      </c>
      <c r="D30" s="15">
        <f>(SUMIFS('MAIN DATA, Orders'!$S:$S,'MAIN DATA, Orders'!$D:$D,"United Kingdom",'MAIN DATA, Orders'!$Y:$Y,$A30,'MAIN DATA, Orders'!$AF:$AF,"1")/1000000000)</f>
        <v>0</v>
      </c>
      <c r="E30" s="15">
        <f>(SUMIFS('MAIN DATA, Orders'!$S:$S,'MAIN DATA, Orders'!$D:$D,"United Kingdom",'MAIN DATA, Orders'!$Y:$Y,$A30,'MAIN DATA, Orders'!$AC:$AC,"1",'MAIN DATA, Orders'!$AF:$AF,"0",'MAIN DATA, Orders'!$AH:$AH,"&lt;&gt;United Kingdom")/1000000000)</f>
        <v>0</v>
      </c>
      <c r="F30" s="15">
        <f>(SUMIFS('MAIN DATA, Orders'!$S:$S,'MAIN DATA, Orders'!$D:$D,"United Kingdom",'MAIN DATA, Orders'!$Y:$Y,$A30,'MAIN DATA, Orders'!$AC:$AC,"0",'MAIN DATA, Orders'!$AF:$AF,"0")/1000000000)</f>
        <v>0</v>
      </c>
    </row>
    <row r="31" spans="1:6" x14ac:dyDescent="0.35">
      <c r="A31" s="20">
        <v>202201</v>
      </c>
      <c r="B31" s="17">
        <v>44562</v>
      </c>
      <c r="C31" s="15">
        <f>(SUMIFS('MAIN DATA, Orders'!$S:$S,'MAIN DATA, Orders'!$D:$D,"United Kingdom",'MAIN DATA, Orders'!$Y:$Y,$A31,'MAIN DATA, Orders'!$AF:$AF,"0",'MAIN DATA, Orders'!$AH:$AH,"United Kingdom")/1000000000)</f>
        <v>2.3369999999999998E-2</v>
      </c>
      <c r="D31" s="15">
        <f>(SUMIFS('MAIN DATA, Orders'!$S:$S,'MAIN DATA, Orders'!$D:$D,"United Kingdom",'MAIN DATA, Orders'!$Y:$Y,$A31,'MAIN DATA, Orders'!$AF:$AF,"1")/1000000000)</f>
        <v>1.96</v>
      </c>
      <c r="E31" s="15">
        <f>(SUMIFS('MAIN DATA, Orders'!$S:$S,'MAIN DATA, Orders'!$D:$D,"United Kingdom",'MAIN DATA, Orders'!$Y:$Y,$A31,'MAIN DATA, Orders'!$AC:$AC,"1",'MAIN DATA, Orders'!$AF:$AF,"0",'MAIN DATA, Orders'!$AH:$AH,"&lt;&gt;United Kingdom")/1000000000)</f>
        <v>0</v>
      </c>
      <c r="F31" s="15">
        <f>(SUMIFS('MAIN DATA, Orders'!$S:$S,'MAIN DATA, Orders'!$D:$D,"United Kingdom",'MAIN DATA, Orders'!$Y:$Y,$A31,'MAIN DATA, Orders'!$AC:$AC,"0",'MAIN DATA, Orders'!$AF:$AF,"0")/1000000000)</f>
        <v>0.28699999999999998</v>
      </c>
    </row>
    <row r="32" spans="1:6" x14ac:dyDescent="0.35">
      <c r="A32" s="20">
        <v>202202</v>
      </c>
      <c r="B32" s="17">
        <v>44593</v>
      </c>
      <c r="C32" s="15">
        <f>(SUMIFS('MAIN DATA, Orders'!$S:$S,'MAIN DATA, Orders'!$D:$D,"United Kingdom",'MAIN DATA, Orders'!$Y:$Y,$A32,'MAIN DATA, Orders'!$AF:$AF,"0",'MAIN DATA, Orders'!$AH:$AH,"United Kingdom")/1000000000)</f>
        <v>0.08</v>
      </c>
      <c r="D32" s="15">
        <f>(SUMIFS('MAIN DATA, Orders'!$S:$S,'MAIN DATA, Orders'!$D:$D,"United Kingdom",'MAIN DATA, Orders'!$Y:$Y,$A32,'MAIN DATA, Orders'!$AF:$AF,"1")/1000000000)</f>
        <v>0</v>
      </c>
      <c r="E32" s="15">
        <f>(SUMIFS('MAIN DATA, Orders'!$S:$S,'MAIN DATA, Orders'!$D:$D,"United Kingdom",'MAIN DATA, Orders'!$Y:$Y,$A32,'MAIN DATA, Orders'!$AC:$AC,"1",'MAIN DATA, Orders'!$AF:$AF,"0",'MAIN DATA, Orders'!$AH:$AH,"&lt;&gt;United Kingdom")/1000000000)</f>
        <v>0</v>
      </c>
      <c r="F32" s="15">
        <f>(SUMIFS('MAIN DATA, Orders'!$S:$S,'MAIN DATA, Orders'!$D:$D,"United Kingdom",'MAIN DATA, Orders'!$Y:$Y,$A32,'MAIN DATA, Orders'!$AC:$AC,"0",'MAIN DATA, Orders'!$AF:$AF,"0")/1000000000)</f>
        <v>0</v>
      </c>
    </row>
    <row r="33" spans="1:6" x14ac:dyDescent="0.35">
      <c r="A33" s="20">
        <v>202203</v>
      </c>
      <c r="B33" s="17">
        <v>44621</v>
      </c>
      <c r="C33" s="15">
        <f>(SUMIFS('MAIN DATA, Orders'!$S:$S,'MAIN DATA, Orders'!$D:$D,"United Kingdom",'MAIN DATA, Orders'!$Y:$Y,$A33,'MAIN DATA, Orders'!$AF:$AF,"0",'MAIN DATA, Orders'!$AH:$AH,"United Kingdom")/1000000000)</f>
        <v>0.69499999999999995</v>
      </c>
      <c r="D33" s="15">
        <f>(SUMIFS('MAIN DATA, Orders'!$S:$S,'MAIN DATA, Orders'!$D:$D,"United Kingdom",'MAIN DATA, Orders'!$Y:$Y,$A33,'MAIN DATA, Orders'!$AF:$AF,"1")/1000000000)</f>
        <v>0</v>
      </c>
      <c r="E33" s="15">
        <f>(SUMIFS('MAIN DATA, Orders'!$S:$S,'MAIN DATA, Orders'!$D:$D,"United Kingdom",'MAIN DATA, Orders'!$Y:$Y,$A33,'MAIN DATA, Orders'!$AC:$AC,"1",'MAIN DATA, Orders'!$AF:$AF,"0",'MAIN DATA, Orders'!$AH:$AH,"&lt;&gt;United Kingdom")/1000000000)</f>
        <v>0</v>
      </c>
      <c r="F33" s="15">
        <f>(SUMIFS('MAIN DATA, Orders'!$S:$S,'MAIN DATA, Orders'!$D:$D,"United Kingdom",'MAIN DATA, Orders'!$Y:$Y,$A33,'MAIN DATA, Orders'!$AC:$AC,"0",'MAIN DATA, Orders'!$AF:$AF,"0")/1000000000)</f>
        <v>0</v>
      </c>
    </row>
    <row r="34" spans="1:6" x14ac:dyDescent="0.35">
      <c r="A34" s="20">
        <v>202204</v>
      </c>
      <c r="B34" s="17">
        <v>44652</v>
      </c>
      <c r="C34" s="15">
        <f>(SUMIFS('MAIN DATA, Orders'!$S:$S,'MAIN DATA, Orders'!$D:$D,"United Kingdom",'MAIN DATA, Orders'!$Y:$Y,$A34,'MAIN DATA, Orders'!$AF:$AF,"0",'MAIN DATA, Orders'!$AH:$AH,"United Kingdom")/1000000000)</f>
        <v>2.1999999999999999E-2</v>
      </c>
      <c r="D34" s="15">
        <f>(SUMIFS('MAIN DATA, Orders'!$S:$S,'MAIN DATA, Orders'!$D:$D,"United Kingdom",'MAIN DATA, Orders'!$Y:$Y,$A34,'MAIN DATA, Orders'!$AF:$AF,"1")/1000000000)</f>
        <v>0.39200000000000002</v>
      </c>
      <c r="E34" s="15">
        <f>(SUMIFS('MAIN DATA, Orders'!$S:$S,'MAIN DATA, Orders'!$D:$D,"United Kingdom",'MAIN DATA, Orders'!$Y:$Y,$A34,'MAIN DATA, Orders'!$AC:$AC,"1",'MAIN DATA, Orders'!$AF:$AF,"0",'MAIN DATA, Orders'!$AH:$AH,"&lt;&gt;United Kingdom")/1000000000)</f>
        <v>0</v>
      </c>
      <c r="F34" s="15">
        <f>(SUMIFS('MAIN DATA, Orders'!$S:$S,'MAIN DATA, Orders'!$D:$D,"United Kingdom",'MAIN DATA, Orders'!$Y:$Y,$A34,'MAIN DATA, Orders'!$AC:$AC,"0",'MAIN DATA, Orders'!$AF:$AF,"0")/1000000000)</f>
        <v>0</v>
      </c>
    </row>
    <row r="35" spans="1:6" x14ac:dyDescent="0.35">
      <c r="A35" s="20">
        <v>202205</v>
      </c>
      <c r="B35" s="17">
        <v>44682</v>
      </c>
      <c r="C35" s="15">
        <f>(SUMIFS('MAIN DATA, Orders'!$S:$S,'MAIN DATA, Orders'!$D:$D,"United Kingdom",'MAIN DATA, Orders'!$Y:$Y,$A35,'MAIN DATA, Orders'!$AF:$AF,"0",'MAIN DATA, Orders'!$AH:$AH,"United Kingdom")/1000000000)</f>
        <v>2</v>
      </c>
      <c r="D35" s="15">
        <f>(SUMIFS('MAIN DATA, Orders'!$S:$S,'MAIN DATA, Orders'!$D:$D,"United Kingdom",'MAIN DATA, Orders'!$Y:$Y,$A35,'MAIN DATA, Orders'!$AF:$AF,"1")/1000000000)</f>
        <v>0.56499999999999995</v>
      </c>
      <c r="E35" s="15">
        <f>(SUMIFS('MAIN DATA, Orders'!$S:$S,'MAIN DATA, Orders'!$D:$D,"United Kingdom",'MAIN DATA, Orders'!$Y:$Y,$A35,'MAIN DATA, Orders'!$AC:$AC,"1",'MAIN DATA, Orders'!$AF:$AF,"0",'MAIN DATA, Orders'!$AH:$AH,"&lt;&gt;United Kingdom")/1000000000)</f>
        <v>0</v>
      </c>
      <c r="F35" s="15">
        <f>(SUMIFS('MAIN DATA, Orders'!$S:$S,'MAIN DATA, Orders'!$D:$D,"United Kingdom",'MAIN DATA, Orders'!$Y:$Y,$A35,'MAIN DATA, Orders'!$AC:$AC,"0",'MAIN DATA, Orders'!$AF:$AF,"0")/1000000000)</f>
        <v>0</v>
      </c>
    </row>
    <row r="36" spans="1:6" x14ac:dyDescent="0.35">
      <c r="A36" s="20">
        <v>202206</v>
      </c>
      <c r="B36" s="17">
        <v>44713</v>
      </c>
      <c r="C36" s="15">
        <f>(SUMIFS('MAIN DATA, Orders'!$S:$S,'MAIN DATA, Orders'!$D:$D,"United Kingdom",'MAIN DATA, Orders'!$Y:$Y,$A36,'MAIN DATA, Orders'!$AF:$AF,"0",'MAIN DATA, Orders'!$AH:$AH,"United Kingdom")/1000000000)</f>
        <v>7.1999999999999998E-3</v>
      </c>
      <c r="D36" s="15">
        <f>(SUMIFS('MAIN DATA, Orders'!$S:$S,'MAIN DATA, Orders'!$D:$D,"United Kingdom",'MAIN DATA, Orders'!$Y:$Y,$A36,'MAIN DATA, Orders'!$AF:$AF,"1")/1000000000)</f>
        <v>0</v>
      </c>
      <c r="E36" s="15">
        <f>(SUMIFS('MAIN DATA, Orders'!$S:$S,'MAIN DATA, Orders'!$D:$D,"United Kingdom",'MAIN DATA, Orders'!$Y:$Y,$A36,'MAIN DATA, Orders'!$AC:$AC,"1",'MAIN DATA, Orders'!$AF:$AF,"0",'MAIN DATA, Orders'!$AH:$AH,"&lt;&gt;United Kingdom")/1000000000)</f>
        <v>0</v>
      </c>
      <c r="F36" s="15">
        <f>(SUMIFS('MAIN DATA, Orders'!$S:$S,'MAIN DATA, Orders'!$D:$D,"United Kingdom",'MAIN DATA, Orders'!$Y:$Y,$A36,'MAIN DATA, Orders'!$AC:$AC,"0",'MAIN DATA, Orders'!$AF:$AF,"0")/1000000000)</f>
        <v>0</v>
      </c>
    </row>
    <row r="37" spans="1:6" x14ac:dyDescent="0.35">
      <c r="A37" s="20">
        <v>202207</v>
      </c>
      <c r="B37" s="17">
        <v>44743</v>
      </c>
      <c r="C37" s="15">
        <f>(SUMIFS('MAIN DATA, Orders'!$S:$S,'MAIN DATA, Orders'!$D:$D,"United Kingdom",'MAIN DATA, Orders'!$Y:$Y,$A37,'MAIN DATA, Orders'!$AF:$AF,"0",'MAIN DATA, Orders'!$AH:$AH,"United Kingdom")/1000000000)</f>
        <v>0</v>
      </c>
      <c r="D37" s="15">
        <f>(SUMIFS('MAIN DATA, Orders'!$S:$S,'MAIN DATA, Orders'!$D:$D,"United Kingdom",'MAIN DATA, Orders'!$Y:$Y,$A37,'MAIN DATA, Orders'!$AF:$AF,"1")/1000000000)</f>
        <v>2.452</v>
      </c>
      <c r="E37" s="15">
        <f>(SUMIFS('MAIN DATA, Orders'!$S:$S,'MAIN DATA, Orders'!$D:$D,"United Kingdom",'MAIN DATA, Orders'!$Y:$Y,$A37,'MAIN DATA, Orders'!$AC:$AC,"1",'MAIN DATA, Orders'!$AF:$AF,"0",'MAIN DATA, Orders'!$AH:$AH,"&lt;&gt;United Kingdom")/1000000000)</f>
        <v>0</v>
      </c>
      <c r="F37" s="15">
        <f>(SUMIFS('MAIN DATA, Orders'!$S:$S,'MAIN DATA, Orders'!$D:$D,"United Kingdom",'MAIN DATA, Orders'!$Y:$Y,$A37,'MAIN DATA, Orders'!$AC:$AC,"0",'MAIN DATA, Orders'!$AF:$AF,"0")/1000000000)</f>
        <v>0</v>
      </c>
    </row>
    <row r="38" spans="1:6" x14ac:dyDescent="0.35">
      <c r="A38" s="20">
        <v>202208</v>
      </c>
      <c r="B38" s="17">
        <v>44774</v>
      </c>
      <c r="C38" s="15">
        <f>(SUMIFS('MAIN DATA, Orders'!$S:$S,'MAIN DATA, Orders'!$D:$D,"United Kingdom",'MAIN DATA, Orders'!$Y:$Y,$A38,'MAIN DATA, Orders'!$AF:$AF,"0",'MAIN DATA, Orders'!$AH:$AH,"United Kingdom")/1000000000)</f>
        <v>0</v>
      </c>
      <c r="D38" s="15">
        <f>(SUMIFS('MAIN DATA, Orders'!$S:$S,'MAIN DATA, Orders'!$D:$D,"United Kingdom",'MAIN DATA, Orders'!$Y:$Y,$A38,'MAIN DATA, Orders'!$AF:$AF,"1")/1000000000)</f>
        <v>0</v>
      </c>
      <c r="E38" s="15">
        <f>(SUMIFS('MAIN DATA, Orders'!$S:$S,'MAIN DATA, Orders'!$D:$D,"United Kingdom",'MAIN DATA, Orders'!$Y:$Y,$A38,'MAIN DATA, Orders'!$AC:$AC,"1",'MAIN DATA, Orders'!$AF:$AF,"0",'MAIN DATA, Orders'!$AH:$AH,"&lt;&gt;United Kingdom")/1000000000)</f>
        <v>0</v>
      </c>
      <c r="F38" s="15">
        <f>(SUMIFS('MAIN DATA, Orders'!$S:$S,'MAIN DATA, Orders'!$D:$D,"United Kingdom",'MAIN DATA, Orders'!$Y:$Y,$A38,'MAIN DATA, Orders'!$AC:$AC,"0",'MAIN DATA, Orders'!$AF:$AF,"0")/1000000000)</f>
        <v>0</v>
      </c>
    </row>
    <row r="39" spans="1:6" x14ac:dyDescent="0.35">
      <c r="A39" s="20">
        <v>202209</v>
      </c>
      <c r="B39" s="17">
        <v>44805</v>
      </c>
      <c r="C39" s="15">
        <f>(SUMIFS('MAIN DATA, Orders'!$S:$S,'MAIN DATA, Orders'!$D:$D,"United Kingdom",'MAIN DATA, Orders'!$Y:$Y,$A39,'MAIN DATA, Orders'!$AF:$AF,"0",'MAIN DATA, Orders'!$AH:$AH,"United Kingdom")/1000000000)</f>
        <v>1.4999999999999999E-2</v>
      </c>
      <c r="D39" s="15">
        <f>(SUMIFS('MAIN DATA, Orders'!$S:$S,'MAIN DATA, Orders'!$D:$D,"United Kingdom",'MAIN DATA, Orders'!$Y:$Y,$A39,'MAIN DATA, Orders'!$AF:$AF,"1")/1000000000)</f>
        <v>0</v>
      </c>
      <c r="E39" s="15">
        <f>(SUMIFS('MAIN DATA, Orders'!$S:$S,'MAIN DATA, Orders'!$D:$D,"United Kingdom",'MAIN DATA, Orders'!$Y:$Y,$A39,'MAIN DATA, Orders'!$AC:$AC,"1",'MAIN DATA, Orders'!$AF:$AF,"0",'MAIN DATA, Orders'!$AH:$AH,"&lt;&gt;United Kingdom")/1000000000)</f>
        <v>0</v>
      </c>
      <c r="F39" s="15">
        <f>(SUMIFS('MAIN DATA, Orders'!$S:$S,'MAIN DATA, Orders'!$D:$D,"United Kingdom",'MAIN DATA, Orders'!$Y:$Y,$A39,'MAIN DATA, Orders'!$AC:$AC,"0",'MAIN DATA, Orders'!$AF:$AF,"0")/1000000000)</f>
        <v>0</v>
      </c>
    </row>
    <row r="40" spans="1:6" x14ac:dyDescent="0.35">
      <c r="A40" s="20">
        <v>202210</v>
      </c>
      <c r="B40" s="17">
        <v>44835</v>
      </c>
      <c r="C40" s="15">
        <f>(SUMIFS('MAIN DATA, Orders'!$S:$S,'MAIN DATA, Orders'!$D:$D,"United Kingdom",'MAIN DATA, Orders'!$Y:$Y,$A40,'MAIN DATA, Orders'!$AF:$AF,"0",'MAIN DATA, Orders'!$AH:$AH,"United Kingdom")/1000000000)</f>
        <v>3.4000000000000002E-2</v>
      </c>
      <c r="D40" s="15">
        <f>(SUMIFS('MAIN DATA, Orders'!$S:$S,'MAIN DATA, Orders'!$D:$D,"United Kingdom",'MAIN DATA, Orders'!$Y:$Y,$A40,'MAIN DATA, Orders'!$AF:$AF,"1")/1000000000)</f>
        <v>4.4999999999999998E-2</v>
      </c>
      <c r="E40" s="15">
        <f>(SUMIFS('MAIN DATA, Orders'!$S:$S,'MAIN DATA, Orders'!$D:$D,"United Kingdom",'MAIN DATA, Orders'!$Y:$Y,$A40,'MAIN DATA, Orders'!$AC:$AC,"1",'MAIN DATA, Orders'!$AF:$AF,"0",'MAIN DATA, Orders'!$AH:$AH,"&lt;&gt;United Kingdom")/1000000000)</f>
        <v>0</v>
      </c>
      <c r="F40" s="15">
        <f>(SUMIFS('MAIN DATA, Orders'!$S:$S,'MAIN DATA, Orders'!$D:$D,"United Kingdom",'MAIN DATA, Orders'!$Y:$Y,$A40,'MAIN DATA, Orders'!$AC:$AC,"0",'MAIN DATA, Orders'!$AF:$AF,"0")/1000000000)</f>
        <v>0</v>
      </c>
    </row>
    <row r="41" spans="1:6" x14ac:dyDescent="0.35">
      <c r="A41" s="20">
        <v>202211</v>
      </c>
      <c r="B41" s="17">
        <v>44866</v>
      </c>
      <c r="C41" s="15">
        <f>(SUMIFS('MAIN DATA, Orders'!$S:$S,'MAIN DATA, Orders'!$D:$D,"United Kingdom",'MAIN DATA, Orders'!$Y:$Y,$A41,'MAIN DATA, Orders'!$AF:$AF,"0",'MAIN DATA, Orders'!$AH:$AH,"United Kingdom")/1000000000)</f>
        <v>4.2309999999999999</v>
      </c>
      <c r="D41" s="15">
        <f>(SUMIFS('MAIN DATA, Orders'!$S:$S,'MAIN DATA, Orders'!$D:$D,"United Kingdom",'MAIN DATA, Orders'!$Y:$Y,$A41,'MAIN DATA, Orders'!$AF:$AF,"1")/1000000000)</f>
        <v>0.09</v>
      </c>
      <c r="E41" s="15">
        <f>(SUMIFS('MAIN DATA, Orders'!$S:$S,'MAIN DATA, Orders'!$D:$D,"United Kingdom",'MAIN DATA, Orders'!$Y:$Y,$A41,'MAIN DATA, Orders'!$AC:$AC,"1",'MAIN DATA, Orders'!$AF:$AF,"0",'MAIN DATA, Orders'!$AH:$AH,"&lt;&gt;United Kingdom")/1000000000)</f>
        <v>0</v>
      </c>
      <c r="F41" s="15">
        <f>(SUMIFS('MAIN DATA, Orders'!$S:$S,'MAIN DATA, Orders'!$D:$D,"United Kingdom",'MAIN DATA, Orders'!$Y:$Y,$A41,'MAIN DATA, Orders'!$AC:$AC,"0",'MAIN DATA, Orders'!$AF:$AF,"0")/1000000000)</f>
        <v>0</v>
      </c>
    </row>
    <row r="42" spans="1:6" x14ac:dyDescent="0.35">
      <c r="A42" s="20">
        <v>202212</v>
      </c>
      <c r="B42" s="17">
        <v>44896</v>
      </c>
      <c r="C42" s="15">
        <f>(SUMIFS('MAIN DATA, Orders'!$S:$S,'MAIN DATA, Orders'!$D:$D,"United Kingdom",'MAIN DATA, Orders'!$Y:$Y,$A42,'MAIN DATA, Orders'!$AF:$AF,"0",'MAIN DATA, Orders'!$AH:$AH,"United Kingdom")/1000000000)</f>
        <v>1.54E-2</v>
      </c>
      <c r="D42" s="15">
        <f>(SUMIFS('MAIN DATA, Orders'!$S:$S,'MAIN DATA, Orders'!$D:$D,"United Kingdom",'MAIN DATA, Orders'!$Y:$Y,$A42,'MAIN DATA, Orders'!$AF:$AF,"1")/1000000000)</f>
        <v>0.498</v>
      </c>
      <c r="E42" s="15">
        <f>(SUMIFS('MAIN DATA, Orders'!$S:$S,'MAIN DATA, Orders'!$D:$D,"United Kingdom",'MAIN DATA, Orders'!$Y:$Y,$A42,'MAIN DATA, Orders'!$AC:$AC,"1",'MAIN DATA, Orders'!$AF:$AF,"0",'MAIN DATA, Orders'!$AH:$AH,"&lt;&gt;United Kingdom")/1000000000)</f>
        <v>0</v>
      </c>
      <c r="F42" s="15">
        <f>(SUMIFS('MAIN DATA, Orders'!$S:$S,'MAIN DATA, Orders'!$D:$D,"United Kingdom",'MAIN DATA, Orders'!$Y:$Y,$A42,'MAIN DATA, Orders'!$AC:$AC,"0",'MAIN DATA, Orders'!$AF:$AF,"0")/1000000000)</f>
        <v>0</v>
      </c>
    </row>
    <row r="43" spans="1:6" x14ac:dyDescent="0.35">
      <c r="A43" s="20">
        <v>202301</v>
      </c>
      <c r="B43" s="17">
        <v>44927</v>
      </c>
      <c r="C43" s="15">
        <f>(SUMIFS('MAIN DATA, Orders'!$S:$S,'MAIN DATA, Orders'!$D:$D,"United Kingdom",'MAIN DATA, Orders'!$Y:$Y,$A43,'MAIN DATA, Orders'!$AF:$AF,"0",'MAIN DATA, Orders'!$AH:$AH,"United Kingdom")/1000000000)</f>
        <v>0</v>
      </c>
      <c r="D43" s="15">
        <f>(SUMIFS('MAIN DATA, Orders'!$S:$S,'MAIN DATA, Orders'!$D:$D,"United Kingdom",'MAIN DATA, Orders'!$Y:$Y,$A43,'MAIN DATA, Orders'!$AF:$AF,"1")/1000000000)</f>
        <v>1.6</v>
      </c>
      <c r="E43" s="15">
        <f>(SUMIFS('MAIN DATA, Orders'!$S:$S,'MAIN DATA, Orders'!$D:$D,"United Kingdom",'MAIN DATA, Orders'!$Y:$Y,$A43,'MAIN DATA, Orders'!$AC:$AC,"1",'MAIN DATA, Orders'!$AF:$AF,"0",'MAIN DATA, Orders'!$AH:$AH,"&lt;&gt;United Kingdom")/1000000000)</f>
        <v>6.5000000000000002E-2</v>
      </c>
      <c r="F43" s="15">
        <f>(SUMIFS('MAIN DATA, Orders'!$S:$S,'MAIN DATA, Orders'!$D:$D,"United Kingdom",'MAIN DATA, Orders'!$Y:$Y,$A43,'MAIN DATA, Orders'!$AC:$AC,"0",'MAIN DATA, Orders'!$AF:$AF,"0")/1000000000)</f>
        <v>0</v>
      </c>
    </row>
    <row r="44" spans="1:6" x14ac:dyDescent="0.35">
      <c r="A44" s="20">
        <v>202302</v>
      </c>
      <c r="B44" s="17">
        <v>44958</v>
      </c>
      <c r="C44" s="15">
        <f>(SUMIFS('MAIN DATA, Orders'!$S:$S,'MAIN DATA, Orders'!$D:$D,"United Kingdom",'MAIN DATA, Orders'!$Y:$Y,$A44,'MAIN DATA, Orders'!$AF:$AF,"0",'MAIN DATA, Orders'!$AH:$AH,"United Kingdom")/1000000000)</f>
        <v>0.49</v>
      </c>
      <c r="D44" s="15">
        <f>(SUMIFS('MAIN DATA, Orders'!$S:$S,'MAIN DATA, Orders'!$D:$D,"United Kingdom",'MAIN DATA, Orders'!$Y:$Y,$A44,'MAIN DATA, Orders'!$AF:$AF,"1")/1000000000)</f>
        <v>0</v>
      </c>
      <c r="E44" s="15">
        <f>(SUMIFS('MAIN DATA, Orders'!$S:$S,'MAIN DATA, Orders'!$D:$D,"United Kingdom",'MAIN DATA, Orders'!$Y:$Y,$A44,'MAIN DATA, Orders'!$AC:$AC,"1",'MAIN DATA, Orders'!$AF:$AF,"0",'MAIN DATA, Orders'!$AH:$AH,"&lt;&gt;United Kingdom")/1000000000)</f>
        <v>0.02</v>
      </c>
      <c r="F44" s="15">
        <f>(SUMIFS('MAIN DATA, Orders'!$S:$S,'MAIN DATA, Orders'!$D:$D,"United Kingdom",'MAIN DATA, Orders'!$Y:$Y,$A44,'MAIN DATA, Orders'!$AC:$AC,"0",'MAIN DATA, Orders'!$AF:$AF,"0")/1000000000)</f>
        <v>0</v>
      </c>
    </row>
    <row r="45" spans="1:6" x14ac:dyDescent="0.35">
      <c r="A45" s="20">
        <v>202303</v>
      </c>
      <c r="B45" s="17">
        <v>44986</v>
      </c>
      <c r="C45" s="15">
        <f>(SUMIFS('MAIN DATA, Orders'!$S:$S,'MAIN DATA, Orders'!$D:$D,"United Kingdom",'MAIN DATA, Orders'!$Y:$Y,$A45,'MAIN DATA, Orders'!$AF:$AF,"0",'MAIN DATA, Orders'!$AH:$AH,"United Kingdom")/1000000000)</f>
        <v>0</v>
      </c>
      <c r="D45" s="15">
        <f>(SUMIFS('MAIN DATA, Orders'!$S:$S,'MAIN DATA, Orders'!$D:$D,"United Kingdom",'MAIN DATA, Orders'!$Y:$Y,$A45,'MAIN DATA, Orders'!$AF:$AF,"1")/1000000000)</f>
        <v>1.15E-2</v>
      </c>
      <c r="E45" s="15">
        <f>(SUMIFS('MAIN DATA, Orders'!$S:$S,'MAIN DATA, Orders'!$D:$D,"United Kingdom",'MAIN DATA, Orders'!$Y:$Y,$A45,'MAIN DATA, Orders'!$AC:$AC,"1",'MAIN DATA, Orders'!$AF:$AF,"0",'MAIN DATA, Orders'!$AH:$AH,"&lt;&gt;United Kingdom")/1000000000)</f>
        <v>4.5999999999999999E-3</v>
      </c>
      <c r="F45" s="15">
        <f>(SUMIFS('MAIN DATA, Orders'!$S:$S,'MAIN DATA, Orders'!$D:$D,"United Kingdom",'MAIN DATA, Orders'!$Y:$Y,$A45,'MAIN DATA, Orders'!$AC:$AC,"0",'MAIN DATA, Orders'!$AF:$AF,"0")/1000000000)</f>
        <v>0</v>
      </c>
    </row>
    <row r="46" spans="1:6" x14ac:dyDescent="0.35">
      <c r="A46" s="20">
        <v>202304</v>
      </c>
      <c r="B46" s="17">
        <v>45017</v>
      </c>
      <c r="C46" s="15">
        <f>(SUMIFS('MAIN DATA, Orders'!$S:$S,'MAIN DATA, Orders'!$D:$D,"United Kingdom",'MAIN DATA, Orders'!$Y:$Y,$A46,'MAIN DATA, Orders'!$AF:$AF,"0",'MAIN DATA, Orders'!$AH:$AH,"United Kingdom")/1000000000)</f>
        <v>0</v>
      </c>
      <c r="D46" s="15">
        <f>(SUMIFS('MAIN DATA, Orders'!$S:$S,'MAIN DATA, Orders'!$D:$D,"United Kingdom",'MAIN DATA, Orders'!$Y:$Y,$A46,'MAIN DATA, Orders'!$AF:$AF,"1")/1000000000)</f>
        <v>0.81699999999999995</v>
      </c>
      <c r="E46" s="15">
        <f>(SUMIFS('MAIN DATA, Orders'!$S:$S,'MAIN DATA, Orders'!$D:$D,"United Kingdom",'MAIN DATA, Orders'!$Y:$Y,$A46,'MAIN DATA, Orders'!$AC:$AC,"1",'MAIN DATA, Orders'!$AF:$AF,"0",'MAIN DATA, Orders'!$AH:$AH,"&lt;&gt;United Kingdom")/1000000000)</f>
        <v>0</v>
      </c>
      <c r="F46" s="15">
        <f>(SUMIFS('MAIN DATA, Orders'!$S:$S,'MAIN DATA, Orders'!$D:$D,"United Kingdom",'MAIN DATA, Orders'!$Y:$Y,$A46,'MAIN DATA, Orders'!$AC:$AC,"0",'MAIN DATA, Orders'!$AF:$AF,"0")/1000000000)</f>
        <v>0</v>
      </c>
    </row>
    <row r="47" spans="1:6" x14ac:dyDescent="0.35">
      <c r="A47" s="20">
        <v>202305</v>
      </c>
      <c r="B47" s="17">
        <v>45047</v>
      </c>
      <c r="C47" s="15">
        <f>(SUMIFS('MAIN DATA, Orders'!$S:$S,'MAIN DATA, Orders'!$D:$D,"United Kingdom",'MAIN DATA, Orders'!$Y:$Y,$A47,'MAIN DATA, Orders'!$AF:$AF,"0",'MAIN DATA, Orders'!$AH:$AH,"United Kingdom")/1000000000)</f>
        <v>0.32</v>
      </c>
      <c r="D47" s="15">
        <f>(SUMIFS('MAIN DATA, Orders'!$S:$S,'MAIN DATA, Orders'!$D:$D,"United Kingdom",'MAIN DATA, Orders'!$Y:$Y,$A47,'MAIN DATA, Orders'!$AF:$AF,"1")/1000000000)</f>
        <v>0</v>
      </c>
      <c r="E47" s="15">
        <f>(SUMIFS('MAIN DATA, Orders'!$S:$S,'MAIN DATA, Orders'!$D:$D,"United Kingdom",'MAIN DATA, Orders'!$Y:$Y,$A47,'MAIN DATA, Orders'!$AC:$AC,"1",'MAIN DATA, Orders'!$AF:$AF,"0",'MAIN DATA, Orders'!$AH:$AH,"&lt;&gt;United Kingdom")/1000000000)</f>
        <v>0</v>
      </c>
      <c r="F47" s="15">
        <f>(SUMIFS('MAIN DATA, Orders'!$S:$S,'MAIN DATA, Orders'!$D:$D,"United Kingdom",'MAIN DATA, Orders'!$Y:$Y,$A47,'MAIN DATA, Orders'!$AC:$AC,"0",'MAIN DATA, Orders'!$AF:$AF,"0")/1000000000)</f>
        <v>0</v>
      </c>
    </row>
    <row r="48" spans="1:6" x14ac:dyDescent="0.35">
      <c r="A48" s="20">
        <v>202306</v>
      </c>
      <c r="B48" s="17">
        <v>45078</v>
      </c>
      <c r="C48" s="15">
        <f>(SUMIFS('MAIN DATA, Orders'!$S:$S,'MAIN DATA, Orders'!$D:$D,"United Kingdom",'MAIN DATA, Orders'!$Y:$Y,$A48,'MAIN DATA, Orders'!$AF:$AF,"0",'MAIN DATA, Orders'!$AH:$AH,"United Kingdom")/1000000000)</f>
        <v>0.27</v>
      </c>
      <c r="D48" s="15">
        <f>(SUMIFS('MAIN DATA, Orders'!$S:$S,'MAIN DATA, Orders'!$D:$D,"United Kingdom",'MAIN DATA, Orders'!$Y:$Y,$A48,'MAIN DATA, Orders'!$AF:$AF,"1")/1000000000)</f>
        <v>0.17100000000000001</v>
      </c>
      <c r="E48" s="15">
        <f>(SUMIFS('MAIN DATA, Orders'!$S:$S,'MAIN DATA, Orders'!$D:$D,"United Kingdom",'MAIN DATA, Orders'!$Y:$Y,$A48,'MAIN DATA, Orders'!$AC:$AC,"1",'MAIN DATA, Orders'!$AF:$AF,"0",'MAIN DATA, Orders'!$AH:$AH,"&lt;&gt;United Kingdom")/1000000000)</f>
        <v>0</v>
      </c>
      <c r="F48" s="15">
        <f>(SUMIFS('MAIN DATA, Orders'!$S:$S,'MAIN DATA, Orders'!$D:$D,"United Kingdom",'MAIN DATA, Orders'!$Y:$Y,$A48,'MAIN DATA, Orders'!$AC:$AC,"0",'MAIN DATA, Orders'!$AF:$AF,"0")/1000000000)</f>
        <v>0</v>
      </c>
    </row>
    <row r="49" spans="1:6" x14ac:dyDescent="0.35">
      <c r="A49" s="20">
        <v>202307</v>
      </c>
      <c r="B49" s="17">
        <v>45108</v>
      </c>
      <c r="C49" s="15">
        <f>(SUMIFS('MAIN DATA, Orders'!$S:$S,'MAIN DATA, Orders'!$D:$D,"United Kingdom",'MAIN DATA, Orders'!$Y:$Y,$A49,'MAIN DATA, Orders'!$AF:$AF,"0",'MAIN DATA, Orders'!$AH:$AH,"United Kingdom")/1000000000)</f>
        <v>0.05</v>
      </c>
      <c r="D49" s="15">
        <f>(SUMIFS('MAIN DATA, Orders'!$S:$S,'MAIN DATA, Orders'!$D:$D,"United Kingdom",'MAIN DATA, Orders'!$Y:$Y,$A49,'MAIN DATA, Orders'!$AF:$AF,"1")/1000000000)</f>
        <v>0.28399999999999997</v>
      </c>
      <c r="E49" s="15">
        <f>(SUMIFS('MAIN DATA, Orders'!$S:$S,'MAIN DATA, Orders'!$D:$D,"United Kingdom",'MAIN DATA, Orders'!$Y:$Y,$A49,'MAIN DATA, Orders'!$AC:$AC,"1",'MAIN DATA, Orders'!$AF:$AF,"0",'MAIN DATA, Orders'!$AH:$AH,"&lt;&gt;United Kingdom")/1000000000)</f>
        <v>0</v>
      </c>
      <c r="F49" s="15">
        <f>(SUMIFS('MAIN DATA, Orders'!$S:$S,'MAIN DATA, Orders'!$D:$D,"United Kingdom",'MAIN DATA, Orders'!$Y:$Y,$A49,'MAIN DATA, Orders'!$AC:$AC,"0",'MAIN DATA, Orders'!$AF:$AF,"0")/1000000000)</f>
        <v>0.02</v>
      </c>
    </row>
    <row r="50" spans="1:6" x14ac:dyDescent="0.35">
      <c r="A50" s="20">
        <v>202308</v>
      </c>
      <c r="B50" s="17">
        <v>45139</v>
      </c>
      <c r="C50" s="15">
        <f>(SUMIFS('MAIN DATA, Orders'!$S:$S,'MAIN DATA, Orders'!$D:$D,"United Kingdom",'MAIN DATA, Orders'!$Y:$Y,$A50,'MAIN DATA, Orders'!$AF:$AF,"0",'MAIN DATA, Orders'!$AH:$AH,"United Kingdom")/1000000000)</f>
        <v>0</v>
      </c>
      <c r="D50" s="15">
        <f>(SUMIFS('MAIN DATA, Orders'!$S:$S,'MAIN DATA, Orders'!$D:$D,"United Kingdom",'MAIN DATA, Orders'!$Y:$Y,$A50,'MAIN DATA, Orders'!$AF:$AF,"1")/1000000000)</f>
        <v>8.8999999999999996E-2</v>
      </c>
      <c r="E50" s="15">
        <f>(SUMIFS('MAIN DATA, Orders'!$S:$S,'MAIN DATA, Orders'!$D:$D,"United Kingdom",'MAIN DATA, Orders'!$Y:$Y,$A50,'MAIN DATA, Orders'!$AC:$AC,"1",'MAIN DATA, Orders'!$AF:$AF,"0",'MAIN DATA, Orders'!$AH:$AH,"&lt;&gt;United Kingdom")/1000000000)</f>
        <v>0</v>
      </c>
      <c r="F50" s="15">
        <f>(SUMIFS('MAIN DATA, Orders'!$S:$S,'MAIN DATA, Orders'!$D:$D,"United Kingdom",'MAIN DATA, Orders'!$Y:$Y,$A50,'MAIN DATA, Orders'!$AC:$AC,"0",'MAIN DATA, Orders'!$AF:$AF,"0")/1000000000)</f>
        <v>0</v>
      </c>
    </row>
    <row r="51" spans="1:6" x14ac:dyDescent="0.35">
      <c r="A51" s="20">
        <v>202309</v>
      </c>
      <c r="B51" s="17">
        <v>45170</v>
      </c>
      <c r="C51" s="15">
        <f>(SUMIFS('MAIN DATA, Orders'!$S:$S,'MAIN DATA, Orders'!$D:$D,"United Kingdom",'MAIN DATA, Orders'!$Y:$Y,$A51,'MAIN DATA, Orders'!$AF:$AF,"0",'MAIN DATA, Orders'!$AH:$AH,"United Kingdom")/1000000000)</f>
        <v>0.04</v>
      </c>
      <c r="D51" s="15">
        <f>(SUMIFS('MAIN DATA, Orders'!$S:$S,'MAIN DATA, Orders'!$D:$D,"United Kingdom",'MAIN DATA, Orders'!$Y:$Y,$A51,'MAIN DATA, Orders'!$AF:$AF,"1")/1000000000)</f>
        <v>1.4999999999999999E-2</v>
      </c>
      <c r="E51" s="15">
        <f>(SUMIFS('MAIN DATA, Orders'!$S:$S,'MAIN DATA, Orders'!$D:$D,"United Kingdom",'MAIN DATA, Orders'!$Y:$Y,$A51,'MAIN DATA, Orders'!$AC:$AC,"1",'MAIN DATA, Orders'!$AF:$AF,"0",'MAIN DATA, Orders'!$AH:$AH,"&lt;&gt;United Kingdom")/1000000000)</f>
        <v>0</v>
      </c>
      <c r="F51" s="15">
        <f>(SUMIFS('MAIN DATA, Orders'!$S:$S,'MAIN DATA, Orders'!$D:$D,"United Kingdom",'MAIN DATA, Orders'!$Y:$Y,$A51,'MAIN DATA, Orders'!$AC:$AC,"0",'MAIN DATA, Orders'!$AF:$AF,"0")/1000000000)</f>
        <v>0</v>
      </c>
    </row>
    <row r="52" spans="1:6" x14ac:dyDescent="0.35">
      <c r="A52" s="20">
        <v>202310</v>
      </c>
      <c r="B52" s="17">
        <v>45200</v>
      </c>
      <c r="C52" s="15">
        <f>(SUMIFS('MAIN DATA, Orders'!$S:$S,'MAIN DATA, Orders'!$D:$D,"United Kingdom",'MAIN DATA, Orders'!$Y:$Y,$A52,'MAIN DATA, Orders'!$AF:$AF,"0",'MAIN DATA, Orders'!$AH:$AH,"United Kingdom")/1000000000)</f>
        <v>4.0880000000000001</v>
      </c>
      <c r="D52" s="15">
        <f>(SUMIFS('MAIN DATA, Orders'!$S:$S,'MAIN DATA, Orders'!$D:$D,"United Kingdom",'MAIN DATA, Orders'!$Y:$Y,$A52,'MAIN DATA, Orders'!$AF:$AF,"1")/1000000000)</f>
        <v>0</v>
      </c>
      <c r="E52" s="15">
        <f>(SUMIFS('MAIN DATA, Orders'!$S:$S,'MAIN DATA, Orders'!$D:$D,"United Kingdom",'MAIN DATA, Orders'!$Y:$Y,$A52,'MAIN DATA, Orders'!$AC:$AC,"1",'MAIN DATA, Orders'!$AF:$AF,"0",'MAIN DATA, Orders'!$AH:$AH,"&lt;&gt;United Kingdom")/1000000000)</f>
        <v>0</v>
      </c>
      <c r="F52" s="15">
        <f>(SUMIFS('MAIN DATA, Orders'!$S:$S,'MAIN DATA, Orders'!$D:$D,"United Kingdom",'MAIN DATA, Orders'!$Y:$Y,$A52,'MAIN DATA, Orders'!$AC:$AC,"0",'MAIN DATA, Orders'!$AF:$AF,"0")/1000000000)</f>
        <v>0</v>
      </c>
    </row>
    <row r="53" spans="1:6" x14ac:dyDescent="0.35">
      <c r="A53" s="20">
        <v>202311</v>
      </c>
      <c r="B53" s="17">
        <v>45231</v>
      </c>
      <c r="C53" s="15">
        <f>(SUMIFS('MAIN DATA, Orders'!$S:$S,'MAIN DATA, Orders'!$D:$D,"United Kingdom",'MAIN DATA, Orders'!$Y:$Y,$A53,'MAIN DATA, Orders'!$AF:$AF,"0",'MAIN DATA, Orders'!$AH:$AH,"United Kingdom")/1000000000)</f>
        <v>0.02</v>
      </c>
      <c r="D53" s="15">
        <f>(SUMIFS('MAIN DATA, Orders'!$S:$S,'MAIN DATA, Orders'!$D:$D,"United Kingdom",'MAIN DATA, Orders'!$Y:$Y,$A53,'MAIN DATA, Orders'!$AF:$AF,"1")/1000000000)</f>
        <v>0</v>
      </c>
      <c r="E53" s="15">
        <f>(SUMIFS('MAIN DATA, Orders'!$S:$S,'MAIN DATA, Orders'!$D:$D,"United Kingdom",'MAIN DATA, Orders'!$Y:$Y,$A53,'MAIN DATA, Orders'!$AC:$AC,"1",'MAIN DATA, Orders'!$AF:$AF,"0",'MAIN DATA, Orders'!$AH:$AH,"&lt;&gt;United Kingdom")/1000000000)</f>
        <v>0</v>
      </c>
      <c r="F53" s="15">
        <f>(SUMIFS('MAIN DATA, Orders'!$S:$S,'MAIN DATA, Orders'!$D:$D,"United Kingdom",'MAIN DATA, Orders'!$Y:$Y,$A53,'MAIN DATA, Orders'!$AC:$AC,"0",'MAIN DATA, Orders'!$AF:$AF,"0")/1000000000)</f>
        <v>1.7000000000000001E-2</v>
      </c>
    </row>
    <row r="54" spans="1:6" x14ac:dyDescent="0.35">
      <c r="A54" s="20">
        <v>202312</v>
      </c>
      <c r="B54" s="17">
        <v>45261</v>
      </c>
      <c r="C54" s="15">
        <f>(SUMIFS('MAIN DATA, Orders'!$S:$S,'MAIN DATA, Orders'!$D:$D,"United Kingdom",'MAIN DATA, Orders'!$Y:$Y,$A54,'MAIN DATA, Orders'!$AF:$AF,"0",'MAIN DATA, Orders'!$AH:$AH,"United Kingdom")/1000000000)</f>
        <v>0</v>
      </c>
      <c r="D54" s="15">
        <f>(SUMIFS('MAIN DATA, Orders'!$S:$S,'MAIN DATA, Orders'!$D:$D,"United Kingdom",'MAIN DATA, Orders'!$Y:$Y,$A54,'MAIN DATA, Orders'!$AF:$AF,"1")/1000000000)</f>
        <v>0.05</v>
      </c>
      <c r="E54" s="15">
        <f>(SUMIFS('MAIN DATA, Orders'!$S:$S,'MAIN DATA, Orders'!$D:$D,"United Kingdom",'MAIN DATA, Orders'!$Y:$Y,$A54,'MAIN DATA, Orders'!$AC:$AC,"1",'MAIN DATA, Orders'!$AF:$AF,"0",'MAIN DATA, Orders'!$AH:$AH,"&lt;&gt;United Kingdom")/1000000000)</f>
        <v>0</v>
      </c>
      <c r="F54" s="15">
        <f>(SUMIFS('MAIN DATA, Orders'!$S:$S,'MAIN DATA, Orders'!$D:$D,"United Kingdom",'MAIN DATA, Orders'!$Y:$Y,$A54,'MAIN DATA, Orders'!$AC:$AC,"0",'MAIN DATA, Orders'!$AF:$AF,"0")/1000000000)</f>
        <v>0</v>
      </c>
    </row>
    <row r="55" spans="1:6" x14ac:dyDescent="0.35">
      <c r="A55" s="20">
        <v>202401</v>
      </c>
      <c r="B55" s="17">
        <v>45292</v>
      </c>
      <c r="C55" s="15">
        <f>(SUMIFS('MAIN DATA, Orders'!$S:$S,'MAIN DATA, Orders'!$D:$D,"United Kingdom",'MAIN DATA, Orders'!$Y:$Y,$A55,'MAIN DATA, Orders'!$AF:$AF,"0",'MAIN DATA, Orders'!$AH:$AH,"United Kingdom")/1000000000)</f>
        <v>0.15</v>
      </c>
      <c r="D55" s="15">
        <f>(SUMIFS('MAIN DATA, Orders'!$S:$S,'MAIN DATA, Orders'!$D:$D,"United Kingdom",'MAIN DATA, Orders'!$Y:$Y,$A55,'MAIN DATA, Orders'!$AF:$AF,"1")/1000000000)</f>
        <v>0.55500000000000005</v>
      </c>
      <c r="E55" s="15">
        <f>(SUMIFS('MAIN DATA, Orders'!$S:$S,'MAIN DATA, Orders'!$D:$D,"United Kingdom",'MAIN DATA, Orders'!$Y:$Y,$A55,'MAIN DATA, Orders'!$AC:$AC,"1",'MAIN DATA, Orders'!$AF:$AF,"0",'MAIN DATA, Orders'!$AH:$AH,"&lt;&gt;United Kingdom")/1000000000)</f>
        <v>0</v>
      </c>
      <c r="F55" s="15">
        <f>(SUMIFS('MAIN DATA, Orders'!$S:$S,'MAIN DATA, Orders'!$D:$D,"United Kingdom",'MAIN DATA, Orders'!$Y:$Y,$A55,'MAIN DATA, Orders'!$AC:$AC,"0",'MAIN DATA, Orders'!$AF:$AF,"0")/1000000000)</f>
        <v>0</v>
      </c>
    </row>
    <row r="56" spans="1:6" x14ac:dyDescent="0.35">
      <c r="A56" s="20">
        <v>202402</v>
      </c>
      <c r="B56" s="17">
        <v>45323</v>
      </c>
      <c r="C56" s="15">
        <f>(SUMIFS('MAIN DATA, Orders'!$S:$S,'MAIN DATA, Orders'!$D:$D,"United Kingdom",'MAIN DATA, Orders'!$Y:$Y,$A56,'MAIN DATA, Orders'!$AF:$AF,"0",'MAIN DATA, Orders'!$AH:$AH,"United Kingdom")/1000000000)</f>
        <v>0</v>
      </c>
      <c r="D56" s="15">
        <f>(SUMIFS('MAIN DATA, Orders'!$S:$S,'MAIN DATA, Orders'!$D:$D,"United Kingdom",'MAIN DATA, Orders'!$Y:$Y,$A56,'MAIN DATA, Orders'!$AF:$AF,"1")/1000000000)</f>
        <v>1.8540000000000001</v>
      </c>
      <c r="E56" s="15">
        <f>(SUMIFS('MAIN DATA, Orders'!$S:$S,'MAIN DATA, Orders'!$D:$D,"United Kingdom",'MAIN DATA, Orders'!$Y:$Y,$A56,'MAIN DATA, Orders'!$AC:$AC,"1",'MAIN DATA, Orders'!$AF:$AF,"0",'MAIN DATA, Orders'!$AH:$AH,"&lt;&gt;United Kingdom")/1000000000)</f>
        <v>0.28199999999999997</v>
      </c>
      <c r="F56" s="15">
        <f>(SUMIFS('MAIN DATA, Orders'!$S:$S,'MAIN DATA, Orders'!$D:$D,"United Kingdom",'MAIN DATA, Orders'!$Y:$Y,$A56,'MAIN DATA, Orders'!$AC:$AC,"0",'MAIN DATA, Orders'!$AF:$AF,"0")/1000000000)</f>
        <v>0</v>
      </c>
    </row>
    <row r="57" spans="1:6" x14ac:dyDescent="0.35">
      <c r="A57" s="20">
        <v>202403</v>
      </c>
      <c r="B57" s="17">
        <v>45352</v>
      </c>
      <c r="C57" s="15">
        <f>(SUMIFS('MAIN DATA, Orders'!$S:$S,'MAIN DATA, Orders'!$D:$D,"United Kingdom",'MAIN DATA, Orders'!$Y:$Y,$A57,'MAIN DATA, Orders'!$AF:$AF,"0",'MAIN DATA, Orders'!$AH:$AH,"United Kingdom")/1000000000)</f>
        <v>0.13500000000000001</v>
      </c>
      <c r="D57" s="15">
        <f>(SUMIFS('MAIN DATA, Orders'!$S:$S,'MAIN DATA, Orders'!$D:$D,"United Kingdom",'MAIN DATA, Orders'!$Y:$Y,$A57,'MAIN DATA, Orders'!$AF:$AF,"1")/1000000000)</f>
        <v>2.2410000000000001</v>
      </c>
      <c r="E57" s="15">
        <f>(SUMIFS('MAIN DATA, Orders'!$S:$S,'MAIN DATA, Orders'!$D:$D,"United Kingdom",'MAIN DATA, Orders'!$Y:$Y,$A57,'MAIN DATA, Orders'!$AC:$AC,"1",'MAIN DATA, Orders'!$AF:$AF,"0",'MAIN DATA, Orders'!$AH:$AH,"&lt;&gt;United Kingdom")/1000000000)</f>
        <v>0</v>
      </c>
      <c r="F57" s="15">
        <f>(SUMIFS('MAIN DATA, Orders'!$S:$S,'MAIN DATA, Orders'!$D:$D,"United Kingdom",'MAIN DATA, Orders'!$Y:$Y,$A57,'MAIN DATA, Orders'!$AC:$AC,"0",'MAIN DATA, Orders'!$AF:$AF,"0")/1000000000)</f>
        <v>8.1999999999999998E-4</v>
      </c>
    </row>
    <row r="58" spans="1:6" x14ac:dyDescent="0.35">
      <c r="A58" s="20">
        <v>202404</v>
      </c>
      <c r="B58" s="17">
        <v>45383</v>
      </c>
      <c r="C58" s="15">
        <f>(SUMIFS('MAIN DATA, Orders'!$S:$S,'MAIN DATA, Orders'!$D:$D,"United Kingdom",'MAIN DATA, Orders'!$Y:$Y,$A58,'MAIN DATA, Orders'!$AF:$AF,"0",'MAIN DATA, Orders'!$AH:$AH,"United Kingdom")/1000000000)</f>
        <v>0</v>
      </c>
      <c r="D58" s="15">
        <f>(SUMIFS('MAIN DATA, Orders'!$S:$S,'MAIN DATA, Orders'!$D:$D,"United Kingdom",'MAIN DATA, Orders'!$Y:$Y,$A58,'MAIN DATA, Orders'!$AF:$AF,"1")/1000000000)</f>
        <v>0</v>
      </c>
      <c r="E58" s="15">
        <f>(SUMIFS('MAIN DATA, Orders'!$S:$S,'MAIN DATA, Orders'!$D:$D,"United Kingdom",'MAIN DATA, Orders'!$Y:$Y,$A58,'MAIN DATA, Orders'!$AC:$AC,"1",'MAIN DATA, Orders'!$AF:$AF,"0",'MAIN DATA, Orders'!$AH:$AH,"&lt;&gt;United Kingdom")/1000000000)</f>
        <v>0.13200000000000001</v>
      </c>
      <c r="F58" s="15">
        <f>(SUMIFS('MAIN DATA, Orders'!$S:$S,'MAIN DATA, Orders'!$D:$D,"United Kingdom",'MAIN DATA, Orders'!$Y:$Y,$A58,'MAIN DATA, Orders'!$AC:$AC,"0",'MAIN DATA, Orders'!$AF:$AF,"0")/1000000000)</f>
        <v>0.08</v>
      </c>
    </row>
    <row r="59" spans="1:6" x14ac:dyDescent="0.35">
      <c r="A59" s="20">
        <v>202405</v>
      </c>
      <c r="B59" s="17">
        <v>45413</v>
      </c>
      <c r="C59" s="15">
        <f>(SUMIFS('MAIN DATA, Orders'!$S:$S,'MAIN DATA, Orders'!$D:$D,"United Kingdom",'MAIN DATA, Orders'!$Y:$Y,$A59,'MAIN DATA, Orders'!$AF:$AF,"0",'MAIN DATA, Orders'!$AH:$AH,"United Kingdom")/1000000000)</f>
        <v>0</v>
      </c>
      <c r="D59" s="15">
        <f>(SUMIFS('MAIN DATA, Orders'!$S:$S,'MAIN DATA, Orders'!$D:$D,"United Kingdom",'MAIN DATA, Orders'!$Y:$Y,$A59,'MAIN DATA, Orders'!$AF:$AF,"1")/1000000000)</f>
        <v>2.1000000000000001E-2</v>
      </c>
      <c r="E59" s="15">
        <f>(SUMIFS('MAIN DATA, Orders'!$S:$S,'MAIN DATA, Orders'!$D:$D,"United Kingdom",'MAIN DATA, Orders'!$Y:$Y,$A59,'MAIN DATA, Orders'!$AC:$AC,"1",'MAIN DATA, Orders'!$AF:$AF,"0",'MAIN DATA, Orders'!$AH:$AH,"&lt;&gt;United Kingdom")/1000000000)</f>
        <v>0</v>
      </c>
      <c r="F59" s="15">
        <f>(SUMIFS('MAIN DATA, Orders'!$S:$S,'MAIN DATA, Orders'!$D:$D,"United Kingdom",'MAIN DATA, Orders'!$Y:$Y,$A59,'MAIN DATA, Orders'!$AC:$AC,"0",'MAIN DATA, Orders'!$AF:$AF,"0")/1000000000)</f>
        <v>0</v>
      </c>
    </row>
    <row r="60" spans="1:6" x14ac:dyDescent="0.35">
      <c r="A60" s="20">
        <v>202406</v>
      </c>
      <c r="B60" s="17">
        <v>45444</v>
      </c>
      <c r="C60" s="15">
        <f>(SUMIFS('MAIN DATA, Orders'!$S:$S,'MAIN DATA, Orders'!$D:$D,"United Kingdom",'MAIN DATA, Orders'!$Y:$Y,$A60,'MAIN DATA, Orders'!$AF:$AF,"0",'MAIN DATA, Orders'!$AH:$AH,"United Kingdom")/1000000000)</f>
        <v>0</v>
      </c>
      <c r="D60" s="15">
        <f>(SUMIFS('MAIN DATA, Orders'!$S:$S,'MAIN DATA, Orders'!$D:$D,"United Kingdom",'MAIN DATA, Orders'!$Y:$Y,$A60,'MAIN DATA, Orders'!$AF:$AF,"1")/1000000000)</f>
        <v>0</v>
      </c>
      <c r="E60" s="15">
        <f>(SUMIFS('MAIN DATA, Orders'!$S:$S,'MAIN DATA, Orders'!$D:$D,"United Kingdom",'MAIN DATA, Orders'!$Y:$Y,$A60,'MAIN DATA, Orders'!$AC:$AC,"1",'MAIN DATA, Orders'!$AF:$AF,"0",'MAIN DATA, Orders'!$AH:$AH,"&lt;&gt;United Kingdom")/1000000000)</f>
        <v>0</v>
      </c>
      <c r="F60" s="15">
        <f>(SUMIFS('MAIN DATA, Orders'!$S:$S,'MAIN DATA, Orders'!$D:$D,"United Kingdom",'MAIN DATA, Orders'!$Y:$Y,$A60,'MAIN DATA, Orders'!$AC:$AC,"0",'MAIN DATA, Orders'!$AF:$AF,"0")/1000000000)</f>
        <v>0</v>
      </c>
    </row>
    <row r="61" spans="1:6" x14ac:dyDescent="0.35">
      <c r="A61" s="20">
        <v>202407</v>
      </c>
      <c r="B61" s="17">
        <v>45474</v>
      </c>
      <c r="C61" s="15">
        <f>(SUMIFS('MAIN DATA, Orders'!$S:$S,'MAIN DATA, Orders'!$D:$D,"United Kingdom",'MAIN DATA, Orders'!$Y:$Y,$A61,'MAIN DATA, Orders'!$AF:$AF,"0",'MAIN DATA, Orders'!$AH:$AH,"United Kingdom")/1000000000)</f>
        <v>0</v>
      </c>
      <c r="D61" s="15">
        <f>(SUMIFS('MAIN DATA, Orders'!$S:$S,'MAIN DATA, Orders'!$D:$D,"United Kingdom",'MAIN DATA, Orders'!$Y:$Y,$A61,'MAIN DATA, Orders'!$AF:$AF,"1")/1000000000)</f>
        <v>6.6760000000000002</v>
      </c>
      <c r="E61" s="15">
        <f>(SUMIFS('MAIN DATA, Orders'!$S:$S,'MAIN DATA, Orders'!$D:$D,"United Kingdom",'MAIN DATA, Orders'!$Y:$Y,$A61,'MAIN DATA, Orders'!$AC:$AC,"1",'MAIN DATA, Orders'!$AF:$AF,"0",'MAIN DATA, Orders'!$AH:$AH,"&lt;&gt;United Kingdom")/1000000000)</f>
        <v>0</v>
      </c>
      <c r="F61" s="15">
        <f>(SUMIFS('MAIN DATA, Orders'!$S:$S,'MAIN DATA, Orders'!$D:$D,"United Kingdom",'MAIN DATA, Orders'!$Y:$Y,$A61,'MAIN DATA, Orders'!$AC:$AC,"0",'MAIN DATA, Orders'!$AF:$AF,"0")/1000000000)</f>
        <v>0</v>
      </c>
    </row>
    <row r="62" spans="1:6" x14ac:dyDescent="0.35">
      <c r="A62" s="20">
        <v>202408</v>
      </c>
      <c r="B62" s="17">
        <v>45505</v>
      </c>
      <c r="C62" s="15">
        <f>(SUMIFS('MAIN DATA, Orders'!$S:$S,'MAIN DATA, Orders'!$D:$D,"United Kingdom",'MAIN DATA, Orders'!$Y:$Y,$A62,'MAIN DATA, Orders'!$AF:$AF,"0",'MAIN DATA, Orders'!$AH:$AH,"United Kingdom")/1000000000)</f>
        <v>0.02</v>
      </c>
      <c r="D62" s="15">
        <f>(SUMIFS('MAIN DATA, Orders'!$S:$S,'MAIN DATA, Orders'!$D:$D,"United Kingdom",'MAIN DATA, Orders'!$Y:$Y,$A62,'MAIN DATA, Orders'!$AF:$AF,"1")/1000000000)</f>
        <v>0</v>
      </c>
      <c r="E62" s="15">
        <f>(SUMIFS('MAIN DATA, Orders'!$S:$S,'MAIN DATA, Orders'!$D:$D,"United Kingdom",'MAIN DATA, Orders'!$Y:$Y,$A62,'MAIN DATA, Orders'!$AC:$AC,"1",'MAIN DATA, Orders'!$AF:$AF,"0",'MAIN DATA, Orders'!$AH:$AH,"&lt;&gt;United Kingdom")/1000000000)</f>
        <v>0</v>
      </c>
      <c r="F62" s="15">
        <f>(SUMIFS('MAIN DATA, Orders'!$S:$S,'MAIN DATA, Orders'!$D:$D,"United Kingdom",'MAIN DATA, Orders'!$Y:$Y,$A62,'MAIN DATA, Orders'!$AC:$AC,"0",'MAIN DATA, Orders'!$AF:$AF,"0")/1000000000)</f>
        <v>0</v>
      </c>
    </row>
    <row r="63" spans="1:6" x14ac:dyDescent="0.35">
      <c r="A63" s="20">
        <v>202409</v>
      </c>
      <c r="B63" s="17">
        <v>45536</v>
      </c>
      <c r="C63" s="15">
        <f>(SUMIFS('MAIN DATA, Orders'!$S:$S,'MAIN DATA, Orders'!$D:$D,"United Kingdom",'MAIN DATA, Orders'!$Y:$Y,$A63,'MAIN DATA, Orders'!$AF:$AF,"0",'MAIN DATA, Orders'!$AH:$AH,"United Kingdom")/1000000000)</f>
        <v>0.13100000000000001</v>
      </c>
      <c r="D63" s="15">
        <f>(SUMIFS('MAIN DATA, Orders'!$S:$S,'MAIN DATA, Orders'!$D:$D,"United Kingdom",'MAIN DATA, Orders'!$Y:$Y,$A63,'MAIN DATA, Orders'!$AF:$AF,"1")/1000000000)</f>
        <v>0.16200000000000001</v>
      </c>
      <c r="E63" s="15">
        <f>(SUMIFS('MAIN DATA, Orders'!$S:$S,'MAIN DATA, Orders'!$D:$D,"United Kingdom",'MAIN DATA, Orders'!$Y:$Y,$A63,'MAIN DATA, Orders'!$AC:$AC,"1",'MAIN DATA, Orders'!$AF:$AF,"0",'MAIN DATA, Orders'!$AH:$AH,"&lt;&gt;United Kingdom")/1000000000)</f>
        <v>0</v>
      </c>
      <c r="F63" s="15">
        <f>(SUMIFS('MAIN DATA, Orders'!$S:$S,'MAIN DATA, Orders'!$D:$D,"United Kingdom",'MAIN DATA, Orders'!$Y:$Y,$A63,'MAIN DATA, Orders'!$AC:$AC,"0",'MAIN DATA, Orders'!$AF:$AF,"0")/1000000000)</f>
        <v>0</v>
      </c>
    </row>
    <row r="64" spans="1:6" x14ac:dyDescent="0.35">
      <c r="A64" s="20">
        <v>202410</v>
      </c>
      <c r="B64" s="17">
        <v>45566</v>
      </c>
      <c r="C64" s="15">
        <f>(SUMIFS('MAIN DATA, Orders'!$S:$S,'MAIN DATA, Orders'!$D:$D,"United Kingdom",'MAIN DATA, Orders'!$Y:$Y,$A64,'MAIN DATA, Orders'!$AF:$AF,"0",'MAIN DATA, Orders'!$AH:$AH,"United Kingdom")/1000000000)</f>
        <v>0</v>
      </c>
      <c r="D64" s="15">
        <f>(SUMIFS('MAIN DATA, Orders'!$S:$S,'MAIN DATA, Orders'!$D:$D,"United Kingdom",'MAIN DATA, Orders'!$Y:$Y,$A64,'MAIN DATA, Orders'!$AF:$AF,"1")/1000000000)</f>
        <v>0</v>
      </c>
      <c r="E64" s="15">
        <f>(SUMIFS('MAIN DATA, Orders'!$S:$S,'MAIN DATA, Orders'!$D:$D,"United Kingdom",'MAIN DATA, Orders'!$Y:$Y,$A64,'MAIN DATA, Orders'!$AC:$AC,"1",'MAIN DATA, Orders'!$AF:$AF,"0",'MAIN DATA, Orders'!$AH:$AH,"&lt;&gt;United Kingdom")/1000000000)</f>
        <v>0</v>
      </c>
      <c r="F64" s="15">
        <f>(SUMIFS('MAIN DATA, Orders'!$S:$S,'MAIN DATA, Orders'!$D:$D,"United Kingdom",'MAIN DATA, Orders'!$Y:$Y,$A64,'MAIN DATA, Orders'!$AC:$AC,"0",'MAIN DATA, Orders'!$AF:$AF,"0")/1000000000)</f>
        <v>0</v>
      </c>
    </row>
    <row r="65" spans="1:6" x14ac:dyDescent="0.35">
      <c r="A65" s="20">
        <v>202411</v>
      </c>
      <c r="B65" s="17">
        <v>45597</v>
      </c>
      <c r="C65" s="15">
        <f>(SUMIFS('MAIN DATA, Orders'!$S:$S,'MAIN DATA, Orders'!$D:$D,"United Kingdom",'MAIN DATA, Orders'!$Y:$Y,$A65,'MAIN DATA, Orders'!$AF:$AF,"0",'MAIN DATA, Orders'!$AH:$AH,"United Kingdom")/1000000000)</f>
        <v>0.04</v>
      </c>
      <c r="D65" s="15">
        <f>(SUMIFS('MAIN DATA, Orders'!$S:$S,'MAIN DATA, Orders'!$D:$D,"United Kingdom",'MAIN DATA, Orders'!$Y:$Y,$A65,'MAIN DATA, Orders'!$AF:$AF,"1")/1000000000)</f>
        <v>0</v>
      </c>
      <c r="E65" s="15">
        <f>(SUMIFS('MAIN DATA, Orders'!$S:$S,'MAIN DATA, Orders'!$D:$D,"United Kingdom",'MAIN DATA, Orders'!$Y:$Y,$A65,'MAIN DATA, Orders'!$AC:$AC,"1",'MAIN DATA, Orders'!$AF:$AF,"0",'MAIN DATA, Orders'!$AH:$AH,"&lt;&gt;United Kingdom")/1000000000)</f>
        <v>0</v>
      </c>
      <c r="F65" s="15">
        <f>(SUMIFS('MAIN DATA, Orders'!$S:$S,'MAIN DATA, Orders'!$D:$D,"United Kingdom",'MAIN DATA, Orders'!$Y:$Y,$A65,'MAIN DATA, Orders'!$AC:$AC,"0",'MAIN DATA, Orders'!$AF:$AF,"0")/1000000000)</f>
        <v>0</v>
      </c>
    </row>
    <row r="66" spans="1:6" x14ac:dyDescent="0.35">
      <c r="A66" s="20">
        <v>202412</v>
      </c>
      <c r="B66" s="17">
        <v>45627</v>
      </c>
      <c r="C66" s="15">
        <f>(SUMIFS('MAIN DATA, Orders'!$S:$S,'MAIN DATA, Orders'!$D:$D,"United Kingdom",'MAIN DATA, Orders'!$Y:$Y,$A66,'MAIN DATA, Orders'!$AF:$AF,"0",'MAIN DATA, Orders'!$AH:$AH,"United Kingdom")/1000000000)</f>
        <v>0.47599999999999998</v>
      </c>
      <c r="D66" s="15">
        <f>(SUMIFS('MAIN DATA, Orders'!$S:$S,'MAIN DATA, Orders'!$D:$D,"United Kingdom",'MAIN DATA, Orders'!$Y:$Y,$A66,'MAIN DATA, Orders'!$AF:$AF,"1")/1000000000)</f>
        <v>0</v>
      </c>
      <c r="E66" s="15">
        <f>(SUMIFS('MAIN DATA, Orders'!$S:$S,'MAIN DATA, Orders'!$D:$D,"United Kingdom",'MAIN DATA, Orders'!$Y:$Y,$A66,'MAIN DATA, Orders'!$AC:$AC,"1",'MAIN DATA, Orders'!$AF:$AF,"0",'MAIN DATA, Orders'!$AH:$AH,"&lt;&gt;United Kingdom")/1000000000)</f>
        <v>0</v>
      </c>
      <c r="F66" s="15">
        <f>(SUMIFS('MAIN DATA, Orders'!$S:$S,'MAIN DATA, Orders'!$D:$D,"United Kingdom",'MAIN DATA, Orders'!$Y:$Y,$A66,'MAIN DATA, Orders'!$AC:$AC,"0",'MAIN DATA, Orders'!$AF:$AF,"0")/1000000000)</f>
        <v>0</v>
      </c>
    </row>
    <row r="67" spans="1:6" x14ac:dyDescent="0.35">
      <c r="A67" s="20">
        <v>202501</v>
      </c>
      <c r="B67" s="17">
        <v>45658</v>
      </c>
      <c r="C67" s="15">
        <f>(SUMIFS('MAIN DATA, Orders'!$S:$S,'MAIN DATA, Orders'!$D:$D,"United Kingdom",'MAIN DATA, Orders'!$Y:$Y,$A67,'MAIN DATA, Orders'!$AF:$AF,"0",'MAIN DATA, Orders'!$AH:$AH,"United Kingdom")/1000000000)</f>
        <v>9.3460000000000001</v>
      </c>
      <c r="D67" s="15">
        <f>(SUMIFS('MAIN DATA, Orders'!$S:$S,'MAIN DATA, Orders'!$D:$D,"United Kingdom",'MAIN DATA, Orders'!$Y:$Y,$A67,'MAIN DATA, Orders'!$AF:$AF,"1")/1000000000)</f>
        <v>0</v>
      </c>
      <c r="E67" s="15">
        <f>(SUMIFS('MAIN DATA, Orders'!$S:$S,'MAIN DATA, Orders'!$D:$D,"United Kingdom",'MAIN DATA, Orders'!$Y:$Y,$A67,'MAIN DATA, Orders'!$AC:$AC,"1",'MAIN DATA, Orders'!$AF:$AF,"0",'MAIN DATA, Orders'!$AH:$AH,"&lt;&gt;United Kingdom")/1000000000)</f>
        <v>0</v>
      </c>
      <c r="F67" s="15">
        <f>(SUMIFS('MAIN DATA, Orders'!$S:$S,'MAIN DATA, Orders'!$D:$D,"United Kingdom",'MAIN DATA, Orders'!$Y:$Y,$A67,'MAIN DATA, Orders'!$AC:$AC,"0",'MAIN DATA, Orders'!$AF:$AF,"0")/1000000000)</f>
        <v>0</v>
      </c>
    </row>
    <row r="68" spans="1:6" x14ac:dyDescent="0.35">
      <c r="A68" s="20">
        <v>202502</v>
      </c>
      <c r="B68" s="17">
        <v>45689</v>
      </c>
      <c r="C68" s="15">
        <f>(SUMIFS('MAIN DATA, Orders'!$S:$S,'MAIN DATA, Orders'!$D:$D,"United Kingdom",'MAIN DATA, Orders'!$Y:$Y,$A68,'MAIN DATA, Orders'!$AF:$AF,"0",'MAIN DATA, Orders'!$AH:$AH,"United Kingdom")/1000000000)</f>
        <v>0</v>
      </c>
      <c r="D68" s="15">
        <f>(SUMIFS('MAIN DATA, Orders'!$S:$S,'MAIN DATA, Orders'!$D:$D,"United Kingdom",'MAIN DATA, Orders'!$Y:$Y,$A68,'MAIN DATA, Orders'!$AF:$AF,"1")/1000000000)</f>
        <v>0.377</v>
      </c>
      <c r="E68" s="15">
        <f>(SUMIFS('MAIN DATA, Orders'!$S:$S,'MAIN DATA, Orders'!$D:$D,"United Kingdom",'MAIN DATA, Orders'!$Y:$Y,$A68,'MAIN DATA, Orders'!$AC:$AC,"1",'MAIN DATA, Orders'!$AF:$AF,"0",'MAIN DATA, Orders'!$AH:$AH,"&lt;&gt;United Kingdom")/1000000000)</f>
        <v>0</v>
      </c>
      <c r="F68" s="15">
        <f>(SUMIFS('MAIN DATA, Orders'!$S:$S,'MAIN DATA, Orders'!$D:$D,"United Kingdom",'MAIN DATA, Orders'!$Y:$Y,$A68,'MAIN DATA, Orders'!$AC:$AC,"0",'MAIN DATA, Orders'!$AF:$AF,"0")/1000000000)</f>
        <v>0</v>
      </c>
    </row>
    <row r="69" spans="1:6" x14ac:dyDescent="0.35">
      <c r="A69" s="20">
        <v>202503</v>
      </c>
      <c r="B69" s="17">
        <v>45717</v>
      </c>
      <c r="C69" s="15">
        <f>(SUMIFS('MAIN DATA, Orders'!$S:$S,'MAIN DATA, Orders'!$D:$D,"United Kingdom",'MAIN DATA, Orders'!$Y:$Y,$A69,'MAIN DATA, Orders'!$AF:$AF,"0",'MAIN DATA, Orders'!$AH:$AH,"United Kingdom")/1000000000)</f>
        <v>1.665</v>
      </c>
      <c r="D69" s="15">
        <f>(SUMIFS('MAIN DATA, Orders'!$S:$S,'MAIN DATA, Orders'!$D:$D,"United Kingdom",'MAIN DATA, Orders'!$Y:$Y,$A69,'MAIN DATA, Orders'!$AF:$AF,"1")/1000000000)</f>
        <v>1.1599999999999999</v>
      </c>
      <c r="E69" s="15">
        <f>(SUMIFS('MAIN DATA, Orders'!$S:$S,'MAIN DATA, Orders'!$D:$D,"United Kingdom",'MAIN DATA, Orders'!$Y:$Y,$A69,'MAIN DATA, Orders'!$AC:$AC,"1",'MAIN DATA, Orders'!$AF:$AF,"0",'MAIN DATA, Orders'!$AH:$AH,"&lt;&gt;United Kingdom")/1000000000)</f>
        <v>0</v>
      </c>
      <c r="F69" s="15">
        <f>(SUMIFS('MAIN DATA, Orders'!$S:$S,'MAIN DATA, Orders'!$D:$D,"United Kingdom",'MAIN DATA, Orders'!$Y:$Y,$A69,'MAIN DATA, Orders'!$AC:$AC,"0",'MAIN DATA, Orders'!$AF:$AF,"0")/1000000000)</f>
        <v>0</v>
      </c>
    </row>
    <row r="70" spans="1:6" x14ac:dyDescent="0.35">
      <c r="A70" s="20">
        <v>202504</v>
      </c>
      <c r="B70" s="17">
        <v>45748</v>
      </c>
      <c r="C70" s="15">
        <f>(SUMIFS('MAIN DATA, Orders'!$S:$S,'MAIN DATA, Orders'!$D:$D,"United Kingdom",'MAIN DATA, Orders'!$Y:$Y,$A70,'MAIN DATA, Orders'!$AF:$AF,"0",'MAIN DATA, Orders'!$AH:$AH,"United Kingdom")/1000000000)</f>
        <v>0.25</v>
      </c>
      <c r="D70" s="15">
        <f>(SUMIFS('MAIN DATA, Orders'!$S:$S,'MAIN DATA, Orders'!$D:$D,"United Kingdom",'MAIN DATA, Orders'!$Y:$Y,$A70,'MAIN DATA, Orders'!$AF:$AF,"1")/1000000000)</f>
        <v>0.16500000000000001</v>
      </c>
      <c r="E70" s="15">
        <f>(SUMIFS('MAIN DATA, Orders'!$S:$S,'MAIN DATA, Orders'!$D:$D,"United Kingdom",'MAIN DATA, Orders'!$Y:$Y,$A70,'MAIN DATA, Orders'!$AC:$AC,"1",'MAIN DATA, Orders'!$AF:$AF,"0",'MAIN DATA, Orders'!$AH:$AH,"&lt;&gt;United Kingdom")/1000000000)</f>
        <v>0</v>
      </c>
      <c r="F70" s="15">
        <f>(SUMIFS('MAIN DATA, Orders'!$S:$S,'MAIN DATA, Orders'!$D:$D,"United Kingdom",'MAIN DATA, Orders'!$Y:$Y,$A70,'MAIN DATA, Orders'!$AC:$AC,"0",'MAIN DATA, Orders'!$AF:$AF,"0")/1000000000)</f>
        <v>0</v>
      </c>
    </row>
    <row r="71" spans="1:6" x14ac:dyDescent="0.35">
      <c r="A71" s="20">
        <v>202505</v>
      </c>
      <c r="B71" s="17">
        <v>45778</v>
      </c>
      <c r="C71" s="15">
        <f>(SUMIFS('MAIN DATA, Orders'!$S:$S,'MAIN DATA, Orders'!$D:$D,"United Kingdom",'MAIN DATA, Orders'!$Y:$Y,$A71,'MAIN DATA, Orders'!$AF:$AF,"0",'MAIN DATA, Orders'!$AH:$AH,"United Kingdom")/1000000000)</f>
        <v>2.3822999999999999</v>
      </c>
      <c r="D71" s="15">
        <f>(SUMIFS('MAIN DATA, Orders'!$S:$S,'MAIN DATA, Orders'!$D:$D,"United Kingdom",'MAIN DATA, Orders'!$Y:$Y,$A71,'MAIN DATA, Orders'!$AF:$AF,"1")/1000000000)</f>
        <v>0</v>
      </c>
      <c r="E71" s="15">
        <f>(SUMIFS('MAIN DATA, Orders'!$S:$S,'MAIN DATA, Orders'!$D:$D,"United Kingdom",'MAIN DATA, Orders'!$Y:$Y,$A71,'MAIN DATA, Orders'!$AC:$AC,"1",'MAIN DATA, Orders'!$AF:$AF,"0",'MAIN DATA, Orders'!$AH:$AH,"&lt;&gt;United Kingdom")/1000000000)</f>
        <v>0</v>
      </c>
      <c r="F71" s="15">
        <f>(SUMIFS('MAIN DATA, Orders'!$S:$S,'MAIN DATA, Orders'!$D:$D,"United Kingdom",'MAIN DATA, Orders'!$Y:$Y,$A71,'MAIN DATA, Orders'!$AC:$AC,"0",'MAIN DATA, Orders'!$AF:$AF,"0")/1000000000)</f>
        <v>0</v>
      </c>
    </row>
    <row r="72" spans="1:6" x14ac:dyDescent="0.35">
      <c r="A72" s="20">
        <v>202506</v>
      </c>
      <c r="B72" s="17">
        <v>45809</v>
      </c>
      <c r="C72" s="15">
        <f>(SUMIFS('MAIN DATA, Orders'!$S:$S,'MAIN DATA, Orders'!$D:$D,"United Kingdom",'MAIN DATA, Orders'!$Y:$Y,$A72,'MAIN DATA, Orders'!$AF:$AF,"0",'MAIN DATA, Orders'!$AH:$AH,"United Kingdom")/1000000000)</f>
        <v>5.1500000000000001E-3</v>
      </c>
      <c r="D72" s="15">
        <f>(SUMIFS('MAIN DATA, Orders'!$S:$S,'MAIN DATA, Orders'!$D:$D,"United Kingdom",'MAIN DATA, Orders'!$Y:$Y,$A72,'MAIN DATA, Orders'!$AF:$AF,"1")/1000000000)</f>
        <v>0.27460000000000001</v>
      </c>
      <c r="E72" s="15">
        <f>(SUMIFS('MAIN DATA, Orders'!$S:$S,'MAIN DATA, Orders'!$D:$D,"United Kingdom",'MAIN DATA, Orders'!$Y:$Y,$A72,'MAIN DATA, Orders'!$AC:$AC,"1",'MAIN DATA, Orders'!$AF:$AF,"0",'MAIN DATA, Orders'!$AH:$AH,"&lt;&gt;United Kingdom")/1000000000)</f>
        <v>0</v>
      </c>
      <c r="F72" s="15">
        <f>(SUMIFS('MAIN DATA, Orders'!$S:$S,'MAIN DATA, Orders'!$D:$D,"United Kingdom",'MAIN DATA, Orders'!$Y:$Y,$A72,'MAIN DATA, Orders'!$AC:$AC,"0",'MAIN DATA, Orders'!$AF:$AF,"0")/1000000000)</f>
        <v>0.96</v>
      </c>
    </row>
    <row r="73" spans="1:6" x14ac:dyDescent="0.35">
      <c r="A73" s="20">
        <v>202507</v>
      </c>
      <c r="B73" s="17">
        <v>45839</v>
      </c>
      <c r="C73" s="15">
        <f>(SUMIFS('MAIN DATA, Orders'!$S:$S,'MAIN DATA, Orders'!$D:$D,"United Kingdom",'MAIN DATA, Orders'!$Y:$Y,$A73,'MAIN DATA, Orders'!$AF:$AF,"0",'MAIN DATA, Orders'!$AH:$AH,"United Kingdom")/1000000000)</f>
        <v>0</v>
      </c>
      <c r="D73" s="15">
        <f>(SUMIFS('MAIN DATA, Orders'!$S:$S,'MAIN DATA, Orders'!$D:$D,"United Kingdom",'MAIN DATA, Orders'!$Y:$Y,$A73,'MAIN DATA, Orders'!$AF:$AF,"1")/1000000000)</f>
        <v>0</v>
      </c>
      <c r="E73" s="15">
        <f>(SUMIFS('MAIN DATA, Orders'!$S:$S,'MAIN DATA, Orders'!$D:$D,"United Kingdom",'MAIN DATA, Orders'!$Y:$Y,$A73,'MAIN DATA, Orders'!$AC:$AC,"1",'MAIN DATA, Orders'!$AF:$AF,"0",'MAIN DATA, Orders'!$AH:$AH,"&lt;&gt;United Kingdom")/1000000000)</f>
        <v>0</v>
      </c>
      <c r="F73" s="15">
        <f>(SUMIFS('MAIN DATA, Orders'!$S:$S,'MAIN DATA, Orders'!$D:$D,"United Kingdom",'MAIN DATA, Orders'!$Y:$Y,$A73,'MAIN DATA, Orders'!$AC:$AC,"0",'MAIN DATA, Orders'!$AF:$AF,"0")/1000000000)</f>
        <v>0</v>
      </c>
    </row>
    <row r="74" spans="1:6" x14ac:dyDescent="0.35">
      <c r="A74" s="20">
        <v>202508</v>
      </c>
      <c r="B74" s="17">
        <v>45870</v>
      </c>
      <c r="C74" s="15">
        <f>(SUMIFS('MAIN DATA, Orders'!$S:$S,'MAIN DATA, Orders'!$D:$D,"United Kingdom",'MAIN DATA, Orders'!$Y:$Y,$A74,'MAIN DATA, Orders'!$AF:$AF,"0",'MAIN DATA, Orders'!$AH:$AH,"United Kingdom")/1000000000)</f>
        <v>0.16600000000000001</v>
      </c>
      <c r="D74" s="15">
        <f>(SUMIFS('MAIN DATA, Orders'!$S:$S,'MAIN DATA, Orders'!$D:$D,"United Kingdom",'MAIN DATA, Orders'!$Y:$Y,$A74,'MAIN DATA, Orders'!$AF:$AF,"1")/1000000000)</f>
        <v>0.11799999999999999</v>
      </c>
      <c r="E74" s="15">
        <f>(SUMIFS('MAIN DATA, Orders'!$S:$S,'MAIN DATA, Orders'!$D:$D,"United Kingdom",'MAIN DATA, Orders'!$Y:$Y,$A74,'MAIN DATA, Orders'!$AC:$AC,"1",'MAIN DATA, Orders'!$AF:$AF,"0",'MAIN DATA, Orders'!$AH:$AH,"&lt;&gt;United Kingdom")/1000000000)</f>
        <v>0</v>
      </c>
      <c r="F74" s="15">
        <f>(SUMIFS('MAIN DATA, Orders'!$S:$S,'MAIN DATA, Orders'!$D:$D,"United Kingdom",'MAIN DATA, Orders'!$Y:$Y,$A74,'MAIN DATA, Orders'!$AC:$AC,"0",'MAIN DATA, Orders'!$AF:$AF,"0")/1000000000)</f>
        <v>0</v>
      </c>
    </row>
    <row r="75" spans="1:6" x14ac:dyDescent="0.35">
      <c r="A75" s="20">
        <v>202509</v>
      </c>
      <c r="B75" s="17">
        <v>45901</v>
      </c>
      <c r="C75" s="15">
        <f>(SUMIFS('MAIN DATA, Orders'!$S:$S,'MAIN DATA, Orders'!$D:$D,"United Kingdom",'MAIN DATA, Orders'!$Y:$Y,$A75,'MAIN DATA, Orders'!$AF:$AF,"0",'MAIN DATA, Orders'!$AH:$AH,"United Kingdom")/1000000000)</f>
        <v>0</v>
      </c>
      <c r="D75" s="15">
        <f>(SUMIFS('MAIN DATA, Orders'!$S:$S,'MAIN DATA, Orders'!$D:$D,"United Kingdom",'MAIN DATA, Orders'!$Y:$Y,$A75,'MAIN DATA, Orders'!$AF:$AF,"1")/1000000000)</f>
        <v>0.42</v>
      </c>
      <c r="E75" s="15">
        <f>(SUMIFS('MAIN DATA, Orders'!$S:$S,'MAIN DATA, Orders'!$D:$D,"United Kingdom",'MAIN DATA, Orders'!$Y:$Y,$A75,'MAIN DATA, Orders'!$AC:$AC,"1",'MAIN DATA, Orders'!$AF:$AF,"0",'MAIN DATA, Orders'!$AH:$AH,"&lt;&gt;United Kingdom")/1000000000)</f>
        <v>0</v>
      </c>
      <c r="F75" s="15">
        <f>(SUMIFS('MAIN DATA, Orders'!$S:$S,'MAIN DATA, Orders'!$D:$D,"United Kingdom",'MAIN DATA, Orders'!$Y:$Y,$A75,'MAIN DATA, Orders'!$AC:$AC,"0",'MAIN DATA, Orders'!$AF:$AF,"0")/1000000000)</f>
        <v>0</v>
      </c>
    </row>
    <row r="76" spans="1:6" x14ac:dyDescent="0.35">
      <c r="A76" s="20">
        <v>202510</v>
      </c>
      <c r="B76" s="17">
        <v>45931</v>
      </c>
      <c r="C76" s="15">
        <f>(SUMIFS('MAIN DATA, Orders'!$S:$S,'MAIN DATA, Orders'!$D:$D,"United Kingdom",'MAIN DATA, Orders'!$Y:$Y,$A76,'MAIN DATA, Orders'!$AF:$AF,"0",'MAIN DATA, Orders'!$AH:$AH,"United Kingdom")/1000000000)</f>
        <v>7.7999999999999996E-3</v>
      </c>
      <c r="D76" s="15">
        <f>(SUMIFS('MAIN DATA, Orders'!$S:$S,'MAIN DATA, Orders'!$D:$D,"United Kingdom",'MAIN DATA, Orders'!$Y:$Y,$A76,'MAIN DATA, Orders'!$AF:$AF,"1")/1000000000)</f>
        <v>0.52</v>
      </c>
      <c r="E76" s="15">
        <f>(SUMIFS('MAIN DATA, Orders'!$S:$S,'MAIN DATA, Orders'!$D:$D,"United Kingdom",'MAIN DATA, Orders'!$Y:$Y,$A76,'MAIN DATA, Orders'!$AC:$AC,"1",'MAIN DATA, Orders'!$AF:$AF,"0",'MAIN DATA, Orders'!$AH:$AH,"&lt;&gt;United Kingdom")/1000000000)</f>
        <v>0</v>
      </c>
      <c r="F76" s="15">
        <f>(SUMIFS('MAIN DATA, Orders'!$S:$S,'MAIN DATA, Orders'!$D:$D,"United Kingdom",'MAIN DATA, Orders'!$Y:$Y,$A76,'MAIN DATA, Orders'!$AC:$AC,"0",'MAIN DATA, Orders'!$AF:$AF,"0")/1000000000)</f>
        <v>0</v>
      </c>
    </row>
    <row r="77" spans="1:6" x14ac:dyDescent="0.35">
      <c r="A77" s="20">
        <v>202511</v>
      </c>
      <c r="B77" s="17">
        <v>45962</v>
      </c>
      <c r="C77" s="15">
        <f>(SUMIFS('MAIN DATA, Orders'!$S:$S,'MAIN DATA, Orders'!$D:$D,"United Kingdom",'MAIN DATA, Orders'!$Y:$Y,$A77,'MAIN DATA, Orders'!$AF:$AF,"0",'MAIN DATA, Orders'!$AH:$AH,"United Kingdom")/1000000000)</f>
        <v>0</v>
      </c>
      <c r="D77" s="15">
        <f>(SUMIFS('MAIN DATA, Orders'!$S:$S,'MAIN DATA, Orders'!$D:$D,"United Kingdom",'MAIN DATA, Orders'!$Y:$Y,$A77,'MAIN DATA, Orders'!$AF:$AF,"1")/1000000000)</f>
        <v>0.316</v>
      </c>
      <c r="E77" s="15">
        <f>(SUMIFS('MAIN DATA, Orders'!$S:$S,'MAIN DATA, Orders'!$D:$D,"United Kingdom",'MAIN DATA, Orders'!$Y:$Y,$A77,'MAIN DATA, Orders'!$AC:$AC,"1",'MAIN DATA, Orders'!$AF:$AF,"0",'MAIN DATA, Orders'!$AH:$AH,"&lt;&gt;United Kingdom")/1000000000)</f>
        <v>0</v>
      </c>
      <c r="F77" s="15">
        <f>(SUMIFS('MAIN DATA, Orders'!$S:$S,'MAIN DATA, Orders'!$D:$D,"United Kingdom",'MAIN DATA, Orders'!$Y:$Y,$A77,'MAIN DATA, Orders'!$AC:$AC,"0",'MAIN DATA, Orders'!$AF:$AF,"0")/1000000000)</f>
        <v>0</v>
      </c>
    </row>
    <row r="78" spans="1:6" x14ac:dyDescent="0.35">
      <c r="A78" s="20">
        <v>202512</v>
      </c>
      <c r="B78" s="17">
        <v>45992</v>
      </c>
      <c r="C78" s="15">
        <f>(SUMIFS('MAIN DATA, Orders'!$S:$S,'MAIN DATA, Orders'!$D:$D,"United Kingdom",'MAIN DATA, Orders'!$Y:$Y,$A78,'MAIN DATA, Orders'!$AF:$AF,"0",'MAIN DATA, Orders'!$AH:$AH,"United Kingdom")/1000000000)</f>
        <v>3.0999999999999999E-3</v>
      </c>
      <c r="D78" s="15">
        <f>(SUMIFS('MAIN DATA, Orders'!$S:$S,'MAIN DATA, Orders'!$D:$D,"United Kingdom",'MAIN DATA, Orders'!$Y:$Y,$A78,'MAIN DATA, Orders'!$AF:$AF,"1")/1000000000)</f>
        <v>0.1125</v>
      </c>
      <c r="E78" s="15">
        <f>(SUMIFS('MAIN DATA, Orders'!$S:$S,'MAIN DATA, Orders'!$D:$D,"United Kingdom",'MAIN DATA, Orders'!$Y:$Y,$A78,'MAIN DATA, Orders'!$AC:$AC,"1",'MAIN DATA, Orders'!$AF:$AF,"0",'MAIN DATA, Orders'!$AH:$AH,"&lt;&gt;United Kingdom")/1000000000)</f>
        <v>0</v>
      </c>
      <c r="F78" s="15">
        <f>(SUMIFS('MAIN DATA, Orders'!$S:$S,'MAIN DATA, Orders'!$D:$D,"United Kingdom",'MAIN DATA, Orders'!$Y:$Y,$A78,'MAIN DATA, Orders'!$AC:$AC,"0",'MAIN DATA, Orders'!$AF:$AF,"0")/1000000000)</f>
        <v>0</v>
      </c>
    </row>
    <row r="79" spans="1:6" x14ac:dyDescent="0.35">
      <c r="A79" s="20">
        <v>202601</v>
      </c>
      <c r="B79" s="17">
        <v>46023</v>
      </c>
      <c r="C79" s="15">
        <f>(SUMIFS('MAIN DATA, Orders'!$S:$S,'MAIN DATA, Orders'!$D:$D,"United Kingdom",'MAIN DATA, Orders'!$Y:$Y,$A79,'MAIN DATA, Orders'!$AF:$AF,"0",'MAIN DATA, Orders'!$AH:$AH,"United Kingdom")/1000000000)</f>
        <v>0.21529999999999999</v>
      </c>
      <c r="D79" s="15">
        <f>(SUMIFS('MAIN DATA, Orders'!$S:$S,'MAIN DATA, Orders'!$D:$D,"United Kingdom",'MAIN DATA, Orders'!$Y:$Y,$A79,'MAIN DATA, Orders'!$AF:$AF,"1")/1000000000)</f>
        <v>0.45350000000000001</v>
      </c>
      <c r="E79" s="15">
        <f>(SUMIFS('MAIN DATA, Orders'!$S:$S,'MAIN DATA, Orders'!$D:$D,"United Kingdom",'MAIN DATA, Orders'!$Y:$Y,$A79,'MAIN DATA, Orders'!$AC:$AC,"1",'MAIN DATA, Orders'!$AF:$AF,"0",'MAIN DATA, Orders'!$AH:$AH,"&lt;&gt;United Kingdom")/1000000000)</f>
        <v>0</v>
      </c>
      <c r="F79" s="15">
        <f>(SUMIFS('MAIN DATA, Orders'!$S:$S,'MAIN DATA, Orders'!$D:$D,"United Kingdom",'MAIN DATA, Orders'!$Y:$Y,$A79,'MAIN DATA, Orders'!$AC:$AC,"0",'MAIN DATA, Orders'!$AF:$AF,"0")/1000000000)</f>
        <v>0</v>
      </c>
    </row>
    <row r="80" spans="1:6" x14ac:dyDescent="0.35">
      <c r="B80" s="86"/>
      <c r="C80" s="87"/>
      <c r="D80" s="87"/>
      <c r="E80" s="87"/>
      <c r="F80" s="87"/>
    </row>
    <row r="81" spans="2:6" x14ac:dyDescent="0.35">
      <c r="B81" s="9" t="s">
        <v>4219</v>
      </c>
      <c r="C81" s="18">
        <f>SUM(C7:C79)</f>
        <v>31.079179999999997</v>
      </c>
      <c r="D81" s="18">
        <f t="shared" ref="D81:F81" si="0">SUM(D7:D79)</f>
        <v>28.666199999999996</v>
      </c>
      <c r="E81" s="18">
        <f t="shared" si="0"/>
        <v>0.54959999999999998</v>
      </c>
      <c r="F81" s="18">
        <f t="shared" si="0"/>
        <v>1.7538199999999999</v>
      </c>
    </row>
  </sheetData>
  <mergeCells count="1">
    <mergeCell ref="B4:F4"/>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1400B-3BC6-416C-985F-CD16AA63F433}">
  <sheetPr>
    <tabColor rgb="FFB5E6A2"/>
  </sheetPr>
  <dimension ref="B2:G10"/>
  <sheetViews>
    <sheetView workbookViewId="0"/>
  </sheetViews>
  <sheetFormatPr baseColWidth="10" defaultColWidth="8.75" defaultRowHeight="15.5" x14ac:dyDescent="0.35"/>
  <cols>
    <col min="1" max="1" width="8.75" style="1"/>
    <col min="2" max="2" width="25.33203125" style="1" customWidth="1"/>
    <col min="3" max="4" width="15.75" style="1" customWidth="1"/>
    <col min="5" max="5" width="32.25" style="1" customWidth="1"/>
    <col min="6" max="6" width="22.83203125" style="1" customWidth="1"/>
    <col min="7" max="7" width="18.08203125" style="1" customWidth="1"/>
    <col min="8" max="16384" width="8.75" style="1"/>
  </cols>
  <sheetData>
    <row r="2" spans="2:7" ht="25.9" customHeight="1" x14ac:dyDescent="0.7">
      <c r="B2" s="16" t="s">
        <v>5669</v>
      </c>
    </row>
    <row r="4" spans="2:7" ht="130.15" customHeight="1" x14ac:dyDescent="0.35">
      <c r="B4" s="232" t="s">
        <v>5668</v>
      </c>
      <c r="C4" s="232"/>
      <c r="D4" s="232"/>
      <c r="E4" s="232"/>
      <c r="F4" s="232"/>
    </row>
    <row r="6" spans="2:7" ht="21" customHeight="1" x14ac:dyDescent="0.35">
      <c r="B6" s="13"/>
      <c r="C6" s="69" t="s">
        <v>4219</v>
      </c>
      <c r="D6" s="69" t="s">
        <v>5232</v>
      </c>
      <c r="E6" s="69" t="s">
        <v>5233</v>
      </c>
      <c r="F6" s="69" t="s">
        <v>5234</v>
      </c>
      <c r="G6" s="69" t="s">
        <v>5228</v>
      </c>
    </row>
    <row r="7" spans="2:7" x14ac:dyDescent="0.35">
      <c r="B7" s="83" t="s">
        <v>5229</v>
      </c>
      <c r="C7" s="15">
        <f>(SUMIFS('MAIN DATA, Orders'!$S:$S,'MAIN DATA, Orders'!$Y:$Y,"&lt;=202202",'MAIN DATA, Orders'!$AH:$AH,"&lt;&gt;.",'MAIN DATA, Orders'!$D:$D,"United Kingdom")/1000000000)</f>
        <v>10.672029999999999</v>
      </c>
      <c r="D7" s="15">
        <f>(SUMIFS('MAIN DATA, Orders'!$S:$S,'MAIN DATA, Orders'!$D:$D,"United Kingdom",'MAIN DATA, Orders'!$Y:$Y,"&lt;=202202",'MAIN DATA, Orders'!$AF:$AF,"0",'MAIN DATA, Orders'!$AH:$AH,"United Kingdom")/1000000000)</f>
        <v>3.7889300000000001</v>
      </c>
      <c r="E7" s="15">
        <f>(SUMIFS('MAIN DATA, Orders'!$S:$S,'MAIN DATA, Orders'!$D:$D,"United Kingdom",'MAIN DATA, Orders'!$Y:$Y,"&lt;=202202",'MAIN DATA, Orders'!$AF:$AF,"1")/1000000000)</f>
        <v>6.1611000000000002</v>
      </c>
      <c r="F7" s="15">
        <f>SUM(SUMIFS('MAIN DATA, Orders'!$S:$S,'MAIN DATA, Orders'!$D:$D,"United Kingdom",'MAIN DATA, Orders'!$Y:$Y,"&lt;=202202",'MAIN DATA, Orders'!$AC:$AC,"1",'MAIN DATA, Orders'!$AF:$AF,"0",'MAIN DATA, Orders'!$AH:$AH,"&lt;&gt;United Kingdom")/1000000000)</f>
        <v>4.5999999999999999E-2</v>
      </c>
      <c r="G7" s="15">
        <f>SUM(SUMIFS('MAIN DATA, Orders'!$S:$S,'MAIN DATA, Orders'!$D:$D,"United Kingdom",'MAIN DATA, Orders'!$Y:$Y,"&lt;=202202",'MAIN DATA, Orders'!$AC:$AC,"0",'MAIN DATA, Orders'!$AF:$AF,"0")/1000000000)</f>
        <v>0.67600000000000005</v>
      </c>
    </row>
    <row r="8" spans="2:7" x14ac:dyDescent="0.35">
      <c r="B8" s="65" t="s">
        <v>5235</v>
      </c>
      <c r="C8" s="67">
        <f>(SUMIFS('MAIN DATA, Orders'!$S:$S,'MAIN DATA, Orders'!$Y:$Y,"&gt;=202203",'MAIN DATA, Orders'!$AH:$AH,"&lt;&gt;.",'MAIN DATA, Orders'!$D:$D,"United Kingdom")/1000000000)</f>
        <v>51.37677</v>
      </c>
      <c r="D8" s="67">
        <f>(SUMIFS('MAIN DATA, Orders'!$S:$S,'MAIN DATA, Orders'!$D:$D,"United Kingdom",'MAIN DATA, Orders'!$Y:$Y,"&gt;=202203",'MAIN DATA, Orders'!$AF:$AF,"0",'MAIN DATA, Orders'!$AH:$AH,"United Kingdom")/1000000000)</f>
        <v>27.29025</v>
      </c>
      <c r="E8" s="67">
        <f>(SUMIFS('MAIN DATA, Orders'!$S:$S,'MAIN DATA, Orders'!$D:$D,"United Kingdom",'MAIN DATA, Orders'!$Y:$Y,"&gt;=202203",'MAIN DATA, Orders'!$AF:$AF,"1")/1000000000)</f>
        <v>22.505099999999999</v>
      </c>
      <c r="F8" s="67">
        <f>SUM(SUMIFS('MAIN DATA, Orders'!$S:$S,'MAIN DATA, Orders'!$D:$D,"United Kingdom",'MAIN DATA, Orders'!$Y:$Y,"&gt;=202203",'MAIN DATA, Orders'!$AC:$AC,"1",'MAIN DATA, Orders'!$AF:$AF,"0",'MAIN DATA, Orders'!$AH:$AH,"&lt;&gt;United Kingdom")/1000000000)</f>
        <v>0.50360000000000005</v>
      </c>
      <c r="G8" s="67">
        <f>SUM(SUMIFS('MAIN DATA, Orders'!$S:$S,'MAIN DATA, Orders'!$D:$D,"United Kingdom",'MAIN DATA, Orders'!$Y:$Y,"&gt;=202203",'MAIN DATA, Orders'!$AC:$AC,"0",'MAIN DATA, Orders'!$AF:$AF,"0")/1000000000)</f>
        <v>1.07782</v>
      </c>
    </row>
    <row r="9" spans="2:7" x14ac:dyDescent="0.35">
      <c r="B9" s="19"/>
      <c r="C9" s="19"/>
      <c r="D9" s="19"/>
      <c r="E9" s="19"/>
      <c r="F9" s="83"/>
      <c r="G9" s="83"/>
    </row>
    <row r="10" spans="2:7" x14ac:dyDescent="0.35">
      <c r="B10" s="18" t="s">
        <v>4219</v>
      </c>
      <c r="C10" s="18">
        <f>SUM(C7:C8)</f>
        <v>62.0488</v>
      </c>
      <c r="D10" s="18">
        <f>SUM(D7:D8)</f>
        <v>31.079180000000001</v>
      </c>
      <c r="E10" s="18">
        <f>SUM(E7:E8)</f>
        <v>28.6662</v>
      </c>
      <c r="F10" s="18">
        <f>SUM(F7:F8)</f>
        <v>0.54960000000000009</v>
      </c>
      <c r="G10" s="18">
        <f>SUM(G7:G8)</f>
        <v>1.7538200000000002</v>
      </c>
    </row>
  </sheetData>
  <mergeCells count="1">
    <mergeCell ref="B4:F4"/>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E9C27-F902-40E2-AB87-4CAC291C62C9}">
  <sheetPr>
    <tabColor rgb="FFB5E6A2"/>
  </sheetPr>
  <dimension ref="A2:J93"/>
  <sheetViews>
    <sheetView zoomScaleNormal="100" workbookViewId="0"/>
  </sheetViews>
  <sheetFormatPr baseColWidth="10" defaultColWidth="8.75" defaultRowHeight="15.5" x14ac:dyDescent="0.35"/>
  <cols>
    <col min="1" max="1" width="8.75" style="1"/>
    <col min="2" max="2" width="13.5" style="1" customWidth="1"/>
    <col min="3" max="3" width="27.08203125" style="1" bestFit="1" customWidth="1"/>
    <col min="4" max="16384" width="8.75" style="1"/>
  </cols>
  <sheetData>
    <row r="2" spans="1:10" ht="25.9" customHeight="1" x14ac:dyDescent="0.7">
      <c r="B2" s="220" t="s">
        <v>5655</v>
      </c>
    </row>
    <row r="4" spans="1:10" ht="130.15" customHeight="1" x14ac:dyDescent="0.35">
      <c r="B4" s="241" t="s">
        <v>5656</v>
      </c>
      <c r="C4" s="241"/>
      <c r="D4" s="241"/>
      <c r="E4" s="241"/>
      <c r="F4" s="241"/>
      <c r="G4" s="241"/>
      <c r="H4" s="241"/>
      <c r="I4" s="241"/>
      <c r="J4" s="241"/>
    </row>
    <row r="6" spans="1:10" ht="21" customHeight="1" x14ac:dyDescent="0.35">
      <c r="B6" s="221" t="s">
        <v>4197</v>
      </c>
      <c r="C6" s="222" t="s">
        <v>5189</v>
      </c>
      <c r="D6" s="2"/>
    </row>
    <row r="7" spans="1:10" x14ac:dyDescent="0.35">
      <c r="A7" s="215">
        <v>201901</v>
      </c>
      <c r="B7" s="216">
        <v>43466</v>
      </c>
      <c r="C7" s="217">
        <f>(SUMIFS('MAIN DATA, Orders'!$U:$U,'MAIN DATA, Orders'!$Y:$Y,$A7,'MAIN DATA, Orders'!$D:$D,"Poland")/1000000000)</f>
        <v>0.15901898734177214</v>
      </c>
      <c r="D7" s="3"/>
    </row>
    <row r="8" spans="1:10" x14ac:dyDescent="0.35">
      <c r="A8" s="215">
        <v>201902</v>
      </c>
      <c r="B8" s="216">
        <v>43497</v>
      </c>
      <c r="C8" s="217">
        <f>(SUMIFS('MAIN DATA, Orders'!$U:$U,'MAIN DATA, Orders'!$Y:$Y,$A8,'MAIN DATA, Orders'!$D:$D,"Poland")/1000000000)</f>
        <v>1.0678719857185472</v>
      </c>
      <c r="D8" s="3"/>
    </row>
    <row r="9" spans="1:10" x14ac:dyDescent="0.35">
      <c r="A9" s="215">
        <v>201903</v>
      </c>
      <c r="B9" s="216">
        <v>43525</v>
      </c>
      <c r="C9" s="217">
        <f>(SUMIFS('MAIN DATA, Orders'!$U:$U,'MAIN DATA, Orders'!$Y:$Y,$A9,'MAIN DATA, Orders'!$D:$D,"Poland")/1000000000)</f>
        <v>0.16864389426656737</v>
      </c>
      <c r="D9" s="3"/>
    </row>
    <row r="10" spans="1:10" x14ac:dyDescent="0.35">
      <c r="A10" s="215">
        <v>201904</v>
      </c>
      <c r="B10" s="216">
        <v>43556</v>
      </c>
      <c r="C10" s="217">
        <f>(SUMIFS('MAIN DATA, Orders'!$U:$U,'MAIN DATA, Orders'!$Y:$Y,$A10,'MAIN DATA, Orders'!$D:$D,"Poland")/1000000000)</f>
        <v>0.4760523899385703</v>
      </c>
      <c r="D10" s="3"/>
    </row>
    <row r="11" spans="1:10" x14ac:dyDescent="0.35">
      <c r="A11" s="215">
        <v>201905</v>
      </c>
      <c r="B11" s="216">
        <v>43586</v>
      </c>
      <c r="C11" s="217">
        <f>(SUMIFS('MAIN DATA, Orders'!$U:$U,'MAIN DATA, Orders'!$Y:$Y,$A11,'MAIN DATA, Orders'!$D:$D,"Poland")/1000000000)</f>
        <v>3.9768344657483246E-2</v>
      </c>
      <c r="D11" s="3"/>
    </row>
    <row r="12" spans="1:10" x14ac:dyDescent="0.35">
      <c r="A12" s="215">
        <v>201906</v>
      </c>
      <c r="B12" s="216">
        <v>43617</v>
      </c>
      <c r="C12" s="217">
        <f>(SUMIFS('MAIN DATA, Orders'!$U:$U,'MAIN DATA, Orders'!$Y:$Y,$A12,'MAIN DATA, Orders'!$D:$D,"Poland")/1000000000)</f>
        <v>0</v>
      </c>
      <c r="D12" s="3"/>
    </row>
    <row r="13" spans="1:10" x14ac:dyDescent="0.35">
      <c r="A13" s="215">
        <v>201907</v>
      </c>
      <c r="B13" s="216">
        <v>43647</v>
      </c>
      <c r="C13" s="217">
        <f>(SUMIFS('MAIN DATA, Orders'!$U:$U,'MAIN DATA, Orders'!$Y:$Y,$A13,'MAIN DATA, Orders'!$D:$D,"Poland")/1000000000)</f>
        <v>0.42042768056589719</v>
      </c>
      <c r="D13" s="3"/>
    </row>
    <row r="14" spans="1:10" x14ac:dyDescent="0.35">
      <c r="A14" s="215">
        <v>201908</v>
      </c>
      <c r="B14" s="216">
        <v>43678</v>
      </c>
      <c r="C14" s="217">
        <f>(SUMIFS('MAIN DATA, Orders'!$U:$U,'MAIN DATA, Orders'!$Y:$Y,$A14,'MAIN DATA, Orders'!$D:$D,"Poland")/1000000000)</f>
        <v>0</v>
      </c>
      <c r="D14" s="3"/>
    </row>
    <row r="15" spans="1:10" x14ac:dyDescent="0.35">
      <c r="A15" s="215">
        <v>201909</v>
      </c>
      <c r="B15" s="216">
        <v>43709</v>
      </c>
      <c r="C15" s="217">
        <f>(SUMIFS('MAIN DATA, Orders'!$U:$U,'MAIN DATA, Orders'!$Y:$Y,$A15,'MAIN DATA, Orders'!$D:$D,"Poland")/1000000000)</f>
        <v>2.896965748324646E-2</v>
      </c>
      <c r="D15" s="3"/>
    </row>
    <row r="16" spans="1:10" x14ac:dyDescent="0.35">
      <c r="A16" s="215">
        <v>201910</v>
      </c>
      <c r="B16" s="216">
        <v>43739</v>
      </c>
      <c r="C16" s="217">
        <f>(SUMIFS('MAIN DATA, Orders'!$U:$U,'MAIN DATA, Orders'!$Y:$Y,$A16,'MAIN DATA, Orders'!$D:$D,"Poland")/1000000000)</f>
        <v>6.4105547282204023E-2</v>
      </c>
      <c r="D16" s="3"/>
    </row>
    <row r="17" spans="1:4" x14ac:dyDescent="0.35">
      <c r="A17" s="215">
        <v>201911</v>
      </c>
      <c r="B17" s="216">
        <v>43770</v>
      </c>
      <c r="C17" s="217">
        <f>(SUMIFS('MAIN DATA, Orders'!$U:$U,'MAIN DATA, Orders'!$Y:$Y,$A17,'MAIN DATA, Orders'!$D:$D,"Poland")/1000000000)</f>
        <v>0.10005584512285927</v>
      </c>
      <c r="D17" s="3"/>
    </row>
    <row r="18" spans="1:4" x14ac:dyDescent="0.35">
      <c r="A18" s="215">
        <v>201912</v>
      </c>
      <c r="B18" s="216">
        <v>43800</v>
      </c>
      <c r="C18" s="217">
        <f>(SUMIFS('MAIN DATA, Orders'!$U:$U,'MAIN DATA, Orders'!$Y:$Y,$A18,'MAIN DATA, Orders'!$D:$D,"Poland")/1000000000)</f>
        <v>0</v>
      </c>
      <c r="D18" s="3"/>
    </row>
    <row r="19" spans="1:4" x14ac:dyDescent="0.35">
      <c r="A19" s="215">
        <v>202001</v>
      </c>
      <c r="B19" s="216">
        <v>43831</v>
      </c>
      <c r="C19" s="217">
        <f>(SUMIFS('MAIN DATA, Orders'!$U:$U,'MAIN DATA, Orders'!$Y:$Y,$A19,'MAIN DATA, Orders'!$D:$D,"Poland")/1000000000)</f>
        <v>4.0273157065312555</v>
      </c>
      <c r="D19" s="3"/>
    </row>
    <row r="20" spans="1:4" x14ac:dyDescent="0.35">
      <c r="A20" s="215">
        <v>202002</v>
      </c>
      <c r="B20" s="216">
        <v>43862</v>
      </c>
      <c r="C20" s="217">
        <f>(SUMIFS('MAIN DATA, Orders'!$U:$U,'MAIN DATA, Orders'!$Y:$Y,$A20,'MAIN DATA, Orders'!$D:$D,"Poland")/1000000000)</f>
        <v>0</v>
      </c>
      <c r="D20" s="3"/>
    </row>
    <row r="21" spans="1:4" x14ac:dyDescent="0.35">
      <c r="A21" s="215">
        <v>202003</v>
      </c>
      <c r="B21" s="216">
        <v>43891</v>
      </c>
      <c r="C21" s="217">
        <f>(SUMIFS('MAIN DATA, Orders'!$U:$U,'MAIN DATA, Orders'!$Y:$Y,$A21,'MAIN DATA, Orders'!$D:$D,"Poland")/1000000000)</f>
        <v>0</v>
      </c>
      <c r="D21" s="3"/>
    </row>
    <row r="22" spans="1:4" x14ac:dyDescent="0.35">
      <c r="A22" s="215">
        <v>202004</v>
      </c>
      <c r="B22" s="216">
        <v>43922</v>
      </c>
      <c r="C22" s="217">
        <f>(SUMIFS('MAIN DATA, Orders'!$U:$U,'MAIN DATA, Orders'!$Y:$Y,$A22,'MAIN DATA, Orders'!$D:$D,"Poland")/1000000000)</f>
        <v>0</v>
      </c>
      <c r="D22" s="3"/>
    </row>
    <row r="23" spans="1:4" x14ac:dyDescent="0.35">
      <c r="A23" s="215">
        <v>202005</v>
      </c>
      <c r="B23" s="216">
        <v>43952</v>
      </c>
      <c r="C23" s="217">
        <f>(SUMIFS('MAIN DATA, Orders'!$U:$U,'MAIN DATA, Orders'!$Y:$Y,$A23,'MAIN DATA, Orders'!$D:$D,"Poland")/1000000000)</f>
        <v>0.15824893090254333</v>
      </c>
      <c r="D23" s="3"/>
    </row>
    <row r="24" spans="1:4" x14ac:dyDescent="0.35">
      <c r="A24" s="215">
        <v>202006</v>
      </c>
      <c r="B24" s="216">
        <v>43983</v>
      </c>
      <c r="C24" s="217">
        <f>(SUMIFS('MAIN DATA, Orders'!$U:$U,'MAIN DATA, Orders'!$Y:$Y,$A24,'MAIN DATA, Orders'!$D:$D,"Poland")/1000000000)</f>
        <v>0</v>
      </c>
      <c r="D24" s="3"/>
    </row>
    <row r="25" spans="1:4" x14ac:dyDescent="0.35">
      <c r="A25" s="215">
        <v>202007</v>
      </c>
      <c r="B25" s="216">
        <v>44013</v>
      </c>
      <c r="C25" s="217">
        <f>(SUMIFS('MAIN DATA, Orders'!$U:$U,'MAIN DATA, Orders'!$Y:$Y,$A25,'MAIN DATA, Orders'!$D:$D,"Poland")/1000000000)</f>
        <v>3.9837947332883192E-2</v>
      </c>
      <c r="D25" s="3"/>
    </row>
    <row r="26" spans="1:4" x14ac:dyDescent="0.35">
      <c r="A26" s="215">
        <v>202008</v>
      </c>
      <c r="B26" s="216">
        <v>44044</v>
      </c>
      <c r="C26" s="217">
        <f>(SUMIFS('MAIN DATA, Orders'!$U:$U,'MAIN DATA, Orders'!$Y:$Y,$A26,'MAIN DATA, Orders'!$D:$D,"Poland")/1000000000)</f>
        <v>0</v>
      </c>
      <c r="D26" s="3"/>
    </row>
    <row r="27" spans="1:4" x14ac:dyDescent="0.35">
      <c r="A27" s="215">
        <v>202009</v>
      </c>
      <c r="B27" s="216">
        <v>44075</v>
      </c>
      <c r="C27" s="217">
        <f>(SUMIFS('MAIN DATA, Orders'!$U:$U,'MAIN DATA, Orders'!$Y:$Y,$A27,'MAIN DATA, Orders'!$D:$D,"Poland")/1000000000)</f>
        <v>0</v>
      </c>
      <c r="D27" s="3"/>
    </row>
    <row r="28" spans="1:4" x14ac:dyDescent="0.35">
      <c r="A28" s="215">
        <v>202010</v>
      </c>
      <c r="B28" s="216">
        <v>44105</v>
      </c>
      <c r="C28" s="217">
        <f>(SUMIFS('MAIN DATA, Orders'!$U:$U,'MAIN DATA, Orders'!$Y:$Y,$A28,'MAIN DATA, Orders'!$D:$D,"Poland")/1000000000)</f>
        <v>3.7362142696376326E-2</v>
      </c>
      <c r="D28" s="3"/>
    </row>
    <row r="29" spans="1:4" x14ac:dyDescent="0.35">
      <c r="A29" s="215">
        <v>202011</v>
      </c>
      <c r="B29" s="216">
        <v>44136</v>
      </c>
      <c r="C29" s="217">
        <f>(SUMIFS('MAIN DATA, Orders'!$U:$U,'MAIN DATA, Orders'!$Y:$Y,$A29,'MAIN DATA, Orders'!$D:$D,"Poland")/1000000000)</f>
        <v>0</v>
      </c>
    </row>
    <row r="30" spans="1:4" x14ac:dyDescent="0.35">
      <c r="A30" s="215">
        <v>202012</v>
      </c>
      <c r="B30" s="216">
        <v>44166</v>
      </c>
      <c r="C30" s="217">
        <f>(SUMIFS('MAIN DATA, Orders'!$U:$U,'MAIN DATA, Orders'!$Y:$Y,$A30,'MAIN DATA, Orders'!$D:$D,"Poland")/1000000000)</f>
        <v>0</v>
      </c>
    </row>
    <row r="31" spans="1:4" x14ac:dyDescent="0.35">
      <c r="A31" s="215">
        <v>202101</v>
      </c>
      <c r="B31" s="216">
        <v>44197</v>
      </c>
      <c r="C31" s="217">
        <f>(SUMIFS('MAIN DATA, Orders'!$U:$U,'MAIN DATA, Orders'!$Y:$Y,$A31,'MAIN DATA, Orders'!$D:$D,"Poland")/1000000000)</f>
        <v>0</v>
      </c>
    </row>
    <row r="32" spans="1:4" x14ac:dyDescent="0.35">
      <c r="A32" s="215">
        <v>202102</v>
      </c>
      <c r="B32" s="216">
        <v>44228</v>
      </c>
      <c r="C32" s="217">
        <f>(SUMIFS('MAIN DATA, Orders'!$U:$U,'MAIN DATA, Orders'!$Y:$Y,$A32,'MAIN DATA, Orders'!$D:$D,"Poland")/1000000000)</f>
        <v>0</v>
      </c>
    </row>
    <row r="33" spans="1:3" x14ac:dyDescent="0.35">
      <c r="A33" s="215">
        <v>202103</v>
      </c>
      <c r="B33" s="216">
        <v>44256</v>
      </c>
      <c r="C33" s="217">
        <f>(SUMIFS('MAIN DATA, Orders'!$U:$U,'MAIN DATA, Orders'!$Y:$Y,$A33,'MAIN DATA, Orders'!$D:$D,"Poland")/1000000000)</f>
        <v>0</v>
      </c>
    </row>
    <row r="34" spans="1:3" x14ac:dyDescent="0.35">
      <c r="A34" s="215">
        <v>202104</v>
      </c>
      <c r="B34" s="216">
        <v>44287</v>
      </c>
      <c r="C34" s="217">
        <f>(SUMIFS('MAIN DATA, Orders'!$U:$U,'MAIN DATA, Orders'!$Y:$Y,$A34,'MAIN DATA, Orders'!$D:$D,"Poland")/1000000000)</f>
        <v>7.7105055638307191E-2</v>
      </c>
    </row>
    <row r="35" spans="1:3" x14ac:dyDescent="0.35">
      <c r="A35" s="215">
        <v>202105</v>
      </c>
      <c r="B35" s="216">
        <v>44317</v>
      </c>
      <c r="C35" s="217">
        <f>(SUMIFS('MAIN DATA, Orders'!$U:$U,'MAIN DATA, Orders'!$Y:$Y,$A35,'MAIN DATA, Orders'!$D:$D,"Poland")/1000000000)</f>
        <v>0.26734316454846485</v>
      </c>
    </row>
    <row r="36" spans="1:3" x14ac:dyDescent="0.35">
      <c r="A36" s="215">
        <v>202106</v>
      </c>
      <c r="B36" s="216">
        <v>44348</v>
      </c>
      <c r="C36" s="217">
        <f>(SUMIFS('MAIN DATA, Orders'!$U:$U,'MAIN DATA, Orders'!$Y:$Y,$A36,'MAIN DATA, Orders'!$D:$D,"Poland")/1000000000)</f>
        <v>0</v>
      </c>
    </row>
    <row r="37" spans="1:3" x14ac:dyDescent="0.35">
      <c r="A37" s="215">
        <v>202107</v>
      </c>
      <c r="B37" s="216">
        <v>44378</v>
      </c>
      <c r="C37" s="217">
        <f>(SUMIFS('MAIN DATA, Orders'!$U:$U,'MAIN DATA, Orders'!$Y:$Y,$A37,'MAIN DATA, Orders'!$D:$D,"Poland")/1000000000)</f>
        <v>5.7686216688975511</v>
      </c>
    </row>
    <row r="38" spans="1:3" x14ac:dyDescent="0.35">
      <c r="A38" s="215">
        <v>202108</v>
      </c>
      <c r="B38" s="216">
        <v>44409</v>
      </c>
      <c r="C38" s="217">
        <f>(SUMIFS('MAIN DATA, Orders'!$U:$U,'MAIN DATA, Orders'!$Y:$Y,$A38,'MAIN DATA, Orders'!$D:$D,"Poland")/1000000000)</f>
        <v>0</v>
      </c>
    </row>
    <row r="39" spans="1:3" x14ac:dyDescent="0.35">
      <c r="A39" s="215">
        <v>202109</v>
      </c>
      <c r="B39" s="216">
        <v>44440</v>
      </c>
      <c r="C39" s="217">
        <f>(SUMIFS('MAIN DATA, Orders'!$U:$U,'MAIN DATA, Orders'!$Y:$Y,$A39,'MAIN DATA, Orders'!$D:$D,"Poland")/1000000000)</f>
        <v>0</v>
      </c>
    </row>
    <row r="40" spans="1:3" x14ac:dyDescent="0.35">
      <c r="A40" s="215">
        <v>202110</v>
      </c>
      <c r="B40" s="216">
        <v>44470</v>
      </c>
      <c r="C40" s="217">
        <f>(SUMIFS('MAIN DATA, Orders'!$U:$U,'MAIN DATA, Orders'!$Y:$Y,$A40,'MAIN DATA, Orders'!$D:$D,"Poland")/1000000000)</f>
        <v>0</v>
      </c>
    </row>
    <row r="41" spans="1:3" x14ac:dyDescent="0.35">
      <c r="A41" s="215">
        <v>202111</v>
      </c>
      <c r="B41" s="216">
        <v>44501</v>
      </c>
      <c r="C41" s="217">
        <f>(SUMIFS('MAIN DATA, Orders'!$U:$U,'MAIN DATA, Orders'!$Y:$Y,$A41,'MAIN DATA, Orders'!$D:$D,"Poland")/1000000000)</f>
        <v>0</v>
      </c>
    </row>
    <row r="42" spans="1:3" x14ac:dyDescent="0.35">
      <c r="A42" s="215">
        <v>202112</v>
      </c>
      <c r="B42" s="216">
        <v>44531</v>
      </c>
      <c r="C42" s="217">
        <f>(SUMIFS('MAIN DATA, Orders'!$U:$U,'MAIN DATA, Orders'!$Y:$Y,$A42,'MAIN DATA, Orders'!$D:$D,"Poland")/1000000000)</f>
        <v>3.8114430912117761E-2</v>
      </c>
    </row>
    <row r="43" spans="1:3" x14ac:dyDescent="0.35">
      <c r="A43" s="215">
        <v>202201</v>
      </c>
      <c r="B43" s="216">
        <v>44562</v>
      </c>
      <c r="C43" s="217">
        <f>(SUMIFS('MAIN DATA, Orders'!$U:$U,'MAIN DATA, Orders'!$Y:$Y,$A43,'MAIN DATA, Orders'!$D:$D,"Poland")/1000000000)</f>
        <v>0</v>
      </c>
    </row>
    <row r="44" spans="1:3" x14ac:dyDescent="0.35">
      <c r="A44" s="215">
        <v>202202</v>
      </c>
      <c r="B44" s="216">
        <v>44593</v>
      </c>
      <c r="C44" s="217">
        <f>(SUMIFS('MAIN DATA, Orders'!$U:$U,'MAIN DATA, Orders'!$Y:$Y,$A44,'MAIN DATA, Orders'!$D:$D,"Poland")/1000000000)</f>
        <v>0</v>
      </c>
    </row>
    <row r="45" spans="1:3" x14ac:dyDescent="0.35">
      <c r="A45" s="215">
        <v>202203</v>
      </c>
      <c r="B45" s="216">
        <v>44621</v>
      </c>
      <c r="C45" s="217">
        <f>(SUMIFS('MAIN DATA, Orders'!$U:$U,'MAIN DATA, Orders'!$Y:$Y,$A45,'MAIN DATA, Orders'!$D:$D,"Poland")/1000000000)</f>
        <v>0</v>
      </c>
    </row>
    <row r="46" spans="1:3" x14ac:dyDescent="0.35">
      <c r="A46" s="215">
        <v>202204</v>
      </c>
      <c r="B46" s="216">
        <v>44652</v>
      </c>
      <c r="C46" s="217">
        <f>(SUMIFS('MAIN DATA, Orders'!$U:$U,'MAIN DATA, Orders'!$Y:$Y,$A46,'MAIN DATA, Orders'!$D:$D,"Poland")/1000000000)</f>
        <v>0</v>
      </c>
    </row>
    <row r="47" spans="1:3" x14ac:dyDescent="0.35">
      <c r="A47" s="215">
        <v>202205</v>
      </c>
      <c r="B47" s="216">
        <v>44682</v>
      </c>
      <c r="C47" s="217">
        <f>(SUMIFS('MAIN DATA, Orders'!$U:$U,'MAIN DATA, Orders'!$Y:$Y,$A47,'MAIN DATA, Orders'!$D:$D,"Poland")/1000000000)</f>
        <v>0</v>
      </c>
    </row>
    <row r="48" spans="1:3" x14ac:dyDescent="0.35">
      <c r="A48" s="215">
        <v>202206</v>
      </c>
      <c r="B48" s="216">
        <v>44713</v>
      </c>
      <c r="C48" s="217">
        <f>(SUMIFS('MAIN DATA, Orders'!$U:$U,'MAIN DATA, Orders'!$Y:$Y,$A48,'MAIN DATA, Orders'!$D:$D,"Poland")/1000000000)</f>
        <v>1.2803824075457204</v>
      </c>
    </row>
    <row r="49" spans="1:3" x14ac:dyDescent="0.35">
      <c r="A49" s="215">
        <v>202207</v>
      </c>
      <c r="B49" s="216">
        <v>44743</v>
      </c>
      <c r="C49" s="217">
        <f>(SUMIFS('MAIN DATA, Orders'!$U:$U,'MAIN DATA, Orders'!$Y:$Y,$A49,'MAIN DATA, Orders'!$D:$D,"Poland")/1000000000)</f>
        <v>4.4025031050489334</v>
      </c>
    </row>
    <row r="50" spans="1:3" x14ac:dyDescent="0.35">
      <c r="A50" s="215">
        <v>202208</v>
      </c>
      <c r="B50" s="216">
        <v>44774</v>
      </c>
      <c r="C50" s="217">
        <f>(SUMIFS('MAIN DATA, Orders'!$U:$U,'MAIN DATA, Orders'!$Y:$Y,$A50,'MAIN DATA, Orders'!$D:$D,"Poland")/1000000000)</f>
        <v>0</v>
      </c>
    </row>
    <row r="51" spans="1:3" x14ac:dyDescent="0.35">
      <c r="A51" s="215">
        <v>202209</v>
      </c>
      <c r="B51" s="216">
        <v>44805</v>
      </c>
      <c r="C51" s="217">
        <f>(SUMIFS('MAIN DATA, Orders'!$U:$U,'MAIN DATA, Orders'!$Y:$Y,$A51,'MAIN DATA, Orders'!$D:$D,"Poland")/1000000000)</f>
        <v>4.30485124896967</v>
      </c>
    </row>
    <row r="52" spans="1:3" x14ac:dyDescent="0.35">
      <c r="A52" s="215">
        <v>202210</v>
      </c>
      <c r="B52" s="216">
        <v>44835</v>
      </c>
      <c r="C52" s="217">
        <f>(SUMIFS('MAIN DATA, Orders'!$U:$U,'MAIN DATA, Orders'!$Y:$Y,$A52,'MAIN DATA, Orders'!$D:$D,"Poland")/1000000000)</f>
        <v>6.6001899335232679</v>
      </c>
    </row>
    <row r="53" spans="1:3" x14ac:dyDescent="0.35">
      <c r="A53" s="215">
        <v>202211</v>
      </c>
      <c r="B53" s="216">
        <v>44866</v>
      </c>
      <c r="C53" s="217">
        <f>(SUMIFS('MAIN DATA, Orders'!$U:$U,'MAIN DATA, Orders'!$Y:$Y,$A53,'MAIN DATA, Orders'!$D:$D,"Poland")/1000000000)</f>
        <v>0</v>
      </c>
    </row>
    <row r="54" spans="1:3" x14ac:dyDescent="0.35">
      <c r="A54" s="215">
        <v>202212</v>
      </c>
      <c r="B54" s="216">
        <v>44896</v>
      </c>
      <c r="C54" s="217">
        <f>(SUMIFS('MAIN DATA, Orders'!$U:$U,'MAIN DATA, Orders'!$Y:$Y,$A54,'MAIN DATA, Orders'!$D:$D,"Poland")/1000000000)</f>
        <v>0</v>
      </c>
    </row>
    <row r="55" spans="1:3" x14ac:dyDescent="0.35">
      <c r="A55" s="215">
        <v>202301</v>
      </c>
      <c r="B55" s="216">
        <v>44927</v>
      </c>
      <c r="C55" s="217">
        <f>(SUMIFS('MAIN DATA, Orders'!$U:$U,'MAIN DATA, Orders'!$Y:$Y,$A55,'MAIN DATA, Orders'!$D:$D,"Poland")/1000000000)</f>
        <v>1.2947378155923426</v>
      </c>
    </row>
    <row r="56" spans="1:3" x14ac:dyDescent="0.35">
      <c r="A56" s="215">
        <v>202302</v>
      </c>
      <c r="B56" s="216">
        <v>44958</v>
      </c>
      <c r="C56" s="217">
        <f>(SUMIFS('MAIN DATA, Orders'!$U:$U,'MAIN DATA, Orders'!$Y:$Y,$A56,'MAIN DATA, Orders'!$D:$D,"Poland")/1000000000)</f>
        <v>0.46477322765301632</v>
      </c>
    </row>
    <row r="57" spans="1:3" x14ac:dyDescent="0.35">
      <c r="A57" s="215">
        <v>202303</v>
      </c>
      <c r="B57" s="216">
        <v>44986</v>
      </c>
      <c r="C57" s="217">
        <f>(SUMIFS('MAIN DATA, Orders'!$U:$U,'MAIN DATA, Orders'!$Y:$Y,$A57,'MAIN DATA, Orders'!$D:$D,"Poland")/1000000000)</f>
        <v>0.242184059885513</v>
      </c>
    </row>
    <row r="58" spans="1:3" x14ac:dyDescent="0.35">
      <c r="A58" s="215">
        <v>202304</v>
      </c>
      <c r="B58" s="216">
        <v>45017</v>
      </c>
      <c r="C58" s="217">
        <f>(SUMIFS('MAIN DATA, Orders'!$U:$U,'MAIN DATA, Orders'!$Y:$Y,$A58,'MAIN DATA, Orders'!$D:$D,"Poland")/1000000000)</f>
        <v>0</v>
      </c>
    </row>
    <row r="59" spans="1:3" x14ac:dyDescent="0.35">
      <c r="A59" s="215">
        <v>202305</v>
      </c>
      <c r="B59" s="216">
        <v>45047</v>
      </c>
      <c r="C59" s="217">
        <f>(SUMIFS('MAIN DATA, Orders'!$U:$U,'MAIN DATA, Orders'!$Y:$Y,$A59,'MAIN DATA, Orders'!$D:$D,"Poland")/1000000000)</f>
        <v>0</v>
      </c>
    </row>
    <row r="60" spans="1:3" x14ac:dyDescent="0.35">
      <c r="A60" s="215">
        <v>202306</v>
      </c>
      <c r="B60" s="216">
        <v>45078</v>
      </c>
      <c r="C60" s="217">
        <f>(SUMIFS('MAIN DATA, Orders'!$U:$U,'MAIN DATA, Orders'!$Y:$Y,$A60,'MAIN DATA, Orders'!$D:$D,"Poland")/1000000000)</f>
        <v>0.11228533685601057</v>
      </c>
    </row>
    <row r="61" spans="1:3" x14ac:dyDescent="0.35">
      <c r="A61" s="215">
        <v>202307</v>
      </c>
      <c r="B61" s="216">
        <v>45108</v>
      </c>
      <c r="C61" s="217">
        <f>(SUMIFS('MAIN DATA, Orders'!$U:$U,'MAIN DATA, Orders'!$Y:$Y,$A61,'MAIN DATA, Orders'!$D:$D,"Poland")/1000000000)</f>
        <v>5.3463423656709523E-2</v>
      </c>
    </row>
    <row r="62" spans="1:3" x14ac:dyDescent="0.35">
      <c r="A62" s="215">
        <v>202308</v>
      </c>
      <c r="B62" s="216">
        <v>45139</v>
      </c>
      <c r="C62" s="217">
        <f>(SUMIFS('MAIN DATA, Orders'!$U:$U,'MAIN DATA, Orders'!$Y:$Y,$A62,'MAIN DATA, Orders'!$D:$D,"Poland")/1000000000)</f>
        <v>0.48436811977102601</v>
      </c>
    </row>
    <row r="63" spans="1:3" x14ac:dyDescent="0.35">
      <c r="A63" s="215">
        <v>202309</v>
      </c>
      <c r="B63" s="216">
        <v>45170</v>
      </c>
      <c r="C63" s="217">
        <f>(SUMIFS('MAIN DATA, Orders'!$U:$U,'MAIN DATA, Orders'!$Y:$Y,$A63,'MAIN DATA, Orders'!$D:$D,"Poland")/1000000000)</f>
        <v>1.8273888154997799</v>
      </c>
    </row>
    <row r="64" spans="1:3" x14ac:dyDescent="0.35">
      <c r="A64" s="215">
        <v>202310</v>
      </c>
      <c r="B64" s="216">
        <v>45200</v>
      </c>
      <c r="C64" s="217">
        <f>(SUMIFS('MAIN DATA, Orders'!$U:$U,'MAIN DATA, Orders'!$Y:$Y,$A64,'MAIN DATA, Orders'!$D:$D,"Poland")/1000000000)</f>
        <v>0</v>
      </c>
    </row>
    <row r="65" spans="1:3" x14ac:dyDescent="0.35">
      <c r="A65" s="215">
        <v>202311</v>
      </c>
      <c r="B65" s="216">
        <v>45231</v>
      </c>
      <c r="C65" s="217">
        <f>(SUMIFS('MAIN DATA, Orders'!$U:$U,'MAIN DATA, Orders'!$Y:$Y,$A65,'MAIN DATA, Orders'!$D:$D,"Poland")/1000000000)</f>
        <v>0</v>
      </c>
    </row>
    <row r="66" spans="1:3" x14ac:dyDescent="0.35">
      <c r="A66" s="215">
        <v>202312</v>
      </c>
      <c r="B66" s="216">
        <v>45261</v>
      </c>
      <c r="C66" s="217">
        <f>(SUMIFS('MAIN DATA, Orders'!$U:$U,'MAIN DATA, Orders'!$Y:$Y,$A66,'MAIN DATA, Orders'!$D:$D,"Poland")/1000000000)</f>
        <v>2.2016732716864817</v>
      </c>
    </row>
    <row r="67" spans="1:3" x14ac:dyDescent="0.35">
      <c r="A67" s="215">
        <v>202401</v>
      </c>
      <c r="B67" s="216">
        <v>45292</v>
      </c>
      <c r="C67" s="217">
        <f>(SUMIFS('MAIN DATA, Orders'!$U:$U,'MAIN DATA, Orders'!$Y:$Y,$A67,'MAIN DATA, Orders'!$D:$D,"Poland")/1000000000)</f>
        <v>0</v>
      </c>
    </row>
    <row r="68" spans="1:3" x14ac:dyDescent="0.35">
      <c r="A68" s="215">
        <v>202402</v>
      </c>
      <c r="B68" s="216">
        <v>45323</v>
      </c>
      <c r="C68" s="217">
        <f>(SUMIFS('MAIN DATA, Orders'!$U:$U,'MAIN DATA, Orders'!$Y:$Y,$A68,'MAIN DATA, Orders'!$D:$D,"Poland")/1000000000)</f>
        <v>2.4070718376838651</v>
      </c>
    </row>
    <row r="69" spans="1:3" x14ac:dyDescent="0.35">
      <c r="A69" s="215">
        <v>202403</v>
      </c>
      <c r="B69" s="216">
        <v>45352</v>
      </c>
      <c r="C69" s="217">
        <f>(SUMIFS('MAIN DATA, Orders'!$U:$U,'MAIN DATA, Orders'!$Y:$Y,$A69,'MAIN DATA, Orders'!$D:$D,"Poland")/1000000000)</f>
        <v>1.5095917135027175</v>
      </c>
    </row>
    <row r="70" spans="1:3" x14ac:dyDescent="0.35">
      <c r="A70" s="215">
        <v>202404</v>
      </c>
      <c r="B70" s="216">
        <v>45383</v>
      </c>
      <c r="C70" s="217">
        <f>(SUMIFS('MAIN DATA, Orders'!$U:$U,'MAIN DATA, Orders'!$Y:$Y,$A70,'MAIN DATA, Orders'!$D:$D,"Poland")/1000000000)</f>
        <v>1.4915739051782437</v>
      </c>
    </row>
    <row r="71" spans="1:3" x14ac:dyDescent="0.35">
      <c r="A71" s="215">
        <v>202405</v>
      </c>
      <c r="B71" s="216">
        <v>45413</v>
      </c>
      <c r="C71" s="217">
        <f>(SUMIFS('MAIN DATA, Orders'!$U:$U,'MAIN DATA, Orders'!$Y:$Y,$A71,'MAIN DATA, Orders'!$D:$D,"Poland")/1000000000)</f>
        <v>1.5659645232815964</v>
      </c>
    </row>
    <row r="72" spans="1:3" x14ac:dyDescent="0.35">
      <c r="A72" s="215">
        <v>202406</v>
      </c>
      <c r="B72" s="216">
        <v>45444</v>
      </c>
      <c r="C72" s="217">
        <f>(SUMIFS('MAIN DATA, Orders'!$U:$U,'MAIN DATA, Orders'!$Y:$Y,$A72,'MAIN DATA, Orders'!$D:$D,"Poland")/1000000000)</f>
        <v>0</v>
      </c>
    </row>
    <row r="73" spans="1:3" x14ac:dyDescent="0.35">
      <c r="A73" s="215">
        <v>202407</v>
      </c>
      <c r="B73" s="216">
        <v>45474</v>
      </c>
      <c r="C73" s="217">
        <f>(SUMIFS('MAIN DATA, Orders'!$U:$U,'MAIN DATA, Orders'!$Y:$Y,$A73,'MAIN DATA, Orders'!$D:$D,"Poland")/1000000000)</f>
        <v>0.92897951600167228</v>
      </c>
    </row>
    <row r="74" spans="1:3" x14ac:dyDescent="0.35">
      <c r="A74" s="215">
        <v>202408</v>
      </c>
      <c r="B74" s="216">
        <v>45505</v>
      </c>
      <c r="C74" s="217">
        <f>(SUMIFS('MAIN DATA, Orders'!$U:$U,'MAIN DATA, Orders'!$Y:$Y,$A74,'MAIN DATA, Orders'!$D:$D,"Poland")/1000000000)</f>
        <v>10.732063322896561</v>
      </c>
    </row>
    <row r="75" spans="1:3" x14ac:dyDescent="0.35">
      <c r="A75" s="215">
        <v>202409</v>
      </c>
      <c r="B75" s="216">
        <v>45536</v>
      </c>
      <c r="C75" s="217">
        <f>(SUMIFS('MAIN DATA, Orders'!$U:$U,'MAIN DATA, Orders'!$Y:$Y,$A75,'MAIN DATA, Orders'!$D:$D,"Poland")/1000000000)</f>
        <v>1.5490733429327885E-2</v>
      </c>
    </row>
    <row r="76" spans="1:3" x14ac:dyDescent="0.35">
      <c r="A76" s="215">
        <v>202410</v>
      </c>
      <c r="B76" s="216">
        <v>45566</v>
      </c>
      <c r="C76" s="217">
        <f>(SUMIFS('MAIN DATA, Orders'!$U:$U,'MAIN DATA, Orders'!$Y:$Y,$A76,'MAIN DATA, Orders'!$D:$D,"Poland")/1000000000)</f>
        <v>0</v>
      </c>
    </row>
    <row r="77" spans="1:3" x14ac:dyDescent="0.35">
      <c r="A77" s="215">
        <v>202411</v>
      </c>
      <c r="B77" s="216">
        <v>45597</v>
      </c>
      <c r="C77" s="217">
        <f>(SUMIFS('MAIN DATA, Orders'!$U:$U,'MAIN DATA, Orders'!$Y:$Y,$A77,'MAIN DATA, Orders'!$D:$D,"Poland")/1000000000)</f>
        <v>0.48682058374175302</v>
      </c>
    </row>
    <row r="78" spans="1:3" x14ac:dyDescent="0.35">
      <c r="A78" s="215">
        <v>202412</v>
      </c>
      <c r="B78" s="216">
        <v>45627</v>
      </c>
      <c r="C78" s="217">
        <f>(SUMIFS('MAIN DATA, Orders'!$U:$U,'MAIN DATA, Orders'!$Y:$Y,$A78,'MAIN DATA, Orders'!$D:$D,"Poland")/1000000000)</f>
        <v>5.9666509498815552</v>
      </c>
    </row>
    <row r="79" spans="1:3" x14ac:dyDescent="0.35">
      <c r="A79" s="215">
        <v>202501</v>
      </c>
      <c r="B79" s="216">
        <v>45658</v>
      </c>
      <c r="C79" s="217">
        <f>(SUMIFS('MAIN DATA, Orders'!$U:$U,'MAIN DATA, Orders'!$Y:$Y,$A79,'MAIN DATA, Orders'!$D:$D,"Poland")/1000000000)</f>
        <v>0.65929203539823023</v>
      </c>
    </row>
    <row r="80" spans="1:3" x14ac:dyDescent="0.35">
      <c r="A80" s="215">
        <v>202502</v>
      </c>
      <c r="B80" s="216">
        <v>45689</v>
      </c>
      <c r="C80" s="217">
        <f>(SUMIFS('MAIN DATA, Orders'!$U:$U,'MAIN DATA, Orders'!$Y:$Y,$A80,'MAIN DATA, Orders'!$D:$D,"Poland")/1000000000)</f>
        <v>0.26548672566371684</v>
      </c>
    </row>
    <row r="81" spans="1:3" x14ac:dyDescent="0.35">
      <c r="A81" s="215">
        <v>202503</v>
      </c>
      <c r="B81" s="216">
        <v>45717</v>
      </c>
      <c r="C81" s="217">
        <f>(SUMIFS('MAIN DATA, Orders'!$U:$U,'MAIN DATA, Orders'!$Y:$Y,$A81,'MAIN DATA, Orders'!$D:$D,"Poland")/1000000000)</f>
        <v>3.3313427377667608</v>
      </c>
    </row>
    <row r="82" spans="1:3" x14ac:dyDescent="0.35">
      <c r="A82" s="215">
        <v>202504</v>
      </c>
      <c r="B82" s="216">
        <v>45748</v>
      </c>
      <c r="C82" s="217">
        <f>(SUMIFS('MAIN DATA, Orders'!$U:$U,'MAIN DATA, Orders'!$Y:$Y,$A82,'MAIN DATA, Orders'!$D:$D,"Poland")/1000000000)</f>
        <v>0</v>
      </c>
    </row>
    <row r="83" spans="1:3" x14ac:dyDescent="0.35">
      <c r="A83" s="215">
        <v>202505</v>
      </c>
      <c r="B83" s="216">
        <v>45778</v>
      </c>
      <c r="C83" s="217">
        <f>(SUMIFS('MAIN DATA, Orders'!$U:$U,'MAIN DATA, Orders'!$Y:$Y,$A83,'MAIN DATA, Orders'!$D:$D,"Poland")/1000000000)</f>
        <v>0.20284454088732692</v>
      </c>
    </row>
    <row r="84" spans="1:3" x14ac:dyDescent="0.35">
      <c r="A84" s="215">
        <v>202506</v>
      </c>
      <c r="B84" s="216">
        <v>45809</v>
      </c>
      <c r="C84" s="217">
        <f>(SUMIFS('MAIN DATA, Orders'!$U:$U,'MAIN DATA, Orders'!$Y:$Y,$A84,'MAIN DATA, Orders'!$D:$D,"Poland")/1000000000)</f>
        <v>5.8966436304455506E-2</v>
      </c>
    </row>
    <row r="85" spans="1:3" x14ac:dyDescent="0.35">
      <c r="A85" s="215">
        <v>202507</v>
      </c>
      <c r="B85" s="216">
        <v>45839</v>
      </c>
      <c r="C85" s="217">
        <f>(SUMIFS('MAIN DATA, Orders'!$U:$U,'MAIN DATA, Orders'!$Y:$Y,$A85,'MAIN DATA, Orders'!$D:$D,"Poland")/1000000000)</f>
        <v>0.10648722640878124</v>
      </c>
    </row>
    <row r="86" spans="1:3" x14ac:dyDescent="0.35">
      <c r="A86" s="215">
        <v>202508</v>
      </c>
      <c r="B86" s="216">
        <v>45870</v>
      </c>
      <c r="C86" s="217">
        <f>(SUMIFS('MAIN DATA, Orders'!$U:$U,'MAIN DATA, Orders'!$Y:$Y,$A86,'MAIN DATA, Orders'!$D:$D,"Poland")/1000000000)</f>
        <v>9.1150442477876101</v>
      </c>
    </row>
    <row r="87" spans="1:3" x14ac:dyDescent="0.35">
      <c r="A87" s="215">
        <v>202509</v>
      </c>
      <c r="B87" s="216">
        <v>45901</v>
      </c>
      <c r="C87" s="217">
        <f>(SUMIFS('MAIN DATA, Orders'!$U:$U,'MAIN DATA, Orders'!$Y:$Y,$A87,'MAIN DATA, Orders'!$D:$D,"Poland")/1000000000)</f>
        <v>1.4128358138547539</v>
      </c>
    </row>
    <row r="88" spans="1:3" x14ac:dyDescent="0.35">
      <c r="A88" s="215">
        <v>202510</v>
      </c>
      <c r="B88" s="216">
        <v>45931</v>
      </c>
      <c r="C88" s="217">
        <f>(SUMIFS('MAIN DATA, Orders'!$U:$U,'MAIN DATA, Orders'!$Y:$Y,$A88,'MAIN DATA, Orders'!$D:$D,"Poland")/1000000000)</f>
        <v>4.7173149043564404</v>
      </c>
    </row>
    <row r="89" spans="1:3" x14ac:dyDescent="0.35">
      <c r="A89" s="215">
        <v>202511</v>
      </c>
      <c r="B89" s="216">
        <v>45962</v>
      </c>
      <c r="C89" s="217">
        <f>(SUMIFS('MAIN DATA, Orders'!$U:$U,'MAIN DATA, Orders'!$Y:$Y,$A89,'MAIN DATA, Orders'!$D:$D,"Poland")/1000000000)</f>
        <v>2.8011353282844151</v>
      </c>
    </row>
    <row r="90" spans="1:3" x14ac:dyDescent="0.35">
      <c r="A90" s="215">
        <v>202512</v>
      </c>
      <c r="B90" s="216">
        <v>45992</v>
      </c>
      <c r="C90" s="217">
        <f>(SUMIFS('MAIN DATA, Orders'!$U:$U,'MAIN DATA, Orders'!$Y:$Y,$A90,'MAIN DATA, Orders'!$D:$D,"Poland")/1000000000)</f>
        <v>3.3257070075712907</v>
      </c>
    </row>
    <row r="91" spans="1:3" x14ac:dyDescent="0.35">
      <c r="A91" s="215">
        <v>202601</v>
      </c>
      <c r="B91" s="216">
        <v>46023</v>
      </c>
      <c r="C91" s="217">
        <f>(SUMIFS('MAIN DATA, Orders'!$U:$U,'MAIN DATA, Orders'!$Y:$Y,$A91,'MAIN DATA, Orders'!$D:$D,"Poland")/1000000000)</f>
        <v>3.5606618083414441</v>
      </c>
    </row>
    <row r="92" spans="1:3" x14ac:dyDescent="0.35">
      <c r="B92" s="223"/>
      <c r="C92" s="223"/>
    </row>
    <row r="93" spans="1:3" x14ac:dyDescent="0.35">
      <c r="B93" s="224" t="s">
        <v>4219</v>
      </c>
      <c r="C93" s="225">
        <f>SUM(C7:C91)</f>
        <v>90.868990043747658</v>
      </c>
    </row>
  </sheetData>
  <mergeCells count="1">
    <mergeCell ref="B4:J4"/>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2BC11-3429-41E7-8C9D-C0303AAD6344}">
  <sheetPr>
    <tabColor rgb="FFB5E6A2"/>
  </sheetPr>
  <dimension ref="A2:J94"/>
  <sheetViews>
    <sheetView zoomScaleNormal="100" workbookViewId="0"/>
  </sheetViews>
  <sheetFormatPr baseColWidth="10" defaultColWidth="8.75" defaultRowHeight="15.5" x14ac:dyDescent="0.35"/>
  <cols>
    <col min="1" max="1" width="8.75" style="1"/>
    <col min="2" max="2" width="13.5" style="1" customWidth="1"/>
    <col min="3" max="3" width="27.08203125" style="1" bestFit="1" customWidth="1"/>
    <col min="4" max="4" width="8.75" style="1"/>
    <col min="5" max="5" width="23.33203125" style="1" bestFit="1" customWidth="1"/>
    <col min="6" max="6" width="21" style="1" bestFit="1" customWidth="1"/>
    <col min="7" max="16384" width="8.75" style="1"/>
  </cols>
  <sheetData>
    <row r="2" spans="1:10" ht="25.9" customHeight="1" x14ac:dyDescent="0.7">
      <c r="B2" s="16" t="s">
        <v>5657</v>
      </c>
    </row>
    <row r="4" spans="1:10" ht="130.15" customHeight="1" x14ac:dyDescent="0.35">
      <c r="B4" s="233" t="s">
        <v>5214</v>
      </c>
      <c r="C4" s="233"/>
      <c r="D4" s="233"/>
      <c r="E4" s="233"/>
      <c r="F4" s="233"/>
      <c r="G4" s="233"/>
      <c r="H4" s="233"/>
      <c r="I4" s="233"/>
      <c r="J4" s="233"/>
    </row>
    <row r="6" spans="1:10" ht="21" customHeight="1" x14ac:dyDescent="0.35">
      <c r="B6" s="68" t="s">
        <v>4197</v>
      </c>
      <c r="C6" s="69" t="s">
        <v>5189</v>
      </c>
      <c r="D6" s="2"/>
      <c r="E6" s="68" t="s">
        <v>5191</v>
      </c>
      <c r="F6" s="69" t="s">
        <v>5189</v>
      </c>
    </row>
    <row r="7" spans="1:10" x14ac:dyDescent="0.35">
      <c r="A7" s="215">
        <v>201901</v>
      </c>
      <c r="B7" s="17">
        <v>43466</v>
      </c>
      <c r="C7" s="15">
        <f>(SUMIFS('MAIN DATA, Orders'!$U:$U,'MAIN DATA, Orders'!$Y:$Y,A7,'MAIN DATA, Orders'!$D:$D,"Poland")/1000000000)</f>
        <v>0.15901898734177214</v>
      </c>
      <c r="D7" s="3"/>
      <c r="E7" s="83" t="s">
        <v>5215</v>
      </c>
      <c r="F7" s="19">
        <f>SUM(C7:C32)</f>
        <v>6.7876790598402064</v>
      </c>
    </row>
    <row r="8" spans="1:10" x14ac:dyDescent="0.35">
      <c r="A8" s="215">
        <v>201902</v>
      </c>
      <c r="B8" s="17">
        <v>43497</v>
      </c>
      <c r="C8" s="15">
        <f>(SUMIFS('MAIN DATA, Orders'!$U:$U,'MAIN DATA, Orders'!$Y:$Y,A8,'MAIN DATA, Orders'!$D:$D,"Poland")/1000000000)</f>
        <v>1.0678719857185472</v>
      </c>
      <c r="D8" s="3"/>
      <c r="E8" s="83" t="s">
        <v>5193</v>
      </c>
      <c r="F8" s="19">
        <f>SUM(C33:C44)</f>
        <v>6.1511843199964407</v>
      </c>
    </row>
    <row r="9" spans="1:10" x14ac:dyDescent="0.35">
      <c r="A9" s="215">
        <v>201903</v>
      </c>
      <c r="B9" s="17">
        <v>43525</v>
      </c>
      <c r="C9" s="15">
        <f>(SUMIFS('MAIN DATA, Orders'!$U:$U,'MAIN DATA, Orders'!$Y:$Y,A9,'MAIN DATA, Orders'!$D:$D,"Poland")/1000000000)</f>
        <v>0.16864389426656737</v>
      </c>
      <c r="D9" s="3"/>
      <c r="E9" s="83" t="s">
        <v>5194</v>
      </c>
      <c r="F9" s="19">
        <f>SUM(C45:C56)</f>
        <v>18.34743773833295</v>
      </c>
    </row>
    <row r="10" spans="1:10" x14ac:dyDescent="0.35">
      <c r="A10" s="215">
        <v>201904</v>
      </c>
      <c r="B10" s="17">
        <v>43556</v>
      </c>
      <c r="C10" s="15">
        <f>(SUMIFS('MAIN DATA, Orders'!$U:$U,'MAIN DATA, Orders'!$Y:$Y,A10,'MAIN DATA, Orders'!$D:$D,"Poland")/1000000000)</f>
        <v>0.4760523899385703</v>
      </c>
      <c r="D10" s="3"/>
      <c r="E10" s="83" t="s">
        <v>5195</v>
      </c>
      <c r="F10" s="19">
        <f>SUM(C57:C68)</f>
        <v>7.3284348650393856</v>
      </c>
    </row>
    <row r="11" spans="1:10" x14ac:dyDescent="0.35">
      <c r="A11" s="215">
        <v>201905</v>
      </c>
      <c r="B11" s="17">
        <v>43586</v>
      </c>
      <c r="C11" s="15">
        <f>(SUMIFS('MAIN DATA, Orders'!$U:$U,'MAIN DATA, Orders'!$Y:$Y,A11,'MAIN DATA, Orders'!$D:$D,"Poland")/1000000000)</f>
        <v>3.9768344657483246E-2</v>
      </c>
      <c r="D11" s="3"/>
      <c r="E11" s="83" t="s">
        <v>5196</v>
      </c>
      <c r="F11" s="19">
        <f>SUM(C69:C80)</f>
        <v>23.621914008975374</v>
      </c>
    </row>
    <row r="12" spans="1:10" x14ac:dyDescent="0.35">
      <c r="A12" s="215">
        <v>201906</v>
      </c>
      <c r="B12" s="17">
        <v>43617</v>
      </c>
      <c r="C12" s="15">
        <f>(SUMIFS('MAIN DATA, Orders'!$U:$U,'MAIN DATA, Orders'!$Y:$Y,A12,'MAIN DATA, Orders'!$D:$D,"Poland")/1000000000)</f>
        <v>0</v>
      </c>
      <c r="D12" s="3"/>
      <c r="E12" s="65" t="s">
        <v>5197</v>
      </c>
      <c r="F12" s="64">
        <f>SUM(C81:C92)</f>
        <v>28.632340051563276</v>
      </c>
    </row>
    <row r="13" spans="1:10" x14ac:dyDescent="0.35">
      <c r="A13" s="215">
        <v>201907</v>
      </c>
      <c r="B13" s="17">
        <v>43647</v>
      </c>
      <c r="C13" s="15">
        <f>(SUMIFS('MAIN DATA, Orders'!$U:$U,'MAIN DATA, Orders'!$Y:$Y,A13,'MAIN DATA, Orders'!$D:$D,"Poland")/1000000000)</f>
        <v>0.42042768056589719</v>
      </c>
      <c r="D13" s="3"/>
    </row>
    <row r="14" spans="1:10" x14ac:dyDescent="0.35">
      <c r="A14" s="215">
        <v>201908</v>
      </c>
      <c r="B14" s="17">
        <v>43678</v>
      </c>
      <c r="C14" s="15">
        <f>(SUMIFS('MAIN DATA, Orders'!$U:$U,'MAIN DATA, Orders'!$Y:$Y,A14,'MAIN DATA, Orders'!$D:$D,"Poland")/1000000000)</f>
        <v>0</v>
      </c>
      <c r="D14" s="3"/>
    </row>
    <row r="15" spans="1:10" x14ac:dyDescent="0.35">
      <c r="A15" s="215">
        <v>201909</v>
      </c>
      <c r="B15" s="17">
        <v>43709</v>
      </c>
      <c r="C15" s="15">
        <f>(SUMIFS('MAIN DATA, Orders'!$U:$U,'MAIN DATA, Orders'!$Y:$Y,A15,'MAIN DATA, Orders'!$D:$D,"Poland")/1000000000)</f>
        <v>2.896965748324646E-2</v>
      </c>
      <c r="D15" s="3"/>
    </row>
    <row r="16" spans="1:10" x14ac:dyDescent="0.35">
      <c r="A16" s="215">
        <v>201910</v>
      </c>
      <c r="B16" s="17">
        <v>43739</v>
      </c>
      <c r="C16" s="15">
        <f>(SUMIFS('MAIN DATA, Orders'!$U:$U,'MAIN DATA, Orders'!$Y:$Y,A16,'MAIN DATA, Orders'!$D:$D,"Poland")/1000000000)</f>
        <v>6.4105547282204023E-2</v>
      </c>
      <c r="D16" s="3"/>
    </row>
    <row r="17" spans="1:3" x14ac:dyDescent="0.35">
      <c r="A17" s="215">
        <v>201911</v>
      </c>
      <c r="B17" s="17">
        <v>43770</v>
      </c>
      <c r="C17" s="15">
        <f>(SUMIFS('MAIN DATA, Orders'!$U:$U,'MAIN DATA, Orders'!$Y:$Y,A17,'MAIN DATA, Orders'!$D:$D,"Poland")/1000000000)</f>
        <v>0.10005584512285927</v>
      </c>
    </row>
    <row r="18" spans="1:3" x14ac:dyDescent="0.35">
      <c r="A18" s="215">
        <v>201912</v>
      </c>
      <c r="B18" s="17">
        <v>43800</v>
      </c>
      <c r="C18" s="15">
        <f>(SUMIFS('MAIN DATA, Orders'!$U:$U,'MAIN DATA, Orders'!$Y:$Y,A18,'MAIN DATA, Orders'!$D:$D,"Poland")/1000000000)</f>
        <v>0</v>
      </c>
    </row>
    <row r="19" spans="1:3" x14ac:dyDescent="0.35">
      <c r="A19" s="215">
        <v>202001</v>
      </c>
      <c r="B19" s="17">
        <v>43831</v>
      </c>
      <c r="C19" s="15">
        <f>(SUMIFS('MAIN DATA, Orders'!$U:$U,'MAIN DATA, Orders'!$Y:$Y,A19,'MAIN DATA, Orders'!$D:$D,"Poland")/1000000000)</f>
        <v>4.0273157065312555</v>
      </c>
    </row>
    <row r="20" spans="1:3" x14ac:dyDescent="0.35">
      <c r="A20" s="215">
        <v>202002</v>
      </c>
      <c r="B20" s="17">
        <v>43862</v>
      </c>
      <c r="C20" s="15">
        <f>(SUMIFS('MAIN DATA, Orders'!$U:$U,'MAIN DATA, Orders'!$Y:$Y,A20,'MAIN DATA, Orders'!$D:$D,"Poland")/1000000000)</f>
        <v>0</v>
      </c>
    </row>
    <row r="21" spans="1:3" x14ac:dyDescent="0.35">
      <c r="A21" s="215">
        <v>202003</v>
      </c>
      <c r="B21" s="17">
        <v>43891</v>
      </c>
      <c r="C21" s="15">
        <f>(SUMIFS('MAIN DATA, Orders'!$U:$U,'MAIN DATA, Orders'!$Y:$Y,A21,'MAIN DATA, Orders'!$D:$D,"Poland")/1000000000)</f>
        <v>0</v>
      </c>
    </row>
    <row r="22" spans="1:3" x14ac:dyDescent="0.35">
      <c r="A22" s="215">
        <v>202004</v>
      </c>
      <c r="B22" s="17">
        <v>43922</v>
      </c>
      <c r="C22" s="15">
        <f>(SUMIFS('MAIN DATA, Orders'!$U:$U,'MAIN DATA, Orders'!$Y:$Y,A22,'MAIN DATA, Orders'!$D:$D,"Poland")/1000000000)</f>
        <v>0</v>
      </c>
    </row>
    <row r="23" spans="1:3" x14ac:dyDescent="0.35">
      <c r="A23" s="215">
        <v>202005</v>
      </c>
      <c r="B23" s="17">
        <v>43952</v>
      </c>
      <c r="C23" s="15">
        <f>(SUMIFS('MAIN DATA, Orders'!$U:$U,'MAIN DATA, Orders'!$Y:$Y,A23,'MAIN DATA, Orders'!$D:$D,"Poland")/1000000000)</f>
        <v>0.15824893090254333</v>
      </c>
    </row>
    <row r="24" spans="1:3" x14ac:dyDescent="0.35">
      <c r="A24" s="215">
        <v>202006</v>
      </c>
      <c r="B24" s="17">
        <v>43983</v>
      </c>
      <c r="C24" s="15">
        <f>(SUMIFS('MAIN DATA, Orders'!$U:$U,'MAIN DATA, Orders'!$Y:$Y,A24,'MAIN DATA, Orders'!$D:$D,"Poland")/1000000000)</f>
        <v>0</v>
      </c>
    </row>
    <row r="25" spans="1:3" x14ac:dyDescent="0.35">
      <c r="A25" s="215">
        <v>202007</v>
      </c>
      <c r="B25" s="17">
        <v>44013</v>
      </c>
      <c r="C25" s="15">
        <f>(SUMIFS('MAIN DATA, Orders'!$U:$U,'MAIN DATA, Orders'!$Y:$Y,A25,'MAIN DATA, Orders'!$D:$D,"Poland")/1000000000)</f>
        <v>3.9837947332883192E-2</v>
      </c>
    </row>
    <row r="26" spans="1:3" x14ac:dyDescent="0.35">
      <c r="A26" s="215">
        <v>202008</v>
      </c>
      <c r="B26" s="17">
        <v>44044</v>
      </c>
      <c r="C26" s="15">
        <f>(SUMIFS('MAIN DATA, Orders'!$U:$U,'MAIN DATA, Orders'!$Y:$Y,A26,'MAIN DATA, Orders'!$D:$D,"Poland")/1000000000)</f>
        <v>0</v>
      </c>
    </row>
    <row r="27" spans="1:3" x14ac:dyDescent="0.35">
      <c r="A27" s="215">
        <v>202009</v>
      </c>
      <c r="B27" s="17">
        <v>44075</v>
      </c>
      <c r="C27" s="15">
        <f>(SUMIFS('MAIN DATA, Orders'!$U:$U,'MAIN DATA, Orders'!$Y:$Y,A27,'MAIN DATA, Orders'!$D:$D,"Poland")/1000000000)</f>
        <v>0</v>
      </c>
    </row>
    <row r="28" spans="1:3" x14ac:dyDescent="0.35">
      <c r="A28" s="215">
        <v>202010</v>
      </c>
      <c r="B28" s="17">
        <v>44105</v>
      </c>
      <c r="C28" s="15">
        <f>(SUMIFS('MAIN DATA, Orders'!$U:$U,'MAIN DATA, Orders'!$Y:$Y,A28,'MAIN DATA, Orders'!$D:$D,"Poland")/1000000000)</f>
        <v>3.7362142696376326E-2</v>
      </c>
    </row>
    <row r="29" spans="1:3" x14ac:dyDescent="0.35">
      <c r="A29" s="215">
        <v>202011</v>
      </c>
      <c r="B29" s="17">
        <v>44136</v>
      </c>
      <c r="C29" s="15">
        <f>(SUMIFS('MAIN DATA, Orders'!$U:$U,'MAIN DATA, Orders'!$Y:$Y,A29,'MAIN DATA, Orders'!$D:$D,"Poland")/1000000000)</f>
        <v>0</v>
      </c>
    </row>
    <row r="30" spans="1:3" x14ac:dyDescent="0.35">
      <c r="A30" s="215">
        <v>202012</v>
      </c>
      <c r="B30" s="17">
        <v>44166</v>
      </c>
      <c r="C30" s="15">
        <f>(SUMIFS('MAIN DATA, Orders'!$U:$U,'MAIN DATA, Orders'!$Y:$Y,A30,'MAIN DATA, Orders'!$D:$D,"Poland")/1000000000)</f>
        <v>0</v>
      </c>
    </row>
    <row r="31" spans="1:3" x14ac:dyDescent="0.35">
      <c r="A31" s="215">
        <v>202101</v>
      </c>
      <c r="B31" s="17">
        <v>44197</v>
      </c>
      <c r="C31" s="15">
        <f>(SUMIFS('MAIN DATA, Orders'!$U:$U,'MAIN DATA, Orders'!$Y:$Y,A31,'MAIN DATA, Orders'!$D:$D,"Poland")/1000000000)</f>
        <v>0</v>
      </c>
    </row>
    <row r="32" spans="1:3" x14ac:dyDescent="0.35">
      <c r="A32" s="215">
        <v>202102</v>
      </c>
      <c r="B32" s="17">
        <v>44228</v>
      </c>
      <c r="C32" s="15">
        <f>(SUMIFS('MAIN DATA, Orders'!$U:$U,'MAIN DATA, Orders'!$Y:$Y,A32,'MAIN DATA, Orders'!$D:$D,"Poland")/1000000000)</f>
        <v>0</v>
      </c>
    </row>
    <row r="33" spans="1:3" x14ac:dyDescent="0.35">
      <c r="A33" s="215">
        <v>202103</v>
      </c>
      <c r="B33" s="17">
        <v>44256</v>
      </c>
      <c r="C33" s="15">
        <f>(SUMIFS('MAIN DATA, Orders'!$U:$U,'MAIN DATA, Orders'!$Y:$Y,A33,'MAIN DATA, Orders'!$D:$D,"Poland")/1000000000)</f>
        <v>0</v>
      </c>
    </row>
    <row r="34" spans="1:3" x14ac:dyDescent="0.35">
      <c r="A34" s="215">
        <v>202104</v>
      </c>
      <c r="B34" s="17">
        <v>44287</v>
      </c>
      <c r="C34" s="15">
        <f>(SUMIFS('MAIN DATA, Orders'!$U:$U,'MAIN DATA, Orders'!$Y:$Y,A34,'MAIN DATA, Orders'!$D:$D,"Poland")/1000000000)</f>
        <v>7.7105055638307191E-2</v>
      </c>
    </row>
    <row r="35" spans="1:3" x14ac:dyDescent="0.35">
      <c r="A35" s="215">
        <v>202105</v>
      </c>
      <c r="B35" s="17">
        <v>44317</v>
      </c>
      <c r="C35" s="15">
        <f>(SUMIFS('MAIN DATA, Orders'!$U:$U,'MAIN DATA, Orders'!$Y:$Y,A35,'MAIN DATA, Orders'!$D:$D,"Poland")/1000000000)</f>
        <v>0.26734316454846485</v>
      </c>
    </row>
    <row r="36" spans="1:3" x14ac:dyDescent="0.35">
      <c r="A36" s="215">
        <v>202106</v>
      </c>
      <c r="B36" s="17">
        <v>44348</v>
      </c>
      <c r="C36" s="15">
        <f>(SUMIFS('MAIN DATA, Orders'!$U:$U,'MAIN DATA, Orders'!$Y:$Y,A36,'MAIN DATA, Orders'!$D:$D,"Poland")/1000000000)</f>
        <v>0</v>
      </c>
    </row>
    <row r="37" spans="1:3" x14ac:dyDescent="0.35">
      <c r="A37" s="215">
        <v>202107</v>
      </c>
      <c r="B37" s="17">
        <v>44378</v>
      </c>
      <c r="C37" s="15">
        <f>(SUMIFS('MAIN DATA, Orders'!$U:$U,'MAIN DATA, Orders'!$Y:$Y,A37,'MAIN DATA, Orders'!$D:$D,"Poland")/1000000000)</f>
        <v>5.7686216688975511</v>
      </c>
    </row>
    <row r="38" spans="1:3" x14ac:dyDescent="0.35">
      <c r="A38" s="215">
        <v>202108</v>
      </c>
      <c r="B38" s="17">
        <v>44409</v>
      </c>
      <c r="C38" s="15">
        <f>(SUMIFS('MAIN DATA, Orders'!$U:$U,'MAIN DATA, Orders'!$Y:$Y,A38,'MAIN DATA, Orders'!$D:$D,"Poland")/1000000000)</f>
        <v>0</v>
      </c>
    </row>
    <row r="39" spans="1:3" x14ac:dyDescent="0.35">
      <c r="A39" s="215">
        <v>202109</v>
      </c>
      <c r="B39" s="17">
        <v>44440</v>
      </c>
      <c r="C39" s="15">
        <f>(SUMIFS('MAIN DATA, Orders'!$U:$U,'MAIN DATA, Orders'!$Y:$Y,A39,'MAIN DATA, Orders'!$D:$D,"Poland")/1000000000)</f>
        <v>0</v>
      </c>
    </row>
    <row r="40" spans="1:3" x14ac:dyDescent="0.35">
      <c r="A40" s="215">
        <v>202110</v>
      </c>
      <c r="B40" s="17">
        <v>44470</v>
      </c>
      <c r="C40" s="15">
        <f>(SUMIFS('MAIN DATA, Orders'!$U:$U,'MAIN DATA, Orders'!$Y:$Y,A40,'MAIN DATA, Orders'!$D:$D,"Poland")/1000000000)</f>
        <v>0</v>
      </c>
    </row>
    <row r="41" spans="1:3" x14ac:dyDescent="0.35">
      <c r="A41" s="215">
        <v>202111</v>
      </c>
      <c r="B41" s="17">
        <v>44501</v>
      </c>
      <c r="C41" s="15">
        <f>(SUMIFS('MAIN DATA, Orders'!$U:$U,'MAIN DATA, Orders'!$Y:$Y,A41,'MAIN DATA, Orders'!$D:$D,"Poland")/1000000000)</f>
        <v>0</v>
      </c>
    </row>
    <row r="42" spans="1:3" x14ac:dyDescent="0.35">
      <c r="A42" s="215">
        <v>202112</v>
      </c>
      <c r="B42" s="17">
        <v>44531</v>
      </c>
      <c r="C42" s="15">
        <f>(SUMIFS('MAIN DATA, Orders'!$U:$U,'MAIN DATA, Orders'!$Y:$Y,A42,'MAIN DATA, Orders'!$D:$D,"Poland")/1000000000)</f>
        <v>3.8114430912117761E-2</v>
      </c>
    </row>
    <row r="43" spans="1:3" x14ac:dyDescent="0.35">
      <c r="A43" s="215">
        <v>202201</v>
      </c>
      <c r="B43" s="17">
        <v>44562</v>
      </c>
      <c r="C43" s="15">
        <f>(SUMIFS('MAIN DATA, Orders'!$U:$U,'MAIN DATA, Orders'!$Y:$Y,A43,'MAIN DATA, Orders'!$D:$D,"Poland")/1000000000)</f>
        <v>0</v>
      </c>
    </row>
    <row r="44" spans="1:3" x14ac:dyDescent="0.35">
      <c r="A44" s="215">
        <v>202202</v>
      </c>
      <c r="B44" s="17">
        <v>44593</v>
      </c>
      <c r="C44" s="15">
        <f>(SUMIFS('MAIN DATA, Orders'!$U:$U,'MAIN DATA, Orders'!$Y:$Y,A44,'MAIN DATA, Orders'!$D:$D,"Poland")/1000000000)</f>
        <v>0</v>
      </c>
    </row>
    <row r="45" spans="1:3" x14ac:dyDescent="0.35">
      <c r="A45" s="215">
        <v>202203</v>
      </c>
      <c r="B45" s="17">
        <v>44621</v>
      </c>
      <c r="C45" s="15">
        <f>(SUMIFS('MAIN DATA, Orders'!$U:$U,'MAIN DATA, Orders'!$Y:$Y,A45,'MAIN DATA, Orders'!$D:$D,"Poland")/1000000000)</f>
        <v>0</v>
      </c>
    </row>
    <row r="46" spans="1:3" x14ac:dyDescent="0.35">
      <c r="A46" s="215">
        <v>202204</v>
      </c>
      <c r="B46" s="17">
        <v>44652</v>
      </c>
      <c r="C46" s="15">
        <f>(SUMIFS('MAIN DATA, Orders'!$U:$U,'MAIN DATA, Orders'!$Y:$Y,A46,'MAIN DATA, Orders'!$D:$D,"Poland")/1000000000)</f>
        <v>0</v>
      </c>
    </row>
    <row r="47" spans="1:3" x14ac:dyDescent="0.35">
      <c r="A47" s="215">
        <v>202205</v>
      </c>
      <c r="B47" s="17">
        <v>44682</v>
      </c>
      <c r="C47" s="15">
        <f>(SUMIFS('MAIN DATA, Orders'!$U:$U,'MAIN DATA, Orders'!$Y:$Y,A47,'MAIN DATA, Orders'!$D:$D,"Poland")/1000000000)</f>
        <v>0</v>
      </c>
    </row>
    <row r="48" spans="1:3" x14ac:dyDescent="0.35">
      <c r="A48" s="215">
        <v>202206</v>
      </c>
      <c r="B48" s="17">
        <v>44713</v>
      </c>
      <c r="C48" s="15">
        <f>(SUMIFS('MAIN DATA, Orders'!$U:$U,'MAIN DATA, Orders'!$Y:$Y,A48,'MAIN DATA, Orders'!$D:$D,"Poland")/1000000000)</f>
        <v>1.2803824075457204</v>
      </c>
    </row>
    <row r="49" spans="1:3" x14ac:dyDescent="0.35">
      <c r="A49" s="215">
        <v>202207</v>
      </c>
      <c r="B49" s="17">
        <v>44743</v>
      </c>
      <c r="C49" s="15">
        <f>(SUMIFS('MAIN DATA, Orders'!$U:$U,'MAIN DATA, Orders'!$Y:$Y,A49,'MAIN DATA, Orders'!$D:$D,"Poland")/1000000000)</f>
        <v>4.4025031050489334</v>
      </c>
    </row>
    <row r="50" spans="1:3" x14ac:dyDescent="0.35">
      <c r="A50" s="215">
        <v>202208</v>
      </c>
      <c r="B50" s="17">
        <v>44774</v>
      </c>
      <c r="C50" s="15">
        <f>(SUMIFS('MAIN DATA, Orders'!$U:$U,'MAIN DATA, Orders'!$Y:$Y,A50,'MAIN DATA, Orders'!$D:$D,"Poland")/1000000000)</f>
        <v>0</v>
      </c>
    </row>
    <row r="51" spans="1:3" x14ac:dyDescent="0.35">
      <c r="A51" s="215">
        <v>202209</v>
      </c>
      <c r="B51" s="17">
        <v>44805</v>
      </c>
      <c r="C51" s="15">
        <f>(SUMIFS('MAIN DATA, Orders'!$U:$U,'MAIN DATA, Orders'!$Y:$Y,A51,'MAIN DATA, Orders'!$D:$D,"Poland")/1000000000)</f>
        <v>4.30485124896967</v>
      </c>
    </row>
    <row r="52" spans="1:3" x14ac:dyDescent="0.35">
      <c r="A52" s="215">
        <v>202210</v>
      </c>
      <c r="B52" s="17">
        <v>44835</v>
      </c>
      <c r="C52" s="15">
        <f>(SUMIFS('MAIN DATA, Orders'!$U:$U,'MAIN DATA, Orders'!$Y:$Y,A52,'MAIN DATA, Orders'!$D:$D,"Poland")/1000000000)</f>
        <v>6.6001899335232679</v>
      </c>
    </row>
    <row r="53" spans="1:3" x14ac:dyDescent="0.35">
      <c r="A53" s="215">
        <v>202211</v>
      </c>
      <c r="B53" s="17">
        <v>44866</v>
      </c>
      <c r="C53" s="15">
        <f>(SUMIFS('MAIN DATA, Orders'!$U:$U,'MAIN DATA, Orders'!$Y:$Y,A53,'MAIN DATA, Orders'!$D:$D,"Poland")/1000000000)</f>
        <v>0</v>
      </c>
    </row>
    <row r="54" spans="1:3" x14ac:dyDescent="0.35">
      <c r="A54" s="215">
        <v>202212</v>
      </c>
      <c r="B54" s="17">
        <v>44896</v>
      </c>
      <c r="C54" s="15">
        <f>(SUMIFS('MAIN DATA, Orders'!$U:$U,'MAIN DATA, Orders'!$Y:$Y,A54,'MAIN DATA, Orders'!$D:$D,"Poland")/1000000000)</f>
        <v>0</v>
      </c>
    </row>
    <row r="55" spans="1:3" x14ac:dyDescent="0.35">
      <c r="A55" s="215">
        <v>202301</v>
      </c>
      <c r="B55" s="17">
        <v>44927</v>
      </c>
      <c r="C55" s="15">
        <f>(SUMIFS('MAIN DATA, Orders'!$U:$U,'MAIN DATA, Orders'!$Y:$Y,A55,'MAIN DATA, Orders'!$D:$D,"Poland")/1000000000)</f>
        <v>1.2947378155923426</v>
      </c>
    </row>
    <row r="56" spans="1:3" x14ac:dyDescent="0.35">
      <c r="A56" s="215">
        <v>202302</v>
      </c>
      <c r="B56" s="17">
        <v>44958</v>
      </c>
      <c r="C56" s="15">
        <f>(SUMIFS('MAIN DATA, Orders'!$U:$U,'MAIN DATA, Orders'!$Y:$Y,A56,'MAIN DATA, Orders'!$D:$D,"Poland")/1000000000)</f>
        <v>0.46477322765301632</v>
      </c>
    </row>
    <row r="57" spans="1:3" x14ac:dyDescent="0.35">
      <c r="A57" s="215">
        <v>202303</v>
      </c>
      <c r="B57" s="17">
        <v>44986</v>
      </c>
      <c r="C57" s="15">
        <f>(SUMIFS('MAIN DATA, Orders'!$U:$U,'MAIN DATA, Orders'!$Y:$Y,A57,'MAIN DATA, Orders'!$D:$D,"Poland")/1000000000)</f>
        <v>0.242184059885513</v>
      </c>
    </row>
    <row r="58" spans="1:3" x14ac:dyDescent="0.35">
      <c r="A58" s="215">
        <v>202304</v>
      </c>
      <c r="B58" s="17">
        <v>45017</v>
      </c>
      <c r="C58" s="15">
        <f>(SUMIFS('MAIN DATA, Orders'!$U:$U,'MAIN DATA, Orders'!$Y:$Y,A58,'MAIN DATA, Orders'!$D:$D,"Poland")/1000000000)</f>
        <v>0</v>
      </c>
    </row>
    <row r="59" spans="1:3" x14ac:dyDescent="0.35">
      <c r="A59" s="215">
        <v>202305</v>
      </c>
      <c r="B59" s="17">
        <v>45047</v>
      </c>
      <c r="C59" s="15">
        <f>(SUMIFS('MAIN DATA, Orders'!$U:$U,'MAIN DATA, Orders'!$Y:$Y,A59,'MAIN DATA, Orders'!$D:$D,"Poland")/1000000000)</f>
        <v>0</v>
      </c>
    </row>
    <row r="60" spans="1:3" x14ac:dyDescent="0.35">
      <c r="A60" s="215">
        <v>202306</v>
      </c>
      <c r="B60" s="17">
        <v>45078</v>
      </c>
      <c r="C60" s="15">
        <f>(SUMIFS('MAIN DATA, Orders'!$U:$U,'MAIN DATA, Orders'!$Y:$Y,A60,'MAIN DATA, Orders'!$D:$D,"Poland")/1000000000)</f>
        <v>0.11228533685601057</v>
      </c>
    </row>
    <row r="61" spans="1:3" x14ac:dyDescent="0.35">
      <c r="A61" s="215">
        <v>202307</v>
      </c>
      <c r="B61" s="17">
        <v>45108</v>
      </c>
      <c r="C61" s="15">
        <f>(SUMIFS('MAIN DATA, Orders'!$U:$U,'MAIN DATA, Orders'!$Y:$Y,A61,'MAIN DATA, Orders'!$D:$D,"Poland")/1000000000)</f>
        <v>5.3463423656709523E-2</v>
      </c>
    </row>
    <row r="62" spans="1:3" x14ac:dyDescent="0.35">
      <c r="A62" s="215">
        <v>202308</v>
      </c>
      <c r="B62" s="17">
        <v>45139</v>
      </c>
      <c r="C62" s="15">
        <f>(SUMIFS('MAIN DATA, Orders'!$U:$U,'MAIN DATA, Orders'!$Y:$Y,A62,'MAIN DATA, Orders'!$D:$D,"Poland")/1000000000)</f>
        <v>0.48436811977102601</v>
      </c>
    </row>
    <row r="63" spans="1:3" x14ac:dyDescent="0.35">
      <c r="A63" s="215">
        <v>202309</v>
      </c>
      <c r="B63" s="17">
        <v>45170</v>
      </c>
      <c r="C63" s="15">
        <f>(SUMIFS('MAIN DATA, Orders'!$U:$U,'MAIN DATA, Orders'!$Y:$Y,A63,'MAIN DATA, Orders'!$D:$D,"Poland")/1000000000)</f>
        <v>1.8273888154997799</v>
      </c>
    </row>
    <row r="64" spans="1:3" x14ac:dyDescent="0.35">
      <c r="A64" s="215">
        <v>202310</v>
      </c>
      <c r="B64" s="17">
        <v>45200</v>
      </c>
      <c r="C64" s="15">
        <f>(SUMIFS('MAIN DATA, Orders'!$U:$U,'MAIN DATA, Orders'!$Y:$Y,A64,'MAIN DATA, Orders'!$D:$D,"Poland")/1000000000)</f>
        <v>0</v>
      </c>
    </row>
    <row r="65" spans="1:3" x14ac:dyDescent="0.35">
      <c r="A65" s="215">
        <v>202311</v>
      </c>
      <c r="B65" s="17">
        <v>45231</v>
      </c>
      <c r="C65" s="15">
        <f>(SUMIFS('MAIN DATA, Orders'!$U:$U,'MAIN DATA, Orders'!$Y:$Y,A65,'MAIN DATA, Orders'!$D:$D,"Poland")/1000000000)</f>
        <v>0</v>
      </c>
    </row>
    <row r="66" spans="1:3" x14ac:dyDescent="0.35">
      <c r="A66" s="215">
        <v>202312</v>
      </c>
      <c r="B66" s="17">
        <v>45261</v>
      </c>
      <c r="C66" s="15">
        <f>(SUMIFS('MAIN DATA, Orders'!$U:$U,'MAIN DATA, Orders'!$Y:$Y,A66,'MAIN DATA, Orders'!$D:$D,"Poland")/1000000000)</f>
        <v>2.2016732716864817</v>
      </c>
    </row>
    <row r="67" spans="1:3" x14ac:dyDescent="0.35">
      <c r="A67" s="215">
        <v>202401</v>
      </c>
      <c r="B67" s="17">
        <v>45292</v>
      </c>
      <c r="C67" s="15">
        <f>(SUMIFS('MAIN DATA, Orders'!$U:$U,'MAIN DATA, Orders'!$Y:$Y,A67,'MAIN DATA, Orders'!$D:$D,"Poland")/1000000000)</f>
        <v>0</v>
      </c>
    </row>
    <row r="68" spans="1:3" x14ac:dyDescent="0.35">
      <c r="A68" s="215">
        <v>202402</v>
      </c>
      <c r="B68" s="17">
        <v>45323</v>
      </c>
      <c r="C68" s="15">
        <f>(SUMIFS('MAIN DATA, Orders'!$U:$U,'MAIN DATA, Orders'!$Y:$Y,A68,'MAIN DATA, Orders'!$D:$D,"Poland")/1000000000)</f>
        <v>2.4070718376838651</v>
      </c>
    </row>
    <row r="69" spans="1:3" x14ac:dyDescent="0.35">
      <c r="A69" s="215">
        <v>202403</v>
      </c>
      <c r="B69" s="17">
        <v>45352</v>
      </c>
      <c r="C69" s="15">
        <f>(SUMIFS('MAIN DATA, Orders'!$U:$U,'MAIN DATA, Orders'!$Y:$Y,A69,'MAIN DATA, Orders'!$D:$D,"Poland")/1000000000)</f>
        <v>1.5095917135027175</v>
      </c>
    </row>
    <row r="70" spans="1:3" x14ac:dyDescent="0.35">
      <c r="A70" s="215">
        <v>202404</v>
      </c>
      <c r="B70" s="17">
        <v>45383</v>
      </c>
      <c r="C70" s="15">
        <f>(SUMIFS('MAIN DATA, Orders'!$U:$U,'MAIN DATA, Orders'!$Y:$Y,A70,'MAIN DATA, Orders'!$D:$D,"Poland")/1000000000)</f>
        <v>1.4915739051782437</v>
      </c>
    </row>
    <row r="71" spans="1:3" x14ac:dyDescent="0.35">
      <c r="A71" s="215">
        <v>202405</v>
      </c>
      <c r="B71" s="17">
        <v>45413</v>
      </c>
      <c r="C71" s="15">
        <f>(SUMIFS('MAIN DATA, Orders'!$U:$U,'MAIN DATA, Orders'!$Y:$Y,A71,'MAIN DATA, Orders'!$D:$D,"Poland")/1000000000)</f>
        <v>1.5659645232815964</v>
      </c>
    </row>
    <row r="72" spans="1:3" x14ac:dyDescent="0.35">
      <c r="A72" s="215">
        <v>202406</v>
      </c>
      <c r="B72" s="17">
        <v>45444</v>
      </c>
      <c r="C72" s="15">
        <f>(SUMIFS('MAIN DATA, Orders'!$U:$U,'MAIN DATA, Orders'!$Y:$Y,A72,'MAIN DATA, Orders'!$D:$D,"Poland")/1000000000)</f>
        <v>0</v>
      </c>
    </row>
    <row r="73" spans="1:3" x14ac:dyDescent="0.35">
      <c r="A73" s="215">
        <v>202407</v>
      </c>
      <c r="B73" s="17">
        <v>45474</v>
      </c>
      <c r="C73" s="15">
        <f>(SUMIFS('MAIN DATA, Orders'!$U:$U,'MAIN DATA, Orders'!$Y:$Y,A73,'MAIN DATA, Orders'!$D:$D,"Poland")/1000000000)</f>
        <v>0.92897951600167228</v>
      </c>
    </row>
    <row r="74" spans="1:3" x14ac:dyDescent="0.35">
      <c r="A74" s="215">
        <v>202408</v>
      </c>
      <c r="B74" s="17">
        <v>45505</v>
      </c>
      <c r="C74" s="15">
        <f>(SUMIFS('MAIN DATA, Orders'!$U:$U,'MAIN DATA, Orders'!$Y:$Y,A74,'MAIN DATA, Orders'!$D:$D,"Poland")/1000000000)</f>
        <v>10.732063322896561</v>
      </c>
    </row>
    <row r="75" spans="1:3" x14ac:dyDescent="0.35">
      <c r="A75" s="215">
        <v>202409</v>
      </c>
      <c r="B75" s="17">
        <v>45536</v>
      </c>
      <c r="C75" s="15">
        <f>(SUMIFS('MAIN DATA, Orders'!$U:$U,'MAIN DATA, Orders'!$Y:$Y,A75,'MAIN DATA, Orders'!$D:$D,"Poland")/1000000000)</f>
        <v>1.5490733429327885E-2</v>
      </c>
    </row>
    <row r="76" spans="1:3" x14ac:dyDescent="0.35">
      <c r="A76" s="215">
        <v>202410</v>
      </c>
      <c r="B76" s="17">
        <v>45566</v>
      </c>
      <c r="C76" s="15">
        <f>(SUMIFS('MAIN DATA, Orders'!$U:$U,'MAIN DATA, Orders'!$Y:$Y,A76,'MAIN DATA, Orders'!$D:$D,"Poland")/1000000000)</f>
        <v>0</v>
      </c>
    </row>
    <row r="77" spans="1:3" x14ac:dyDescent="0.35">
      <c r="A77" s="215">
        <v>202411</v>
      </c>
      <c r="B77" s="17">
        <v>45597</v>
      </c>
      <c r="C77" s="15">
        <f>(SUMIFS('MAIN DATA, Orders'!$U:$U,'MAIN DATA, Orders'!$Y:$Y,A77,'MAIN DATA, Orders'!$D:$D,"Poland")/1000000000)</f>
        <v>0.48682058374175302</v>
      </c>
    </row>
    <row r="78" spans="1:3" x14ac:dyDescent="0.35">
      <c r="A78" s="215">
        <v>202412</v>
      </c>
      <c r="B78" s="17">
        <v>45627</v>
      </c>
      <c r="C78" s="15">
        <f>(SUMIFS('MAIN DATA, Orders'!$U:$U,'MAIN DATA, Orders'!$Y:$Y,A78,'MAIN DATA, Orders'!$D:$D,"Poland")/1000000000)</f>
        <v>5.9666509498815552</v>
      </c>
    </row>
    <row r="79" spans="1:3" x14ac:dyDescent="0.35">
      <c r="A79" s="215">
        <v>202501</v>
      </c>
      <c r="B79" s="17">
        <v>45658</v>
      </c>
      <c r="C79" s="15">
        <f>(SUMIFS('MAIN DATA, Orders'!$U:$U,'MAIN DATA, Orders'!$Y:$Y,A79,'MAIN DATA, Orders'!$D:$D,"Poland")/1000000000)</f>
        <v>0.65929203539823023</v>
      </c>
    </row>
    <row r="80" spans="1:3" x14ac:dyDescent="0.35">
      <c r="A80" s="215">
        <v>202502</v>
      </c>
      <c r="B80" s="17">
        <v>45689</v>
      </c>
      <c r="C80" s="15">
        <f>(SUMIFS('MAIN DATA, Orders'!$U:$U,'MAIN DATA, Orders'!$Y:$Y,A80,'MAIN DATA, Orders'!$D:$D,"Poland")/1000000000)</f>
        <v>0.26548672566371684</v>
      </c>
    </row>
    <row r="81" spans="1:3" x14ac:dyDescent="0.35">
      <c r="A81" s="215">
        <v>202503</v>
      </c>
      <c r="B81" s="17">
        <v>45717</v>
      </c>
      <c r="C81" s="15">
        <f>(SUMIFS('MAIN DATA, Orders'!$U:$U,'MAIN DATA, Orders'!$Y:$Y,A81,'MAIN DATA, Orders'!$D:$D,"Poland")/1000000000)</f>
        <v>3.3313427377667608</v>
      </c>
    </row>
    <row r="82" spans="1:3" x14ac:dyDescent="0.35">
      <c r="A82" s="215">
        <v>202504</v>
      </c>
      <c r="B82" s="17">
        <v>45748</v>
      </c>
      <c r="C82" s="15">
        <f>(SUMIFS('MAIN DATA, Orders'!$U:$U,'MAIN DATA, Orders'!$Y:$Y,A82,'MAIN DATA, Orders'!$D:$D,"Poland")/1000000000)</f>
        <v>0</v>
      </c>
    </row>
    <row r="83" spans="1:3" x14ac:dyDescent="0.35">
      <c r="A83" s="215">
        <v>202505</v>
      </c>
      <c r="B83" s="216">
        <v>45778</v>
      </c>
      <c r="C83" s="15">
        <f>(SUMIFS('MAIN DATA, Orders'!$U:$U,'MAIN DATA, Orders'!$Y:$Y,A83,'MAIN DATA, Orders'!$D:$D,"Poland")/1000000000)</f>
        <v>0.20284454088732692</v>
      </c>
    </row>
    <row r="84" spans="1:3" x14ac:dyDescent="0.35">
      <c r="A84" s="215">
        <v>202506</v>
      </c>
      <c r="B84" s="17">
        <v>45809</v>
      </c>
      <c r="C84" s="15">
        <f>(SUMIFS('MAIN DATA, Orders'!$U:$U,'MAIN DATA, Orders'!$Y:$Y,A84,'MAIN DATA, Orders'!$D:$D,"Poland")/1000000000)</f>
        <v>5.8966436304455506E-2</v>
      </c>
    </row>
    <row r="85" spans="1:3" x14ac:dyDescent="0.35">
      <c r="A85" s="215">
        <v>202507</v>
      </c>
      <c r="B85" s="17">
        <v>45839</v>
      </c>
      <c r="C85" s="15">
        <f>(SUMIFS('MAIN DATA, Orders'!$U:$U,'MAIN DATA, Orders'!$Y:$Y,A85,'MAIN DATA, Orders'!$D:$D,"Poland")/1000000000)</f>
        <v>0.10648722640878124</v>
      </c>
    </row>
    <row r="86" spans="1:3" x14ac:dyDescent="0.35">
      <c r="A86" s="215">
        <v>202508</v>
      </c>
      <c r="B86" s="216">
        <v>45870</v>
      </c>
      <c r="C86" s="15">
        <f>(SUMIFS('MAIN DATA, Orders'!$U:$U,'MAIN DATA, Orders'!$Y:$Y,A86,'MAIN DATA, Orders'!$D:$D,"Poland")/1000000000)</f>
        <v>9.1150442477876101</v>
      </c>
    </row>
    <row r="87" spans="1:3" x14ac:dyDescent="0.35">
      <c r="A87" s="215">
        <v>202509</v>
      </c>
      <c r="B87" s="17">
        <v>45901</v>
      </c>
      <c r="C87" s="15">
        <f>(SUMIFS('MAIN DATA, Orders'!$U:$U,'MAIN DATA, Orders'!$Y:$Y,A87,'MAIN DATA, Orders'!$D:$D,"Poland")/1000000000)</f>
        <v>1.4128358138547539</v>
      </c>
    </row>
    <row r="88" spans="1:3" x14ac:dyDescent="0.35">
      <c r="A88" s="215">
        <v>202510</v>
      </c>
      <c r="B88" s="17">
        <v>45931</v>
      </c>
      <c r="C88" s="15">
        <f>(SUMIFS('MAIN DATA, Orders'!$U:$U,'MAIN DATA, Orders'!$Y:$Y,A88,'MAIN DATA, Orders'!$D:$D,"Poland")/1000000000)</f>
        <v>4.7173149043564404</v>
      </c>
    </row>
    <row r="89" spans="1:3" x14ac:dyDescent="0.35">
      <c r="A89" s="215">
        <v>202511</v>
      </c>
      <c r="B89" s="17">
        <v>45962</v>
      </c>
      <c r="C89" s="15">
        <f>(SUMIFS('MAIN DATA, Orders'!$U:$U,'MAIN DATA, Orders'!$Y:$Y,A89,'MAIN DATA, Orders'!$D:$D,"Poland")/1000000000)</f>
        <v>2.8011353282844151</v>
      </c>
    </row>
    <row r="90" spans="1:3" x14ac:dyDescent="0.35">
      <c r="A90" s="215">
        <v>202512</v>
      </c>
      <c r="B90" s="17">
        <v>45992</v>
      </c>
      <c r="C90" s="15">
        <f>(SUMIFS('MAIN DATA, Orders'!$U:$U,'MAIN DATA, Orders'!$Y:$Y,A90,'MAIN DATA, Orders'!$D:$D,"Poland")/1000000000)</f>
        <v>3.3257070075712907</v>
      </c>
    </row>
    <row r="91" spans="1:3" x14ac:dyDescent="0.35">
      <c r="A91" s="215">
        <v>202601</v>
      </c>
      <c r="B91" s="17">
        <v>46023</v>
      </c>
      <c r="C91" s="15">
        <f>(SUMIFS('MAIN DATA, Orders'!$U:$U,'MAIN DATA, Orders'!$Y:$Y,A91,'MAIN DATA, Orders'!$D:$D,"Poland")/1000000000)</f>
        <v>3.5606618083414441</v>
      </c>
    </row>
    <row r="92" spans="1:3" x14ac:dyDescent="0.35">
      <c r="A92" s="215">
        <v>202602</v>
      </c>
      <c r="B92" s="17">
        <v>46054</v>
      </c>
      <c r="C92" s="15">
        <f>(SUMIFS('MAIN DATA, Orders'!$U:$U,'MAIN DATA, Orders'!$Y:$Y,A92,'MAIN DATA, Orders'!$D:$D,"Poland")/1000000000)</f>
        <v>0</v>
      </c>
    </row>
    <row r="93" spans="1:3" x14ac:dyDescent="0.35">
      <c r="A93" s="215"/>
      <c r="B93" s="17"/>
      <c r="C93" s="15"/>
    </row>
    <row r="94" spans="1:3" x14ac:dyDescent="0.35">
      <c r="B94" s="9" t="s">
        <v>4219</v>
      </c>
      <c r="C94" s="18">
        <f>SUM(C7:C91)</f>
        <v>90.868990043747658</v>
      </c>
    </row>
  </sheetData>
  <mergeCells count="1">
    <mergeCell ref="B4:J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3FB8E-87BF-41B0-A997-4D236796C45F}">
  <sheetPr codeName="Sheet4">
    <tabColor theme="3" tint="0.749992370372631"/>
  </sheetPr>
  <dimension ref="A2:AJ80"/>
  <sheetViews>
    <sheetView workbookViewId="0"/>
  </sheetViews>
  <sheetFormatPr baseColWidth="10" defaultColWidth="8.75" defaultRowHeight="15.5" x14ac:dyDescent="0.35"/>
  <cols>
    <col min="1" max="1" width="8.75" style="1"/>
    <col min="2" max="2" width="13.5" style="1" customWidth="1"/>
    <col min="3" max="32" width="24.25" style="1" customWidth="1"/>
    <col min="33" max="33" width="8.75" style="1" customWidth="1"/>
    <col min="34" max="36" width="24.25" style="1" customWidth="1"/>
    <col min="37" max="16384" width="8.75" style="1"/>
  </cols>
  <sheetData>
    <row r="2" spans="1:36" ht="25.9" customHeight="1" x14ac:dyDescent="0.7">
      <c r="B2" s="16" t="s">
        <v>4220</v>
      </c>
      <c r="G2"/>
      <c r="AJ2" s="5"/>
    </row>
    <row r="3" spans="1:36" ht="15.65" customHeight="1" x14ac:dyDescent="0.35">
      <c r="Z3" s="5"/>
      <c r="AJ3" s="5"/>
    </row>
    <row r="4" spans="1:36" ht="64.900000000000006" customHeight="1" x14ac:dyDescent="0.35">
      <c r="B4" s="232" t="s">
        <v>4221</v>
      </c>
      <c r="C4" s="232"/>
      <c r="D4" s="232"/>
      <c r="E4" s="232"/>
      <c r="F4" s="232"/>
      <c r="G4" s="232"/>
      <c r="Z4" s="5"/>
      <c r="AJ4" s="5"/>
    </row>
    <row r="6" spans="1:36" ht="21" customHeight="1" x14ac:dyDescent="0.35">
      <c r="B6" s="68" t="s">
        <v>4197</v>
      </c>
      <c r="C6" s="69" t="s">
        <v>2967</v>
      </c>
      <c r="D6" s="69" t="s">
        <v>4198</v>
      </c>
      <c r="E6" s="69" t="s">
        <v>188</v>
      </c>
      <c r="F6" s="69" t="s">
        <v>4199</v>
      </c>
      <c r="G6" s="69" t="s">
        <v>999</v>
      </c>
      <c r="H6" s="69" t="s">
        <v>4200</v>
      </c>
      <c r="I6" s="69" t="s">
        <v>4201</v>
      </c>
      <c r="J6" s="69" t="s">
        <v>4202</v>
      </c>
      <c r="K6" s="69" t="s">
        <v>3376</v>
      </c>
      <c r="L6" s="69" t="s">
        <v>4203</v>
      </c>
      <c r="M6" s="69" t="s">
        <v>2580</v>
      </c>
      <c r="N6" s="69" t="s">
        <v>4204</v>
      </c>
      <c r="O6" s="69" t="s">
        <v>608</v>
      </c>
      <c r="P6" s="69" t="s">
        <v>4205</v>
      </c>
      <c r="Q6" s="69" t="s">
        <v>1311</v>
      </c>
      <c r="R6" s="69" t="s">
        <v>4206</v>
      </c>
      <c r="S6" s="69" t="s">
        <v>4207</v>
      </c>
      <c r="T6" s="69" t="s">
        <v>4208</v>
      </c>
      <c r="U6" s="69" t="s">
        <v>4209</v>
      </c>
      <c r="V6" s="69" t="s">
        <v>4210</v>
      </c>
      <c r="W6" s="69" t="s">
        <v>4211</v>
      </c>
      <c r="X6" s="69" t="s">
        <v>4212</v>
      </c>
      <c r="Y6" s="69" t="s">
        <v>4213</v>
      </c>
      <c r="Z6" s="69" t="s">
        <v>4214</v>
      </c>
      <c r="AA6" s="69" t="s">
        <v>659</v>
      </c>
      <c r="AB6" s="69" t="s">
        <v>4215</v>
      </c>
      <c r="AC6" s="69" t="s">
        <v>2955</v>
      </c>
      <c r="AD6" s="69" t="s">
        <v>4216</v>
      </c>
      <c r="AE6" s="69" t="s">
        <v>287</v>
      </c>
      <c r="AF6" s="69" t="s">
        <v>4217</v>
      </c>
      <c r="AG6" s="69"/>
      <c r="AH6" s="69" t="s">
        <v>315</v>
      </c>
      <c r="AI6" s="69" t="s">
        <v>4218</v>
      </c>
      <c r="AJ6" s="69" t="s">
        <v>1891</v>
      </c>
    </row>
    <row r="7" spans="1:36" x14ac:dyDescent="0.35">
      <c r="A7" s="20">
        <v>202001</v>
      </c>
      <c r="B7" s="17">
        <v>43831</v>
      </c>
      <c r="C7" s="15">
        <f>(SUMIFS('MAIN DATA, Orders'!$S:$S,'MAIN DATA, Orders'!$Y:$Y,$A7,'MAIN DATA, Orders'!$D:$D,"United Kingdom",'MAIN DATA, Orders'!$I:$I,"Air defence system")/1000000000)</f>
        <v>0</v>
      </c>
      <c r="D7" s="15">
        <f>(SUMIFS('MAIN DATA, Orders'!$S:$S,'MAIN DATA, Orders'!$Y:$Y,$A7,'MAIN DATA, Orders'!$D:$D,"United Kingdom",'MAIN DATA, Orders'!$I:$I,"Development - Air defence system")/1000000000)</f>
        <v>0</v>
      </c>
      <c r="E7" s="15">
        <f>(SUMIFS('MAIN DATA, Orders'!$S:$S,'MAIN DATA, Orders'!$Y:$Y,$A7,'MAIN DATA, Orders'!$D:$D,"United Kingdom",'MAIN DATA, Orders'!$I:$I,"Aircraft")/1000000000)</f>
        <v>0</v>
      </c>
      <c r="F7" s="15">
        <f>(SUMIFS('MAIN DATA, Orders'!$S:$S,'MAIN DATA, Orders'!$Y:$Y,$A7,'MAIN DATA, Orders'!$D:$D,"United Kingdom",'MAIN DATA, Orders'!$I:$I,"Development - Aircraft")/1000000000)</f>
        <v>0</v>
      </c>
      <c r="G7" s="15">
        <f>(SUMIFS('MAIN DATA, Orders'!$S:$S,'MAIN DATA, Orders'!$Y:$Y,$A7,'MAIN DATA, Orders'!$D:$D,"United Kingdom",'MAIN DATA, Orders'!$I:$I,"Ammunition")/1000000000)</f>
        <v>0</v>
      </c>
      <c r="H7" s="15">
        <f>(SUMIFS('MAIN DATA, Orders'!$S:$S,'MAIN DATA, Orders'!$Y:$Y,$A7,'MAIN DATA, Orders'!$D:$D,"United Kingdom",'MAIN DATA, Orders'!$I:$I,"Development - Ammunition")/1000000000)</f>
        <v>0</v>
      </c>
      <c r="I7" s="15">
        <f>(SUMIFS('MAIN DATA, Orders'!$S:$S,'MAIN DATA, Orders'!$Y:$Y,$A7,'MAIN DATA, Orders'!$D:$D,"United Kingdom",'MAIN DATA, Orders'!$I:$I,"Armoured vehicle")/1000000000)</f>
        <v>0</v>
      </c>
      <c r="J7" s="15">
        <f>(SUMIFS('MAIN DATA, Orders'!$S:$S,'MAIN DATA, Orders'!$Y:$Y,$A7,'MAIN DATA, Orders'!$D:$D,"United Kingdom",'MAIN DATA, Orders'!$I:$I,"Development - Armoured vehicle")/1000000000)</f>
        <v>0</v>
      </c>
      <c r="K7" s="15">
        <f>(SUMIFS('MAIN DATA, Orders'!$S:$S,'MAIN DATA, Orders'!$Y:$Y,$A7,'MAIN DATA, Orders'!$D:$D,"United Kingdom",'MAIN DATA, Orders'!$I:$I,"Artillery")/1000000000)</f>
        <v>0</v>
      </c>
      <c r="L7" s="15">
        <f>(SUMIFS('MAIN DATA, Orders'!$S:$S,'MAIN DATA, Orders'!$Y:$Y,$A7,'MAIN DATA, Orders'!$D:$D,"United Kingdom",'MAIN DATA, Orders'!$I:$I,"Development - Artillery")/1000000000)</f>
        <v>0</v>
      </c>
      <c r="M7" s="15">
        <f>(SUMIFS('MAIN DATA, Orders'!$S:$S,'MAIN DATA, Orders'!$Y:$Y,$A7,'MAIN DATA, Orders'!$D:$D,"United Kingdom",'MAIN DATA, Orders'!$I:$I,"Drone")/1000000000)</f>
        <v>0</v>
      </c>
      <c r="N7" s="15">
        <f>(SUMIFS('MAIN DATA, Orders'!$S:$S,'MAIN DATA, Orders'!$Y:$Y,$A7,'MAIN DATA, Orders'!$D:$D,"United Kingdom",'MAIN DATA, Orders'!$I:$I,"Development - Drone")/1000000000)</f>
        <v>0</v>
      </c>
      <c r="O7" s="15">
        <f>(SUMIFS('MAIN DATA, Orders'!$S:$S,'MAIN DATA, Orders'!$Y:$Y,$A7,'MAIN DATA, Orders'!$D:$D,"United Kingdom",'MAIN DATA, Orders'!$I:$I,"Helicopter")/1000000000)</f>
        <v>0</v>
      </c>
      <c r="P7" s="15">
        <f>(SUMIFS('MAIN DATA, Orders'!$S:$S,'MAIN DATA, Orders'!$Y:$Y,$A7,'MAIN DATA, Orders'!$D:$D,"United Kingdom",'MAIN DATA, Orders'!$I:$I,"Development - Helicopter")/1000000000)</f>
        <v>0</v>
      </c>
      <c r="Q7" s="15">
        <f>(SUMIFS('MAIN DATA, Orders'!$S:$S,'MAIN DATA, Orders'!$Y:$Y,$A7,'MAIN DATA, Orders'!$D:$D,"United Kingdom",'MAIN DATA, Orders'!$I:$I,"Infantry")/1000000000)</f>
        <v>0</v>
      </c>
      <c r="R7" s="15">
        <f>(SUMIFS('MAIN DATA, Orders'!$S:$S,'MAIN DATA, Orders'!$Y:$Y,$A7,'MAIN DATA, Orders'!$D:$D,"United Kingdom",'MAIN DATA, Orders'!$I:$I,"Development - Infantry")/1000000000)</f>
        <v>0</v>
      </c>
      <c r="S7" s="15">
        <f>(SUMIFS('MAIN DATA, Orders'!$S:$S,'MAIN DATA, Orders'!$Y:$Y,$A7,'MAIN DATA, Orders'!$D:$D,"United Kingdom",'MAIN DATA, Orders'!$I:$I,"Tank")/1000000000)</f>
        <v>0</v>
      </c>
      <c r="T7" s="15">
        <f>(SUMIFS('MAIN DATA, Orders'!$S:$S,'MAIN DATA, Orders'!$Y:$Y,$A7,'MAIN DATA, Orders'!$D:$D,"United Kingdom",'MAIN DATA, Orders'!$I:$I,"Development - Tank")/1000000000)</f>
        <v>0</v>
      </c>
      <c r="U7" s="15">
        <f>(SUMIFS('MAIN DATA, Orders'!$S:$S,'MAIN DATA, Orders'!$Y:$Y,$A7,'MAIN DATA, Orders'!$D:$D,"United Kingdom",'MAIN DATA, Orders'!$I:$I,"Maintenance")/1000000000)</f>
        <v>0</v>
      </c>
      <c r="V7" s="15">
        <f>(SUMIFS('MAIN DATA, Orders'!$S:$S,'MAIN DATA, Orders'!$Y:$Y,$A7,'MAIN DATA, Orders'!$D:$D,"United Kingdom",'MAIN DATA, Orders'!$I:$I,"Development - Maintenance")/1000000000)</f>
        <v>0</v>
      </c>
      <c r="W7" s="15">
        <f>(SUMIFS('MAIN DATA, Orders'!$S:$S,'MAIN DATA, Orders'!$Y:$Y,$A7,'MAIN DATA, Orders'!$D:$D,"United Kingdom",'MAIN DATA, Orders'!$I:$I,"Mine")/1000000000)</f>
        <v>0</v>
      </c>
      <c r="X7" s="15">
        <f>(SUMIFS('MAIN DATA, Orders'!$S:$S,'MAIN DATA, Orders'!$Y:$Y,$A7,'MAIN DATA, Orders'!$D:$D,"United Kingdom",'MAIN DATA, Orders'!$I:$I,"Development - Mine")/1000000000)</f>
        <v>0</v>
      </c>
      <c r="Y7" s="15">
        <f>(SUMIFS('MAIN DATA, Orders'!$S:$S,'MAIN DATA, Orders'!$Y:$Y,$A7,'MAIN DATA, Orders'!$D:$D,"United Kingdom",'MAIN DATA, Orders'!$J:$J,"6")/1000000000)</f>
        <v>0</v>
      </c>
      <c r="Z7" s="15" cm="1">
        <f t="array" ref="Z7">SUM(SUMIFS('MAIN DATA, Orders'!$S:$S,'MAIN DATA, Orders'!$Y:$Y,$A7,'MAIN DATA, Orders'!$D:$D,"United Kingdom",'MAIN DATA, Orders'!$I:$I,{"Development - Missile (Land)","Development - Missile (Naval)","Development - Missile (Air)"})/1000000000)</f>
        <v>0</v>
      </c>
      <c r="AA7" s="15">
        <f>(SUMIFS('MAIN DATA, Orders'!$S:$S,'MAIN DATA, Orders'!$Y:$Y,$A7,'MAIN DATA, Orders'!$D:$D,"United Kingdom",'MAIN DATA, Orders'!$I:$I,"Modernisation")/1000000000)</f>
        <v>0</v>
      </c>
      <c r="AB7" s="15">
        <f>(SUMIFS('MAIN DATA, Orders'!$S:$S,'MAIN DATA, Orders'!$Y:$Y,$A7,'MAIN DATA, Orders'!$D:$D,"United Kingdom",'MAIN DATA, Orders'!$I:$I,"Development - Modernisation")/1000000000)</f>
        <v>0</v>
      </c>
      <c r="AC7" s="15">
        <f>(SUMIFS('MAIN DATA, Orders'!$S:$S,'MAIN DATA, Orders'!$Y:$Y,$A7,'MAIN DATA, Orders'!$D:$D,"United Kingdom",'MAIN DATA, Orders'!$I:$I,"Naval")/1000000000)</f>
        <v>0</v>
      </c>
      <c r="AD7" s="15">
        <f>(SUMIFS('MAIN DATA, Orders'!$S:$S,'MAIN DATA, Orders'!$Y:$Y,$A7,'MAIN DATA, Orders'!$D:$D,"United Kingdom",'MAIN DATA, Orders'!$I:$I,"Development - Naval")/1000000000)</f>
        <v>0</v>
      </c>
      <c r="AE7" s="15">
        <f>(SUMIFS('MAIN DATA, Orders'!$S:$S,'MAIN DATA, Orders'!$Y:$Y,$A7,'MAIN DATA, Orders'!$D:$D,"United Kingdom",'MAIN DATA, Orders'!$I:$I,"Other")/1000000000)</f>
        <v>0.183</v>
      </c>
      <c r="AF7" s="15">
        <f>(SUMIFS('MAIN DATA, Orders'!$S:$S,'MAIN DATA, Orders'!$Y:$Y,$A7,'MAIN DATA, Orders'!$D:$D,"United Kingdom",'MAIN DATA, Orders'!$I:$I,"Development - Other")/1000000000)</f>
        <v>0</v>
      </c>
      <c r="AG7" s="15"/>
      <c r="AH7" s="15" cm="1">
        <f t="array" ref="AH7">SUM(SUMIFS('MAIN DATA, Orders'!$S:$S,'MAIN DATA, Orders'!$Y:$Y,$A7,'MAIN DATA, Orders'!$D:$D,"United Kingdom",'MAIN DATA, Orders'!$I:$I,{"Missile (Land)","Development - Missile (Land)"})/1000000000)</f>
        <v>0</v>
      </c>
      <c r="AI7" s="15" cm="1">
        <f t="array" ref="AI7">SUM(SUMIFS('MAIN DATA, Orders'!$S:$S,'MAIN DATA, Orders'!$D:$D,"United Kingdom",'MAIN DATA, Orders'!$I:$I,{"Missile (Air)","Development - Missile (Air)"},'MAIN DATA, Orders'!$Y:$Y,$A7)/1000000000)</f>
        <v>0</v>
      </c>
      <c r="AJ7" s="15" cm="1">
        <f t="array" ref="AJ7">SUM(SUMIFS('MAIN DATA, Orders'!$S:$S,'MAIN DATA, Orders'!$Y:$Y,$A7,'MAIN DATA, Orders'!$D:$D,"United Kingdom",'MAIN DATA, Orders'!$I:$I,{"Missile (Naval)","Development - Missile (Naval)"})/1000000000)</f>
        <v>0</v>
      </c>
    </row>
    <row r="8" spans="1:36" x14ac:dyDescent="0.35">
      <c r="A8" s="20">
        <v>202002</v>
      </c>
      <c r="B8" s="17">
        <v>43862</v>
      </c>
      <c r="C8" s="15">
        <f>(SUMIFS('MAIN DATA, Orders'!$S:$S,'MAIN DATA, Orders'!$Y:$Y,$A8,'MAIN DATA, Orders'!$D:$D,"United Kingdom",'MAIN DATA, Orders'!$I:$I,"Air defence system")/1000000000)</f>
        <v>0</v>
      </c>
      <c r="D8" s="15">
        <f>(SUMIFS('MAIN DATA, Orders'!$S:$S,'MAIN DATA, Orders'!$Y:$Y,$A8,'MAIN DATA, Orders'!$D:$D,"United Kingdom",'MAIN DATA, Orders'!$I:$I,"Development - Air defence system")/1000000000)</f>
        <v>0</v>
      </c>
      <c r="E8" s="15">
        <f>(SUMIFS('MAIN DATA, Orders'!$S:$S,'MAIN DATA, Orders'!$Y:$Y,$A8,'MAIN DATA, Orders'!$D:$D,"United Kingdom",'MAIN DATA, Orders'!$I:$I,"Aircraft")/1000000000)</f>
        <v>0</v>
      </c>
      <c r="F8" s="15">
        <f>(SUMIFS('MAIN DATA, Orders'!$S:$S,'MAIN DATA, Orders'!$Y:$Y,$A8,'MAIN DATA, Orders'!$D:$D,"United Kingdom",'MAIN DATA, Orders'!$I:$I,"Development - Aircraft")/1000000000)</f>
        <v>0</v>
      </c>
      <c r="G8" s="15">
        <f>(SUMIFS('MAIN DATA, Orders'!$S:$S,'MAIN DATA, Orders'!$Y:$Y,$A8,'MAIN DATA, Orders'!$D:$D,"United Kingdom",'MAIN DATA, Orders'!$I:$I,"Ammunition")/1000000000)</f>
        <v>0</v>
      </c>
      <c r="H8" s="15">
        <f>(SUMIFS('MAIN DATA, Orders'!$S:$S,'MAIN DATA, Orders'!$Y:$Y,$A8,'MAIN DATA, Orders'!$D:$D,"United Kingdom",'MAIN DATA, Orders'!$I:$I,"Development - Ammunition")/1000000000)</f>
        <v>0</v>
      </c>
      <c r="I8" s="15">
        <f>(SUMIFS('MAIN DATA, Orders'!$S:$S,'MAIN DATA, Orders'!$Y:$Y,$A8,'MAIN DATA, Orders'!$D:$D,"United Kingdom",'MAIN DATA, Orders'!$I:$I,"Armoured vehicle")/1000000000)</f>
        <v>0</v>
      </c>
      <c r="J8" s="15">
        <f>(SUMIFS('MAIN DATA, Orders'!$S:$S,'MAIN DATA, Orders'!$Y:$Y,$A8,'MAIN DATA, Orders'!$D:$D,"United Kingdom",'MAIN DATA, Orders'!$I:$I,"Development - Armoured vehicle")/1000000000)</f>
        <v>0</v>
      </c>
      <c r="K8" s="15">
        <f>(SUMIFS('MAIN DATA, Orders'!$S:$S,'MAIN DATA, Orders'!$Y:$Y,$A8,'MAIN DATA, Orders'!$D:$D,"United Kingdom",'MAIN DATA, Orders'!$I:$I,"Artillery")/1000000000)</f>
        <v>0</v>
      </c>
      <c r="L8" s="15">
        <f>(SUMIFS('MAIN DATA, Orders'!$S:$S,'MAIN DATA, Orders'!$Y:$Y,$A8,'MAIN DATA, Orders'!$D:$D,"United Kingdom",'MAIN DATA, Orders'!$I:$I,"Development - Artillery")/1000000000)</f>
        <v>0</v>
      </c>
      <c r="M8" s="15">
        <f>(SUMIFS('MAIN DATA, Orders'!$S:$S,'MAIN DATA, Orders'!$Y:$Y,$A8,'MAIN DATA, Orders'!$D:$D,"United Kingdom",'MAIN DATA, Orders'!$I:$I,"Drone")/1000000000)</f>
        <v>0</v>
      </c>
      <c r="N8" s="15">
        <f>(SUMIFS('MAIN DATA, Orders'!$S:$S,'MAIN DATA, Orders'!$Y:$Y,$A8,'MAIN DATA, Orders'!$D:$D,"United Kingdom",'MAIN DATA, Orders'!$I:$I,"Development - Drone")/1000000000)</f>
        <v>0</v>
      </c>
      <c r="O8" s="15">
        <f>(SUMIFS('MAIN DATA, Orders'!$S:$S,'MAIN DATA, Orders'!$Y:$Y,$A8,'MAIN DATA, Orders'!$D:$D,"United Kingdom",'MAIN DATA, Orders'!$I:$I,"Helicopter")/1000000000)</f>
        <v>0</v>
      </c>
      <c r="P8" s="15">
        <f>(SUMIFS('MAIN DATA, Orders'!$S:$S,'MAIN DATA, Orders'!$Y:$Y,$A8,'MAIN DATA, Orders'!$D:$D,"United Kingdom",'MAIN DATA, Orders'!$I:$I,"Development - Helicopter")/1000000000)</f>
        <v>0</v>
      </c>
      <c r="Q8" s="15">
        <f>(SUMIFS('MAIN DATA, Orders'!$S:$S,'MAIN DATA, Orders'!$Y:$Y,$A8,'MAIN DATA, Orders'!$D:$D,"United Kingdom",'MAIN DATA, Orders'!$I:$I,"Infantry")/1000000000)</f>
        <v>0</v>
      </c>
      <c r="R8" s="15">
        <f>(SUMIFS('MAIN DATA, Orders'!$S:$S,'MAIN DATA, Orders'!$Y:$Y,$A8,'MAIN DATA, Orders'!$D:$D,"United Kingdom",'MAIN DATA, Orders'!$I:$I,"Development - Infantry")/1000000000)</f>
        <v>0</v>
      </c>
      <c r="S8" s="15">
        <f>(SUMIFS('MAIN DATA, Orders'!$S:$S,'MAIN DATA, Orders'!$Y:$Y,$A8,'MAIN DATA, Orders'!$D:$D,"United Kingdom",'MAIN DATA, Orders'!$I:$I,"Tank")/1000000000)</f>
        <v>0</v>
      </c>
      <c r="T8" s="15">
        <f>(SUMIFS('MAIN DATA, Orders'!$S:$S,'MAIN DATA, Orders'!$Y:$Y,$A8,'MAIN DATA, Orders'!$D:$D,"United Kingdom",'MAIN DATA, Orders'!$I:$I,"Development - Tank")/1000000000)</f>
        <v>0</v>
      </c>
      <c r="U8" s="15">
        <f>(SUMIFS('MAIN DATA, Orders'!$S:$S,'MAIN DATA, Orders'!$Y:$Y,$A8,'MAIN DATA, Orders'!$D:$D,"United Kingdom",'MAIN DATA, Orders'!$I:$I,"Maintenance")/1000000000)</f>
        <v>0</v>
      </c>
      <c r="V8" s="15">
        <f>(SUMIFS('MAIN DATA, Orders'!$S:$S,'MAIN DATA, Orders'!$Y:$Y,$A8,'MAIN DATA, Orders'!$D:$D,"United Kingdom",'MAIN DATA, Orders'!$I:$I,"Development - Maintenance")/1000000000)</f>
        <v>0</v>
      </c>
      <c r="W8" s="15">
        <f>(SUMIFS('MAIN DATA, Orders'!$S:$S,'MAIN DATA, Orders'!$Y:$Y,$A8,'MAIN DATA, Orders'!$D:$D,"United Kingdom",'MAIN DATA, Orders'!$I:$I,"Mine")/1000000000)</f>
        <v>0</v>
      </c>
      <c r="X8" s="15">
        <f>(SUMIFS('MAIN DATA, Orders'!$S:$S,'MAIN DATA, Orders'!$Y:$Y,$A8,'MAIN DATA, Orders'!$D:$D,"United Kingdom",'MAIN DATA, Orders'!$I:$I,"Development - Mine")/1000000000)</f>
        <v>0</v>
      </c>
      <c r="Y8" s="15">
        <f>(SUMIFS('MAIN DATA, Orders'!$S:$S,'MAIN DATA, Orders'!$Y:$Y,$A8,'MAIN DATA, Orders'!$D:$D,"United Kingdom",'MAIN DATA, Orders'!$J:$J,"6")/1000000000)</f>
        <v>0</v>
      </c>
      <c r="Z8" s="15" cm="1">
        <f t="array" ref="Z8">SUM(SUMIFS('MAIN DATA, Orders'!$S:$S,'MAIN DATA, Orders'!$Y:$Y,$A8,'MAIN DATA, Orders'!$D:$D,"United Kingdom",'MAIN DATA, Orders'!$I:$I,{"Development - Missile (Land)","Development - Missile (Naval)","Development - Missile (Air)"})/1000000000)</f>
        <v>0</v>
      </c>
      <c r="AA8" s="15">
        <f>(SUMIFS('MAIN DATA, Orders'!$S:$S,'MAIN DATA, Orders'!$Y:$Y,$A8,'MAIN DATA, Orders'!$D:$D,"United Kingdom",'MAIN DATA, Orders'!$I:$I,"Modernisation")/1000000000)</f>
        <v>0</v>
      </c>
      <c r="AB8" s="15">
        <f>(SUMIFS('MAIN DATA, Orders'!$S:$S,'MAIN DATA, Orders'!$Y:$Y,$A8,'MAIN DATA, Orders'!$D:$D,"United Kingdom",'MAIN DATA, Orders'!$I:$I,"Development - Modernisation")/1000000000)</f>
        <v>0</v>
      </c>
      <c r="AC8" s="15">
        <f>(SUMIFS('MAIN DATA, Orders'!$S:$S,'MAIN DATA, Orders'!$Y:$Y,$A8,'MAIN DATA, Orders'!$D:$D,"United Kingdom",'MAIN DATA, Orders'!$I:$I,"Naval")/1000000000)</f>
        <v>0.33</v>
      </c>
      <c r="AD8" s="15">
        <f>(SUMIFS('MAIN DATA, Orders'!$S:$S,'MAIN DATA, Orders'!$Y:$Y,$A8,'MAIN DATA, Orders'!$D:$D,"United Kingdom",'MAIN DATA, Orders'!$I:$I,"Development - Naval")/1000000000)</f>
        <v>0</v>
      </c>
      <c r="AE8" s="15">
        <f>(SUMIFS('MAIN DATA, Orders'!$S:$S,'MAIN DATA, Orders'!$Y:$Y,$A8,'MAIN DATA, Orders'!$D:$D,"United Kingdom",'MAIN DATA, Orders'!$I:$I,"Other")/1000000000)</f>
        <v>0</v>
      </c>
      <c r="AF8" s="15">
        <f>(SUMIFS('MAIN DATA, Orders'!$S:$S,'MAIN DATA, Orders'!$Y:$Y,$A8,'MAIN DATA, Orders'!$D:$D,"United Kingdom",'MAIN DATA, Orders'!$I:$I,"Development - Other")/1000000000)</f>
        <v>0</v>
      </c>
      <c r="AG8" s="15"/>
      <c r="AH8" s="15" cm="1">
        <f t="array" ref="AH8">SUM(SUMIFS('MAIN DATA, Orders'!$S:$S,'MAIN DATA, Orders'!$Y:$Y,$A8,'MAIN DATA, Orders'!$D:$D,"United Kingdom",'MAIN DATA, Orders'!$I:$I,{"Missile (Land)","Development - Missile (Land)"})/1000000000)</f>
        <v>0</v>
      </c>
      <c r="AI8" s="15" cm="1">
        <f t="array" ref="AI8">SUM(SUMIFS('MAIN DATA, Orders'!$S:$S,'MAIN DATA, Orders'!$D:$D,"United Kingdom",'MAIN DATA, Orders'!$I:$I,{"Missile (Air)","Development - Missile (Air)"},'MAIN DATA, Orders'!$Y:$Y,$A8)/1000000000)</f>
        <v>0</v>
      </c>
      <c r="AJ8" s="15" cm="1">
        <f t="array" ref="AJ8">SUM(SUMIFS('MAIN DATA, Orders'!$S:$S,'MAIN DATA, Orders'!$Y:$Y,$A8,'MAIN DATA, Orders'!$D:$D,"United Kingdom",'MAIN DATA, Orders'!$I:$I,{"Missile (Naval)","Development - Missile (Naval)"})/1000000000)</f>
        <v>0</v>
      </c>
    </row>
    <row r="9" spans="1:36" x14ac:dyDescent="0.35">
      <c r="A9" s="20">
        <v>202003</v>
      </c>
      <c r="B9" s="17">
        <v>43891</v>
      </c>
      <c r="C9" s="15">
        <f>(SUMIFS('MAIN DATA, Orders'!$S:$S,'MAIN DATA, Orders'!$Y:$Y,$A9,'MAIN DATA, Orders'!$D:$D,"United Kingdom",'MAIN DATA, Orders'!$I:$I,"Air defence system")/1000000000)</f>
        <v>0</v>
      </c>
      <c r="D9" s="15">
        <f>(SUMIFS('MAIN DATA, Orders'!$S:$S,'MAIN DATA, Orders'!$Y:$Y,$A9,'MAIN DATA, Orders'!$D:$D,"United Kingdom",'MAIN DATA, Orders'!$I:$I,"Development - Air defence system")/1000000000)</f>
        <v>0</v>
      </c>
      <c r="E9" s="15">
        <f>(SUMIFS('MAIN DATA, Orders'!$S:$S,'MAIN DATA, Orders'!$Y:$Y,$A9,'MAIN DATA, Orders'!$D:$D,"United Kingdom",'MAIN DATA, Orders'!$I:$I,"Aircraft")/1000000000)</f>
        <v>0</v>
      </c>
      <c r="F9" s="15">
        <f>(SUMIFS('MAIN DATA, Orders'!$S:$S,'MAIN DATA, Orders'!$Y:$Y,$A9,'MAIN DATA, Orders'!$D:$D,"United Kingdom",'MAIN DATA, Orders'!$I:$I,"Development - Aircraft")/1000000000)</f>
        <v>0</v>
      </c>
      <c r="G9" s="15">
        <f>(SUMIFS('MAIN DATA, Orders'!$S:$S,'MAIN DATA, Orders'!$Y:$Y,$A9,'MAIN DATA, Orders'!$D:$D,"United Kingdom",'MAIN DATA, Orders'!$I:$I,"Ammunition")/1000000000)</f>
        <v>0</v>
      </c>
      <c r="H9" s="15">
        <f>(SUMIFS('MAIN DATA, Orders'!$S:$S,'MAIN DATA, Orders'!$Y:$Y,$A9,'MAIN DATA, Orders'!$D:$D,"United Kingdom",'MAIN DATA, Orders'!$I:$I,"Development - Ammunition")/1000000000)</f>
        <v>0</v>
      </c>
      <c r="I9" s="15">
        <f>(SUMIFS('MAIN DATA, Orders'!$S:$S,'MAIN DATA, Orders'!$Y:$Y,$A9,'MAIN DATA, Orders'!$D:$D,"United Kingdom",'MAIN DATA, Orders'!$I:$I,"Armoured vehicle")/1000000000)</f>
        <v>0</v>
      </c>
      <c r="J9" s="15">
        <f>(SUMIFS('MAIN DATA, Orders'!$S:$S,'MAIN DATA, Orders'!$Y:$Y,$A9,'MAIN DATA, Orders'!$D:$D,"United Kingdom",'MAIN DATA, Orders'!$I:$I,"Development - Armoured vehicle")/1000000000)</f>
        <v>0</v>
      </c>
      <c r="K9" s="15">
        <f>(SUMIFS('MAIN DATA, Orders'!$S:$S,'MAIN DATA, Orders'!$Y:$Y,$A9,'MAIN DATA, Orders'!$D:$D,"United Kingdom",'MAIN DATA, Orders'!$I:$I,"Artillery")/1000000000)</f>
        <v>0</v>
      </c>
      <c r="L9" s="15">
        <f>(SUMIFS('MAIN DATA, Orders'!$S:$S,'MAIN DATA, Orders'!$Y:$Y,$A9,'MAIN DATA, Orders'!$D:$D,"United Kingdom",'MAIN DATA, Orders'!$I:$I,"Development - Artillery")/1000000000)</f>
        <v>0</v>
      </c>
      <c r="M9" s="15">
        <f>(SUMIFS('MAIN DATA, Orders'!$S:$S,'MAIN DATA, Orders'!$Y:$Y,$A9,'MAIN DATA, Orders'!$D:$D,"United Kingdom",'MAIN DATA, Orders'!$I:$I,"Drone")/1000000000)</f>
        <v>0</v>
      </c>
      <c r="N9" s="15">
        <f>(SUMIFS('MAIN DATA, Orders'!$S:$S,'MAIN DATA, Orders'!$Y:$Y,$A9,'MAIN DATA, Orders'!$D:$D,"United Kingdom",'MAIN DATA, Orders'!$I:$I,"Development - Drone")/1000000000)</f>
        <v>0</v>
      </c>
      <c r="O9" s="15">
        <f>(SUMIFS('MAIN DATA, Orders'!$S:$S,'MAIN DATA, Orders'!$Y:$Y,$A9,'MAIN DATA, Orders'!$D:$D,"United Kingdom",'MAIN DATA, Orders'!$I:$I,"Helicopter")/1000000000)</f>
        <v>0</v>
      </c>
      <c r="P9" s="15">
        <f>(SUMIFS('MAIN DATA, Orders'!$S:$S,'MAIN DATA, Orders'!$Y:$Y,$A9,'MAIN DATA, Orders'!$D:$D,"United Kingdom",'MAIN DATA, Orders'!$I:$I,"Development - Helicopter")/1000000000)</f>
        <v>0</v>
      </c>
      <c r="Q9" s="15">
        <f>(SUMIFS('MAIN DATA, Orders'!$S:$S,'MAIN DATA, Orders'!$Y:$Y,$A9,'MAIN DATA, Orders'!$D:$D,"United Kingdom",'MAIN DATA, Orders'!$I:$I,"Infantry")/1000000000)</f>
        <v>0</v>
      </c>
      <c r="R9" s="15">
        <f>(SUMIFS('MAIN DATA, Orders'!$S:$S,'MAIN DATA, Orders'!$Y:$Y,$A9,'MAIN DATA, Orders'!$D:$D,"United Kingdom",'MAIN DATA, Orders'!$I:$I,"Development - Infantry")/1000000000)</f>
        <v>0</v>
      </c>
      <c r="S9" s="15">
        <f>(SUMIFS('MAIN DATA, Orders'!$S:$S,'MAIN DATA, Orders'!$Y:$Y,$A9,'MAIN DATA, Orders'!$D:$D,"United Kingdom",'MAIN DATA, Orders'!$I:$I,"Tank")/1000000000)</f>
        <v>0</v>
      </c>
      <c r="T9" s="15">
        <f>(SUMIFS('MAIN DATA, Orders'!$S:$S,'MAIN DATA, Orders'!$Y:$Y,$A9,'MAIN DATA, Orders'!$D:$D,"United Kingdom",'MAIN DATA, Orders'!$I:$I,"Development - Tank")/1000000000)</f>
        <v>0</v>
      </c>
      <c r="U9" s="15">
        <f>(SUMIFS('MAIN DATA, Orders'!$S:$S,'MAIN DATA, Orders'!$Y:$Y,$A9,'MAIN DATA, Orders'!$D:$D,"United Kingdom",'MAIN DATA, Orders'!$I:$I,"Maintenance")/1000000000)</f>
        <v>0</v>
      </c>
      <c r="V9" s="15">
        <f>(SUMIFS('MAIN DATA, Orders'!$S:$S,'MAIN DATA, Orders'!$Y:$Y,$A9,'MAIN DATA, Orders'!$D:$D,"United Kingdom",'MAIN DATA, Orders'!$I:$I,"Development - Maintenance")/1000000000)</f>
        <v>0</v>
      </c>
      <c r="W9" s="15">
        <f>(SUMIFS('MAIN DATA, Orders'!$S:$S,'MAIN DATA, Orders'!$Y:$Y,$A9,'MAIN DATA, Orders'!$D:$D,"United Kingdom",'MAIN DATA, Orders'!$I:$I,"Mine")/1000000000)</f>
        <v>0</v>
      </c>
      <c r="X9" s="15">
        <f>(SUMIFS('MAIN DATA, Orders'!$S:$S,'MAIN DATA, Orders'!$Y:$Y,$A9,'MAIN DATA, Orders'!$D:$D,"United Kingdom",'MAIN DATA, Orders'!$I:$I,"Development - Mine")/1000000000)</f>
        <v>0</v>
      </c>
      <c r="Y9" s="15">
        <f>(SUMIFS('MAIN DATA, Orders'!$S:$S,'MAIN DATA, Orders'!$Y:$Y,$A9,'MAIN DATA, Orders'!$D:$D,"United Kingdom",'MAIN DATA, Orders'!$J:$J,"6")/1000000000)</f>
        <v>0</v>
      </c>
      <c r="Z9" s="15" cm="1">
        <f t="array" ref="Z9">SUM(SUMIFS('MAIN DATA, Orders'!$S:$S,'MAIN DATA, Orders'!$Y:$Y,$A9,'MAIN DATA, Orders'!$D:$D,"United Kingdom",'MAIN DATA, Orders'!$I:$I,{"Development - Missile (Land)","Development - Missile (Naval)","Development - Missile (Air)"})/1000000000)</f>
        <v>0</v>
      </c>
      <c r="AA9" s="15">
        <f>(SUMIFS('MAIN DATA, Orders'!$S:$S,'MAIN DATA, Orders'!$Y:$Y,$A9,'MAIN DATA, Orders'!$D:$D,"United Kingdom",'MAIN DATA, Orders'!$I:$I,"Modernisation")/1000000000)</f>
        <v>0</v>
      </c>
      <c r="AB9" s="15">
        <f>(SUMIFS('MAIN DATA, Orders'!$S:$S,'MAIN DATA, Orders'!$Y:$Y,$A9,'MAIN DATA, Orders'!$D:$D,"United Kingdom",'MAIN DATA, Orders'!$I:$I,"Development - Modernisation")/1000000000)</f>
        <v>0</v>
      </c>
      <c r="AC9" s="15">
        <f>(SUMIFS('MAIN DATA, Orders'!$S:$S,'MAIN DATA, Orders'!$Y:$Y,$A9,'MAIN DATA, Orders'!$D:$D,"United Kingdom",'MAIN DATA, Orders'!$I:$I,"Naval")/1000000000)</f>
        <v>0</v>
      </c>
      <c r="AD9" s="15">
        <f>(SUMIFS('MAIN DATA, Orders'!$S:$S,'MAIN DATA, Orders'!$Y:$Y,$A9,'MAIN DATA, Orders'!$D:$D,"United Kingdom",'MAIN DATA, Orders'!$I:$I,"Development - Naval")/1000000000)</f>
        <v>0</v>
      </c>
      <c r="AE9" s="15">
        <f>(SUMIFS('MAIN DATA, Orders'!$S:$S,'MAIN DATA, Orders'!$Y:$Y,$A9,'MAIN DATA, Orders'!$D:$D,"United Kingdom",'MAIN DATA, Orders'!$I:$I,"Other")/1000000000)</f>
        <v>0</v>
      </c>
      <c r="AF9" s="15">
        <f>(SUMIFS('MAIN DATA, Orders'!$S:$S,'MAIN DATA, Orders'!$Y:$Y,$A9,'MAIN DATA, Orders'!$D:$D,"United Kingdom",'MAIN DATA, Orders'!$I:$I,"Development - Other")/1000000000)</f>
        <v>0</v>
      </c>
      <c r="AG9" s="15"/>
      <c r="AH9" s="15" cm="1">
        <f t="array" ref="AH9">SUM(SUMIFS('MAIN DATA, Orders'!$S:$S,'MAIN DATA, Orders'!$Y:$Y,$A9,'MAIN DATA, Orders'!$D:$D,"United Kingdom",'MAIN DATA, Orders'!$I:$I,{"Missile (Land)","Development - Missile (Land)"})/1000000000)</f>
        <v>0</v>
      </c>
      <c r="AI9" s="15" cm="1">
        <f t="array" ref="AI9">SUM(SUMIFS('MAIN DATA, Orders'!$S:$S,'MAIN DATA, Orders'!$D:$D,"United Kingdom",'MAIN DATA, Orders'!$I:$I,{"Missile (Air)","Development - Missile (Air)"},'MAIN DATA, Orders'!$Y:$Y,$A9)/1000000000)</f>
        <v>0</v>
      </c>
      <c r="AJ9" s="15" cm="1">
        <f t="array" ref="AJ9">SUM(SUMIFS('MAIN DATA, Orders'!$S:$S,'MAIN DATA, Orders'!$Y:$Y,$A9,'MAIN DATA, Orders'!$D:$D,"United Kingdom",'MAIN DATA, Orders'!$I:$I,{"Missile (Naval)","Development - Missile (Naval)"})/1000000000)</f>
        <v>0</v>
      </c>
    </row>
    <row r="10" spans="1:36" x14ac:dyDescent="0.35">
      <c r="A10" s="20">
        <v>202004</v>
      </c>
      <c r="B10" s="17">
        <v>43922</v>
      </c>
      <c r="C10" s="15">
        <f>(SUMIFS('MAIN DATA, Orders'!$S:$S,'MAIN DATA, Orders'!$Y:$Y,$A10,'MAIN DATA, Orders'!$D:$D,"United Kingdom",'MAIN DATA, Orders'!$I:$I,"Air defence system")/1000000000)</f>
        <v>0</v>
      </c>
      <c r="D10" s="15">
        <f>(SUMIFS('MAIN DATA, Orders'!$S:$S,'MAIN DATA, Orders'!$Y:$Y,$A10,'MAIN DATA, Orders'!$D:$D,"United Kingdom",'MAIN DATA, Orders'!$I:$I,"Development - Air defence system")/1000000000)</f>
        <v>0</v>
      </c>
      <c r="E10" s="15">
        <f>(SUMIFS('MAIN DATA, Orders'!$S:$S,'MAIN DATA, Orders'!$Y:$Y,$A10,'MAIN DATA, Orders'!$D:$D,"United Kingdom",'MAIN DATA, Orders'!$I:$I,"Aircraft")/1000000000)</f>
        <v>0</v>
      </c>
      <c r="F10" s="15">
        <f>(SUMIFS('MAIN DATA, Orders'!$S:$S,'MAIN DATA, Orders'!$Y:$Y,$A10,'MAIN DATA, Orders'!$D:$D,"United Kingdom",'MAIN DATA, Orders'!$I:$I,"Development - Aircraft")/1000000000)</f>
        <v>0</v>
      </c>
      <c r="G10" s="15">
        <f>(SUMIFS('MAIN DATA, Orders'!$S:$S,'MAIN DATA, Orders'!$Y:$Y,$A10,'MAIN DATA, Orders'!$D:$D,"United Kingdom",'MAIN DATA, Orders'!$I:$I,"Ammunition")/1000000000)</f>
        <v>0</v>
      </c>
      <c r="H10" s="15">
        <f>(SUMIFS('MAIN DATA, Orders'!$S:$S,'MAIN DATA, Orders'!$Y:$Y,$A10,'MAIN DATA, Orders'!$D:$D,"United Kingdom",'MAIN DATA, Orders'!$I:$I,"Development - Ammunition")/1000000000)</f>
        <v>0</v>
      </c>
      <c r="I10" s="15">
        <f>(SUMIFS('MAIN DATA, Orders'!$S:$S,'MAIN DATA, Orders'!$Y:$Y,$A10,'MAIN DATA, Orders'!$D:$D,"United Kingdom",'MAIN DATA, Orders'!$I:$I,"Armoured vehicle")/1000000000)</f>
        <v>0</v>
      </c>
      <c r="J10" s="15">
        <f>(SUMIFS('MAIN DATA, Orders'!$S:$S,'MAIN DATA, Orders'!$Y:$Y,$A10,'MAIN DATA, Orders'!$D:$D,"United Kingdom",'MAIN DATA, Orders'!$I:$I,"Development - Armoured vehicle")/1000000000)</f>
        <v>0</v>
      </c>
      <c r="K10" s="15">
        <f>(SUMIFS('MAIN DATA, Orders'!$S:$S,'MAIN DATA, Orders'!$Y:$Y,$A10,'MAIN DATA, Orders'!$D:$D,"United Kingdom",'MAIN DATA, Orders'!$I:$I,"Artillery")/1000000000)</f>
        <v>0</v>
      </c>
      <c r="L10" s="15">
        <f>(SUMIFS('MAIN DATA, Orders'!$S:$S,'MAIN DATA, Orders'!$Y:$Y,$A10,'MAIN DATA, Orders'!$D:$D,"United Kingdom",'MAIN DATA, Orders'!$I:$I,"Development - Artillery")/1000000000)</f>
        <v>0</v>
      </c>
      <c r="M10" s="15">
        <f>(SUMIFS('MAIN DATA, Orders'!$S:$S,'MAIN DATA, Orders'!$Y:$Y,$A10,'MAIN DATA, Orders'!$D:$D,"United Kingdom",'MAIN DATA, Orders'!$I:$I,"Drone")/1000000000)</f>
        <v>0</v>
      </c>
      <c r="N10" s="15">
        <f>(SUMIFS('MAIN DATA, Orders'!$S:$S,'MAIN DATA, Orders'!$Y:$Y,$A10,'MAIN DATA, Orders'!$D:$D,"United Kingdom",'MAIN DATA, Orders'!$I:$I,"Development - Drone")/1000000000)</f>
        <v>0</v>
      </c>
      <c r="O10" s="15">
        <f>(SUMIFS('MAIN DATA, Orders'!$S:$S,'MAIN DATA, Orders'!$Y:$Y,$A10,'MAIN DATA, Orders'!$D:$D,"United Kingdom",'MAIN DATA, Orders'!$I:$I,"Helicopter")/1000000000)</f>
        <v>0</v>
      </c>
      <c r="P10" s="15">
        <f>(SUMIFS('MAIN DATA, Orders'!$S:$S,'MAIN DATA, Orders'!$Y:$Y,$A10,'MAIN DATA, Orders'!$D:$D,"United Kingdom",'MAIN DATA, Orders'!$I:$I,"Development - Helicopter")/1000000000)</f>
        <v>0</v>
      </c>
      <c r="Q10" s="15">
        <f>(SUMIFS('MAIN DATA, Orders'!$S:$S,'MAIN DATA, Orders'!$Y:$Y,$A10,'MAIN DATA, Orders'!$D:$D,"United Kingdom",'MAIN DATA, Orders'!$I:$I,"Infantry")/1000000000)</f>
        <v>0</v>
      </c>
      <c r="R10" s="15">
        <f>(SUMIFS('MAIN DATA, Orders'!$S:$S,'MAIN DATA, Orders'!$Y:$Y,$A10,'MAIN DATA, Orders'!$D:$D,"United Kingdom",'MAIN DATA, Orders'!$I:$I,"Development - Infantry")/1000000000)</f>
        <v>0</v>
      </c>
      <c r="S10" s="15">
        <f>(SUMIFS('MAIN DATA, Orders'!$S:$S,'MAIN DATA, Orders'!$Y:$Y,$A10,'MAIN DATA, Orders'!$D:$D,"United Kingdom",'MAIN DATA, Orders'!$I:$I,"Tank")/1000000000)</f>
        <v>0</v>
      </c>
      <c r="T10" s="15">
        <f>(SUMIFS('MAIN DATA, Orders'!$S:$S,'MAIN DATA, Orders'!$Y:$Y,$A10,'MAIN DATA, Orders'!$D:$D,"United Kingdom",'MAIN DATA, Orders'!$I:$I,"Development - Tank")/1000000000)</f>
        <v>0</v>
      </c>
      <c r="U10" s="15">
        <f>(SUMIFS('MAIN DATA, Orders'!$S:$S,'MAIN DATA, Orders'!$Y:$Y,$A10,'MAIN DATA, Orders'!$D:$D,"United Kingdom",'MAIN DATA, Orders'!$I:$I,"Maintenance")/1000000000)</f>
        <v>0</v>
      </c>
      <c r="V10" s="15">
        <f>(SUMIFS('MAIN DATA, Orders'!$S:$S,'MAIN DATA, Orders'!$Y:$Y,$A10,'MAIN DATA, Orders'!$D:$D,"United Kingdom",'MAIN DATA, Orders'!$I:$I,"Development - Maintenance")/1000000000)</f>
        <v>0</v>
      </c>
      <c r="W10" s="15">
        <f>(SUMIFS('MAIN DATA, Orders'!$S:$S,'MAIN DATA, Orders'!$Y:$Y,$A10,'MAIN DATA, Orders'!$D:$D,"United Kingdom",'MAIN DATA, Orders'!$I:$I,"Mine")/1000000000)</f>
        <v>0</v>
      </c>
      <c r="X10" s="15">
        <f>(SUMIFS('MAIN DATA, Orders'!$S:$S,'MAIN DATA, Orders'!$Y:$Y,$A10,'MAIN DATA, Orders'!$D:$D,"United Kingdom",'MAIN DATA, Orders'!$I:$I,"Development - Mine")/1000000000)</f>
        <v>0</v>
      </c>
      <c r="Y10" s="15">
        <f>(SUMIFS('MAIN DATA, Orders'!$S:$S,'MAIN DATA, Orders'!$Y:$Y,$A10,'MAIN DATA, Orders'!$D:$D,"United Kingdom",'MAIN DATA, Orders'!$J:$J,"6")/1000000000)</f>
        <v>0</v>
      </c>
      <c r="Z10" s="15" cm="1">
        <f t="array" ref="Z10">SUM(SUMIFS('MAIN DATA, Orders'!$S:$S,'MAIN DATA, Orders'!$Y:$Y,$A10,'MAIN DATA, Orders'!$D:$D,"United Kingdom",'MAIN DATA, Orders'!$I:$I,{"Development - Missile (Land)","Development - Missile (Naval)","Development - Missile (Air)"})/1000000000)</f>
        <v>0</v>
      </c>
      <c r="AA10" s="15">
        <f>(SUMIFS('MAIN DATA, Orders'!$S:$S,'MAIN DATA, Orders'!$Y:$Y,$A10,'MAIN DATA, Orders'!$D:$D,"United Kingdom",'MAIN DATA, Orders'!$I:$I,"Modernisation")/1000000000)</f>
        <v>0</v>
      </c>
      <c r="AB10" s="15">
        <f>(SUMIFS('MAIN DATA, Orders'!$S:$S,'MAIN DATA, Orders'!$Y:$Y,$A10,'MAIN DATA, Orders'!$D:$D,"United Kingdom",'MAIN DATA, Orders'!$I:$I,"Development - Modernisation")/1000000000)</f>
        <v>0</v>
      </c>
      <c r="AC10" s="15">
        <f>(SUMIFS('MAIN DATA, Orders'!$S:$S,'MAIN DATA, Orders'!$Y:$Y,$A10,'MAIN DATA, Orders'!$D:$D,"United Kingdom",'MAIN DATA, Orders'!$I:$I,"Naval")/1000000000)</f>
        <v>0</v>
      </c>
      <c r="AD10" s="15">
        <f>(SUMIFS('MAIN DATA, Orders'!$S:$S,'MAIN DATA, Orders'!$Y:$Y,$A10,'MAIN DATA, Orders'!$D:$D,"United Kingdom",'MAIN DATA, Orders'!$I:$I,"Development - Naval")/1000000000)</f>
        <v>0</v>
      </c>
      <c r="AE10" s="15">
        <f>(SUMIFS('MAIN DATA, Orders'!$S:$S,'MAIN DATA, Orders'!$Y:$Y,$A10,'MAIN DATA, Orders'!$D:$D,"United Kingdom",'MAIN DATA, Orders'!$I:$I,"Other")/1000000000)</f>
        <v>4.5999999999999999E-2</v>
      </c>
      <c r="AF10" s="15">
        <f>(SUMIFS('MAIN DATA, Orders'!$S:$S,'MAIN DATA, Orders'!$Y:$Y,$A10,'MAIN DATA, Orders'!$D:$D,"United Kingdom",'MAIN DATA, Orders'!$I:$I,"Development - Other")/1000000000)</f>
        <v>0</v>
      </c>
      <c r="AG10" s="15"/>
      <c r="AH10" s="15" cm="1">
        <f t="array" ref="AH10">SUM(SUMIFS('MAIN DATA, Orders'!$S:$S,'MAIN DATA, Orders'!$Y:$Y,$A10,'MAIN DATA, Orders'!$D:$D,"United Kingdom",'MAIN DATA, Orders'!$I:$I,{"Missile (Land)","Development - Missile (Land)"})/1000000000)</f>
        <v>0</v>
      </c>
      <c r="AI10" s="15" cm="1">
        <f t="array" ref="AI10">SUM(SUMIFS('MAIN DATA, Orders'!$S:$S,'MAIN DATA, Orders'!$D:$D,"United Kingdom",'MAIN DATA, Orders'!$I:$I,{"Missile (Air)","Development - Missile (Air)"},'MAIN DATA, Orders'!$Y:$Y,$A10)/1000000000)</f>
        <v>0</v>
      </c>
      <c r="AJ10" s="15" cm="1">
        <f t="array" ref="AJ10">SUM(SUMIFS('MAIN DATA, Orders'!$S:$S,'MAIN DATA, Orders'!$Y:$Y,$A10,'MAIN DATA, Orders'!$D:$D,"United Kingdom",'MAIN DATA, Orders'!$I:$I,{"Missile (Naval)","Development - Missile (Naval)"})/1000000000)</f>
        <v>0</v>
      </c>
    </row>
    <row r="11" spans="1:36" x14ac:dyDescent="0.35">
      <c r="A11" s="20">
        <v>202005</v>
      </c>
      <c r="B11" s="17">
        <v>43952</v>
      </c>
      <c r="C11" s="15">
        <f>(SUMIFS('MAIN DATA, Orders'!$S:$S,'MAIN DATA, Orders'!$Y:$Y,$A11,'MAIN DATA, Orders'!$D:$D,"United Kingdom",'MAIN DATA, Orders'!$I:$I,"Air defence system")/1000000000)</f>
        <v>0</v>
      </c>
      <c r="D11" s="15">
        <f>(SUMIFS('MAIN DATA, Orders'!$S:$S,'MAIN DATA, Orders'!$Y:$Y,$A11,'MAIN DATA, Orders'!$D:$D,"United Kingdom",'MAIN DATA, Orders'!$I:$I,"Development - Air defence system")/1000000000)</f>
        <v>0</v>
      </c>
      <c r="E11" s="15">
        <f>(SUMIFS('MAIN DATA, Orders'!$S:$S,'MAIN DATA, Orders'!$Y:$Y,$A11,'MAIN DATA, Orders'!$D:$D,"United Kingdom",'MAIN DATA, Orders'!$I:$I,"Aircraft")/1000000000)</f>
        <v>0</v>
      </c>
      <c r="F11" s="15">
        <f>(SUMIFS('MAIN DATA, Orders'!$S:$S,'MAIN DATA, Orders'!$Y:$Y,$A11,'MAIN DATA, Orders'!$D:$D,"United Kingdom",'MAIN DATA, Orders'!$I:$I,"Development - Aircraft")/1000000000)</f>
        <v>0</v>
      </c>
      <c r="G11" s="15">
        <f>(SUMIFS('MAIN DATA, Orders'!$S:$S,'MAIN DATA, Orders'!$Y:$Y,$A11,'MAIN DATA, Orders'!$D:$D,"United Kingdom",'MAIN DATA, Orders'!$I:$I,"Ammunition")/1000000000)</f>
        <v>0</v>
      </c>
      <c r="H11" s="15">
        <f>(SUMIFS('MAIN DATA, Orders'!$S:$S,'MAIN DATA, Orders'!$Y:$Y,$A11,'MAIN DATA, Orders'!$D:$D,"United Kingdom",'MAIN DATA, Orders'!$I:$I,"Development - Ammunition")/1000000000)</f>
        <v>0</v>
      </c>
      <c r="I11" s="15">
        <f>(SUMIFS('MAIN DATA, Orders'!$S:$S,'MAIN DATA, Orders'!$Y:$Y,$A11,'MAIN DATA, Orders'!$D:$D,"United Kingdom",'MAIN DATA, Orders'!$I:$I,"Armoured vehicle")/1000000000)</f>
        <v>0</v>
      </c>
      <c r="J11" s="15">
        <f>(SUMIFS('MAIN DATA, Orders'!$S:$S,'MAIN DATA, Orders'!$Y:$Y,$A11,'MAIN DATA, Orders'!$D:$D,"United Kingdom",'MAIN DATA, Orders'!$I:$I,"Development - Armoured vehicle")/1000000000)</f>
        <v>0</v>
      </c>
      <c r="K11" s="15">
        <f>(SUMIFS('MAIN DATA, Orders'!$S:$S,'MAIN DATA, Orders'!$Y:$Y,$A11,'MAIN DATA, Orders'!$D:$D,"United Kingdom",'MAIN DATA, Orders'!$I:$I,"Artillery")/1000000000)</f>
        <v>0</v>
      </c>
      <c r="L11" s="15">
        <f>(SUMIFS('MAIN DATA, Orders'!$S:$S,'MAIN DATA, Orders'!$Y:$Y,$A11,'MAIN DATA, Orders'!$D:$D,"United Kingdom",'MAIN DATA, Orders'!$I:$I,"Development - Artillery")/1000000000)</f>
        <v>0</v>
      </c>
      <c r="M11" s="15">
        <f>(SUMIFS('MAIN DATA, Orders'!$S:$S,'MAIN DATA, Orders'!$Y:$Y,$A11,'MAIN DATA, Orders'!$D:$D,"United Kingdom",'MAIN DATA, Orders'!$I:$I,"Drone")/1000000000)</f>
        <v>0</v>
      </c>
      <c r="N11" s="15">
        <f>(SUMIFS('MAIN DATA, Orders'!$S:$S,'MAIN DATA, Orders'!$Y:$Y,$A11,'MAIN DATA, Orders'!$D:$D,"United Kingdom",'MAIN DATA, Orders'!$I:$I,"Development - Drone")/1000000000)</f>
        <v>0</v>
      </c>
      <c r="O11" s="15">
        <f>(SUMIFS('MAIN DATA, Orders'!$S:$S,'MAIN DATA, Orders'!$Y:$Y,$A11,'MAIN DATA, Orders'!$D:$D,"United Kingdom",'MAIN DATA, Orders'!$I:$I,"Helicopter")/1000000000)</f>
        <v>0</v>
      </c>
      <c r="P11" s="15">
        <f>(SUMIFS('MAIN DATA, Orders'!$S:$S,'MAIN DATA, Orders'!$Y:$Y,$A11,'MAIN DATA, Orders'!$D:$D,"United Kingdom",'MAIN DATA, Orders'!$I:$I,"Development - Helicopter")/1000000000)</f>
        <v>0</v>
      </c>
      <c r="Q11" s="15">
        <f>(SUMIFS('MAIN DATA, Orders'!$S:$S,'MAIN DATA, Orders'!$Y:$Y,$A11,'MAIN DATA, Orders'!$D:$D,"United Kingdom",'MAIN DATA, Orders'!$I:$I,"Infantry")/1000000000)</f>
        <v>0</v>
      </c>
      <c r="R11" s="15">
        <f>(SUMIFS('MAIN DATA, Orders'!$S:$S,'MAIN DATA, Orders'!$Y:$Y,$A11,'MAIN DATA, Orders'!$D:$D,"United Kingdom",'MAIN DATA, Orders'!$I:$I,"Development - Infantry")/1000000000)</f>
        <v>0</v>
      </c>
      <c r="S11" s="15">
        <f>(SUMIFS('MAIN DATA, Orders'!$S:$S,'MAIN DATA, Orders'!$Y:$Y,$A11,'MAIN DATA, Orders'!$D:$D,"United Kingdom",'MAIN DATA, Orders'!$I:$I,"Tank")/1000000000)</f>
        <v>0</v>
      </c>
      <c r="T11" s="15">
        <f>(SUMIFS('MAIN DATA, Orders'!$S:$S,'MAIN DATA, Orders'!$Y:$Y,$A11,'MAIN DATA, Orders'!$D:$D,"United Kingdom",'MAIN DATA, Orders'!$I:$I,"Development - Tank")/1000000000)</f>
        <v>0</v>
      </c>
      <c r="U11" s="15">
        <f>(SUMIFS('MAIN DATA, Orders'!$S:$S,'MAIN DATA, Orders'!$Y:$Y,$A11,'MAIN DATA, Orders'!$D:$D,"United Kingdom",'MAIN DATA, Orders'!$I:$I,"Maintenance")/1000000000)</f>
        <v>0</v>
      </c>
      <c r="V11" s="15">
        <f>(SUMIFS('MAIN DATA, Orders'!$S:$S,'MAIN DATA, Orders'!$Y:$Y,$A11,'MAIN DATA, Orders'!$D:$D,"United Kingdom",'MAIN DATA, Orders'!$I:$I,"Development - Maintenance")/1000000000)</f>
        <v>0</v>
      </c>
      <c r="W11" s="15">
        <f>(SUMIFS('MAIN DATA, Orders'!$S:$S,'MAIN DATA, Orders'!$Y:$Y,$A11,'MAIN DATA, Orders'!$D:$D,"United Kingdom",'MAIN DATA, Orders'!$I:$I,"Mine")/1000000000)</f>
        <v>0</v>
      </c>
      <c r="X11" s="15">
        <f>(SUMIFS('MAIN DATA, Orders'!$S:$S,'MAIN DATA, Orders'!$Y:$Y,$A11,'MAIN DATA, Orders'!$D:$D,"United Kingdom",'MAIN DATA, Orders'!$I:$I,"Development - Mine")/1000000000)</f>
        <v>0</v>
      </c>
      <c r="Y11" s="15">
        <f>(SUMIFS('MAIN DATA, Orders'!$S:$S,'MAIN DATA, Orders'!$Y:$Y,$A11,'MAIN DATA, Orders'!$D:$D,"United Kingdom",'MAIN DATA, Orders'!$J:$J,"6")/1000000000)</f>
        <v>0</v>
      </c>
      <c r="Z11" s="15" cm="1">
        <f t="array" ref="Z11">SUM(SUMIFS('MAIN DATA, Orders'!$S:$S,'MAIN DATA, Orders'!$Y:$Y,$A11,'MAIN DATA, Orders'!$D:$D,"United Kingdom",'MAIN DATA, Orders'!$I:$I,{"Development - Missile (Land)","Development - Missile (Naval)","Development - Missile (Air)"})/1000000000)</f>
        <v>0</v>
      </c>
      <c r="AA11" s="15">
        <f>(SUMIFS('MAIN DATA, Orders'!$S:$S,'MAIN DATA, Orders'!$Y:$Y,$A11,'MAIN DATA, Orders'!$D:$D,"United Kingdom",'MAIN DATA, Orders'!$I:$I,"Modernisation")/1000000000)</f>
        <v>0</v>
      </c>
      <c r="AB11" s="15">
        <f>(SUMIFS('MAIN DATA, Orders'!$S:$S,'MAIN DATA, Orders'!$Y:$Y,$A11,'MAIN DATA, Orders'!$D:$D,"United Kingdom",'MAIN DATA, Orders'!$I:$I,"Development - Modernisation")/1000000000)</f>
        <v>0</v>
      </c>
      <c r="AC11" s="15">
        <f>(SUMIFS('MAIN DATA, Orders'!$S:$S,'MAIN DATA, Orders'!$Y:$Y,$A11,'MAIN DATA, Orders'!$D:$D,"United Kingdom",'MAIN DATA, Orders'!$I:$I,"Naval")/1000000000)</f>
        <v>0</v>
      </c>
      <c r="AD11" s="15">
        <f>(SUMIFS('MAIN DATA, Orders'!$S:$S,'MAIN DATA, Orders'!$Y:$Y,$A11,'MAIN DATA, Orders'!$D:$D,"United Kingdom",'MAIN DATA, Orders'!$I:$I,"Development - Naval")/1000000000)</f>
        <v>0</v>
      </c>
      <c r="AE11" s="15">
        <f>(SUMIFS('MAIN DATA, Orders'!$S:$S,'MAIN DATA, Orders'!$Y:$Y,$A11,'MAIN DATA, Orders'!$D:$D,"United Kingdom",'MAIN DATA, Orders'!$I:$I,"Other")/1000000000)</f>
        <v>0</v>
      </c>
      <c r="AF11" s="15">
        <f>(SUMIFS('MAIN DATA, Orders'!$S:$S,'MAIN DATA, Orders'!$Y:$Y,$A11,'MAIN DATA, Orders'!$D:$D,"United Kingdom",'MAIN DATA, Orders'!$I:$I,"Development - Other")/1000000000)</f>
        <v>0</v>
      </c>
      <c r="AG11" s="15"/>
      <c r="AH11" s="15" cm="1">
        <f t="array" ref="AH11">SUM(SUMIFS('MAIN DATA, Orders'!$S:$S,'MAIN DATA, Orders'!$Y:$Y,$A11,'MAIN DATA, Orders'!$D:$D,"United Kingdom",'MAIN DATA, Orders'!$I:$I,{"Missile (Land)","Development - Missile (Land)"})/1000000000)</f>
        <v>0</v>
      </c>
      <c r="AI11" s="15" cm="1">
        <f t="array" ref="AI11">SUM(SUMIFS('MAIN DATA, Orders'!$S:$S,'MAIN DATA, Orders'!$D:$D,"United Kingdom",'MAIN DATA, Orders'!$I:$I,{"Missile (Air)","Development - Missile (Air)"},'MAIN DATA, Orders'!$Y:$Y,$A11)/1000000000)</f>
        <v>0</v>
      </c>
      <c r="AJ11" s="15" cm="1">
        <f t="array" ref="AJ11">SUM(SUMIFS('MAIN DATA, Orders'!$S:$S,'MAIN DATA, Orders'!$Y:$Y,$A11,'MAIN DATA, Orders'!$D:$D,"United Kingdom",'MAIN DATA, Orders'!$I:$I,{"Missile (Naval)","Development - Missile (Naval)"})/1000000000)</f>
        <v>0</v>
      </c>
    </row>
    <row r="12" spans="1:36" x14ac:dyDescent="0.35">
      <c r="A12" s="20">
        <v>202006</v>
      </c>
      <c r="B12" s="17">
        <v>43983</v>
      </c>
      <c r="C12" s="15">
        <f>(SUMIFS('MAIN DATA, Orders'!$S:$S,'MAIN DATA, Orders'!$Y:$Y,$A12,'MAIN DATA, Orders'!$D:$D,"United Kingdom",'MAIN DATA, Orders'!$I:$I,"Air defence system")/1000000000)</f>
        <v>0</v>
      </c>
      <c r="D12" s="15">
        <f>(SUMIFS('MAIN DATA, Orders'!$S:$S,'MAIN DATA, Orders'!$Y:$Y,$A12,'MAIN DATA, Orders'!$D:$D,"United Kingdom",'MAIN DATA, Orders'!$I:$I,"Development - Air defence system")/1000000000)</f>
        <v>0</v>
      </c>
      <c r="E12" s="15">
        <f>(SUMIFS('MAIN DATA, Orders'!$S:$S,'MAIN DATA, Orders'!$Y:$Y,$A12,'MAIN DATA, Orders'!$D:$D,"United Kingdom",'MAIN DATA, Orders'!$I:$I,"Aircraft")/1000000000)</f>
        <v>0</v>
      </c>
      <c r="F12" s="15">
        <f>(SUMIFS('MAIN DATA, Orders'!$S:$S,'MAIN DATA, Orders'!$Y:$Y,$A12,'MAIN DATA, Orders'!$D:$D,"United Kingdom",'MAIN DATA, Orders'!$I:$I,"Development - Aircraft")/1000000000)</f>
        <v>0</v>
      </c>
      <c r="G12" s="15">
        <f>(SUMIFS('MAIN DATA, Orders'!$S:$S,'MAIN DATA, Orders'!$Y:$Y,$A12,'MAIN DATA, Orders'!$D:$D,"United Kingdom",'MAIN DATA, Orders'!$I:$I,"Ammunition")/1000000000)</f>
        <v>0</v>
      </c>
      <c r="H12" s="15">
        <f>(SUMIFS('MAIN DATA, Orders'!$S:$S,'MAIN DATA, Orders'!$Y:$Y,$A12,'MAIN DATA, Orders'!$D:$D,"United Kingdom",'MAIN DATA, Orders'!$I:$I,"Development - Ammunition")/1000000000)</f>
        <v>0</v>
      </c>
      <c r="I12" s="15">
        <f>(SUMIFS('MAIN DATA, Orders'!$S:$S,'MAIN DATA, Orders'!$Y:$Y,$A12,'MAIN DATA, Orders'!$D:$D,"United Kingdom",'MAIN DATA, Orders'!$I:$I,"Armoured vehicle")/1000000000)</f>
        <v>0</v>
      </c>
      <c r="J12" s="15">
        <f>(SUMIFS('MAIN DATA, Orders'!$S:$S,'MAIN DATA, Orders'!$Y:$Y,$A12,'MAIN DATA, Orders'!$D:$D,"United Kingdom",'MAIN DATA, Orders'!$I:$I,"Development - Armoured vehicle")/1000000000)</f>
        <v>0</v>
      </c>
      <c r="K12" s="15">
        <f>(SUMIFS('MAIN DATA, Orders'!$S:$S,'MAIN DATA, Orders'!$Y:$Y,$A12,'MAIN DATA, Orders'!$D:$D,"United Kingdom",'MAIN DATA, Orders'!$I:$I,"Artillery")/1000000000)</f>
        <v>0</v>
      </c>
      <c r="L12" s="15">
        <f>(SUMIFS('MAIN DATA, Orders'!$S:$S,'MAIN DATA, Orders'!$Y:$Y,$A12,'MAIN DATA, Orders'!$D:$D,"United Kingdom",'MAIN DATA, Orders'!$I:$I,"Development - Artillery")/1000000000)</f>
        <v>0</v>
      </c>
      <c r="M12" s="15">
        <f>(SUMIFS('MAIN DATA, Orders'!$S:$S,'MAIN DATA, Orders'!$Y:$Y,$A12,'MAIN DATA, Orders'!$D:$D,"United Kingdom",'MAIN DATA, Orders'!$I:$I,"Drone")/1000000000)</f>
        <v>0</v>
      </c>
      <c r="N12" s="15">
        <f>(SUMIFS('MAIN DATA, Orders'!$S:$S,'MAIN DATA, Orders'!$Y:$Y,$A12,'MAIN DATA, Orders'!$D:$D,"United Kingdom",'MAIN DATA, Orders'!$I:$I,"Development - Drone")/1000000000)</f>
        <v>0</v>
      </c>
      <c r="O12" s="15">
        <f>(SUMIFS('MAIN DATA, Orders'!$S:$S,'MAIN DATA, Orders'!$Y:$Y,$A12,'MAIN DATA, Orders'!$D:$D,"United Kingdom",'MAIN DATA, Orders'!$I:$I,"Helicopter")/1000000000)</f>
        <v>0</v>
      </c>
      <c r="P12" s="15">
        <f>(SUMIFS('MAIN DATA, Orders'!$S:$S,'MAIN DATA, Orders'!$Y:$Y,$A12,'MAIN DATA, Orders'!$D:$D,"United Kingdom",'MAIN DATA, Orders'!$I:$I,"Development - Helicopter")/1000000000)</f>
        <v>0</v>
      </c>
      <c r="Q12" s="15">
        <f>(SUMIFS('MAIN DATA, Orders'!$S:$S,'MAIN DATA, Orders'!$Y:$Y,$A12,'MAIN DATA, Orders'!$D:$D,"United Kingdom",'MAIN DATA, Orders'!$I:$I,"Infantry")/1000000000)</f>
        <v>0</v>
      </c>
      <c r="R12" s="15">
        <f>(SUMIFS('MAIN DATA, Orders'!$S:$S,'MAIN DATA, Orders'!$Y:$Y,$A12,'MAIN DATA, Orders'!$D:$D,"United Kingdom",'MAIN DATA, Orders'!$I:$I,"Development - Infantry")/1000000000)</f>
        <v>0</v>
      </c>
      <c r="S12" s="15">
        <f>(SUMIFS('MAIN DATA, Orders'!$S:$S,'MAIN DATA, Orders'!$Y:$Y,$A12,'MAIN DATA, Orders'!$D:$D,"United Kingdom",'MAIN DATA, Orders'!$I:$I,"Tank")/1000000000)</f>
        <v>0</v>
      </c>
      <c r="T12" s="15">
        <f>(SUMIFS('MAIN DATA, Orders'!$S:$S,'MAIN DATA, Orders'!$Y:$Y,$A12,'MAIN DATA, Orders'!$D:$D,"United Kingdom",'MAIN DATA, Orders'!$I:$I,"Development - Tank")/1000000000)</f>
        <v>0</v>
      </c>
      <c r="U12" s="15">
        <f>(SUMIFS('MAIN DATA, Orders'!$S:$S,'MAIN DATA, Orders'!$Y:$Y,$A12,'MAIN DATA, Orders'!$D:$D,"United Kingdom",'MAIN DATA, Orders'!$I:$I,"Maintenance")/1000000000)</f>
        <v>2.6700000000000002E-2</v>
      </c>
      <c r="V12" s="15">
        <f>(SUMIFS('MAIN DATA, Orders'!$S:$S,'MAIN DATA, Orders'!$Y:$Y,$A12,'MAIN DATA, Orders'!$D:$D,"United Kingdom",'MAIN DATA, Orders'!$I:$I,"Development - Maintenance")/1000000000)</f>
        <v>0</v>
      </c>
      <c r="W12" s="15">
        <f>(SUMIFS('MAIN DATA, Orders'!$S:$S,'MAIN DATA, Orders'!$Y:$Y,$A12,'MAIN DATA, Orders'!$D:$D,"United Kingdom",'MAIN DATA, Orders'!$I:$I,"Mine")/1000000000)</f>
        <v>0</v>
      </c>
      <c r="X12" s="15">
        <f>(SUMIFS('MAIN DATA, Orders'!$S:$S,'MAIN DATA, Orders'!$Y:$Y,$A12,'MAIN DATA, Orders'!$D:$D,"United Kingdom",'MAIN DATA, Orders'!$I:$I,"Development - Mine")/1000000000)</f>
        <v>0</v>
      </c>
      <c r="Y12" s="15">
        <f>(SUMIFS('MAIN DATA, Orders'!$S:$S,'MAIN DATA, Orders'!$Y:$Y,$A12,'MAIN DATA, Orders'!$D:$D,"United Kingdom",'MAIN DATA, Orders'!$J:$J,"6")/1000000000)</f>
        <v>0</v>
      </c>
      <c r="Z12" s="15" cm="1">
        <f t="array" ref="Z12">SUM(SUMIFS('MAIN DATA, Orders'!$S:$S,'MAIN DATA, Orders'!$Y:$Y,$A12,'MAIN DATA, Orders'!$D:$D,"United Kingdom",'MAIN DATA, Orders'!$I:$I,{"Development - Missile (Land)","Development - Missile (Naval)","Development - Missile (Air)"})/1000000000)</f>
        <v>0</v>
      </c>
      <c r="AA12" s="15">
        <f>(SUMIFS('MAIN DATA, Orders'!$S:$S,'MAIN DATA, Orders'!$Y:$Y,$A12,'MAIN DATA, Orders'!$D:$D,"United Kingdom",'MAIN DATA, Orders'!$I:$I,"Modernisation")/1000000000)</f>
        <v>0</v>
      </c>
      <c r="AB12" s="15">
        <f>(SUMIFS('MAIN DATA, Orders'!$S:$S,'MAIN DATA, Orders'!$Y:$Y,$A12,'MAIN DATA, Orders'!$D:$D,"United Kingdom",'MAIN DATA, Orders'!$I:$I,"Development - Modernisation")/1000000000)</f>
        <v>0</v>
      </c>
      <c r="AC12" s="15">
        <f>(SUMIFS('MAIN DATA, Orders'!$S:$S,'MAIN DATA, Orders'!$Y:$Y,$A12,'MAIN DATA, Orders'!$D:$D,"United Kingdom",'MAIN DATA, Orders'!$I:$I,"Naval")/1000000000)</f>
        <v>0</v>
      </c>
      <c r="AD12" s="15">
        <f>(SUMIFS('MAIN DATA, Orders'!$S:$S,'MAIN DATA, Orders'!$Y:$Y,$A12,'MAIN DATA, Orders'!$D:$D,"United Kingdom",'MAIN DATA, Orders'!$I:$I,"Development - Naval")/1000000000)</f>
        <v>0</v>
      </c>
      <c r="AE12" s="15">
        <f>(SUMIFS('MAIN DATA, Orders'!$S:$S,'MAIN DATA, Orders'!$Y:$Y,$A12,'MAIN DATA, Orders'!$D:$D,"United Kingdom",'MAIN DATA, Orders'!$I:$I,"Other")/1000000000)</f>
        <v>0</v>
      </c>
      <c r="AF12" s="15">
        <f>(SUMIFS('MAIN DATA, Orders'!$S:$S,'MAIN DATA, Orders'!$Y:$Y,$A12,'MAIN DATA, Orders'!$D:$D,"United Kingdom",'MAIN DATA, Orders'!$I:$I,"Development - Other")/1000000000)</f>
        <v>0</v>
      </c>
      <c r="AG12" s="15"/>
      <c r="AH12" s="15" cm="1">
        <f t="array" ref="AH12">SUM(SUMIFS('MAIN DATA, Orders'!$S:$S,'MAIN DATA, Orders'!$Y:$Y,$A12,'MAIN DATA, Orders'!$D:$D,"United Kingdom",'MAIN DATA, Orders'!$I:$I,{"Missile (Land)","Development - Missile (Land)"})/1000000000)</f>
        <v>0</v>
      </c>
      <c r="AI12" s="15" cm="1">
        <f t="array" ref="AI12">SUM(SUMIFS('MAIN DATA, Orders'!$S:$S,'MAIN DATA, Orders'!$D:$D,"United Kingdom",'MAIN DATA, Orders'!$I:$I,{"Missile (Air)","Development - Missile (Air)"},'MAIN DATA, Orders'!$Y:$Y,$A12)/1000000000)</f>
        <v>0</v>
      </c>
      <c r="AJ12" s="15" cm="1">
        <f t="array" ref="AJ12">SUM(SUMIFS('MAIN DATA, Orders'!$S:$S,'MAIN DATA, Orders'!$Y:$Y,$A12,'MAIN DATA, Orders'!$D:$D,"United Kingdom",'MAIN DATA, Orders'!$I:$I,{"Missile (Naval)","Development - Missile (Naval)"})/1000000000)</f>
        <v>0</v>
      </c>
    </row>
    <row r="13" spans="1:36" x14ac:dyDescent="0.35">
      <c r="A13" s="20">
        <v>202007</v>
      </c>
      <c r="B13" s="17">
        <v>44013</v>
      </c>
      <c r="C13" s="15">
        <f>(SUMIFS('MAIN DATA, Orders'!$S:$S,'MAIN DATA, Orders'!$Y:$Y,$A13,'MAIN DATA, Orders'!$D:$D,"United Kingdom",'MAIN DATA, Orders'!$I:$I,"Air defence system")/1000000000)</f>
        <v>0</v>
      </c>
      <c r="D13" s="15">
        <f>(SUMIFS('MAIN DATA, Orders'!$S:$S,'MAIN DATA, Orders'!$Y:$Y,$A13,'MAIN DATA, Orders'!$D:$D,"United Kingdom",'MAIN DATA, Orders'!$I:$I,"Development - Air defence system")/1000000000)</f>
        <v>0</v>
      </c>
      <c r="E13" s="15">
        <f>(SUMIFS('MAIN DATA, Orders'!$S:$S,'MAIN DATA, Orders'!$Y:$Y,$A13,'MAIN DATA, Orders'!$D:$D,"United Kingdom",'MAIN DATA, Orders'!$I:$I,"Aircraft")/1000000000)</f>
        <v>0</v>
      </c>
      <c r="F13" s="15">
        <f>(SUMIFS('MAIN DATA, Orders'!$S:$S,'MAIN DATA, Orders'!$Y:$Y,$A13,'MAIN DATA, Orders'!$D:$D,"United Kingdom",'MAIN DATA, Orders'!$I:$I,"Development - Aircraft")/1000000000)</f>
        <v>0</v>
      </c>
      <c r="G13" s="15">
        <f>(SUMIFS('MAIN DATA, Orders'!$S:$S,'MAIN DATA, Orders'!$Y:$Y,$A13,'MAIN DATA, Orders'!$D:$D,"United Kingdom",'MAIN DATA, Orders'!$I:$I,"Ammunition")/1000000000)</f>
        <v>0</v>
      </c>
      <c r="H13" s="15">
        <f>(SUMIFS('MAIN DATA, Orders'!$S:$S,'MAIN DATA, Orders'!$Y:$Y,$A13,'MAIN DATA, Orders'!$D:$D,"United Kingdom",'MAIN DATA, Orders'!$I:$I,"Development - Ammunition")/1000000000)</f>
        <v>0</v>
      </c>
      <c r="I13" s="15">
        <f>(SUMIFS('MAIN DATA, Orders'!$S:$S,'MAIN DATA, Orders'!$Y:$Y,$A13,'MAIN DATA, Orders'!$D:$D,"United Kingdom",'MAIN DATA, Orders'!$I:$I,"Armoured vehicle")/1000000000)</f>
        <v>0</v>
      </c>
      <c r="J13" s="15">
        <f>(SUMIFS('MAIN DATA, Orders'!$S:$S,'MAIN DATA, Orders'!$Y:$Y,$A13,'MAIN DATA, Orders'!$D:$D,"United Kingdom",'MAIN DATA, Orders'!$I:$I,"Development - Armoured vehicle")/1000000000)</f>
        <v>0</v>
      </c>
      <c r="K13" s="15">
        <f>(SUMIFS('MAIN DATA, Orders'!$S:$S,'MAIN DATA, Orders'!$Y:$Y,$A13,'MAIN DATA, Orders'!$D:$D,"United Kingdom",'MAIN DATA, Orders'!$I:$I,"Artillery")/1000000000)</f>
        <v>0</v>
      </c>
      <c r="L13" s="15">
        <f>(SUMIFS('MAIN DATA, Orders'!$S:$S,'MAIN DATA, Orders'!$Y:$Y,$A13,'MAIN DATA, Orders'!$D:$D,"United Kingdom",'MAIN DATA, Orders'!$I:$I,"Development - Artillery")/1000000000)</f>
        <v>0</v>
      </c>
      <c r="M13" s="15">
        <f>(SUMIFS('MAIN DATA, Orders'!$S:$S,'MAIN DATA, Orders'!$Y:$Y,$A13,'MAIN DATA, Orders'!$D:$D,"United Kingdom",'MAIN DATA, Orders'!$I:$I,"Drone")/1000000000)</f>
        <v>6.5000000000000002E-2</v>
      </c>
      <c r="N13" s="15">
        <f>(SUMIFS('MAIN DATA, Orders'!$S:$S,'MAIN DATA, Orders'!$Y:$Y,$A13,'MAIN DATA, Orders'!$D:$D,"United Kingdom",'MAIN DATA, Orders'!$I:$I,"Development - Drone")/1000000000)</f>
        <v>0</v>
      </c>
      <c r="O13" s="15">
        <f>(SUMIFS('MAIN DATA, Orders'!$S:$S,'MAIN DATA, Orders'!$Y:$Y,$A13,'MAIN DATA, Orders'!$D:$D,"United Kingdom",'MAIN DATA, Orders'!$I:$I,"Helicopter")/1000000000)</f>
        <v>0</v>
      </c>
      <c r="P13" s="15">
        <f>(SUMIFS('MAIN DATA, Orders'!$S:$S,'MAIN DATA, Orders'!$Y:$Y,$A13,'MAIN DATA, Orders'!$D:$D,"United Kingdom",'MAIN DATA, Orders'!$I:$I,"Development - Helicopter")/1000000000)</f>
        <v>0</v>
      </c>
      <c r="Q13" s="15">
        <f>(SUMIFS('MAIN DATA, Orders'!$S:$S,'MAIN DATA, Orders'!$Y:$Y,$A13,'MAIN DATA, Orders'!$D:$D,"United Kingdom",'MAIN DATA, Orders'!$I:$I,"Infantry")/1000000000)</f>
        <v>0</v>
      </c>
      <c r="R13" s="15">
        <f>(SUMIFS('MAIN DATA, Orders'!$S:$S,'MAIN DATA, Orders'!$Y:$Y,$A13,'MAIN DATA, Orders'!$D:$D,"United Kingdom",'MAIN DATA, Orders'!$I:$I,"Development - Infantry")/1000000000)</f>
        <v>0</v>
      </c>
      <c r="S13" s="15">
        <f>(SUMIFS('MAIN DATA, Orders'!$S:$S,'MAIN DATA, Orders'!$Y:$Y,$A13,'MAIN DATA, Orders'!$D:$D,"United Kingdom",'MAIN DATA, Orders'!$I:$I,"Tank")/1000000000)</f>
        <v>0</v>
      </c>
      <c r="T13" s="15">
        <f>(SUMIFS('MAIN DATA, Orders'!$S:$S,'MAIN DATA, Orders'!$Y:$Y,$A13,'MAIN DATA, Orders'!$D:$D,"United Kingdom",'MAIN DATA, Orders'!$I:$I,"Development - Tank")/1000000000)</f>
        <v>0</v>
      </c>
      <c r="U13" s="15">
        <f>(SUMIFS('MAIN DATA, Orders'!$S:$S,'MAIN DATA, Orders'!$Y:$Y,$A13,'MAIN DATA, Orders'!$D:$D,"United Kingdom",'MAIN DATA, Orders'!$I:$I,"Maintenance")/1000000000)</f>
        <v>0</v>
      </c>
      <c r="V13" s="15">
        <f>(SUMIFS('MAIN DATA, Orders'!$S:$S,'MAIN DATA, Orders'!$Y:$Y,$A13,'MAIN DATA, Orders'!$D:$D,"United Kingdom",'MAIN DATA, Orders'!$I:$I,"Development - Maintenance")/1000000000)</f>
        <v>0</v>
      </c>
      <c r="W13" s="15">
        <f>(SUMIFS('MAIN DATA, Orders'!$S:$S,'MAIN DATA, Orders'!$Y:$Y,$A13,'MAIN DATA, Orders'!$D:$D,"United Kingdom",'MAIN DATA, Orders'!$I:$I,"Mine")/1000000000)</f>
        <v>0</v>
      </c>
      <c r="X13" s="15">
        <f>(SUMIFS('MAIN DATA, Orders'!$S:$S,'MAIN DATA, Orders'!$Y:$Y,$A13,'MAIN DATA, Orders'!$D:$D,"United Kingdom",'MAIN DATA, Orders'!$I:$I,"Development - Mine")/1000000000)</f>
        <v>0</v>
      </c>
      <c r="Y13" s="15">
        <f>(SUMIFS('MAIN DATA, Orders'!$S:$S,'MAIN DATA, Orders'!$Y:$Y,$A13,'MAIN DATA, Orders'!$D:$D,"United Kingdom",'MAIN DATA, Orders'!$J:$J,"6")/1000000000)</f>
        <v>0</v>
      </c>
      <c r="Z13" s="15" cm="1">
        <f t="array" ref="Z13">SUM(SUMIFS('MAIN DATA, Orders'!$S:$S,'MAIN DATA, Orders'!$Y:$Y,$A13,'MAIN DATA, Orders'!$D:$D,"United Kingdom",'MAIN DATA, Orders'!$I:$I,{"Development - Missile (Land)","Development - Missile (Naval)","Development - Missile (Air)"})/1000000000)</f>
        <v>0</v>
      </c>
      <c r="AA13" s="15">
        <f>(SUMIFS('MAIN DATA, Orders'!$S:$S,'MAIN DATA, Orders'!$Y:$Y,$A13,'MAIN DATA, Orders'!$D:$D,"United Kingdom",'MAIN DATA, Orders'!$I:$I,"Modernisation")/1000000000)</f>
        <v>0</v>
      </c>
      <c r="AB13" s="15">
        <f>(SUMIFS('MAIN DATA, Orders'!$S:$S,'MAIN DATA, Orders'!$Y:$Y,$A13,'MAIN DATA, Orders'!$D:$D,"United Kingdom",'MAIN DATA, Orders'!$I:$I,"Development - Modernisation")/1000000000)</f>
        <v>0.3</v>
      </c>
      <c r="AC13" s="15">
        <f>(SUMIFS('MAIN DATA, Orders'!$S:$S,'MAIN DATA, Orders'!$Y:$Y,$A13,'MAIN DATA, Orders'!$D:$D,"United Kingdom",'MAIN DATA, Orders'!$I:$I,"Naval")/1000000000)</f>
        <v>9.9000000000000008E-3</v>
      </c>
      <c r="AD13" s="15">
        <f>(SUMIFS('MAIN DATA, Orders'!$S:$S,'MAIN DATA, Orders'!$Y:$Y,$A13,'MAIN DATA, Orders'!$D:$D,"United Kingdom",'MAIN DATA, Orders'!$I:$I,"Development - Naval")/1000000000)</f>
        <v>0</v>
      </c>
      <c r="AE13" s="15">
        <f>(SUMIFS('MAIN DATA, Orders'!$S:$S,'MAIN DATA, Orders'!$Y:$Y,$A13,'MAIN DATA, Orders'!$D:$D,"United Kingdom",'MAIN DATA, Orders'!$I:$I,"Other")/1000000000)</f>
        <v>0</v>
      </c>
      <c r="AF13" s="15">
        <f>(SUMIFS('MAIN DATA, Orders'!$S:$S,'MAIN DATA, Orders'!$Y:$Y,$A13,'MAIN DATA, Orders'!$D:$D,"United Kingdom",'MAIN DATA, Orders'!$I:$I,"Development - Other")/1000000000)</f>
        <v>0</v>
      </c>
      <c r="AG13" s="15"/>
      <c r="AH13" s="15" cm="1">
        <f t="array" ref="AH13">SUM(SUMIFS('MAIN DATA, Orders'!$S:$S,'MAIN DATA, Orders'!$Y:$Y,$A13,'MAIN DATA, Orders'!$D:$D,"United Kingdom",'MAIN DATA, Orders'!$I:$I,{"Missile (Land)","Development - Missile (Land)"})/1000000000)</f>
        <v>0</v>
      </c>
      <c r="AI13" s="15" cm="1">
        <f t="array" ref="AI13">SUM(SUMIFS('MAIN DATA, Orders'!$S:$S,'MAIN DATA, Orders'!$D:$D,"United Kingdom",'MAIN DATA, Orders'!$I:$I,{"Missile (Air)","Development - Missile (Air)"},'MAIN DATA, Orders'!$Y:$Y,$A13)/1000000000)</f>
        <v>0</v>
      </c>
      <c r="AJ13" s="15" cm="1">
        <f t="array" ref="AJ13">SUM(SUMIFS('MAIN DATA, Orders'!$S:$S,'MAIN DATA, Orders'!$Y:$Y,$A13,'MAIN DATA, Orders'!$D:$D,"United Kingdom",'MAIN DATA, Orders'!$I:$I,{"Missile (Naval)","Development - Missile (Naval)"})/1000000000)</f>
        <v>0</v>
      </c>
    </row>
    <row r="14" spans="1:36" x14ac:dyDescent="0.35">
      <c r="A14" s="20">
        <v>202008</v>
      </c>
      <c r="B14" s="17">
        <v>44044</v>
      </c>
      <c r="C14" s="15">
        <f>(SUMIFS('MAIN DATA, Orders'!$S:$S,'MAIN DATA, Orders'!$Y:$Y,$A14,'MAIN DATA, Orders'!$D:$D,"United Kingdom",'MAIN DATA, Orders'!$I:$I,"Air defence system")/1000000000)</f>
        <v>0</v>
      </c>
      <c r="D14" s="15">
        <f>(SUMIFS('MAIN DATA, Orders'!$S:$S,'MAIN DATA, Orders'!$Y:$Y,$A14,'MAIN DATA, Orders'!$D:$D,"United Kingdom",'MAIN DATA, Orders'!$I:$I,"Development - Air defence system")/1000000000)</f>
        <v>0</v>
      </c>
      <c r="E14" s="15">
        <f>(SUMIFS('MAIN DATA, Orders'!$S:$S,'MAIN DATA, Orders'!$Y:$Y,$A14,'MAIN DATA, Orders'!$D:$D,"United Kingdom",'MAIN DATA, Orders'!$I:$I,"Aircraft")/1000000000)</f>
        <v>0</v>
      </c>
      <c r="F14" s="15">
        <f>(SUMIFS('MAIN DATA, Orders'!$S:$S,'MAIN DATA, Orders'!$Y:$Y,$A14,'MAIN DATA, Orders'!$D:$D,"United Kingdom",'MAIN DATA, Orders'!$I:$I,"Development - Aircraft")/1000000000)</f>
        <v>0</v>
      </c>
      <c r="G14" s="15">
        <f>(SUMIFS('MAIN DATA, Orders'!$S:$S,'MAIN DATA, Orders'!$Y:$Y,$A14,'MAIN DATA, Orders'!$D:$D,"United Kingdom",'MAIN DATA, Orders'!$I:$I,"Ammunition")/1000000000)</f>
        <v>0</v>
      </c>
      <c r="H14" s="15">
        <f>(SUMIFS('MAIN DATA, Orders'!$S:$S,'MAIN DATA, Orders'!$Y:$Y,$A14,'MAIN DATA, Orders'!$D:$D,"United Kingdom",'MAIN DATA, Orders'!$I:$I,"Development - Ammunition")/1000000000)</f>
        <v>0</v>
      </c>
      <c r="I14" s="15">
        <f>(SUMIFS('MAIN DATA, Orders'!$S:$S,'MAIN DATA, Orders'!$Y:$Y,$A14,'MAIN DATA, Orders'!$D:$D,"United Kingdom",'MAIN DATA, Orders'!$I:$I,"Armoured vehicle")/1000000000)</f>
        <v>0</v>
      </c>
      <c r="J14" s="15">
        <f>(SUMIFS('MAIN DATA, Orders'!$S:$S,'MAIN DATA, Orders'!$Y:$Y,$A14,'MAIN DATA, Orders'!$D:$D,"United Kingdom",'MAIN DATA, Orders'!$I:$I,"Development - Armoured vehicle")/1000000000)</f>
        <v>0</v>
      </c>
      <c r="K14" s="15">
        <f>(SUMIFS('MAIN DATA, Orders'!$S:$S,'MAIN DATA, Orders'!$Y:$Y,$A14,'MAIN DATA, Orders'!$D:$D,"United Kingdom",'MAIN DATA, Orders'!$I:$I,"Artillery")/1000000000)</f>
        <v>0</v>
      </c>
      <c r="L14" s="15">
        <f>(SUMIFS('MAIN DATA, Orders'!$S:$S,'MAIN DATA, Orders'!$Y:$Y,$A14,'MAIN DATA, Orders'!$D:$D,"United Kingdom",'MAIN DATA, Orders'!$I:$I,"Development - Artillery")/1000000000)</f>
        <v>0</v>
      </c>
      <c r="M14" s="15">
        <f>(SUMIFS('MAIN DATA, Orders'!$S:$S,'MAIN DATA, Orders'!$Y:$Y,$A14,'MAIN DATA, Orders'!$D:$D,"United Kingdom",'MAIN DATA, Orders'!$I:$I,"Drone")/1000000000)</f>
        <v>0</v>
      </c>
      <c r="N14" s="15">
        <f>(SUMIFS('MAIN DATA, Orders'!$S:$S,'MAIN DATA, Orders'!$Y:$Y,$A14,'MAIN DATA, Orders'!$D:$D,"United Kingdom",'MAIN DATA, Orders'!$I:$I,"Development - Drone")/1000000000)</f>
        <v>1.1999999999999999E-3</v>
      </c>
      <c r="O14" s="15">
        <f>(SUMIFS('MAIN DATA, Orders'!$S:$S,'MAIN DATA, Orders'!$Y:$Y,$A14,'MAIN DATA, Orders'!$D:$D,"United Kingdom",'MAIN DATA, Orders'!$I:$I,"Helicopter")/1000000000)</f>
        <v>0</v>
      </c>
      <c r="P14" s="15">
        <f>(SUMIFS('MAIN DATA, Orders'!$S:$S,'MAIN DATA, Orders'!$Y:$Y,$A14,'MAIN DATA, Orders'!$D:$D,"United Kingdom",'MAIN DATA, Orders'!$I:$I,"Development - Helicopter")/1000000000)</f>
        <v>0</v>
      </c>
      <c r="Q14" s="15">
        <f>(SUMIFS('MAIN DATA, Orders'!$S:$S,'MAIN DATA, Orders'!$Y:$Y,$A14,'MAIN DATA, Orders'!$D:$D,"United Kingdom",'MAIN DATA, Orders'!$I:$I,"Infantry")/1000000000)</f>
        <v>0</v>
      </c>
      <c r="R14" s="15">
        <f>(SUMIFS('MAIN DATA, Orders'!$S:$S,'MAIN DATA, Orders'!$Y:$Y,$A14,'MAIN DATA, Orders'!$D:$D,"United Kingdom",'MAIN DATA, Orders'!$I:$I,"Development - Infantry")/1000000000)</f>
        <v>0</v>
      </c>
      <c r="S14" s="15">
        <f>(SUMIFS('MAIN DATA, Orders'!$S:$S,'MAIN DATA, Orders'!$Y:$Y,$A14,'MAIN DATA, Orders'!$D:$D,"United Kingdom",'MAIN DATA, Orders'!$I:$I,"Tank")/1000000000)</f>
        <v>0</v>
      </c>
      <c r="T14" s="15">
        <f>(SUMIFS('MAIN DATA, Orders'!$S:$S,'MAIN DATA, Orders'!$Y:$Y,$A14,'MAIN DATA, Orders'!$D:$D,"United Kingdom",'MAIN DATA, Orders'!$I:$I,"Development - Tank")/1000000000)</f>
        <v>0</v>
      </c>
      <c r="U14" s="15">
        <f>(SUMIFS('MAIN DATA, Orders'!$S:$S,'MAIN DATA, Orders'!$Y:$Y,$A14,'MAIN DATA, Orders'!$D:$D,"United Kingdom",'MAIN DATA, Orders'!$I:$I,"Maintenance")/1000000000)</f>
        <v>0.24</v>
      </c>
      <c r="V14" s="15">
        <f>(SUMIFS('MAIN DATA, Orders'!$S:$S,'MAIN DATA, Orders'!$Y:$Y,$A14,'MAIN DATA, Orders'!$D:$D,"United Kingdom",'MAIN DATA, Orders'!$I:$I,"Development - Maintenance")/1000000000)</f>
        <v>0</v>
      </c>
      <c r="W14" s="15">
        <f>(SUMIFS('MAIN DATA, Orders'!$S:$S,'MAIN DATA, Orders'!$Y:$Y,$A14,'MAIN DATA, Orders'!$D:$D,"United Kingdom",'MAIN DATA, Orders'!$I:$I,"Mine")/1000000000)</f>
        <v>0</v>
      </c>
      <c r="X14" s="15">
        <f>(SUMIFS('MAIN DATA, Orders'!$S:$S,'MAIN DATA, Orders'!$Y:$Y,$A14,'MAIN DATA, Orders'!$D:$D,"United Kingdom",'MAIN DATA, Orders'!$I:$I,"Development - Mine")/1000000000)</f>
        <v>0</v>
      </c>
      <c r="Y14" s="15">
        <f>(SUMIFS('MAIN DATA, Orders'!$S:$S,'MAIN DATA, Orders'!$Y:$Y,$A14,'MAIN DATA, Orders'!$D:$D,"United Kingdom",'MAIN DATA, Orders'!$J:$J,"6")/1000000000)</f>
        <v>0</v>
      </c>
      <c r="Z14" s="15" cm="1">
        <f t="array" ref="Z14">SUM(SUMIFS('MAIN DATA, Orders'!$S:$S,'MAIN DATA, Orders'!$Y:$Y,$A14,'MAIN DATA, Orders'!$D:$D,"United Kingdom",'MAIN DATA, Orders'!$I:$I,{"Development - Missile (Land)","Development - Missile (Naval)","Development - Missile (Air)"})/1000000000)</f>
        <v>0</v>
      </c>
      <c r="AA14" s="15">
        <f>(SUMIFS('MAIN DATA, Orders'!$S:$S,'MAIN DATA, Orders'!$Y:$Y,$A14,'MAIN DATA, Orders'!$D:$D,"United Kingdom",'MAIN DATA, Orders'!$I:$I,"Modernisation")/1000000000)</f>
        <v>0</v>
      </c>
      <c r="AB14" s="15">
        <f>(SUMIFS('MAIN DATA, Orders'!$S:$S,'MAIN DATA, Orders'!$Y:$Y,$A14,'MAIN DATA, Orders'!$D:$D,"United Kingdom",'MAIN DATA, Orders'!$I:$I,"Development - Modernisation")/1000000000)</f>
        <v>0</v>
      </c>
      <c r="AC14" s="15">
        <f>(SUMIFS('MAIN DATA, Orders'!$S:$S,'MAIN DATA, Orders'!$Y:$Y,$A14,'MAIN DATA, Orders'!$D:$D,"United Kingdom",'MAIN DATA, Orders'!$I:$I,"Naval")/1000000000)</f>
        <v>0</v>
      </c>
      <c r="AD14" s="15">
        <f>(SUMIFS('MAIN DATA, Orders'!$S:$S,'MAIN DATA, Orders'!$Y:$Y,$A14,'MAIN DATA, Orders'!$D:$D,"United Kingdom",'MAIN DATA, Orders'!$I:$I,"Development - Naval")/1000000000)</f>
        <v>0</v>
      </c>
      <c r="AE14" s="15">
        <f>(SUMIFS('MAIN DATA, Orders'!$S:$S,'MAIN DATA, Orders'!$Y:$Y,$A14,'MAIN DATA, Orders'!$D:$D,"United Kingdom",'MAIN DATA, Orders'!$I:$I,"Other")/1000000000)</f>
        <v>0</v>
      </c>
      <c r="AF14" s="15">
        <f>(SUMIFS('MAIN DATA, Orders'!$S:$S,'MAIN DATA, Orders'!$Y:$Y,$A14,'MAIN DATA, Orders'!$D:$D,"United Kingdom",'MAIN DATA, Orders'!$I:$I,"Development - Other")/1000000000)</f>
        <v>0</v>
      </c>
      <c r="AG14" s="15"/>
      <c r="AH14" s="15" cm="1">
        <f t="array" ref="AH14">SUM(SUMIFS('MAIN DATA, Orders'!$S:$S,'MAIN DATA, Orders'!$Y:$Y,$A14,'MAIN DATA, Orders'!$D:$D,"United Kingdom",'MAIN DATA, Orders'!$I:$I,{"Missile (Land)","Development - Missile (Land)"})/1000000000)</f>
        <v>0</v>
      </c>
      <c r="AI14" s="15" cm="1">
        <f t="array" ref="AI14">SUM(SUMIFS('MAIN DATA, Orders'!$S:$S,'MAIN DATA, Orders'!$D:$D,"United Kingdom",'MAIN DATA, Orders'!$I:$I,{"Missile (Air)","Development - Missile (Air)"},'MAIN DATA, Orders'!$Y:$Y,$A14)/1000000000)</f>
        <v>0</v>
      </c>
      <c r="AJ14" s="15" cm="1">
        <f t="array" ref="AJ14">SUM(SUMIFS('MAIN DATA, Orders'!$S:$S,'MAIN DATA, Orders'!$Y:$Y,$A14,'MAIN DATA, Orders'!$D:$D,"United Kingdom",'MAIN DATA, Orders'!$I:$I,{"Missile (Naval)","Development - Missile (Naval)"})/1000000000)</f>
        <v>0</v>
      </c>
    </row>
    <row r="15" spans="1:36" x14ac:dyDescent="0.35">
      <c r="A15" s="20">
        <v>202009</v>
      </c>
      <c r="B15" s="17">
        <v>44075</v>
      </c>
      <c r="C15" s="15">
        <f>(SUMIFS('MAIN DATA, Orders'!$S:$S,'MAIN DATA, Orders'!$Y:$Y,$A15,'MAIN DATA, Orders'!$D:$D,"United Kingdom",'MAIN DATA, Orders'!$I:$I,"Air defence system")/1000000000)</f>
        <v>0</v>
      </c>
      <c r="D15" s="15">
        <f>(SUMIFS('MAIN DATA, Orders'!$S:$S,'MAIN DATA, Orders'!$Y:$Y,$A15,'MAIN DATA, Orders'!$D:$D,"United Kingdom",'MAIN DATA, Orders'!$I:$I,"Development - Air defence system")/1000000000)</f>
        <v>0</v>
      </c>
      <c r="E15" s="15">
        <f>(SUMIFS('MAIN DATA, Orders'!$S:$S,'MAIN DATA, Orders'!$Y:$Y,$A15,'MAIN DATA, Orders'!$D:$D,"United Kingdom",'MAIN DATA, Orders'!$I:$I,"Aircraft")/1000000000)</f>
        <v>0.317</v>
      </c>
      <c r="F15" s="15">
        <f>(SUMIFS('MAIN DATA, Orders'!$S:$S,'MAIN DATA, Orders'!$Y:$Y,$A15,'MAIN DATA, Orders'!$D:$D,"United Kingdom",'MAIN DATA, Orders'!$I:$I,"Development - Aircraft")/1000000000)</f>
        <v>0</v>
      </c>
      <c r="G15" s="15">
        <f>(SUMIFS('MAIN DATA, Orders'!$S:$S,'MAIN DATA, Orders'!$Y:$Y,$A15,'MAIN DATA, Orders'!$D:$D,"United Kingdom",'MAIN DATA, Orders'!$I:$I,"Ammunition")/1000000000)</f>
        <v>0</v>
      </c>
      <c r="H15" s="15">
        <f>(SUMIFS('MAIN DATA, Orders'!$S:$S,'MAIN DATA, Orders'!$Y:$Y,$A15,'MAIN DATA, Orders'!$D:$D,"United Kingdom",'MAIN DATA, Orders'!$I:$I,"Development - Ammunition")/1000000000)</f>
        <v>0</v>
      </c>
      <c r="I15" s="15">
        <f>(SUMIFS('MAIN DATA, Orders'!$S:$S,'MAIN DATA, Orders'!$Y:$Y,$A15,'MAIN DATA, Orders'!$D:$D,"United Kingdom",'MAIN DATA, Orders'!$I:$I,"Armoured vehicle")/1000000000)</f>
        <v>0</v>
      </c>
      <c r="J15" s="15">
        <f>(SUMIFS('MAIN DATA, Orders'!$S:$S,'MAIN DATA, Orders'!$Y:$Y,$A15,'MAIN DATA, Orders'!$D:$D,"United Kingdom",'MAIN DATA, Orders'!$I:$I,"Development - Armoured vehicle")/1000000000)</f>
        <v>0</v>
      </c>
      <c r="K15" s="15">
        <f>(SUMIFS('MAIN DATA, Orders'!$S:$S,'MAIN DATA, Orders'!$Y:$Y,$A15,'MAIN DATA, Orders'!$D:$D,"United Kingdom",'MAIN DATA, Orders'!$I:$I,"Artillery")/1000000000)</f>
        <v>0</v>
      </c>
      <c r="L15" s="15">
        <f>(SUMIFS('MAIN DATA, Orders'!$S:$S,'MAIN DATA, Orders'!$Y:$Y,$A15,'MAIN DATA, Orders'!$D:$D,"United Kingdom",'MAIN DATA, Orders'!$I:$I,"Development - Artillery")/1000000000)</f>
        <v>0</v>
      </c>
      <c r="M15" s="15">
        <f>(SUMIFS('MAIN DATA, Orders'!$S:$S,'MAIN DATA, Orders'!$Y:$Y,$A15,'MAIN DATA, Orders'!$D:$D,"United Kingdom",'MAIN DATA, Orders'!$I:$I,"Drone")/1000000000)</f>
        <v>0</v>
      </c>
      <c r="N15" s="15">
        <f>(SUMIFS('MAIN DATA, Orders'!$S:$S,'MAIN DATA, Orders'!$Y:$Y,$A15,'MAIN DATA, Orders'!$D:$D,"United Kingdom",'MAIN DATA, Orders'!$I:$I,"Development - Drone")/1000000000)</f>
        <v>0</v>
      </c>
      <c r="O15" s="15">
        <f>(SUMIFS('MAIN DATA, Orders'!$S:$S,'MAIN DATA, Orders'!$Y:$Y,$A15,'MAIN DATA, Orders'!$D:$D,"United Kingdom",'MAIN DATA, Orders'!$I:$I,"Helicopter")/1000000000)</f>
        <v>0</v>
      </c>
      <c r="P15" s="15">
        <f>(SUMIFS('MAIN DATA, Orders'!$S:$S,'MAIN DATA, Orders'!$Y:$Y,$A15,'MAIN DATA, Orders'!$D:$D,"United Kingdom",'MAIN DATA, Orders'!$I:$I,"Development - Helicopter")/1000000000)</f>
        <v>0</v>
      </c>
      <c r="Q15" s="15">
        <f>(SUMIFS('MAIN DATA, Orders'!$S:$S,'MAIN DATA, Orders'!$Y:$Y,$A15,'MAIN DATA, Orders'!$D:$D,"United Kingdom",'MAIN DATA, Orders'!$I:$I,"Infantry")/1000000000)</f>
        <v>0</v>
      </c>
      <c r="R15" s="15">
        <f>(SUMIFS('MAIN DATA, Orders'!$S:$S,'MAIN DATA, Orders'!$Y:$Y,$A15,'MAIN DATA, Orders'!$D:$D,"United Kingdom",'MAIN DATA, Orders'!$I:$I,"Development - Infantry")/1000000000)</f>
        <v>0</v>
      </c>
      <c r="S15" s="15">
        <f>(SUMIFS('MAIN DATA, Orders'!$S:$S,'MAIN DATA, Orders'!$Y:$Y,$A15,'MAIN DATA, Orders'!$D:$D,"United Kingdom",'MAIN DATA, Orders'!$I:$I,"Tank")/1000000000)</f>
        <v>0</v>
      </c>
      <c r="T15" s="15">
        <f>(SUMIFS('MAIN DATA, Orders'!$S:$S,'MAIN DATA, Orders'!$Y:$Y,$A15,'MAIN DATA, Orders'!$D:$D,"United Kingdom",'MAIN DATA, Orders'!$I:$I,"Development - Tank")/1000000000)</f>
        <v>0</v>
      </c>
      <c r="U15" s="15">
        <f>(SUMIFS('MAIN DATA, Orders'!$S:$S,'MAIN DATA, Orders'!$Y:$Y,$A15,'MAIN DATA, Orders'!$D:$D,"United Kingdom",'MAIN DATA, Orders'!$I:$I,"Maintenance")/1000000000)</f>
        <v>0</v>
      </c>
      <c r="V15" s="15">
        <f>(SUMIFS('MAIN DATA, Orders'!$S:$S,'MAIN DATA, Orders'!$Y:$Y,$A15,'MAIN DATA, Orders'!$D:$D,"United Kingdom",'MAIN DATA, Orders'!$I:$I,"Development - Maintenance")/1000000000)</f>
        <v>0</v>
      </c>
      <c r="W15" s="15">
        <f>(SUMIFS('MAIN DATA, Orders'!$S:$S,'MAIN DATA, Orders'!$Y:$Y,$A15,'MAIN DATA, Orders'!$D:$D,"United Kingdom",'MAIN DATA, Orders'!$I:$I,"Mine")/1000000000)</f>
        <v>0</v>
      </c>
      <c r="X15" s="15">
        <f>(SUMIFS('MAIN DATA, Orders'!$S:$S,'MAIN DATA, Orders'!$Y:$Y,$A15,'MAIN DATA, Orders'!$D:$D,"United Kingdom",'MAIN DATA, Orders'!$I:$I,"Development - Mine")/1000000000)</f>
        <v>0</v>
      </c>
      <c r="Y15" s="15">
        <f>(SUMIFS('MAIN DATA, Orders'!$S:$S,'MAIN DATA, Orders'!$Y:$Y,$A15,'MAIN DATA, Orders'!$D:$D,"United Kingdom",'MAIN DATA, Orders'!$J:$J,"6")/1000000000)</f>
        <v>0</v>
      </c>
      <c r="Z15" s="15" cm="1">
        <f t="array" ref="Z15">SUM(SUMIFS('MAIN DATA, Orders'!$S:$S,'MAIN DATA, Orders'!$Y:$Y,$A15,'MAIN DATA, Orders'!$D:$D,"United Kingdom",'MAIN DATA, Orders'!$I:$I,{"Development - Missile (Land)","Development - Missile (Naval)","Development - Missile (Air)"})/1000000000)</f>
        <v>0</v>
      </c>
      <c r="AA15" s="15">
        <f>(SUMIFS('MAIN DATA, Orders'!$S:$S,'MAIN DATA, Orders'!$Y:$Y,$A15,'MAIN DATA, Orders'!$D:$D,"United Kingdom",'MAIN DATA, Orders'!$I:$I,"Modernisation")/1000000000)</f>
        <v>0</v>
      </c>
      <c r="AB15" s="15">
        <f>(SUMIFS('MAIN DATA, Orders'!$S:$S,'MAIN DATA, Orders'!$Y:$Y,$A15,'MAIN DATA, Orders'!$D:$D,"United Kingdom",'MAIN DATA, Orders'!$I:$I,"Development - Modernisation")/1000000000)</f>
        <v>0</v>
      </c>
      <c r="AC15" s="15">
        <f>(SUMIFS('MAIN DATA, Orders'!$S:$S,'MAIN DATA, Orders'!$Y:$Y,$A15,'MAIN DATA, Orders'!$D:$D,"United Kingdom",'MAIN DATA, Orders'!$I:$I,"Naval")/1000000000)</f>
        <v>7.0000000000000001E-3</v>
      </c>
      <c r="AD15" s="15">
        <f>(SUMIFS('MAIN DATA, Orders'!$S:$S,'MAIN DATA, Orders'!$Y:$Y,$A15,'MAIN DATA, Orders'!$D:$D,"United Kingdom",'MAIN DATA, Orders'!$I:$I,"Development - Naval")/1000000000)</f>
        <v>0</v>
      </c>
      <c r="AE15" s="15">
        <f>(SUMIFS('MAIN DATA, Orders'!$S:$S,'MAIN DATA, Orders'!$Y:$Y,$A15,'MAIN DATA, Orders'!$D:$D,"United Kingdom",'MAIN DATA, Orders'!$I:$I,"Other")/1000000000)</f>
        <v>0</v>
      </c>
      <c r="AF15" s="15">
        <f>(SUMIFS('MAIN DATA, Orders'!$S:$S,'MAIN DATA, Orders'!$Y:$Y,$A15,'MAIN DATA, Orders'!$D:$D,"United Kingdom",'MAIN DATA, Orders'!$I:$I,"Development - Other")/1000000000)</f>
        <v>0</v>
      </c>
      <c r="AG15" s="15"/>
      <c r="AH15" s="15" cm="1">
        <f t="array" ref="AH15">SUM(SUMIFS('MAIN DATA, Orders'!$S:$S,'MAIN DATA, Orders'!$Y:$Y,$A15,'MAIN DATA, Orders'!$D:$D,"United Kingdom",'MAIN DATA, Orders'!$I:$I,{"Missile (Land)","Development - Missile (Land)"})/1000000000)</f>
        <v>0</v>
      </c>
      <c r="AI15" s="15" cm="1">
        <f t="array" ref="AI15">SUM(SUMIFS('MAIN DATA, Orders'!$S:$S,'MAIN DATA, Orders'!$D:$D,"United Kingdom",'MAIN DATA, Orders'!$I:$I,{"Missile (Air)","Development - Missile (Air)"},'MAIN DATA, Orders'!$Y:$Y,$A15)/1000000000)</f>
        <v>0</v>
      </c>
      <c r="AJ15" s="15" cm="1">
        <f t="array" ref="AJ15">SUM(SUMIFS('MAIN DATA, Orders'!$S:$S,'MAIN DATA, Orders'!$Y:$Y,$A15,'MAIN DATA, Orders'!$D:$D,"United Kingdom",'MAIN DATA, Orders'!$I:$I,{"Missile (Naval)","Development - Missile (Naval)"})/1000000000)</f>
        <v>0</v>
      </c>
    </row>
    <row r="16" spans="1:36" x14ac:dyDescent="0.35">
      <c r="A16" s="20">
        <v>202010</v>
      </c>
      <c r="B16" s="17">
        <v>44105</v>
      </c>
      <c r="C16" s="15">
        <f>(SUMIFS('MAIN DATA, Orders'!$S:$S,'MAIN DATA, Orders'!$Y:$Y,$A16,'MAIN DATA, Orders'!$D:$D,"United Kingdom",'MAIN DATA, Orders'!$I:$I,"Air defence system")/1000000000)</f>
        <v>0</v>
      </c>
      <c r="D16" s="15">
        <f>(SUMIFS('MAIN DATA, Orders'!$S:$S,'MAIN DATA, Orders'!$Y:$Y,$A16,'MAIN DATA, Orders'!$D:$D,"United Kingdom",'MAIN DATA, Orders'!$I:$I,"Development - Air defence system")/1000000000)</f>
        <v>0</v>
      </c>
      <c r="E16" s="15">
        <f>(SUMIFS('MAIN DATA, Orders'!$S:$S,'MAIN DATA, Orders'!$Y:$Y,$A16,'MAIN DATA, Orders'!$D:$D,"United Kingdom",'MAIN DATA, Orders'!$I:$I,"Aircraft")/1000000000)</f>
        <v>0</v>
      </c>
      <c r="F16" s="15">
        <f>(SUMIFS('MAIN DATA, Orders'!$S:$S,'MAIN DATA, Orders'!$Y:$Y,$A16,'MAIN DATA, Orders'!$D:$D,"United Kingdom",'MAIN DATA, Orders'!$I:$I,"Development - Aircraft")/1000000000)</f>
        <v>0</v>
      </c>
      <c r="G16" s="15">
        <f>(SUMIFS('MAIN DATA, Orders'!$S:$S,'MAIN DATA, Orders'!$Y:$Y,$A16,'MAIN DATA, Orders'!$D:$D,"United Kingdom",'MAIN DATA, Orders'!$I:$I,"Ammunition")/1000000000)</f>
        <v>0</v>
      </c>
      <c r="H16" s="15">
        <f>(SUMIFS('MAIN DATA, Orders'!$S:$S,'MAIN DATA, Orders'!$Y:$Y,$A16,'MAIN DATA, Orders'!$D:$D,"United Kingdom",'MAIN DATA, Orders'!$I:$I,"Development - Ammunition")/1000000000)</f>
        <v>0</v>
      </c>
      <c r="I16" s="15">
        <f>(SUMIFS('MAIN DATA, Orders'!$S:$S,'MAIN DATA, Orders'!$Y:$Y,$A16,'MAIN DATA, Orders'!$D:$D,"United Kingdom",'MAIN DATA, Orders'!$I:$I,"Armoured vehicle")/1000000000)</f>
        <v>0</v>
      </c>
      <c r="J16" s="15">
        <f>(SUMIFS('MAIN DATA, Orders'!$S:$S,'MAIN DATA, Orders'!$Y:$Y,$A16,'MAIN DATA, Orders'!$D:$D,"United Kingdom",'MAIN DATA, Orders'!$I:$I,"Development - Armoured vehicle")/1000000000)</f>
        <v>0</v>
      </c>
      <c r="K16" s="15">
        <f>(SUMIFS('MAIN DATA, Orders'!$S:$S,'MAIN DATA, Orders'!$Y:$Y,$A16,'MAIN DATA, Orders'!$D:$D,"United Kingdom",'MAIN DATA, Orders'!$I:$I,"Artillery")/1000000000)</f>
        <v>0</v>
      </c>
      <c r="L16" s="15">
        <f>(SUMIFS('MAIN DATA, Orders'!$S:$S,'MAIN DATA, Orders'!$Y:$Y,$A16,'MAIN DATA, Orders'!$D:$D,"United Kingdom",'MAIN DATA, Orders'!$I:$I,"Development - Artillery")/1000000000)</f>
        <v>0</v>
      </c>
      <c r="M16" s="15">
        <f>(SUMIFS('MAIN DATA, Orders'!$S:$S,'MAIN DATA, Orders'!$Y:$Y,$A16,'MAIN DATA, Orders'!$D:$D,"United Kingdom",'MAIN DATA, Orders'!$I:$I,"Drone")/1000000000)</f>
        <v>0</v>
      </c>
      <c r="N16" s="15">
        <f>(SUMIFS('MAIN DATA, Orders'!$S:$S,'MAIN DATA, Orders'!$Y:$Y,$A16,'MAIN DATA, Orders'!$D:$D,"United Kingdom",'MAIN DATA, Orders'!$I:$I,"Development - Drone")/1000000000)</f>
        <v>0</v>
      </c>
      <c r="O16" s="15">
        <f>(SUMIFS('MAIN DATA, Orders'!$S:$S,'MAIN DATA, Orders'!$Y:$Y,$A16,'MAIN DATA, Orders'!$D:$D,"United Kingdom",'MAIN DATA, Orders'!$I:$I,"Helicopter")/1000000000)</f>
        <v>0</v>
      </c>
      <c r="P16" s="15">
        <f>(SUMIFS('MAIN DATA, Orders'!$S:$S,'MAIN DATA, Orders'!$Y:$Y,$A16,'MAIN DATA, Orders'!$D:$D,"United Kingdom",'MAIN DATA, Orders'!$I:$I,"Development - Helicopter")/1000000000)</f>
        <v>0</v>
      </c>
      <c r="Q16" s="15">
        <f>(SUMIFS('MAIN DATA, Orders'!$S:$S,'MAIN DATA, Orders'!$Y:$Y,$A16,'MAIN DATA, Orders'!$D:$D,"United Kingdom",'MAIN DATA, Orders'!$I:$I,"Infantry")/1000000000)</f>
        <v>0</v>
      </c>
      <c r="R16" s="15">
        <f>(SUMIFS('MAIN DATA, Orders'!$S:$S,'MAIN DATA, Orders'!$Y:$Y,$A16,'MAIN DATA, Orders'!$D:$D,"United Kingdom",'MAIN DATA, Orders'!$I:$I,"Development - Infantry")/1000000000)</f>
        <v>0</v>
      </c>
      <c r="S16" s="15">
        <f>(SUMIFS('MAIN DATA, Orders'!$S:$S,'MAIN DATA, Orders'!$Y:$Y,$A16,'MAIN DATA, Orders'!$D:$D,"United Kingdom",'MAIN DATA, Orders'!$I:$I,"Tank")/1000000000)</f>
        <v>0</v>
      </c>
      <c r="T16" s="15">
        <f>(SUMIFS('MAIN DATA, Orders'!$S:$S,'MAIN DATA, Orders'!$Y:$Y,$A16,'MAIN DATA, Orders'!$D:$D,"United Kingdom",'MAIN DATA, Orders'!$I:$I,"Development - Tank")/1000000000)</f>
        <v>0</v>
      </c>
      <c r="U16" s="15">
        <f>(SUMIFS('MAIN DATA, Orders'!$S:$S,'MAIN DATA, Orders'!$Y:$Y,$A16,'MAIN DATA, Orders'!$D:$D,"United Kingdom",'MAIN DATA, Orders'!$I:$I,"Maintenance")/1000000000)</f>
        <v>0</v>
      </c>
      <c r="V16" s="15">
        <f>(SUMIFS('MAIN DATA, Orders'!$S:$S,'MAIN DATA, Orders'!$Y:$Y,$A16,'MAIN DATA, Orders'!$D:$D,"United Kingdom",'MAIN DATA, Orders'!$I:$I,"Development - Maintenance")/1000000000)</f>
        <v>0</v>
      </c>
      <c r="W16" s="15">
        <f>(SUMIFS('MAIN DATA, Orders'!$S:$S,'MAIN DATA, Orders'!$Y:$Y,$A16,'MAIN DATA, Orders'!$D:$D,"United Kingdom",'MAIN DATA, Orders'!$I:$I,"Mine")/1000000000)</f>
        <v>0</v>
      </c>
      <c r="X16" s="15">
        <f>(SUMIFS('MAIN DATA, Orders'!$S:$S,'MAIN DATA, Orders'!$Y:$Y,$A16,'MAIN DATA, Orders'!$D:$D,"United Kingdom",'MAIN DATA, Orders'!$I:$I,"Development - Mine")/1000000000)</f>
        <v>0</v>
      </c>
      <c r="Y16" s="15">
        <f>(SUMIFS('MAIN DATA, Orders'!$S:$S,'MAIN DATA, Orders'!$Y:$Y,$A16,'MAIN DATA, Orders'!$D:$D,"United Kingdom",'MAIN DATA, Orders'!$J:$J,"6")/1000000000)</f>
        <v>0</v>
      </c>
      <c r="Z16" s="15" cm="1">
        <f t="array" ref="Z16">SUM(SUMIFS('MAIN DATA, Orders'!$S:$S,'MAIN DATA, Orders'!$Y:$Y,$A16,'MAIN DATA, Orders'!$D:$D,"United Kingdom",'MAIN DATA, Orders'!$I:$I,{"Development - Missile (Land)","Development - Missile (Naval)","Development - Missile (Air)"})/1000000000)</f>
        <v>0</v>
      </c>
      <c r="AA16" s="15">
        <f>(SUMIFS('MAIN DATA, Orders'!$S:$S,'MAIN DATA, Orders'!$Y:$Y,$A16,'MAIN DATA, Orders'!$D:$D,"United Kingdom",'MAIN DATA, Orders'!$I:$I,"Modernisation")/1000000000)</f>
        <v>0</v>
      </c>
      <c r="AB16" s="15">
        <f>(SUMIFS('MAIN DATA, Orders'!$S:$S,'MAIN DATA, Orders'!$Y:$Y,$A16,'MAIN DATA, Orders'!$D:$D,"United Kingdom",'MAIN DATA, Orders'!$I:$I,"Development - Modernisation")/1000000000)</f>
        <v>0</v>
      </c>
      <c r="AC16" s="15">
        <f>(SUMIFS('MAIN DATA, Orders'!$S:$S,'MAIN DATA, Orders'!$Y:$Y,$A16,'MAIN DATA, Orders'!$D:$D,"United Kingdom",'MAIN DATA, Orders'!$I:$I,"Naval")/1000000000)</f>
        <v>0</v>
      </c>
      <c r="AD16" s="15">
        <f>(SUMIFS('MAIN DATA, Orders'!$S:$S,'MAIN DATA, Orders'!$Y:$Y,$A16,'MAIN DATA, Orders'!$D:$D,"United Kingdom",'MAIN DATA, Orders'!$I:$I,"Development - Naval")/1000000000)</f>
        <v>0</v>
      </c>
      <c r="AE16" s="15">
        <f>(SUMIFS('MAIN DATA, Orders'!$S:$S,'MAIN DATA, Orders'!$Y:$Y,$A16,'MAIN DATA, Orders'!$D:$D,"United Kingdom",'MAIN DATA, Orders'!$I:$I,"Other")/1000000000)</f>
        <v>4.5999999999999999E-2</v>
      </c>
      <c r="AF16" s="15">
        <f>(SUMIFS('MAIN DATA, Orders'!$S:$S,'MAIN DATA, Orders'!$Y:$Y,$A16,'MAIN DATA, Orders'!$D:$D,"United Kingdom",'MAIN DATA, Orders'!$I:$I,"Development - Other")/1000000000)</f>
        <v>0</v>
      </c>
      <c r="AG16" s="15"/>
      <c r="AH16" s="15" cm="1">
        <f t="array" ref="AH16">SUM(SUMIFS('MAIN DATA, Orders'!$S:$S,'MAIN DATA, Orders'!$Y:$Y,$A16,'MAIN DATA, Orders'!$D:$D,"United Kingdom",'MAIN DATA, Orders'!$I:$I,{"Missile (Land)","Development - Missile (Land)"})/1000000000)</f>
        <v>0</v>
      </c>
      <c r="AI16" s="15" cm="1">
        <f t="array" ref="AI16">SUM(SUMIFS('MAIN DATA, Orders'!$S:$S,'MAIN DATA, Orders'!$D:$D,"United Kingdom",'MAIN DATA, Orders'!$I:$I,{"Missile (Air)","Development - Missile (Air)"},'MAIN DATA, Orders'!$Y:$Y,$A16)/1000000000)</f>
        <v>0</v>
      </c>
      <c r="AJ16" s="15" cm="1">
        <f t="array" ref="AJ16">SUM(SUMIFS('MAIN DATA, Orders'!$S:$S,'MAIN DATA, Orders'!$Y:$Y,$A16,'MAIN DATA, Orders'!$D:$D,"United Kingdom",'MAIN DATA, Orders'!$I:$I,{"Missile (Naval)","Development - Missile (Naval)"})/1000000000)</f>
        <v>0</v>
      </c>
    </row>
    <row r="17" spans="1:36" x14ac:dyDescent="0.35">
      <c r="A17" s="20">
        <v>202011</v>
      </c>
      <c r="B17" s="17">
        <v>44136</v>
      </c>
      <c r="C17" s="15">
        <f>(SUMIFS('MAIN DATA, Orders'!$S:$S,'MAIN DATA, Orders'!$Y:$Y,$A17,'MAIN DATA, Orders'!$D:$D,"United Kingdom",'MAIN DATA, Orders'!$I:$I,"Air defence system")/1000000000)</f>
        <v>0</v>
      </c>
      <c r="D17" s="15">
        <f>(SUMIFS('MAIN DATA, Orders'!$S:$S,'MAIN DATA, Orders'!$Y:$Y,$A17,'MAIN DATA, Orders'!$D:$D,"United Kingdom",'MAIN DATA, Orders'!$I:$I,"Development - Air defence system")/1000000000)</f>
        <v>0</v>
      </c>
      <c r="E17" s="15">
        <f>(SUMIFS('MAIN DATA, Orders'!$S:$S,'MAIN DATA, Orders'!$Y:$Y,$A17,'MAIN DATA, Orders'!$D:$D,"United Kingdom",'MAIN DATA, Orders'!$I:$I,"Aircraft")/1000000000)</f>
        <v>0</v>
      </c>
      <c r="F17" s="15">
        <f>(SUMIFS('MAIN DATA, Orders'!$S:$S,'MAIN DATA, Orders'!$Y:$Y,$A17,'MAIN DATA, Orders'!$D:$D,"United Kingdom",'MAIN DATA, Orders'!$I:$I,"Development - Aircraft")/1000000000)</f>
        <v>0</v>
      </c>
      <c r="G17" s="15">
        <f>(SUMIFS('MAIN DATA, Orders'!$S:$S,'MAIN DATA, Orders'!$Y:$Y,$A17,'MAIN DATA, Orders'!$D:$D,"United Kingdom",'MAIN DATA, Orders'!$I:$I,"Ammunition")/1000000000)</f>
        <v>2.4</v>
      </c>
      <c r="H17" s="15">
        <f>(SUMIFS('MAIN DATA, Orders'!$S:$S,'MAIN DATA, Orders'!$Y:$Y,$A17,'MAIN DATA, Orders'!$D:$D,"United Kingdom",'MAIN DATA, Orders'!$I:$I,"Development - Ammunition")/1000000000)</f>
        <v>0</v>
      </c>
      <c r="I17" s="15">
        <f>(SUMIFS('MAIN DATA, Orders'!$S:$S,'MAIN DATA, Orders'!$Y:$Y,$A17,'MAIN DATA, Orders'!$D:$D,"United Kingdom",'MAIN DATA, Orders'!$I:$I,"Armoured vehicle")/1000000000)</f>
        <v>0</v>
      </c>
      <c r="J17" s="15">
        <f>(SUMIFS('MAIN DATA, Orders'!$S:$S,'MAIN DATA, Orders'!$Y:$Y,$A17,'MAIN DATA, Orders'!$D:$D,"United Kingdom",'MAIN DATA, Orders'!$I:$I,"Development - Armoured vehicle")/1000000000)</f>
        <v>0</v>
      </c>
      <c r="K17" s="15">
        <f>(SUMIFS('MAIN DATA, Orders'!$S:$S,'MAIN DATA, Orders'!$Y:$Y,$A17,'MAIN DATA, Orders'!$D:$D,"United Kingdom",'MAIN DATA, Orders'!$I:$I,"Artillery")/1000000000)</f>
        <v>0</v>
      </c>
      <c r="L17" s="15">
        <f>(SUMIFS('MAIN DATA, Orders'!$S:$S,'MAIN DATA, Orders'!$Y:$Y,$A17,'MAIN DATA, Orders'!$D:$D,"United Kingdom",'MAIN DATA, Orders'!$I:$I,"Development - Artillery")/1000000000)</f>
        <v>0</v>
      </c>
      <c r="M17" s="15">
        <f>(SUMIFS('MAIN DATA, Orders'!$S:$S,'MAIN DATA, Orders'!$Y:$Y,$A17,'MAIN DATA, Orders'!$D:$D,"United Kingdom",'MAIN DATA, Orders'!$I:$I,"Drone")/1000000000)</f>
        <v>0</v>
      </c>
      <c r="N17" s="15">
        <f>(SUMIFS('MAIN DATA, Orders'!$S:$S,'MAIN DATA, Orders'!$Y:$Y,$A17,'MAIN DATA, Orders'!$D:$D,"United Kingdom",'MAIN DATA, Orders'!$I:$I,"Development - Drone")/1000000000)</f>
        <v>0</v>
      </c>
      <c r="O17" s="15">
        <f>(SUMIFS('MAIN DATA, Orders'!$S:$S,'MAIN DATA, Orders'!$Y:$Y,$A17,'MAIN DATA, Orders'!$D:$D,"United Kingdom",'MAIN DATA, Orders'!$I:$I,"Helicopter")/1000000000)</f>
        <v>0</v>
      </c>
      <c r="P17" s="15">
        <f>(SUMIFS('MAIN DATA, Orders'!$S:$S,'MAIN DATA, Orders'!$Y:$Y,$A17,'MAIN DATA, Orders'!$D:$D,"United Kingdom",'MAIN DATA, Orders'!$I:$I,"Development - Helicopter")/1000000000)</f>
        <v>0</v>
      </c>
      <c r="Q17" s="15">
        <f>(SUMIFS('MAIN DATA, Orders'!$S:$S,'MAIN DATA, Orders'!$Y:$Y,$A17,'MAIN DATA, Orders'!$D:$D,"United Kingdom",'MAIN DATA, Orders'!$I:$I,"Infantry")/1000000000)</f>
        <v>0</v>
      </c>
      <c r="R17" s="15">
        <f>(SUMIFS('MAIN DATA, Orders'!$S:$S,'MAIN DATA, Orders'!$Y:$Y,$A17,'MAIN DATA, Orders'!$D:$D,"United Kingdom",'MAIN DATA, Orders'!$I:$I,"Development - Infantry")/1000000000)</f>
        <v>0</v>
      </c>
      <c r="S17" s="15">
        <f>(SUMIFS('MAIN DATA, Orders'!$S:$S,'MAIN DATA, Orders'!$Y:$Y,$A17,'MAIN DATA, Orders'!$D:$D,"United Kingdom",'MAIN DATA, Orders'!$I:$I,"Tank")/1000000000)</f>
        <v>0</v>
      </c>
      <c r="T17" s="15">
        <f>(SUMIFS('MAIN DATA, Orders'!$S:$S,'MAIN DATA, Orders'!$Y:$Y,$A17,'MAIN DATA, Orders'!$D:$D,"United Kingdom",'MAIN DATA, Orders'!$I:$I,"Development - Tank")/1000000000)</f>
        <v>0</v>
      </c>
      <c r="U17" s="15">
        <f>(SUMIFS('MAIN DATA, Orders'!$S:$S,'MAIN DATA, Orders'!$Y:$Y,$A17,'MAIN DATA, Orders'!$D:$D,"United Kingdom",'MAIN DATA, Orders'!$I:$I,"Maintenance")/1000000000)</f>
        <v>0</v>
      </c>
      <c r="V17" s="15">
        <f>(SUMIFS('MAIN DATA, Orders'!$S:$S,'MAIN DATA, Orders'!$Y:$Y,$A17,'MAIN DATA, Orders'!$D:$D,"United Kingdom",'MAIN DATA, Orders'!$I:$I,"Development - Maintenance")/1000000000)</f>
        <v>0</v>
      </c>
      <c r="W17" s="15">
        <f>(SUMIFS('MAIN DATA, Orders'!$S:$S,'MAIN DATA, Orders'!$Y:$Y,$A17,'MAIN DATA, Orders'!$D:$D,"United Kingdom",'MAIN DATA, Orders'!$I:$I,"Mine")/1000000000)</f>
        <v>0</v>
      </c>
      <c r="X17" s="15">
        <f>(SUMIFS('MAIN DATA, Orders'!$S:$S,'MAIN DATA, Orders'!$Y:$Y,$A17,'MAIN DATA, Orders'!$D:$D,"United Kingdom",'MAIN DATA, Orders'!$I:$I,"Development - Mine")/1000000000)</f>
        <v>0</v>
      </c>
      <c r="Y17" s="15">
        <f>(SUMIFS('MAIN DATA, Orders'!$S:$S,'MAIN DATA, Orders'!$Y:$Y,$A17,'MAIN DATA, Orders'!$D:$D,"United Kingdom",'MAIN DATA, Orders'!$J:$J,"6")/1000000000)</f>
        <v>0</v>
      </c>
      <c r="Z17" s="15" cm="1">
        <f t="array" ref="Z17">SUM(SUMIFS('MAIN DATA, Orders'!$S:$S,'MAIN DATA, Orders'!$Y:$Y,$A17,'MAIN DATA, Orders'!$D:$D,"United Kingdom",'MAIN DATA, Orders'!$I:$I,{"Development - Missile (Land)","Development - Missile (Naval)","Development - Missile (Air)"})/1000000000)</f>
        <v>0</v>
      </c>
      <c r="AA17" s="15">
        <f>(SUMIFS('MAIN DATA, Orders'!$S:$S,'MAIN DATA, Orders'!$Y:$Y,$A17,'MAIN DATA, Orders'!$D:$D,"United Kingdom",'MAIN DATA, Orders'!$I:$I,"Modernisation")/1000000000)</f>
        <v>0</v>
      </c>
      <c r="AB17" s="15">
        <f>(SUMIFS('MAIN DATA, Orders'!$S:$S,'MAIN DATA, Orders'!$Y:$Y,$A17,'MAIN DATA, Orders'!$D:$D,"United Kingdom",'MAIN DATA, Orders'!$I:$I,"Development - Modernisation")/1000000000)</f>
        <v>0</v>
      </c>
      <c r="AC17" s="15">
        <f>(SUMIFS('MAIN DATA, Orders'!$S:$S,'MAIN DATA, Orders'!$Y:$Y,$A17,'MAIN DATA, Orders'!$D:$D,"United Kingdom",'MAIN DATA, Orders'!$I:$I,"Naval")/1000000000)</f>
        <v>0</v>
      </c>
      <c r="AD17" s="15">
        <f>(SUMIFS('MAIN DATA, Orders'!$S:$S,'MAIN DATA, Orders'!$Y:$Y,$A17,'MAIN DATA, Orders'!$D:$D,"United Kingdom",'MAIN DATA, Orders'!$I:$I,"Development - Naval")/1000000000)</f>
        <v>0.184</v>
      </c>
      <c r="AE17" s="15">
        <f>(SUMIFS('MAIN DATA, Orders'!$S:$S,'MAIN DATA, Orders'!$Y:$Y,$A17,'MAIN DATA, Orders'!$D:$D,"United Kingdom",'MAIN DATA, Orders'!$I:$I,"Other")/1000000000)</f>
        <v>0</v>
      </c>
      <c r="AF17" s="15">
        <f>(SUMIFS('MAIN DATA, Orders'!$S:$S,'MAIN DATA, Orders'!$Y:$Y,$A17,'MAIN DATA, Orders'!$D:$D,"United Kingdom",'MAIN DATA, Orders'!$I:$I,"Development - Other")/1000000000)</f>
        <v>0</v>
      </c>
      <c r="AG17" s="15"/>
      <c r="AH17" s="15" cm="1">
        <f t="array" ref="AH17">SUM(SUMIFS('MAIN DATA, Orders'!$S:$S,'MAIN DATA, Orders'!$Y:$Y,$A17,'MAIN DATA, Orders'!$D:$D,"United Kingdom",'MAIN DATA, Orders'!$I:$I,{"Missile (Land)","Development - Missile (Land)"})/1000000000)</f>
        <v>0</v>
      </c>
      <c r="AI17" s="15" cm="1">
        <f t="array" ref="AI17">SUM(SUMIFS('MAIN DATA, Orders'!$S:$S,'MAIN DATA, Orders'!$D:$D,"United Kingdom",'MAIN DATA, Orders'!$I:$I,{"Missile (Air)","Development - Missile (Air)"},'MAIN DATA, Orders'!$Y:$Y,$A17)/1000000000)</f>
        <v>0</v>
      </c>
      <c r="AJ17" s="15" cm="1">
        <f t="array" ref="AJ17">SUM(SUMIFS('MAIN DATA, Orders'!$S:$S,'MAIN DATA, Orders'!$Y:$Y,$A17,'MAIN DATA, Orders'!$D:$D,"United Kingdom",'MAIN DATA, Orders'!$I:$I,{"Missile (Naval)","Development - Missile (Naval)"})/1000000000)</f>
        <v>0</v>
      </c>
    </row>
    <row r="18" spans="1:36" x14ac:dyDescent="0.35">
      <c r="A18" s="20">
        <v>202012</v>
      </c>
      <c r="B18" s="17">
        <v>44166</v>
      </c>
      <c r="C18" s="15">
        <f>(SUMIFS('MAIN DATA, Orders'!$S:$S,'MAIN DATA, Orders'!$Y:$Y,$A18,'MAIN DATA, Orders'!$D:$D,"United Kingdom",'MAIN DATA, Orders'!$I:$I,"Air defence system")/1000000000)</f>
        <v>0</v>
      </c>
      <c r="D18" s="15">
        <f>(SUMIFS('MAIN DATA, Orders'!$S:$S,'MAIN DATA, Orders'!$Y:$Y,$A18,'MAIN DATA, Orders'!$D:$D,"United Kingdom",'MAIN DATA, Orders'!$I:$I,"Development - Air defence system")/1000000000)</f>
        <v>0</v>
      </c>
      <c r="E18" s="15">
        <f>(SUMIFS('MAIN DATA, Orders'!$S:$S,'MAIN DATA, Orders'!$Y:$Y,$A18,'MAIN DATA, Orders'!$D:$D,"United Kingdom",'MAIN DATA, Orders'!$I:$I,"Aircraft")/1000000000)</f>
        <v>0</v>
      </c>
      <c r="F18" s="15">
        <f>(SUMIFS('MAIN DATA, Orders'!$S:$S,'MAIN DATA, Orders'!$Y:$Y,$A18,'MAIN DATA, Orders'!$D:$D,"United Kingdom",'MAIN DATA, Orders'!$I:$I,"Development - Aircraft")/1000000000)</f>
        <v>0</v>
      </c>
      <c r="G18" s="15">
        <f>(SUMIFS('MAIN DATA, Orders'!$S:$S,'MAIN DATA, Orders'!$Y:$Y,$A18,'MAIN DATA, Orders'!$D:$D,"United Kingdom",'MAIN DATA, Orders'!$I:$I,"Ammunition")/1000000000)</f>
        <v>0</v>
      </c>
      <c r="H18" s="15">
        <f>(SUMIFS('MAIN DATA, Orders'!$S:$S,'MAIN DATA, Orders'!$Y:$Y,$A18,'MAIN DATA, Orders'!$D:$D,"United Kingdom",'MAIN DATA, Orders'!$I:$I,"Development - Ammunition")/1000000000)</f>
        <v>0</v>
      </c>
      <c r="I18" s="15">
        <f>(SUMIFS('MAIN DATA, Orders'!$S:$S,'MAIN DATA, Orders'!$Y:$Y,$A18,'MAIN DATA, Orders'!$D:$D,"United Kingdom",'MAIN DATA, Orders'!$I:$I,"Armoured vehicle")/1000000000)</f>
        <v>0</v>
      </c>
      <c r="J18" s="15">
        <f>(SUMIFS('MAIN DATA, Orders'!$S:$S,'MAIN DATA, Orders'!$Y:$Y,$A18,'MAIN DATA, Orders'!$D:$D,"United Kingdom",'MAIN DATA, Orders'!$I:$I,"Development - Armoured vehicle")/1000000000)</f>
        <v>0</v>
      </c>
      <c r="K18" s="15">
        <f>(SUMIFS('MAIN DATA, Orders'!$S:$S,'MAIN DATA, Orders'!$Y:$Y,$A18,'MAIN DATA, Orders'!$D:$D,"United Kingdom",'MAIN DATA, Orders'!$I:$I,"Artillery")/1000000000)</f>
        <v>0</v>
      </c>
      <c r="L18" s="15">
        <f>(SUMIFS('MAIN DATA, Orders'!$S:$S,'MAIN DATA, Orders'!$Y:$Y,$A18,'MAIN DATA, Orders'!$D:$D,"United Kingdom",'MAIN DATA, Orders'!$I:$I,"Development - Artillery")/1000000000)</f>
        <v>0</v>
      </c>
      <c r="M18" s="15">
        <f>(SUMIFS('MAIN DATA, Orders'!$S:$S,'MAIN DATA, Orders'!$Y:$Y,$A18,'MAIN DATA, Orders'!$D:$D,"United Kingdom",'MAIN DATA, Orders'!$I:$I,"Drone")/1000000000)</f>
        <v>0</v>
      </c>
      <c r="N18" s="15">
        <f>(SUMIFS('MAIN DATA, Orders'!$S:$S,'MAIN DATA, Orders'!$Y:$Y,$A18,'MAIN DATA, Orders'!$D:$D,"United Kingdom",'MAIN DATA, Orders'!$I:$I,"Development - Drone")/1000000000)</f>
        <v>0</v>
      </c>
      <c r="O18" s="15">
        <f>(SUMIFS('MAIN DATA, Orders'!$S:$S,'MAIN DATA, Orders'!$Y:$Y,$A18,'MAIN DATA, Orders'!$D:$D,"United Kingdom",'MAIN DATA, Orders'!$I:$I,"Helicopter")/1000000000)</f>
        <v>0</v>
      </c>
      <c r="P18" s="15">
        <f>(SUMIFS('MAIN DATA, Orders'!$S:$S,'MAIN DATA, Orders'!$Y:$Y,$A18,'MAIN DATA, Orders'!$D:$D,"United Kingdom",'MAIN DATA, Orders'!$I:$I,"Development - Helicopter")/1000000000)</f>
        <v>0</v>
      </c>
      <c r="Q18" s="15">
        <f>(SUMIFS('MAIN DATA, Orders'!$S:$S,'MAIN DATA, Orders'!$Y:$Y,$A18,'MAIN DATA, Orders'!$D:$D,"United Kingdom",'MAIN DATA, Orders'!$I:$I,"Infantry")/1000000000)</f>
        <v>0</v>
      </c>
      <c r="R18" s="15">
        <f>(SUMIFS('MAIN DATA, Orders'!$S:$S,'MAIN DATA, Orders'!$Y:$Y,$A18,'MAIN DATA, Orders'!$D:$D,"United Kingdom",'MAIN DATA, Orders'!$I:$I,"Development - Infantry")/1000000000)</f>
        <v>0</v>
      </c>
      <c r="S18" s="15">
        <f>(SUMIFS('MAIN DATA, Orders'!$S:$S,'MAIN DATA, Orders'!$Y:$Y,$A18,'MAIN DATA, Orders'!$D:$D,"United Kingdom",'MAIN DATA, Orders'!$I:$I,"Tank")/1000000000)</f>
        <v>0</v>
      </c>
      <c r="T18" s="15">
        <f>(SUMIFS('MAIN DATA, Orders'!$S:$S,'MAIN DATA, Orders'!$Y:$Y,$A18,'MAIN DATA, Orders'!$D:$D,"United Kingdom",'MAIN DATA, Orders'!$I:$I,"Development - Tank")/1000000000)</f>
        <v>0</v>
      </c>
      <c r="U18" s="15">
        <f>(SUMIFS('MAIN DATA, Orders'!$S:$S,'MAIN DATA, Orders'!$Y:$Y,$A18,'MAIN DATA, Orders'!$D:$D,"United Kingdom",'MAIN DATA, Orders'!$I:$I,"Maintenance")/1000000000)</f>
        <v>0</v>
      </c>
      <c r="V18" s="15">
        <f>(SUMIFS('MAIN DATA, Orders'!$S:$S,'MAIN DATA, Orders'!$Y:$Y,$A18,'MAIN DATA, Orders'!$D:$D,"United Kingdom",'MAIN DATA, Orders'!$I:$I,"Development - Maintenance")/1000000000)</f>
        <v>0</v>
      </c>
      <c r="W18" s="15">
        <f>(SUMIFS('MAIN DATA, Orders'!$S:$S,'MAIN DATA, Orders'!$Y:$Y,$A18,'MAIN DATA, Orders'!$D:$D,"United Kingdom",'MAIN DATA, Orders'!$I:$I,"Mine")/1000000000)</f>
        <v>0</v>
      </c>
      <c r="X18" s="15">
        <f>(SUMIFS('MAIN DATA, Orders'!$S:$S,'MAIN DATA, Orders'!$Y:$Y,$A18,'MAIN DATA, Orders'!$D:$D,"United Kingdom",'MAIN DATA, Orders'!$I:$I,"Development - Mine")/1000000000)</f>
        <v>0</v>
      </c>
      <c r="Y18" s="15">
        <f>(SUMIFS('MAIN DATA, Orders'!$S:$S,'MAIN DATA, Orders'!$Y:$Y,$A18,'MAIN DATA, Orders'!$D:$D,"United Kingdom",'MAIN DATA, Orders'!$J:$J,"6")/1000000000)</f>
        <v>0</v>
      </c>
      <c r="Z18" s="15" cm="1">
        <f t="array" ref="Z18">SUM(SUMIFS('MAIN DATA, Orders'!$S:$S,'MAIN DATA, Orders'!$Y:$Y,$A18,'MAIN DATA, Orders'!$D:$D,"United Kingdom",'MAIN DATA, Orders'!$I:$I,{"Development - Missile (Land)","Development - Missile (Naval)","Development - Missile (Air)"})/1000000000)</f>
        <v>0</v>
      </c>
      <c r="AA18" s="15">
        <f>(SUMIFS('MAIN DATA, Orders'!$S:$S,'MAIN DATA, Orders'!$Y:$Y,$A18,'MAIN DATA, Orders'!$D:$D,"United Kingdom",'MAIN DATA, Orders'!$I:$I,"Modernisation")/1000000000)</f>
        <v>0</v>
      </c>
      <c r="AB18" s="15">
        <f>(SUMIFS('MAIN DATA, Orders'!$S:$S,'MAIN DATA, Orders'!$Y:$Y,$A18,'MAIN DATA, Orders'!$D:$D,"United Kingdom",'MAIN DATA, Orders'!$I:$I,"Development - Modernisation")/1000000000)</f>
        <v>0</v>
      </c>
      <c r="AC18" s="15">
        <f>(SUMIFS('MAIN DATA, Orders'!$S:$S,'MAIN DATA, Orders'!$Y:$Y,$A18,'MAIN DATA, Orders'!$D:$D,"United Kingdom",'MAIN DATA, Orders'!$I:$I,"Naval")/1000000000)</f>
        <v>0</v>
      </c>
      <c r="AD18" s="15">
        <f>(SUMIFS('MAIN DATA, Orders'!$S:$S,'MAIN DATA, Orders'!$Y:$Y,$A18,'MAIN DATA, Orders'!$D:$D,"United Kingdom",'MAIN DATA, Orders'!$I:$I,"Development - Naval")/1000000000)</f>
        <v>0</v>
      </c>
      <c r="AE18" s="15">
        <f>(SUMIFS('MAIN DATA, Orders'!$S:$S,'MAIN DATA, Orders'!$Y:$Y,$A18,'MAIN DATA, Orders'!$D:$D,"United Kingdom",'MAIN DATA, Orders'!$I:$I,"Other")/1000000000)</f>
        <v>0</v>
      </c>
      <c r="AF18" s="15">
        <f>(SUMIFS('MAIN DATA, Orders'!$S:$S,'MAIN DATA, Orders'!$Y:$Y,$A18,'MAIN DATA, Orders'!$D:$D,"United Kingdom",'MAIN DATA, Orders'!$I:$I,"Development - Other")/1000000000)</f>
        <v>0</v>
      </c>
      <c r="AG18" s="15"/>
      <c r="AH18" s="15" cm="1">
        <f t="array" ref="AH18">SUM(SUMIFS('MAIN DATA, Orders'!$S:$S,'MAIN DATA, Orders'!$Y:$Y,$A18,'MAIN DATA, Orders'!$D:$D,"United Kingdom",'MAIN DATA, Orders'!$I:$I,{"Missile (Land)","Development - Missile (Land)"})/1000000000)</f>
        <v>0</v>
      </c>
      <c r="AI18" s="15" cm="1">
        <f t="array" ref="AI18">SUM(SUMIFS('MAIN DATA, Orders'!$S:$S,'MAIN DATA, Orders'!$D:$D,"United Kingdom",'MAIN DATA, Orders'!$I:$I,{"Missile (Air)","Development - Missile (Air)"},'MAIN DATA, Orders'!$Y:$Y,$A18)/1000000000)</f>
        <v>0</v>
      </c>
      <c r="AJ18" s="15" cm="1">
        <f t="array" ref="AJ18">SUM(SUMIFS('MAIN DATA, Orders'!$S:$S,'MAIN DATA, Orders'!$Y:$Y,$A18,'MAIN DATA, Orders'!$D:$D,"United Kingdom",'MAIN DATA, Orders'!$I:$I,{"Missile (Naval)","Development - Missile (Naval)"})/1000000000)</f>
        <v>0</v>
      </c>
    </row>
    <row r="19" spans="1:36" x14ac:dyDescent="0.35">
      <c r="A19" s="20">
        <v>202101</v>
      </c>
      <c r="B19" s="17">
        <v>44197</v>
      </c>
      <c r="C19" s="15">
        <f>(SUMIFS('MAIN DATA, Orders'!$S:$S,'MAIN DATA, Orders'!$Y:$Y,$A19,'MAIN DATA, Orders'!$D:$D,"United Kingdom",'MAIN DATA, Orders'!$I:$I,"Air defence system")/1000000000)</f>
        <v>0</v>
      </c>
      <c r="D19" s="15">
        <f>(SUMIFS('MAIN DATA, Orders'!$S:$S,'MAIN DATA, Orders'!$Y:$Y,$A19,'MAIN DATA, Orders'!$D:$D,"United Kingdom",'MAIN DATA, Orders'!$I:$I,"Development - Air defence system")/1000000000)</f>
        <v>0</v>
      </c>
      <c r="E19" s="15">
        <f>(SUMIFS('MAIN DATA, Orders'!$S:$S,'MAIN DATA, Orders'!$Y:$Y,$A19,'MAIN DATA, Orders'!$D:$D,"United Kingdom",'MAIN DATA, Orders'!$I:$I,"Aircraft")/1000000000)</f>
        <v>0</v>
      </c>
      <c r="F19" s="15">
        <f>(SUMIFS('MAIN DATA, Orders'!$S:$S,'MAIN DATA, Orders'!$Y:$Y,$A19,'MAIN DATA, Orders'!$D:$D,"United Kingdom",'MAIN DATA, Orders'!$I:$I,"Development - Aircraft")/1000000000)</f>
        <v>0</v>
      </c>
      <c r="G19" s="15">
        <f>(SUMIFS('MAIN DATA, Orders'!$S:$S,'MAIN DATA, Orders'!$Y:$Y,$A19,'MAIN DATA, Orders'!$D:$D,"United Kingdom",'MAIN DATA, Orders'!$I:$I,"Ammunition")/1000000000)</f>
        <v>0</v>
      </c>
      <c r="H19" s="15">
        <f>(SUMIFS('MAIN DATA, Orders'!$S:$S,'MAIN DATA, Orders'!$Y:$Y,$A19,'MAIN DATA, Orders'!$D:$D,"United Kingdom",'MAIN DATA, Orders'!$I:$I,"Development - Ammunition")/1000000000)</f>
        <v>0</v>
      </c>
      <c r="I19" s="15">
        <f>(SUMIFS('MAIN DATA, Orders'!$S:$S,'MAIN DATA, Orders'!$Y:$Y,$A19,'MAIN DATA, Orders'!$D:$D,"United Kingdom",'MAIN DATA, Orders'!$I:$I,"Armoured vehicle")/1000000000)</f>
        <v>0</v>
      </c>
      <c r="J19" s="15">
        <f>(SUMIFS('MAIN DATA, Orders'!$S:$S,'MAIN DATA, Orders'!$Y:$Y,$A19,'MAIN DATA, Orders'!$D:$D,"United Kingdom",'MAIN DATA, Orders'!$I:$I,"Development - Armoured vehicle")/1000000000)</f>
        <v>0</v>
      </c>
      <c r="K19" s="15">
        <f>(SUMIFS('MAIN DATA, Orders'!$S:$S,'MAIN DATA, Orders'!$Y:$Y,$A19,'MAIN DATA, Orders'!$D:$D,"United Kingdom",'MAIN DATA, Orders'!$I:$I,"Artillery")/1000000000)</f>
        <v>0</v>
      </c>
      <c r="L19" s="15">
        <f>(SUMIFS('MAIN DATA, Orders'!$S:$S,'MAIN DATA, Orders'!$Y:$Y,$A19,'MAIN DATA, Orders'!$D:$D,"United Kingdom",'MAIN DATA, Orders'!$I:$I,"Development - Artillery")/1000000000)</f>
        <v>0</v>
      </c>
      <c r="M19" s="15">
        <f>(SUMIFS('MAIN DATA, Orders'!$S:$S,'MAIN DATA, Orders'!$Y:$Y,$A19,'MAIN DATA, Orders'!$D:$D,"United Kingdom",'MAIN DATA, Orders'!$I:$I,"Drone")/1000000000)</f>
        <v>2.5000000000000001E-2</v>
      </c>
      <c r="N19" s="15">
        <f>(SUMIFS('MAIN DATA, Orders'!$S:$S,'MAIN DATA, Orders'!$Y:$Y,$A19,'MAIN DATA, Orders'!$D:$D,"United Kingdom",'MAIN DATA, Orders'!$I:$I,"Development - Drone")/1000000000)</f>
        <v>0.03</v>
      </c>
      <c r="O19" s="15">
        <f>(SUMIFS('MAIN DATA, Orders'!$S:$S,'MAIN DATA, Orders'!$Y:$Y,$A19,'MAIN DATA, Orders'!$D:$D,"United Kingdom",'MAIN DATA, Orders'!$I:$I,"Helicopter")/1000000000)</f>
        <v>0</v>
      </c>
      <c r="P19" s="15">
        <f>(SUMIFS('MAIN DATA, Orders'!$S:$S,'MAIN DATA, Orders'!$Y:$Y,$A19,'MAIN DATA, Orders'!$D:$D,"United Kingdom",'MAIN DATA, Orders'!$I:$I,"Development - Helicopter")/1000000000)</f>
        <v>0</v>
      </c>
      <c r="Q19" s="15">
        <f>(SUMIFS('MAIN DATA, Orders'!$S:$S,'MAIN DATA, Orders'!$Y:$Y,$A19,'MAIN DATA, Orders'!$D:$D,"United Kingdom",'MAIN DATA, Orders'!$I:$I,"Infantry")/1000000000)</f>
        <v>0</v>
      </c>
      <c r="R19" s="15">
        <f>(SUMIFS('MAIN DATA, Orders'!$S:$S,'MAIN DATA, Orders'!$Y:$Y,$A19,'MAIN DATA, Orders'!$D:$D,"United Kingdom",'MAIN DATA, Orders'!$I:$I,"Development - Infantry")/1000000000)</f>
        <v>0</v>
      </c>
      <c r="S19" s="15">
        <f>(SUMIFS('MAIN DATA, Orders'!$S:$S,'MAIN DATA, Orders'!$Y:$Y,$A19,'MAIN DATA, Orders'!$D:$D,"United Kingdom",'MAIN DATA, Orders'!$I:$I,"Tank")/1000000000)</f>
        <v>0</v>
      </c>
      <c r="T19" s="15">
        <f>(SUMIFS('MAIN DATA, Orders'!$S:$S,'MAIN DATA, Orders'!$Y:$Y,$A19,'MAIN DATA, Orders'!$D:$D,"United Kingdom",'MAIN DATA, Orders'!$I:$I,"Development - Tank")/1000000000)</f>
        <v>0</v>
      </c>
      <c r="U19" s="15">
        <f>(SUMIFS('MAIN DATA, Orders'!$S:$S,'MAIN DATA, Orders'!$Y:$Y,$A19,'MAIN DATA, Orders'!$D:$D,"United Kingdom",'MAIN DATA, Orders'!$I:$I,"Maintenance")/1000000000)</f>
        <v>0.30599999999999999</v>
      </c>
      <c r="V19" s="15">
        <f>(SUMIFS('MAIN DATA, Orders'!$S:$S,'MAIN DATA, Orders'!$Y:$Y,$A19,'MAIN DATA, Orders'!$D:$D,"United Kingdom",'MAIN DATA, Orders'!$I:$I,"Development - Maintenance")/1000000000)</f>
        <v>0</v>
      </c>
      <c r="W19" s="15">
        <f>(SUMIFS('MAIN DATA, Orders'!$S:$S,'MAIN DATA, Orders'!$Y:$Y,$A19,'MAIN DATA, Orders'!$D:$D,"United Kingdom",'MAIN DATA, Orders'!$I:$I,"Mine")/1000000000)</f>
        <v>0</v>
      </c>
      <c r="X19" s="15">
        <f>(SUMIFS('MAIN DATA, Orders'!$S:$S,'MAIN DATA, Orders'!$Y:$Y,$A19,'MAIN DATA, Orders'!$D:$D,"United Kingdom",'MAIN DATA, Orders'!$I:$I,"Development - Mine")/1000000000)</f>
        <v>0</v>
      </c>
      <c r="Y19" s="15">
        <f>(SUMIFS('MAIN DATA, Orders'!$S:$S,'MAIN DATA, Orders'!$Y:$Y,$A19,'MAIN DATA, Orders'!$D:$D,"United Kingdom",'MAIN DATA, Orders'!$J:$J,"6")/1000000000)</f>
        <v>0</v>
      </c>
      <c r="Z19" s="15" cm="1">
        <f t="array" ref="Z19">SUM(SUMIFS('MAIN DATA, Orders'!$S:$S,'MAIN DATA, Orders'!$Y:$Y,$A19,'MAIN DATA, Orders'!$D:$D,"United Kingdom",'MAIN DATA, Orders'!$I:$I,{"Development - Missile (Land)","Development - Missile (Naval)","Development - Missile (Air)"})/1000000000)</f>
        <v>0.55000000000000004</v>
      </c>
      <c r="AA19" s="15">
        <f>(SUMIFS('MAIN DATA, Orders'!$S:$S,'MAIN DATA, Orders'!$Y:$Y,$A19,'MAIN DATA, Orders'!$D:$D,"United Kingdom",'MAIN DATA, Orders'!$I:$I,"Modernisation")/1000000000)</f>
        <v>0</v>
      </c>
      <c r="AB19" s="15">
        <f>(SUMIFS('MAIN DATA, Orders'!$S:$S,'MAIN DATA, Orders'!$Y:$Y,$A19,'MAIN DATA, Orders'!$D:$D,"United Kingdom",'MAIN DATA, Orders'!$I:$I,"Development - Modernisation")/1000000000)</f>
        <v>0</v>
      </c>
      <c r="AC19" s="15">
        <f>(SUMIFS('MAIN DATA, Orders'!$S:$S,'MAIN DATA, Orders'!$Y:$Y,$A19,'MAIN DATA, Orders'!$D:$D,"United Kingdom",'MAIN DATA, Orders'!$I:$I,"Naval")/1000000000)</f>
        <v>0</v>
      </c>
      <c r="AD19" s="15">
        <f>(SUMIFS('MAIN DATA, Orders'!$S:$S,'MAIN DATA, Orders'!$Y:$Y,$A19,'MAIN DATA, Orders'!$D:$D,"United Kingdom",'MAIN DATA, Orders'!$I:$I,"Development - Naval")/1000000000)</f>
        <v>0</v>
      </c>
      <c r="AE19" s="15">
        <f>(SUMIFS('MAIN DATA, Orders'!$S:$S,'MAIN DATA, Orders'!$Y:$Y,$A19,'MAIN DATA, Orders'!$D:$D,"United Kingdom",'MAIN DATA, Orders'!$I:$I,"Other")/1000000000)</f>
        <v>0.10199999999999999</v>
      </c>
      <c r="AF19" s="15">
        <f>(SUMIFS('MAIN DATA, Orders'!$S:$S,'MAIN DATA, Orders'!$Y:$Y,$A19,'MAIN DATA, Orders'!$D:$D,"United Kingdom",'MAIN DATA, Orders'!$I:$I,"Development - Other")/1000000000)</f>
        <v>0</v>
      </c>
      <c r="AG19" s="15"/>
      <c r="AH19" s="15" cm="1">
        <f t="array" ref="AH19">SUM(SUMIFS('MAIN DATA, Orders'!$S:$S,'MAIN DATA, Orders'!$Y:$Y,$A19,'MAIN DATA, Orders'!$D:$D,"United Kingdom",'MAIN DATA, Orders'!$I:$I,{"Missile (Land)","Development - Missile (Land)"})/1000000000)</f>
        <v>0</v>
      </c>
      <c r="AI19" s="15" cm="1">
        <f t="array" ref="AI19">SUM(SUMIFS('MAIN DATA, Orders'!$S:$S,'MAIN DATA, Orders'!$D:$D,"United Kingdom",'MAIN DATA, Orders'!$I:$I,{"Missile (Air)","Development - Missile (Air)"},'MAIN DATA, Orders'!$Y:$Y,$A19)/1000000000)</f>
        <v>0.55000000000000004</v>
      </c>
      <c r="AJ19" s="15" cm="1">
        <f t="array" ref="AJ19">SUM(SUMIFS('MAIN DATA, Orders'!$S:$S,'MAIN DATA, Orders'!$Y:$Y,$A19,'MAIN DATA, Orders'!$D:$D,"United Kingdom",'MAIN DATA, Orders'!$I:$I,{"Missile (Naval)","Development - Missile (Naval)"})/1000000000)</f>
        <v>0</v>
      </c>
    </row>
    <row r="20" spans="1:36" x14ac:dyDescent="0.35">
      <c r="A20" s="20">
        <v>202102</v>
      </c>
      <c r="B20" s="17">
        <v>44228</v>
      </c>
      <c r="C20" s="15">
        <f>(SUMIFS('MAIN DATA, Orders'!$S:$S,'MAIN DATA, Orders'!$Y:$Y,$A20,'MAIN DATA, Orders'!$D:$D,"United Kingdom",'MAIN DATA, Orders'!$I:$I,"Air defence system")/1000000000)</f>
        <v>0</v>
      </c>
      <c r="D20" s="15">
        <f>(SUMIFS('MAIN DATA, Orders'!$S:$S,'MAIN DATA, Orders'!$Y:$Y,$A20,'MAIN DATA, Orders'!$D:$D,"United Kingdom",'MAIN DATA, Orders'!$I:$I,"Development - Air defence system")/1000000000)</f>
        <v>0</v>
      </c>
      <c r="E20" s="15">
        <f>(SUMIFS('MAIN DATA, Orders'!$S:$S,'MAIN DATA, Orders'!$Y:$Y,$A20,'MAIN DATA, Orders'!$D:$D,"United Kingdom",'MAIN DATA, Orders'!$I:$I,"Aircraft")/1000000000)</f>
        <v>0</v>
      </c>
      <c r="F20" s="15">
        <f>(SUMIFS('MAIN DATA, Orders'!$S:$S,'MAIN DATA, Orders'!$Y:$Y,$A20,'MAIN DATA, Orders'!$D:$D,"United Kingdom",'MAIN DATA, Orders'!$I:$I,"Development - Aircraft")/1000000000)</f>
        <v>0</v>
      </c>
      <c r="G20" s="15">
        <f>(SUMIFS('MAIN DATA, Orders'!$S:$S,'MAIN DATA, Orders'!$Y:$Y,$A20,'MAIN DATA, Orders'!$D:$D,"United Kingdom",'MAIN DATA, Orders'!$I:$I,"Ammunition")/1000000000)</f>
        <v>0</v>
      </c>
      <c r="H20" s="15">
        <f>(SUMIFS('MAIN DATA, Orders'!$S:$S,'MAIN DATA, Orders'!$Y:$Y,$A20,'MAIN DATA, Orders'!$D:$D,"United Kingdom",'MAIN DATA, Orders'!$I:$I,"Development - Ammunition")/1000000000)</f>
        <v>0</v>
      </c>
      <c r="I20" s="15">
        <f>(SUMIFS('MAIN DATA, Orders'!$S:$S,'MAIN DATA, Orders'!$Y:$Y,$A20,'MAIN DATA, Orders'!$D:$D,"United Kingdom",'MAIN DATA, Orders'!$I:$I,"Armoured vehicle")/1000000000)</f>
        <v>0</v>
      </c>
      <c r="J20" s="15">
        <f>(SUMIFS('MAIN DATA, Orders'!$S:$S,'MAIN DATA, Orders'!$Y:$Y,$A20,'MAIN DATA, Orders'!$D:$D,"United Kingdom",'MAIN DATA, Orders'!$I:$I,"Development - Armoured vehicle")/1000000000)</f>
        <v>0</v>
      </c>
      <c r="K20" s="15">
        <f>(SUMIFS('MAIN DATA, Orders'!$S:$S,'MAIN DATA, Orders'!$Y:$Y,$A20,'MAIN DATA, Orders'!$D:$D,"United Kingdom",'MAIN DATA, Orders'!$I:$I,"Artillery")/1000000000)</f>
        <v>0</v>
      </c>
      <c r="L20" s="15">
        <f>(SUMIFS('MAIN DATA, Orders'!$S:$S,'MAIN DATA, Orders'!$Y:$Y,$A20,'MAIN DATA, Orders'!$D:$D,"United Kingdom",'MAIN DATA, Orders'!$I:$I,"Development - Artillery")/1000000000)</f>
        <v>0</v>
      </c>
      <c r="M20" s="15">
        <f>(SUMIFS('MAIN DATA, Orders'!$S:$S,'MAIN DATA, Orders'!$Y:$Y,$A20,'MAIN DATA, Orders'!$D:$D,"United Kingdom",'MAIN DATA, Orders'!$I:$I,"Drone")/1000000000)</f>
        <v>0</v>
      </c>
      <c r="N20" s="15">
        <f>(SUMIFS('MAIN DATA, Orders'!$S:$S,'MAIN DATA, Orders'!$Y:$Y,$A20,'MAIN DATA, Orders'!$D:$D,"United Kingdom",'MAIN DATA, Orders'!$I:$I,"Development - Drone")/1000000000)</f>
        <v>0</v>
      </c>
      <c r="O20" s="15">
        <f>(SUMIFS('MAIN DATA, Orders'!$S:$S,'MAIN DATA, Orders'!$Y:$Y,$A20,'MAIN DATA, Orders'!$D:$D,"United Kingdom",'MAIN DATA, Orders'!$I:$I,"Helicopter")/1000000000)</f>
        <v>0</v>
      </c>
      <c r="P20" s="15">
        <f>(SUMIFS('MAIN DATA, Orders'!$S:$S,'MAIN DATA, Orders'!$Y:$Y,$A20,'MAIN DATA, Orders'!$D:$D,"United Kingdom",'MAIN DATA, Orders'!$I:$I,"Development - Helicopter")/1000000000)</f>
        <v>0</v>
      </c>
      <c r="Q20" s="15">
        <f>(SUMIFS('MAIN DATA, Orders'!$S:$S,'MAIN DATA, Orders'!$Y:$Y,$A20,'MAIN DATA, Orders'!$D:$D,"United Kingdom",'MAIN DATA, Orders'!$I:$I,"Infantry")/1000000000)</f>
        <v>0</v>
      </c>
      <c r="R20" s="15">
        <f>(SUMIFS('MAIN DATA, Orders'!$S:$S,'MAIN DATA, Orders'!$Y:$Y,$A20,'MAIN DATA, Orders'!$D:$D,"United Kingdom",'MAIN DATA, Orders'!$I:$I,"Development - Infantry")/1000000000)</f>
        <v>0</v>
      </c>
      <c r="S20" s="15">
        <f>(SUMIFS('MAIN DATA, Orders'!$S:$S,'MAIN DATA, Orders'!$Y:$Y,$A20,'MAIN DATA, Orders'!$D:$D,"United Kingdom",'MAIN DATA, Orders'!$I:$I,"Tank")/1000000000)</f>
        <v>0</v>
      </c>
      <c r="T20" s="15">
        <f>(SUMIFS('MAIN DATA, Orders'!$S:$S,'MAIN DATA, Orders'!$Y:$Y,$A20,'MAIN DATA, Orders'!$D:$D,"United Kingdom",'MAIN DATA, Orders'!$I:$I,"Development - Tank")/1000000000)</f>
        <v>0</v>
      </c>
      <c r="U20" s="15">
        <f>(SUMIFS('MAIN DATA, Orders'!$S:$S,'MAIN DATA, Orders'!$Y:$Y,$A20,'MAIN DATA, Orders'!$D:$D,"United Kingdom",'MAIN DATA, Orders'!$I:$I,"Maintenance")/1000000000)</f>
        <v>0</v>
      </c>
      <c r="V20" s="15">
        <f>(SUMIFS('MAIN DATA, Orders'!$S:$S,'MAIN DATA, Orders'!$Y:$Y,$A20,'MAIN DATA, Orders'!$D:$D,"United Kingdom",'MAIN DATA, Orders'!$I:$I,"Development - Maintenance")/1000000000)</f>
        <v>0</v>
      </c>
      <c r="W20" s="15">
        <f>(SUMIFS('MAIN DATA, Orders'!$S:$S,'MAIN DATA, Orders'!$Y:$Y,$A20,'MAIN DATA, Orders'!$D:$D,"United Kingdom",'MAIN DATA, Orders'!$I:$I,"Mine")/1000000000)</f>
        <v>0</v>
      </c>
      <c r="X20" s="15">
        <f>(SUMIFS('MAIN DATA, Orders'!$S:$S,'MAIN DATA, Orders'!$Y:$Y,$A20,'MAIN DATA, Orders'!$D:$D,"United Kingdom",'MAIN DATA, Orders'!$I:$I,"Development - Mine")/1000000000)</f>
        <v>0</v>
      </c>
      <c r="Y20" s="15">
        <f>(SUMIFS('MAIN DATA, Orders'!$S:$S,'MAIN DATA, Orders'!$Y:$Y,$A20,'MAIN DATA, Orders'!$D:$D,"United Kingdom",'MAIN DATA, Orders'!$J:$J,"6")/1000000000)</f>
        <v>0</v>
      </c>
      <c r="Z20" s="15" cm="1">
        <f t="array" ref="Z20">SUM(SUMIFS('MAIN DATA, Orders'!$S:$S,'MAIN DATA, Orders'!$Y:$Y,$A20,'MAIN DATA, Orders'!$D:$D,"United Kingdom",'MAIN DATA, Orders'!$I:$I,{"Development - Missile (Land)","Development - Missile (Naval)","Development - Missile (Air)"})/1000000000)</f>
        <v>0</v>
      </c>
      <c r="AA20" s="15">
        <f>(SUMIFS('MAIN DATA, Orders'!$S:$S,'MAIN DATA, Orders'!$Y:$Y,$A20,'MAIN DATA, Orders'!$D:$D,"United Kingdom",'MAIN DATA, Orders'!$I:$I,"Modernisation")/1000000000)</f>
        <v>0</v>
      </c>
      <c r="AB20" s="15">
        <f>(SUMIFS('MAIN DATA, Orders'!$S:$S,'MAIN DATA, Orders'!$Y:$Y,$A20,'MAIN DATA, Orders'!$D:$D,"United Kingdom",'MAIN DATA, Orders'!$I:$I,"Development - Modernisation")/1000000000)</f>
        <v>0</v>
      </c>
      <c r="AC20" s="15">
        <f>(SUMIFS('MAIN DATA, Orders'!$S:$S,'MAIN DATA, Orders'!$Y:$Y,$A20,'MAIN DATA, Orders'!$D:$D,"United Kingdom",'MAIN DATA, Orders'!$I:$I,"Naval")/1000000000)</f>
        <v>0</v>
      </c>
      <c r="AD20" s="15">
        <f>(SUMIFS('MAIN DATA, Orders'!$S:$S,'MAIN DATA, Orders'!$Y:$Y,$A20,'MAIN DATA, Orders'!$D:$D,"United Kingdom",'MAIN DATA, Orders'!$I:$I,"Development - Naval")/1000000000)</f>
        <v>0</v>
      </c>
      <c r="AE20" s="15">
        <f>(SUMIFS('MAIN DATA, Orders'!$S:$S,'MAIN DATA, Orders'!$Y:$Y,$A20,'MAIN DATA, Orders'!$D:$D,"United Kingdom",'MAIN DATA, Orders'!$I:$I,"Other")/1000000000)</f>
        <v>0.18</v>
      </c>
      <c r="AF20" s="15">
        <f>(SUMIFS('MAIN DATA, Orders'!$S:$S,'MAIN DATA, Orders'!$Y:$Y,$A20,'MAIN DATA, Orders'!$D:$D,"United Kingdom",'MAIN DATA, Orders'!$I:$I,"Development - Other")/1000000000)</f>
        <v>0</v>
      </c>
      <c r="AG20" s="15"/>
      <c r="AH20" s="15" cm="1">
        <f t="array" ref="AH20">SUM(SUMIFS('MAIN DATA, Orders'!$S:$S,'MAIN DATA, Orders'!$Y:$Y,$A20,'MAIN DATA, Orders'!$D:$D,"United Kingdom",'MAIN DATA, Orders'!$I:$I,{"Missile (Land)","Development - Missile (Land)"})/1000000000)</f>
        <v>0</v>
      </c>
      <c r="AI20" s="15" cm="1">
        <f t="array" ref="AI20">SUM(SUMIFS('MAIN DATA, Orders'!$S:$S,'MAIN DATA, Orders'!$D:$D,"United Kingdom",'MAIN DATA, Orders'!$I:$I,{"Missile (Air)","Development - Missile (Air)"},'MAIN DATA, Orders'!$Y:$Y,$A20)/1000000000)</f>
        <v>0</v>
      </c>
      <c r="AJ20" s="15" cm="1">
        <f t="array" ref="AJ20">SUM(SUMIFS('MAIN DATA, Orders'!$S:$S,'MAIN DATA, Orders'!$Y:$Y,$A20,'MAIN DATA, Orders'!$D:$D,"United Kingdom",'MAIN DATA, Orders'!$I:$I,{"Missile (Naval)","Development - Missile (Naval)"})/1000000000)</f>
        <v>0</v>
      </c>
    </row>
    <row r="21" spans="1:36" x14ac:dyDescent="0.35">
      <c r="A21" s="20">
        <v>202103</v>
      </c>
      <c r="B21" s="17">
        <v>44256</v>
      </c>
      <c r="C21" s="15">
        <f>(SUMIFS('MAIN DATA, Orders'!$S:$S,'MAIN DATA, Orders'!$Y:$Y,$A21,'MAIN DATA, Orders'!$D:$D,"United Kingdom",'MAIN DATA, Orders'!$I:$I,"Air defence system")/1000000000)</f>
        <v>9.8400000000000001E-2</v>
      </c>
      <c r="D21" s="15">
        <f>(SUMIFS('MAIN DATA, Orders'!$S:$S,'MAIN DATA, Orders'!$Y:$Y,$A21,'MAIN DATA, Orders'!$D:$D,"United Kingdom",'MAIN DATA, Orders'!$I:$I,"Development - Air defence system")/1000000000)</f>
        <v>0</v>
      </c>
      <c r="E21" s="15">
        <f>(SUMIFS('MAIN DATA, Orders'!$S:$S,'MAIN DATA, Orders'!$Y:$Y,$A21,'MAIN DATA, Orders'!$D:$D,"United Kingdom",'MAIN DATA, Orders'!$I:$I,"Aircraft")/1000000000)</f>
        <v>0</v>
      </c>
      <c r="F21" s="15">
        <f>(SUMIFS('MAIN DATA, Orders'!$S:$S,'MAIN DATA, Orders'!$Y:$Y,$A21,'MAIN DATA, Orders'!$D:$D,"United Kingdom",'MAIN DATA, Orders'!$I:$I,"Development - Aircraft")/1000000000)</f>
        <v>0</v>
      </c>
      <c r="G21" s="15">
        <f>(SUMIFS('MAIN DATA, Orders'!$S:$S,'MAIN DATA, Orders'!$Y:$Y,$A21,'MAIN DATA, Orders'!$D:$D,"United Kingdom",'MAIN DATA, Orders'!$I:$I,"Ammunition")/1000000000)</f>
        <v>0</v>
      </c>
      <c r="H21" s="15">
        <f>(SUMIFS('MAIN DATA, Orders'!$S:$S,'MAIN DATA, Orders'!$Y:$Y,$A21,'MAIN DATA, Orders'!$D:$D,"United Kingdom",'MAIN DATA, Orders'!$I:$I,"Development - Ammunition")/1000000000)</f>
        <v>0</v>
      </c>
      <c r="I21" s="15">
        <f>(SUMIFS('MAIN DATA, Orders'!$S:$S,'MAIN DATA, Orders'!$Y:$Y,$A21,'MAIN DATA, Orders'!$D:$D,"United Kingdom",'MAIN DATA, Orders'!$I:$I,"Armoured vehicle")/1000000000)</f>
        <v>0</v>
      </c>
      <c r="J21" s="15">
        <f>(SUMIFS('MAIN DATA, Orders'!$S:$S,'MAIN DATA, Orders'!$Y:$Y,$A21,'MAIN DATA, Orders'!$D:$D,"United Kingdom",'MAIN DATA, Orders'!$I:$I,"Development - Armoured vehicle")/1000000000)</f>
        <v>0</v>
      </c>
      <c r="K21" s="15">
        <f>(SUMIFS('MAIN DATA, Orders'!$S:$S,'MAIN DATA, Orders'!$Y:$Y,$A21,'MAIN DATA, Orders'!$D:$D,"United Kingdom",'MAIN DATA, Orders'!$I:$I,"Artillery")/1000000000)</f>
        <v>0</v>
      </c>
      <c r="L21" s="15">
        <f>(SUMIFS('MAIN DATA, Orders'!$S:$S,'MAIN DATA, Orders'!$Y:$Y,$A21,'MAIN DATA, Orders'!$D:$D,"United Kingdom",'MAIN DATA, Orders'!$I:$I,"Development - Artillery")/1000000000)</f>
        <v>0</v>
      </c>
      <c r="M21" s="15">
        <f>(SUMIFS('MAIN DATA, Orders'!$S:$S,'MAIN DATA, Orders'!$Y:$Y,$A21,'MAIN DATA, Orders'!$D:$D,"United Kingdom",'MAIN DATA, Orders'!$I:$I,"Drone")/1000000000)</f>
        <v>0</v>
      </c>
      <c r="N21" s="15">
        <f>(SUMIFS('MAIN DATA, Orders'!$S:$S,'MAIN DATA, Orders'!$Y:$Y,$A21,'MAIN DATA, Orders'!$D:$D,"United Kingdom",'MAIN DATA, Orders'!$I:$I,"Development - Drone")/1000000000)</f>
        <v>0</v>
      </c>
      <c r="O21" s="15">
        <f>(SUMIFS('MAIN DATA, Orders'!$S:$S,'MAIN DATA, Orders'!$Y:$Y,$A21,'MAIN DATA, Orders'!$D:$D,"United Kingdom",'MAIN DATA, Orders'!$I:$I,"Helicopter")/1000000000)</f>
        <v>0</v>
      </c>
      <c r="P21" s="15">
        <f>(SUMIFS('MAIN DATA, Orders'!$S:$S,'MAIN DATA, Orders'!$Y:$Y,$A21,'MAIN DATA, Orders'!$D:$D,"United Kingdom",'MAIN DATA, Orders'!$I:$I,"Development - Helicopter")/1000000000)</f>
        <v>0</v>
      </c>
      <c r="Q21" s="15">
        <f>(SUMIFS('MAIN DATA, Orders'!$S:$S,'MAIN DATA, Orders'!$Y:$Y,$A21,'MAIN DATA, Orders'!$D:$D,"United Kingdom",'MAIN DATA, Orders'!$I:$I,"Infantry")/1000000000)</f>
        <v>0</v>
      </c>
      <c r="R21" s="15">
        <f>(SUMIFS('MAIN DATA, Orders'!$S:$S,'MAIN DATA, Orders'!$Y:$Y,$A21,'MAIN DATA, Orders'!$D:$D,"United Kingdom",'MAIN DATA, Orders'!$I:$I,"Development - Infantry")/1000000000)</f>
        <v>0</v>
      </c>
      <c r="S21" s="15">
        <f>(SUMIFS('MAIN DATA, Orders'!$S:$S,'MAIN DATA, Orders'!$Y:$Y,$A21,'MAIN DATA, Orders'!$D:$D,"United Kingdom",'MAIN DATA, Orders'!$I:$I,"Tank")/1000000000)</f>
        <v>0</v>
      </c>
      <c r="T21" s="15">
        <f>(SUMIFS('MAIN DATA, Orders'!$S:$S,'MAIN DATA, Orders'!$Y:$Y,$A21,'MAIN DATA, Orders'!$D:$D,"United Kingdom",'MAIN DATA, Orders'!$I:$I,"Development - Tank")/1000000000)</f>
        <v>0</v>
      </c>
      <c r="U21" s="15">
        <f>(SUMIFS('MAIN DATA, Orders'!$S:$S,'MAIN DATA, Orders'!$Y:$Y,$A21,'MAIN DATA, Orders'!$D:$D,"United Kingdom",'MAIN DATA, Orders'!$I:$I,"Maintenance")/1000000000)</f>
        <v>0</v>
      </c>
      <c r="V21" s="15">
        <f>(SUMIFS('MAIN DATA, Orders'!$S:$S,'MAIN DATA, Orders'!$Y:$Y,$A21,'MAIN DATA, Orders'!$D:$D,"United Kingdom",'MAIN DATA, Orders'!$I:$I,"Development - Maintenance")/1000000000)</f>
        <v>0</v>
      </c>
      <c r="W21" s="15">
        <f>(SUMIFS('MAIN DATA, Orders'!$S:$S,'MAIN DATA, Orders'!$Y:$Y,$A21,'MAIN DATA, Orders'!$D:$D,"United Kingdom",'MAIN DATA, Orders'!$I:$I,"Mine")/1000000000)</f>
        <v>0</v>
      </c>
      <c r="X21" s="15">
        <f>(SUMIFS('MAIN DATA, Orders'!$S:$S,'MAIN DATA, Orders'!$Y:$Y,$A21,'MAIN DATA, Orders'!$D:$D,"United Kingdom",'MAIN DATA, Orders'!$I:$I,"Development - Mine")/1000000000)</f>
        <v>0</v>
      </c>
      <c r="Y21" s="15">
        <f>(SUMIFS('MAIN DATA, Orders'!$S:$S,'MAIN DATA, Orders'!$Y:$Y,$A21,'MAIN DATA, Orders'!$D:$D,"United Kingdom",'MAIN DATA, Orders'!$J:$J,"6")/1000000000)</f>
        <v>0</v>
      </c>
      <c r="Z21" s="15" cm="1">
        <f t="array" ref="Z21">SUM(SUMIFS('MAIN DATA, Orders'!$S:$S,'MAIN DATA, Orders'!$Y:$Y,$A21,'MAIN DATA, Orders'!$D:$D,"United Kingdom",'MAIN DATA, Orders'!$I:$I,{"Development - Missile (Land)","Development - Missile (Naval)","Development - Missile (Air)"})/1000000000)</f>
        <v>0</v>
      </c>
      <c r="AA21" s="15">
        <f>(SUMIFS('MAIN DATA, Orders'!$S:$S,'MAIN DATA, Orders'!$Y:$Y,$A21,'MAIN DATA, Orders'!$D:$D,"United Kingdom",'MAIN DATA, Orders'!$I:$I,"Modernisation")/1000000000)</f>
        <v>0</v>
      </c>
      <c r="AB21" s="15">
        <f>(SUMIFS('MAIN DATA, Orders'!$S:$S,'MAIN DATA, Orders'!$Y:$Y,$A21,'MAIN DATA, Orders'!$D:$D,"United Kingdom",'MAIN DATA, Orders'!$I:$I,"Development - Modernisation")/1000000000)</f>
        <v>0</v>
      </c>
      <c r="AC21" s="15">
        <f>(SUMIFS('MAIN DATA, Orders'!$S:$S,'MAIN DATA, Orders'!$Y:$Y,$A21,'MAIN DATA, Orders'!$D:$D,"United Kingdom",'MAIN DATA, Orders'!$I:$I,"Naval")/1000000000)</f>
        <v>0</v>
      </c>
      <c r="AD21" s="15">
        <f>(SUMIFS('MAIN DATA, Orders'!$S:$S,'MAIN DATA, Orders'!$Y:$Y,$A21,'MAIN DATA, Orders'!$D:$D,"United Kingdom",'MAIN DATA, Orders'!$I:$I,"Development - Naval")/1000000000)</f>
        <v>0</v>
      </c>
      <c r="AE21" s="15">
        <f>(SUMIFS('MAIN DATA, Orders'!$S:$S,'MAIN DATA, Orders'!$Y:$Y,$A21,'MAIN DATA, Orders'!$D:$D,"United Kingdom",'MAIN DATA, Orders'!$I:$I,"Other")/1000000000)</f>
        <v>0</v>
      </c>
      <c r="AF21" s="15">
        <f>(SUMIFS('MAIN DATA, Orders'!$S:$S,'MAIN DATA, Orders'!$Y:$Y,$A21,'MAIN DATA, Orders'!$D:$D,"United Kingdom",'MAIN DATA, Orders'!$I:$I,"Development - Other")/1000000000)</f>
        <v>0</v>
      </c>
      <c r="AG21" s="15"/>
      <c r="AH21" s="15" cm="1">
        <f t="array" ref="AH21">SUM(SUMIFS('MAIN DATA, Orders'!$S:$S,'MAIN DATA, Orders'!$Y:$Y,$A21,'MAIN DATA, Orders'!$D:$D,"United Kingdom",'MAIN DATA, Orders'!$I:$I,{"Missile (Land)","Development - Missile (Land)"})/1000000000)</f>
        <v>0</v>
      </c>
      <c r="AI21" s="15" cm="1">
        <f t="array" ref="AI21">SUM(SUMIFS('MAIN DATA, Orders'!$S:$S,'MAIN DATA, Orders'!$D:$D,"United Kingdom",'MAIN DATA, Orders'!$I:$I,{"Missile (Air)","Development - Missile (Air)"},'MAIN DATA, Orders'!$Y:$Y,$A21)/1000000000)</f>
        <v>0</v>
      </c>
      <c r="AJ21" s="15" cm="1">
        <f t="array" ref="AJ21">SUM(SUMIFS('MAIN DATA, Orders'!$S:$S,'MAIN DATA, Orders'!$Y:$Y,$A21,'MAIN DATA, Orders'!$D:$D,"United Kingdom",'MAIN DATA, Orders'!$I:$I,{"Missile (Naval)","Development - Missile (Naval)"})/1000000000)</f>
        <v>0</v>
      </c>
    </row>
    <row r="22" spans="1:36" x14ac:dyDescent="0.35">
      <c r="A22" s="20">
        <v>202104</v>
      </c>
      <c r="B22" s="17">
        <v>44287</v>
      </c>
      <c r="C22" s="15">
        <f>(SUMIFS('MAIN DATA, Orders'!$S:$S,'MAIN DATA, Orders'!$Y:$Y,$A22,'MAIN DATA, Orders'!$D:$D,"United Kingdom",'MAIN DATA, Orders'!$I:$I,"Air defence system")/1000000000)</f>
        <v>0</v>
      </c>
      <c r="D22" s="15">
        <f>(SUMIFS('MAIN DATA, Orders'!$S:$S,'MAIN DATA, Orders'!$Y:$Y,$A22,'MAIN DATA, Orders'!$D:$D,"United Kingdom",'MAIN DATA, Orders'!$I:$I,"Development - Air defence system")/1000000000)</f>
        <v>0</v>
      </c>
      <c r="E22" s="15">
        <f>(SUMIFS('MAIN DATA, Orders'!$S:$S,'MAIN DATA, Orders'!$Y:$Y,$A22,'MAIN DATA, Orders'!$D:$D,"United Kingdom",'MAIN DATA, Orders'!$I:$I,"Aircraft")/1000000000)</f>
        <v>0</v>
      </c>
      <c r="F22" s="15">
        <f>(SUMIFS('MAIN DATA, Orders'!$S:$S,'MAIN DATA, Orders'!$Y:$Y,$A22,'MAIN DATA, Orders'!$D:$D,"United Kingdom",'MAIN DATA, Orders'!$I:$I,"Development - Aircraft")/1000000000)</f>
        <v>0</v>
      </c>
      <c r="G22" s="15">
        <f>(SUMIFS('MAIN DATA, Orders'!$S:$S,'MAIN DATA, Orders'!$Y:$Y,$A22,'MAIN DATA, Orders'!$D:$D,"United Kingdom",'MAIN DATA, Orders'!$I:$I,"Ammunition")/1000000000)</f>
        <v>0</v>
      </c>
      <c r="H22" s="15">
        <f>(SUMIFS('MAIN DATA, Orders'!$S:$S,'MAIN DATA, Orders'!$Y:$Y,$A22,'MAIN DATA, Orders'!$D:$D,"United Kingdom",'MAIN DATA, Orders'!$I:$I,"Development - Ammunition")/1000000000)</f>
        <v>0</v>
      </c>
      <c r="I22" s="15">
        <f>(SUMIFS('MAIN DATA, Orders'!$S:$S,'MAIN DATA, Orders'!$Y:$Y,$A22,'MAIN DATA, Orders'!$D:$D,"United Kingdom",'MAIN DATA, Orders'!$I:$I,"Armoured vehicle")/1000000000)</f>
        <v>0</v>
      </c>
      <c r="J22" s="15">
        <f>(SUMIFS('MAIN DATA, Orders'!$S:$S,'MAIN DATA, Orders'!$Y:$Y,$A22,'MAIN DATA, Orders'!$D:$D,"United Kingdom",'MAIN DATA, Orders'!$I:$I,"Development - Armoured vehicle")/1000000000)</f>
        <v>0</v>
      </c>
      <c r="K22" s="15">
        <f>(SUMIFS('MAIN DATA, Orders'!$S:$S,'MAIN DATA, Orders'!$Y:$Y,$A22,'MAIN DATA, Orders'!$D:$D,"United Kingdom",'MAIN DATA, Orders'!$I:$I,"Artillery")/1000000000)</f>
        <v>0</v>
      </c>
      <c r="L22" s="15">
        <f>(SUMIFS('MAIN DATA, Orders'!$S:$S,'MAIN DATA, Orders'!$Y:$Y,$A22,'MAIN DATA, Orders'!$D:$D,"United Kingdom",'MAIN DATA, Orders'!$I:$I,"Development - Artillery")/1000000000)</f>
        <v>0</v>
      </c>
      <c r="M22" s="15">
        <f>(SUMIFS('MAIN DATA, Orders'!$S:$S,'MAIN DATA, Orders'!$Y:$Y,$A22,'MAIN DATA, Orders'!$D:$D,"United Kingdom",'MAIN DATA, Orders'!$I:$I,"Drone")/1000000000)</f>
        <v>0</v>
      </c>
      <c r="N22" s="15">
        <f>(SUMIFS('MAIN DATA, Orders'!$S:$S,'MAIN DATA, Orders'!$Y:$Y,$A22,'MAIN DATA, Orders'!$D:$D,"United Kingdom",'MAIN DATA, Orders'!$I:$I,"Development - Drone")/1000000000)</f>
        <v>0</v>
      </c>
      <c r="O22" s="15">
        <f>(SUMIFS('MAIN DATA, Orders'!$S:$S,'MAIN DATA, Orders'!$Y:$Y,$A22,'MAIN DATA, Orders'!$D:$D,"United Kingdom",'MAIN DATA, Orders'!$I:$I,"Helicopter")/1000000000)</f>
        <v>0</v>
      </c>
      <c r="P22" s="15">
        <f>(SUMIFS('MAIN DATA, Orders'!$S:$S,'MAIN DATA, Orders'!$Y:$Y,$A22,'MAIN DATA, Orders'!$D:$D,"United Kingdom",'MAIN DATA, Orders'!$I:$I,"Development - Helicopter")/1000000000)</f>
        <v>0</v>
      </c>
      <c r="Q22" s="15">
        <f>(SUMIFS('MAIN DATA, Orders'!$S:$S,'MAIN DATA, Orders'!$Y:$Y,$A22,'MAIN DATA, Orders'!$D:$D,"United Kingdom",'MAIN DATA, Orders'!$I:$I,"Infantry")/1000000000)</f>
        <v>0</v>
      </c>
      <c r="R22" s="15">
        <f>(SUMIFS('MAIN DATA, Orders'!$S:$S,'MAIN DATA, Orders'!$Y:$Y,$A22,'MAIN DATA, Orders'!$D:$D,"United Kingdom",'MAIN DATA, Orders'!$I:$I,"Development - Infantry")/1000000000)</f>
        <v>0</v>
      </c>
      <c r="S22" s="15">
        <f>(SUMIFS('MAIN DATA, Orders'!$S:$S,'MAIN DATA, Orders'!$Y:$Y,$A22,'MAIN DATA, Orders'!$D:$D,"United Kingdom",'MAIN DATA, Orders'!$I:$I,"Tank")/1000000000)</f>
        <v>0</v>
      </c>
      <c r="T22" s="15">
        <f>(SUMIFS('MAIN DATA, Orders'!$S:$S,'MAIN DATA, Orders'!$Y:$Y,$A22,'MAIN DATA, Orders'!$D:$D,"United Kingdom",'MAIN DATA, Orders'!$I:$I,"Development - Tank")/1000000000)</f>
        <v>0</v>
      </c>
      <c r="U22" s="15">
        <f>(SUMIFS('MAIN DATA, Orders'!$S:$S,'MAIN DATA, Orders'!$Y:$Y,$A22,'MAIN DATA, Orders'!$D:$D,"United Kingdom",'MAIN DATA, Orders'!$I:$I,"Maintenance")/1000000000)</f>
        <v>0</v>
      </c>
      <c r="V22" s="15">
        <f>(SUMIFS('MAIN DATA, Orders'!$S:$S,'MAIN DATA, Orders'!$Y:$Y,$A22,'MAIN DATA, Orders'!$D:$D,"United Kingdom",'MAIN DATA, Orders'!$I:$I,"Development - Maintenance")/1000000000)</f>
        <v>0</v>
      </c>
      <c r="W22" s="15">
        <f>(SUMIFS('MAIN DATA, Orders'!$S:$S,'MAIN DATA, Orders'!$Y:$Y,$A22,'MAIN DATA, Orders'!$D:$D,"United Kingdom",'MAIN DATA, Orders'!$I:$I,"Mine")/1000000000)</f>
        <v>0</v>
      </c>
      <c r="X22" s="15">
        <f>(SUMIFS('MAIN DATA, Orders'!$S:$S,'MAIN DATA, Orders'!$Y:$Y,$A22,'MAIN DATA, Orders'!$D:$D,"United Kingdom",'MAIN DATA, Orders'!$I:$I,"Development - Mine")/1000000000)</f>
        <v>0</v>
      </c>
      <c r="Y22" s="15">
        <f>(SUMIFS('MAIN DATA, Orders'!$S:$S,'MAIN DATA, Orders'!$Y:$Y,$A22,'MAIN DATA, Orders'!$D:$D,"United Kingdom",'MAIN DATA, Orders'!$J:$J,"6")/1000000000)</f>
        <v>0</v>
      </c>
      <c r="Z22" s="15" cm="1">
        <f t="array" ref="Z22">SUM(SUMIFS('MAIN DATA, Orders'!$S:$S,'MAIN DATA, Orders'!$Y:$Y,$A22,'MAIN DATA, Orders'!$D:$D,"United Kingdom",'MAIN DATA, Orders'!$I:$I,{"Development - Missile (Land)","Development - Missile (Naval)","Development - Missile (Air)"})/1000000000)</f>
        <v>0</v>
      </c>
      <c r="AA22" s="15">
        <f>(SUMIFS('MAIN DATA, Orders'!$S:$S,'MAIN DATA, Orders'!$Y:$Y,$A22,'MAIN DATA, Orders'!$D:$D,"United Kingdom",'MAIN DATA, Orders'!$I:$I,"Modernisation")/1000000000)</f>
        <v>0</v>
      </c>
      <c r="AB22" s="15">
        <f>(SUMIFS('MAIN DATA, Orders'!$S:$S,'MAIN DATA, Orders'!$Y:$Y,$A22,'MAIN DATA, Orders'!$D:$D,"United Kingdom",'MAIN DATA, Orders'!$I:$I,"Development - Modernisation")/1000000000)</f>
        <v>0</v>
      </c>
      <c r="AC22" s="15">
        <f>(SUMIFS('MAIN DATA, Orders'!$S:$S,'MAIN DATA, Orders'!$Y:$Y,$A22,'MAIN DATA, Orders'!$D:$D,"United Kingdom",'MAIN DATA, Orders'!$I:$I,"Naval")/1000000000)</f>
        <v>0</v>
      </c>
      <c r="AD22" s="15">
        <f>(SUMIFS('MAIN DATA, Orders'!$S:$S,'MAIN DATA, Orders'!$Y:$Y,$A22,'MAIN DATA, Orders'!$D:$D,"United Kingdom",'MAIN DATA, Orders'!$I:$I,"Development - Naval")/1000000000)</f>
        <v>0</v>
      </c>
      <c r="AE22" s="15">
        <f>(SUMIFS('MAIN DATA, Orders'!$S:$S,'MAIN DATA, Orders'!$Y:$Y,$A22,'MAIN DATA, Orders'!$D:$D,"United Kingdom",'MAIN DATA, Orders'!$I:$I,"Other")/1000000000)</f>
        <v>0</v>
      </c>
      <c r="AF22" s="15">
        <f>(SUMIFS('MAIN DATA, Orders'!$S:$S,'MAIN DATA, Orders'!$Y:$Y,$A22,'MAIN DATA, Orders'!$D:$D,"United Kingdom",'MAIN DATA, Orders'!$I:$I,"Development - Other")/1000000000)</f>
        <v>0</v>
      </c>
      <c r="AG22" s="15"/>
      <c r="AH22" s="15" cm="1">
        <f t="array" ref="AH22">SUM(SUMIFS('MAIN DATA, Orders'!$S:$S,'MAIN DATA, Orders'!$Y:$Y,$A22,'MAIN DATA, Orders'!$D:$D,"United Kingdom",'MAIN DATA, Orders'!$I:$I,{"Missile (Land)","Development - Missile (Land)"})/1000000000)</f>
        <v>0</v>
      </c>
      <c r="AI22" s="15" cm="1">
        <f t="array" ref="AI22">SUM(SUMIFS('MAIN DATA, Orders'!$S:$S,'MAIN DATA, Orders'!$D:$D,"United Kingdom",'MAIN DATA, Orders'!$I:$I,{"Missile (Air)","Development - Missile (Air)"},'MAIN DATA, Orders'!$Y:$Y,$A22)/1000000000)</f>
        <v>0</v>
      </c>
      <c r="AJ22" s="15" cm="1">
        <f t="array" ref="AJ22">SUM(SUMIFS('MAIN DATA, Orders'!$S:$S,'MAIN DATA, Orders'!$Y:$Y,$A22,'MAIN DATA, Orders'!$D:$D,"United Kingdom",'MAIN DATA, Orders'!$I:$I,{"Missile (Naval)","Development - Missile (Naval)"})/1000000000)</f>
        <v>0</v>
      </c>
    </row>
    <row r="23" spans="1:36" x14ac:dyDescent="0.35">
      <c r="A23" s="20">
        <v>202105</v>
      </c>
      <c r="B23" s="17">
        <v>44317</v>
      </c>
      <c r="C23" s="15">
        <f>(SUMIFS('MAIN DATA, Orders'!$S:$S,'MAIN DATA, Orders'!$Y:$Y,$A23,'MAIN DATA, Orders'!$D:$D,"United Kingdom",'MAIN DATA, Orders'!$I:$I,"Air defence system")/1000000000)</f>
        <v>0</v>
      </c>
      <c r="D23" s="15">
        <f>(SUMIFS('MAIN DATA, Orders'!$S:$S,'MAIN DATA, Orders'!$Y:$Y,$A23,'MAIN DATA, Orders'!$D:$D,"United Kingdom",'MAIN DATA, Orders'!$I:$I,"Development - Air defence system")/1000000000)</f>
        <v>0</v>
      </c>
      <c r="E23" s="15">
        <f>(SUMIFS('MAIN DATA, Orders'!$S:$S,'MAIN DATA, Orders'!$Y:$Y,$A23,'MAIN DATA, Orders'!$D:$D,"United Kingdom",'MAIN DATA, Orders'!$I:$I,"Aircraft")/1000000000)</f>
        <v>0</v>
      </c>
      <c r="F23" s="15">
        <f>(SUMIFS('MAIN DATA, Orders'!$S:$S,'MAIN DATA, Orders'!$Y:$Y,$A23,'MAIN DATA, Orders'!$D:$D,"United Kingdom",'MAIN DATA, Orders'!$I:$I,"Development - Aircraft")/1000000000)</f>
        <v>0</v>
      </c>
      <c r="G23" s="15">
        <f>(SUMIFS('MAIN DATA, Orders'!$S:$S,'MAIN DATA, Orders'!$Y:$Y,$A23,'MAIN DATA, Orders'!$D:$D,"United Kingdom",'MAIN DATA, Orders'!$I:$I,"Ammunition")/1000000000)</f>
        <v>0</v>
      </c>
      <c r="H23" s="15">
        <f>(SUMIFS('MAIN DATA, Orders'!$S:$S,'MAIN DATA, Orders'!$Y:$Y,$A23,'MAIN DATA, Orders'!$D:$D,"United Kingdom",'MAIN DATA, Orders'!$I:$I,"Development - Ammunition")/1000000000)</f>
        <v>0</v>
      </c>
      <c r="I23" s="15">
        <f>(SUMIFS('MAIN DATA, Orders'!$S:$S,'MAIN DATA, Orders'!$Y:$Y,$A23,'MAIN DATA, Orders'!$D:$D,"United Kingdom",'MAIN DATA, Orders'!$I:$I,"Armoured vehicle")/1000000000)</f>
        <v>0</v>
      </c>
      <c r="J23" s="15">
        <f>(SUMIFS('MAIN DATA, Orders'!$S:$S,'MAIN DATA, Orders'!$Y:$Y,$A23,'MAIN DATA, Orders'!$D:$D,"United Kingdom",'MAIN DATA, Orders'!$I:$I,"Development - Armoured vehicle")/1000000000)</f>
        <v>0</v>
      </c>
      <c r="K23" s="15">
        <f>(SUMIFS('MAIN DATA, Orders'!$S:$S,'MAIN DATA, Orders'!$Y:$Y,$A23,'MAIN DATA, Orders'!$D:$D,"United Kingdom",'MAIN DATA, Orders'!$I:$I,"Artillery")/1000000000)</f>
        <v>0</v>
      </c>
      <c r="L23" s="15">
        <f>(SUMIFS('MAIN DATA, Orders'!$S:$S,'MAIN DATA, Orders'!$Y:$Y,$A23,'MAIN DATA, Orders'!$D:$D,"United Kingdom",'MAIN DATA, Orders'!$I:$I,"Development - Artillery")/1000000000)</f>
        <v>0</v>
      </c>
      <c r="M23" s="15">
        <f>(SUMIFS('MAIN DATA, Orders'!$S:$S,'MAIN DATA, Orders'!$Y:$Y,$A23,'MAIN DATA, Orders'!$D:$D,"United Kingdom",'MAIN DATA, Orders'!$I:$I,"Drone")/1000000000)</f>
        <v>0</v>
      </c>
      <c r="N23" s="15">
        <f>(SUMIFS('MAIN DATA, Orders'!$S:$S,'MAIN DATA, Orders'!$Y:$Y,$A23,'MAIN DATA, Orders'!$D:$D,"United Kingdom",'MAIN DATA, Orders'!$I:$I,"Development - Drone")/1000000000)</f>
        <v>0</v>
      </c>
      <c r="O23" s="15">
        <f>(SUMIFS('MAIN DATA, Orders'!$S:$S,'MAIN DATA, Orders'!$Y:$Y,$A23,'MAIN DATA, Orders'!$D:$D,"United Kingdom",'MAIN DATA, Orders'!$I:$I,"Helicopter")/1000000000)</f>
        <v>0</v>
      </c>
      <c r="P23" s="15">
        <f>(SUMIFS('MAIN DATA, Orders'!$S:$S,'MAIN DATA, Orders'!$Y:$Y,$A23,'MAIN DATA, Orders'!$D:$D,"United Kingdom",'MAIN DATA, Orders'!$I:$I,"Development - Helicopter")/1000000000)</f>
        <v>0</v>
      </c>
      <c r="Q23" s="15">
        <f>(SUMIFS('MAIN DATA, Orders'!$S:$S,'MAIN DATA, Orders'!$Y:$Y,$A23,'MAIN DATA, Orders'!$D:$D,"United Kingdom",'MAIN DATA, Orders'!$I:$I,"Infantry")/1000000000)</f>
        <v>0</v>
      </c>
      <c r="R23" s="15">
        <f>(SUMIFS('MAIN DATA, Orders'!$S:$S,'MAIN DATA, Orders'!$Y:$Y,$A23,'MAIN DATA, Orders'!$D:$D,"United Kingdom",'MAIN DATA, Orders'!$I:$I,"Development - Infantry")/1000000000)</f>
        <v>0</v>
      </c>
      <c r="S23" s="15">
        <f>(SUMIFS('MAIN DATA, Orders'!$S:$S,'MAIN DATA, Orders'!$Y:$Y,$A23,'MAIN DATA, Orders'!$D:$D,"United Kingdom",'MAIN DATA, Orders'!$I:$I,"Tank")/1000000000)</f>
        <v>0.8</v>
      </c>
      <c r="T23" s="15">
        <f>(SUMIFS('MAIN DATA, Orders'!$S:$S,'MAIN DATA, Orders'!$Y:$Y,$A23,'MAIN DATA, Orders'!$D:$D,"United Kingdom",'MAIN DATA, Orders'!$I:$I,"Development - Tank")/1000000000)</f>
        <v>0</v>
      </c>
      <c r="U23" s="15">
        <f>(SUMIFS('MAIN DATA, Orders'!$S:$S,'MAIN DATA, Orders'!$Y:$Y,$A23,'MAIN DATA, Orders'!$D:$D,"United Kingdom",'MAIN DATA, Orders'!$I:$I,"Maintenance")/1000000000)</f>
        <v>0</v>
      </c>
      <c r="V23" s="15">
        <f>(SUMIFS('MAIN DATA, Orders'!$S:$S,'MAIN DATA, Orders'!$Y:$Y,$A23,'MAIN DATA, Orders'!$D:$D,"United Kingdom",'MAIN DATA, Orders'!$I:$I,"Development - Maintenance")/1000000000)</f>
        <v>0</v>
      </c>
      <c r="W23" s="15">
        <f>(SUMIFS('MAIN DATA, Orders'!$S:$S,'MAIN DATA, Orders'!$Y:$Y,$A23,'MAIN DATA, Orders'!$D:$D,"United Kingdom",'MAIN DATA, Orders'!$I:$I,"Mine")/1000000000)</f>
        <v>0</v>
      </c>
      <c r="X23" s="15">
        <f>(SUMIFS('MAIN DATA, Orders'!$S:$S,'MAIN DATA, Orders'!$Y:$Y,$A23,'MAIN DATA, Orders'!$D:$D,"United Kingdom",'MAIN DATA, Orders'!$I:$I,"Development - Mine")/1000000000)</f>
        <v>0</v>
      </c>
      <c r="Y23" s="15">
        <f>(SUMIFS('MAIN DATA, Orders'!$S:$S,'MAIN DATA, Orders'!$Y:$Y,$A23,'MAIN DATA, Orders'!$D:$D,"United Kingdom",'MAIN DATA, Orders'!$J:$J,"6")/1000000000)</f>
        <v>0</v>
      </c>
      <c r="Z23" s="15" cm="1">
        <f t="array" ref="Z23">SUM(SUMIFS('MAIN DATA, Orders'!$S:$S,'MAIN DATA, Orders'!$Y:$Y,$A23,'MAIN DATA, Orders'!$D:$D,"United Kingdom",'MAIN DATA, Orders'!$I:$I,{"Development - Missile (Land)","Development - Missile (Naval)","Development - Missile (Air)"})/1000000000)</f>
        <v>0</v>
      </c>
      <c r="AA23" s="15">
        <f>(SUMIFS('MAIN DATA, Orders'!$S:$S,'MAIN DATA, Orders'!$Y:$Y,$A23,'MAIN DATA, Orders'!$D:$D,"United Kingdom",'MAIN DATA, Orders'!$I:$I,"Modernisation")/1000000000)</f>
        <v>4.7E-2</v>
      </c>
      <c r="AB23" s="15">
        <f>(SUMIFS('MAIN DATA, Orders'!$S:$S,'MAIN DATA, Orders'!$Y:$Y,$A23,'MAIN DATA, Orders'!$D:$D,"United Kingdom",'MAIN DATA, Orders'!$I:$I,"Development - Modernisation")/1000000000)</f>
        <v>0</v>
      </c>
      <c r="AC23" s="15">
        <f>(SUMIFS('MAIN DATA, Orders'!$S:$S,'MAIN DATA, Orders'!$Y:$Y,$A23,'MAIN DATA, Orders'!$D:$D,"United Kingdom",'MAIN DATA, Orders'!$I:$I,"Naval")/1000000000)</f>
        <v>0</v>
      </c>
      <c r="AD23" s="15">
        <f>(SUMIFS('MAIN DATA, Orders'!$S:$S,'MAIN DATA, Orders'!$Y:$Y,$A23,'MAIN DATA, Orders'!$D:$D,"United Kingdom",'MAIN DATA, Orders'!$I:$I,"Development - Naval")/1000000000)</f>
        <v>0</v>
      </c>
      <c r="AE23" s="15">
        <f>(SUMIFS('MAIN DATA, Orders'!$S:$S,'MAIN DATA, Orders'!$Y:$Y,$A23,'MAIN DATA, Orders'!$D:$D,"United Kingdom",'MAIN DATA, Orders'!$I:$I,"Other")/1000000000)</f>
        <v>0.27400000000000002</v>
      </c>
      <c r="AF23" s="15">
        <f>(SUMIFS('MAIN DATA, Orders'!$S:$S,'MAIN DATA, Orders'!$Y:$Y,$A23,'MAIN DATA, Orders'!$D:$D,"United Kingdom",'MAIN DATA, Orders'!$I:$I,"Development - Other")/1000000000)</f>
        <v>0</v>
      </c>
      <c r="AG23" s="15"/>
      <c r="AH23" s="15" cm="1">
        <f t="array" ref="AH23">SUM(SUMIFS('MAIN DATA, Orders'!$S:$S,'MAIN DATA, Orders'!$Y:$Y,$A23,'MAIN DATA, Orders'!$D:$D,"United Kingdom",'MAIN DATA, Orders'!$I:$I,{"Missile (Land)","Development - Missile (Land)"})/1000000000)</f>
        <v>0</v>
      </c>
      <c r="AI23" s="15" cm="1">
        <f t="array" ref="AI23">SUM(SUMIFS('MAIN DATA, Orders'!$S:$S,'MAIN DATA, Orders'!$D:$D,"United Kingdom",'MAIN DATA, Orders'!$I:$I,{"Missile (Air)","Development - Missile (Air)"},'MAIN DATA, Orders'!$Y:$Y,$A23)/1000000000)</f>
        <v>0</v>
      </c>
      <c r="AJ23" s="15" cm="1">
        <f t="array" ref="AJ23">SUM(SUMIFS('MAIN DATA, Orders'!$S:$S,'MAIN DATA, Orders'!$Y:$Y,$A23,'MAIN DATA, Orders'!$D:$D,"United Kingdom",'MAIN DATA, Orders'!$I:$I,{"Missile (Naval)","Development - Missile (Naval)"})/1000000000)</f>
        <v>0</v>
      </c>
    </row>
    <row r="24" spans="1:36" x14ac:dyDescent="0.35">
      <c r="A24" s="20">
        <v>202106</v>
      </c>
      <c r="B24" s="17">
        <v>44348</v>
      </c>
      <c r="C24" s="15">
        <f>(SUMIFS('MAIN DATA, Orders'!$S:$S,'MAIN DATA, Orders'!$Y:$Y,$A24,'MAIN DATA, Orders'!$D:$D,"United Kingdom",'MAIN DATA, Orders'!$I:$I,"Air defence system")/1000000000)</f>
        <v>0</v>
      </c>
      <c r="D24" s="15">
        <f>(SUMIFS('MAIN DATA, Orders'!$S:$S,'MAIN DATA, Orders'!$Y:$Y,$A24,'MAIN DATA, Orders'!$D:$D,"United Kingdom",'MAIN DATA, Orders'!$I:$I,"Development - Air defence system")/1000000000)</f>
        <v>0</v>
      </c>
      <c r="E24" s="15">
        <f>(SUMIFS('MAIN DATA, Orders'!$S:$S,'MAIN DATA, Orders'!$Y:$Y,$A24,'MAIN DATA, Orders'!$D:$D,"United Kingdom",'MAIN DATA, Orders'!$I:$I,"Aircraft")/1000000000)</f>
        <v>0</v>
      </c>
      <c r="F24" s="15">
        <f>(SUMIFS('MAIN DATA, Orders'!$S:$S,'MAIN DATA, Orders'!$Y:$Y,$A24,'MAIN DATA, Orders'!$D:$D,"United Kingdom",'MAIN DATA, Orders'!$I:$I,"Development - Aircraft")/1000000000)</f>
        <v>0</v>
      </c>
      <c r="G24" s="15">
        <f>(SUMIFS('MAIN DATA, Orders'!$S:$S,'MAIN DATA, Orders'!$Y:$Y,$A24,'MAIN DATA, Orders'!$D:$D,"United Kingdom",'MAIN DATA, Orders'!$I:$I,"Ammunition")/1000000000)</f>
        <v>0</v>
      </c>
      <c r="H24" s="15">
        <f>(SUMIFS('MAIN DATA, Orders'!$S:$S,'MAIN DATA, Orders'!$Y:$Y,$A24,'MAIN DATA, Orders'!$D:$D,"United Kingdom",'MAIN DATA, Orders'!$I:$I,"Development - Ammunition")/1000000000)</f>
        <v>0</v>
      </c>
      <c r="I24" s="15">
        <f>(SUMIFS('MAIN DATA, Orders'!$S:$S,'MAIN DATA, Orders'!$Y:$Y,$A24,'MAIN DATA, Orders'!$D:$D,"United Kingdom",'MAIN DATA, Orders'!$I:$I,"Armoured vehicle")/1000000000)</f>
        <v>0</v>
      </c>
      <c r="J24" s="15">
        <f>(SUMIFS('MAIN DATA, Orders'!$S:$S,'MAIN DATA, Orders'!$Y:$Y,$A24,'MAIN DATA, Orders'!$D:$D,"United Kingdom",'MAIN DATA, Orders'!$I:$I,"Development - Armoured vehicle")/1000000000)</f>
        <v>0</v>
      </c>
      <c r="K24" s="15">
        <f>(SUMIFS('MAIN DATA, Orders'!$S:$S,'MAIN DATA, Orders'!$Y:$Y,$A24,'MAIN DATA, Orders'!$D:$D,"United Kingdom",'MAIN DATA, Orders'!$I:$I,"Artillery")/1000000000)</f>
        <v>0</v>
      </c>
      <c r="L24" s="15">
        <f>(SUMIFS('MAIN DATA, Orders'!$S:$S,'MAIN DATA, Orders'!$Y:$Y,$A24,'MAIN DATA, Orders'!$D:$D,"United Kingdom",'MAIN DATA, Orders'!$I:$I,"Development - Artillery")/1000000000)</f>
        <v>0</v>
      </c>
      <c r="M24" s="15">
        <f>(SUMIFS('MAIN DATA, Orders'!$S:$S,'MAIN DATA, Orders'!$Y:$Y,$A24,'MAIN DATA, Orders'!$D:$D,"United Kingdom",'MAIN DATA, Orders'!$I:$I,"Drone")/1000000000)</f>
        <v>0</v>
      </c>
      <c r="N24" s="15">
        <f>(SUMIFS('MAIN DATA, Orders'!$S:$S,'MAIN DATA, Orders'!$Y:$Y,$A24,'MAIN DATA, Orders'!$D:$D,"United Kingdom",'MAIN DATA, Orders'!$I:$I,"Development - Drone")/1000000000)</f>
        <v>0</v>
      </c>
      <c r="O24" s="15">
        <f>(SUMIFS('MAIN DATA, Orders'!$S:$S,'MAIN DATA, Orders'!$Y:$Y,$A24,'MAIN DATA, Orders'!$D:$D,"United Kingdom",'MAIN DATA, Orders'!$I:$I,"Helicopter")/1000000000)</f>
        <v>0</v>
      </c>
      <c r="P24" s="15">
        <f>(SUMIFS('MAIN DATA, Orders'!$S:$S,'MAIN DATA, Orders'!$Y:$Y,$A24,'MAIN DATA, Orders'!$D:$D,"United Kingdom",'MAIN DATA, Orders'!$I:$I,"Development - Helicopter")/1000000000)</f>
        <v>0</v>
      </c>
      <c r="Q24" s="15">
        <f>(SUMIFS('MAIN DATA, Orders'!$S:$S,'MAIN DATA, Orders'!$Y:$Y,$A24,'MAIN DATA, Orders'!$D:$D,"United Kingdom",'MAIN DATA, Orders'!$I:$I,"Infantry")/1000000000)</f>
        <v>0</v>
      </c>
      <c r="R24" s="15">
        <f>(SUMIFS('MAIN DATA, Orders'!$S:$S,'MAIN DATA, Orders'!$Y:$Y,$A24,'MAIN DATA, Orders'!$D:$D,"United Kingdom",'MAIN DATA, Orders'!$I:$I,"Development - Infantry")/1000000000)</f>
        <v>0</v>
      </c>
      <c r="S24" s="15">
        <f>(SUMIFS('MAIN DATA, Orders'!$S:$S,'MAIN DATA, Orders'!$Y:$Y,$A24,'MAIN DATA, Orders'!$D:$D,"United Kingdom",'MAIN DATA, Orders'!$I:$I,"Tank")/1000000000)</f>
        <v>0</v>
      </c>
      <c r="T24" s="15">
        <f>(SUMIFS('MAIN DATA, Orders'!$S:$S,'MAIN DATA, Orders'!$Y:$Y,$A24,'MAIN DATA, Orders'!$D:$D,"United Kingdom",'MAIN DATA, Orders'!$I:$I,"Development - Tank")/1000000000)</f>
        <v>0</v>
      </c>
      <c r="U24" s="15">
        <f>(SUMIFS('MAIN DATA, Orders'!$S:$S,'MAIN DATA, Orders'!$Y:$Y,$A24,'MAIN DATA, Orders'!$D:$D,"United Kingdom",'MAIN DATA, Orders'!$I:$I,"Maintenance")/1000000000)</f>
        <v>0</v>
      </c>
      <c r="V24" s="15">
        <f>(SUMIFS('MAIN DATA, Orders'!$S:$S,'MAIN DATA, Orders'!$Y:$Y,$A24,'MAIN DATA, Orders'!$D:$D,"United Kingdom",'MAIN DATA, Orders'!$I:$I,"Development - Maintenance")/1000000000)</f>
        <v>0</v>
      </c>
      <c r="W24" s="15">
        <f>(SUMIFS('MAIN DATA, Orders'!$S:$S,'MAIN DATA, Orders'!$Y:$Y,$A24,'MAIN DATA, Orders'!$D:$D,"United Kingdom",'MAIN DATA, Orders'!$I:$I,"Mine")/1000000000)</f>
        <v>0</v>
      </c>
      <c r="X24" s="15">
        <f>(SUMIFS('MAIN DATA, Orders'!$S:$S,'MAIN DATA, Orders'!$Y:$Y,$A24,'MAIN DATA, Orders'!$D:$D,"United Kingdom",'MAIN DATA, Orders'!$I:$I,"Development - Mine")/1000000000)</f>
        <v>0</v>
      </c>
      <c r="Y24" s="15">
        <f>(SUMIFS('MAIN DATA, Orders'!$S:$S,'MAIN DATA, Orders'!$Y:$Y,$A24,'MAIN DATA, Orders'!$D:$D,"United Kingdom",'MAIN DATA, Orders'!$J:$J,"6")/1000000000)</f>
        <v>0</v>
      </c>
      <c r="Z24" s="15" cm="1">
        <f t="array" ref="Z24">SUM(SUMIFS('MAIN DATA, Orders'!$S:$S,'MAIN DATA, Orders'!$Y:$Y,$A24,'MAIN DATA, Orders'!$D:$D,"United Kingdom",'MAIN DATA, Orders'!$I:$I,{"Development - Missile (Land)","Development - Missile (Naval)","Development - Missile (Air)"})/1000000000)</f>
        <v>0</v>
      </c>
      <c r="AA24" s="15">
        <f>(SUMIFS('MAIN DATA, Orders'!$S:$S,'MAIN DATA, Orders'!$Y:$Y,$A24,'MAIN DATA, Orders'!$D:$D,"United Kingdom",'MAIN DATA, Orders'!$I:$I,"Modernisation")/1000000000)</f>
        <v>0</v>
      </c>
      <c r="AB24" s="15">
        <f>(SUMIFS('MAIN DATA, Orders'!$S:$S,'MAIN DATA, Orders'!$Y:$Y,$A24,'MAIN DATA, Orders'!$D:$D,"United Kingdom",'MAIN DATA, Orders'!$I:$I,"Development - Modernisation")/1000000000)</f>
        <v>0</v>
      </c>
      <c r="AC24" s="15">
        <f>(SUMIFS('MAIN DATA, Orders'!$S:$S,'MAIN DATA, Orders'!$Y:$Y,$A24,'MAIN DATA, Orders'!$D:$D,"United Kingdom",'MAIN DATA, Orders'!$I:$I,"Naval")/1000000000)</f>
        <v>3.5999999999999997E-2</v>
      </c>
      <c r="AD24" s="15">
        <f>(SUMIFS('MAIN DATA, Orders'!$S:$S,'MAIN DATA, Orders'!$Y:$Y,$A24,'MAIN DATA, Orders'!$D:$D,"United Kingdom",'MAIN DATA, Orders'!$I:$I,"Development - Naval")/1000000000)</f>
        <v>0</v>
      </c>
      <c r="AE24" s="15">
        <f>(SUMIFS('MAIN DATA, Orders'!$S:$S,'MAIN DATA, Orders'!$Y:$Y,$A24,'MAIN DATA, Orders'!$D:$D,"United Kingdom",'MAIN DATA, Orders'!$I:$I,"Other")/1000000000)</f>
        <v>0</v>
      </c>
      <c r="AF24" s="15">
        <f>(SUMIFS('MAIN DATA, Orders'!$S:$S,'MAIN DATA, Orders'!$Y:$Y,$A24,'MAIN DATA, Orders'!$D:$D,"United Kingdom",'MAIN DATA, Orders'!$I:$I,"Development - Other")/1000000000)</f>
        <v>0</v>
      </c>
      <c r="AG24" s="15"/>
      <c r="AH24" s="15" cm="1">
        <f t="array" ref="AH24">SUM(SUMIFS('MAIN DATA, Orders'!$S:$S,'MAIN DATA, Orders'!$Y:$Y,$A24,'MAIN DATA, Orders'!$D:$D,"United Kingdom",'MAIN DATA, Orders'!$I:$I,{"Missile (Land)","Development - Missile (Land)"})/1000000000)</f>
        <v>0</v>
      </c>
      <c r="AI24" s="15" cm="1">
        <f t="array" ref="AI24">SUM(SUMIFS('MAIN DATA, Orders'!$S:$S,'MAIN DATA, Orders'!$D:$D,"United Kingdom",'MAIN DATA, Orders'!$I:$I,{"Missile (Air)","Development - Missile (Air)"},'MAIN DATA, Orders'!$Y:$Y,$A24)/1000000000)</f>
        <v>0</v>
      </c>
      <c r="AJ24" s="15" cm="1">
        <f t="array" ref="AJ24">SUM(SUMIFS('MAIN DATA, Orders'!$S:$S,'MAIN DATA, Orders'!$Y:$Y,$A24,'MAIN DATA, Orders'!$D:$D,"United Kingdom",'MAIN DATA, Orders'!$I:$I,{"Missile (Naval)","Development - Missile (Naval)"})/1000000000)</f>
        <v>0</v>
      </c>
    </row>
    <row r="25" spans="1:36" x14ac:dyDescent="0.35">
      <c r="A25" s="20">
        <v>202107</v>
      </c>
      <c r="B25" s="17">
        <v>44378</v>
      </c>
      <c r="C25" s="15">
        <f>(SUMIFS('MAIN DATA, Orders'!$S:$S,'MAIN DATA, Orders'!$Y:$Y,$A25,'MAIN DATA, Orders'!$D:$D,"United Kingdom",'MAIN DATA, Orders'!$I:$I,"Air defence system")/1000000000)</f>
        <v>0</v>
      </c>
      <c r="D25" s="15">
        <f>(SUMIFS('MAIN DATA, Orders'!$S:$S,'MAIN DATA, Orders'!$Y:$Y,$A25,'MAIN DATA, Orders'!$D:$D,"United Kingdom",'MAIN DATA, Orders'!$I:$I,"Development - Air defence system")/1000000000)</f>
        <v>0</v>
      </c>
      <c r="E25" s="15">
        <f>(SUMIFS('MAIN DATA, Orders'!$S:$S,'MAIN DATA, Orders'!$Y:$Y,$A25,'MAIN DATA, Orders'!$D:$D,"United Kingdom",'MAIN DATA, Orders'!$I:$I,"Aircraft")/1000000000)</f>
        <v>0</v>
      </c>
      <c r="F25" s="15">
        <f>(SUMIFS('MAIN DATA, Orders'!$S:$S,'MAIN DATA, Orders'!$Y:$Y,$A25,'MAIN DATA, Orders'!$D:$D,"United Kingdom",'MAIN DATA, Orders'!$I:$I,"Development - Aircraft")/1000000000)</f>
        <v>0.25</v>
      </c>
      <c r="G25" s="15">
        <f>(SUMIFS('MAIN DATA, Orders'!$S:$S,'MAIN DATA, Orders'!$Y:$Y,$A25,'MAIN DATA, Orders'!$D:$D,"United Kingdom",'MAIN DATA, Orders'!$I:$I,"Ammunition")/1000000000)</f>
        <v>0</v>
      </c>
      <c r="H25" s="15">
        <f>(SUMIFS('MAIN DATA, Orders'!$S:$S,'MAIN DATA, Orders'!$Y:$Y,$A25,'MAIN DATA, Orders'!$D:$D,"United Kingdom",'MAIN DATA, Orders'!$I:$I,"Development - Ammunition")/1000000000)</f>
        <v>0</v>
      </c>
      <c r="I25" s="15">
        <f>(SUMIFS('MAIN DATA, Orders'!$S:$S,'MAIN DATA, Orders'!$Y:$Y,$A25,'MAIN DATA, Orders'!$D:$D,"United Kingdom",'MAIN DATA, Orders'!$I:$I,"Armoured vehicle")/1000000000)</f>
        <v>0</v>
      </c>
      <c r="J25" s="15">
        <f>(SUMIFS('MAIN DATA, Orders'!$S:$S,'MAIN DATA, Orders'!$Y:$Y,$A25,'MAIN DATA, Orders'!$D:$D,"United Kingdom",'MAIN DATA, Orders'!$I:$I,"Development - Armoured vehicle")/1000000000)</f>
        <v>0</v>
      </c>
      <c r="K25" s="15">
        <f>(SUMIFS('MAIN DATA, Orders'!$S:$S,'MAIN DATA, Orders'!$Y:$Y,$A25,'MAIN DATA, Orders'!$D:$D,"United Kingdom",'MAIN DATA, Orders'!$I:$I,"Artillery")/1000000000)</f>
        <v>0</v>
      </c>
      <c r="L25" s="15">
        <f>(SUMIFS('MAIN DATA, Orders'!$S:$S,'MAIN DATA, Orders'!$Y:$Y,$A25,'MAIN DATA, Orders'!$D:$D,"United Kingdom",'MAIN DATA, Orders'!$I:$I,"Development - Artillery")/1000000000)</f>
        <v>0</v>
      </c>
      <c r="M25" s="15">
        <f>(SUMIFS('MAIN DATA, Orders'!$S:$S,'MAIN DATA, Orders'!$Y:$Y,$A25,'MAIN DATA, Orders'!$D:$D,"United Kingdom",'MAIN DATA, Orders'!$I:$I,"Drone")/1000000000)</f>
        <v>0.19500000000000001</v>
      </c>
      <c r="N25" s="15">
        <f>(SUMIFS('MAIN DATA, Orders'!$S:$S,'MAIN DATA, Orders'!$Y:$Y,$A25,'MAIN DATA, Orders'!$D:$D,"United Kingdom",'MAIN DATA, Orders'!$I:$I,"Development - Drone")/1000000000)</f>
        <v>2E-3</v>
      </c>
      <c r="O25" s="15">
        <f>(SUMIFS('MAIN DATA, Orders'!$S:$S,'MAIN DATA, Orders'!$Y:$Y,$A25,'MAIN DATA, Orders'!$D:$D,"United Kingdom",'MAIN DATA, Orders'!$I:$I,"Helicopter")/1000000000)</f>
        <v>0</v>
      </c>
      <c r="P25" s="15">
        <f>(SUMIFS('MAIN DATA, Orders'!$S:$S,'MAIN DATA, Orders'!$Y:$Y,$A25,'MAIN DATA, Orders'!$D:$D,"United Kingdom",'MAIN DATA, Orders'!$I:$I,"Development - Helicopter")/1000000000)</f>
        <v>0</v>
      </c>
      <c r="Q25" s="15">
        <f>(SUMIFS('MAIN DATA, Orders'!$S:$S,'MAIN DATA, Orders'!$Y:$Y,$A25,'MAIN DATA, Orders'!$D:$D,"United Kingdom",'MAIN DATA, Orders'!$I:$I,"Infantry")/1000000000)</f>
        <v>0</v>
      </c>
      <c r="R25" s="15">
        <f>(SUMIFS('MAIN DATA, Orders'!$S:$S,'MAIN DATA, Orders'!$Y:$Y,$A25,'MAIN DATA, Orders'!$D:$D,"United Kingdom",'MAIN DATA, Orders'!$I:$I,"Development - Infantry")/1000000000)</f>
        <v>0</v>
      </c>
      <c r="S25" s="15">
        <f>(SUMIFS('MAIN DATA, Orders'!$S:$S,'MAIN DATA, Orders'!$Y:$Y,$A25,'MAIN DATA, Orders'!$D:$D,"United Kingdom",'MAIN DATA, Orders'!$I:$I,"Tank")/1000000000)</f>
        <v>0</v>
      </c>
      <c r="T25" s="15">
        <f>(SUMIFS('MAIN DATA, Orders'!$S:$S,'MAIN DATA, Orders'!$Y:$Y,$A25,'MAIN DATA, Orders'!$D:$D,"United Kingdom",'MAIN DATA, Orders'!$I:$I,"Development - Tank")/1000000000)</f>
        <v>0</v>
      </c>
      <c r="U25" s="15">
        <f>(SUMIFS('MAIN DATA, Orders'!$S:$S,'MAIN DATA, Orders'!$Y:$Y,$A25,'MAIN DATA, Orders'!$D:$D,"United Kingdom",'MAIN DATA, Orders'!$I:$I,"Maintenance")/1000000000)</f>
        <v>0.23</v>
      </c>
      <c r="V25" s="15">
        <f>(SUMIFS('MAIN DATA, Orders'!$S:$S,'MAIN DATA, Orders'!$Y:$Y,$A25,'MAIN DATA, Orders'!$D:$D,"United Kingdom",'MAIN DATA, Orders'!$I:$I,"Development - Maintenance")/1000000000)</f>
        <v>0</v>
      </c>
      <c r="W25" s="15">
        <f>(SUMIFS('MAIN DATA, Orders'!$S:$S,'MAIN DATA, Orders'!$Y:$Y,$A25,'MAIN DATA, Orders'!$D:$D,"United Kingdom",'MAIN DATA, Orders'!$I:$I,"Mine")/1000000000)</f>
        <v>0</v>
      </c>
      <c r="X25" s="15">
        <f>(SUMIFS('MAIN DATA, Orders'!$S:$S,'MAIN DATA, Orders'!$Y:$Y,$A25,'MAIN DATA, Orders'!$D:$D,"United Kingdom",'MAIN DATA, Orders'!$I:$I,"Development - Mine")/1000000000)</f>
        <v>0</v>
      </c>
      <c r="Y25" s="15">
        <f>(SUMIFS('MAIN DATA, Orders'!$S:$S,'MAIN DATA, Orders'!$Y:$Y,$A25,'MAIN DATA, Orders'!$D:$D,"United Kingdom",'MAIN DATA, Orders'!$J:$J,"6")/1000000000)</f>
        <v>0.5</v>
      </c>
      <c r="Z25" s="15" cm="1">
        <f t="array" ref="Z25">SUM(SUMIFS('MAIN DATA, Orders'!$S:$S,'MAIN DATA, Orders'!$Y:$Y,$A25,'MAIN DATA, Orders'!$D:$D,"United Kingdom",'MAIN DATA, Orders'!$I:$I,{"Development - Missile (Land)","Development - Missile (Naval)","Development - Missile (Air)"})/1000000000)</f>
        <v>2.35E-2</v>
      </c>
      <c r="AA25" s="15">
        <f>(SUMIFS('MAIN DATA, Orders'!$S:$S,'MAIN DATA, Orders'!$Y:$Y,$A25,'MAIN DATA, Orders'!$D:$D,"United Kingdom",'MAIN DATA, Orders'!$I:$I,"Modernisation")/1000000000)</f>
        <v>0</v>
      </c>
      <c r="AB25" s="15">
        <f>(SUMIFS('MAIN DATA, Orders'!$S:$S,'MAIN DATA, Orders'!$Y:$Y,$A25,'MAIN DATA, Orders'!$D:$D,"United Kingdom",'MAIN DATA, Orders'!$I:$I,"Development - Modernisation")/1000000000)</f>
        <v>0</v>
      </c>
      <c r="AC25" s="15">
        <f>(SUMIFS('MAIN DATA, Orders'!$S:$S,'MAIN DATA, Orders'!$Y:$Y,$A25,'MAIN DATA, Orders'!$D:$D,"United Kingdom",'MAIN DATA, Orders'!$I:$I,"Naval")/1000000000)</f>
        <v>0</v>
      </c>
      <c r="AD25" s="15">
        <f>(SUMIFS('MAIN DATA, Orders'!$S:$S,'MAIN DATA, Orders'!$Y:$Y,$A25,'MAIN DATA, Orders'!$D:$D,"United Kingdom",'MAIN DATA, Orders'!$I:$I,"Development - Naval")/1000000000)</f>
        <v>4.4000000000000002E-4</v>
      </c>
      <c r="AE25" s="15">
        <f>(SUMIFS('MAIN DATA, Orders'!$S:$S,'MAIN DATA, Orders'!$Y:$Y,$A25,'MAIN DATA, Orders'!$D:$D,"United Kingdom",'MAIN DATA, Orders'!$I:$I,"Other")/1000000000)</f>
        <v>0</v>
      </c>
      <c r="AF25" s="15">
        <f>(SUMIFS('MAIN DATA, Orders'!$S:$S,'MAIN DATA, Orders'!$Y:$Y,$A25,'MAIN DATA, Orders'!$D:$D,"United Kingdom",'MAIN DATA, Orders'!$I:$I,"Development - Other")/1000000000)</f>
        <v>0</v>
      </c>
      <c r="AG25" s="15"/>
      <c r="AH25" s="15" cm="1">
        <f t="array" ref="AH25">SUM(SUMIFS('MAIN DATA, Orders'!$S:$S,'MAIN DATA, Orders'!$Y:$Y,$A25,'MAIN DATA, Orders'!$D:$D,"United Kingdom",'MAIN DATA, Orders'!$I:$I,{"Missile (Land)","Development - Missile (Land)"})/1000000000)</f>
        <v>0</v>
      </c>
      <c r="AI25" s="15" cm="1">
        <f t="array" ref="AI25">SUM(SUMIFS('MAIN DATA, Orders'!$S:$S,'MAIN DATA, Orders'!$D:$D,"United Kingdom",'MAIN DATA, Orders'!$I:$I,{"Missile (Air)","Development - Missile (Air)"},'MAIN DATA, Orders'!$Y:$Y,$A25)/1000000000)</f>
        <v>2.35E-2</v>
      </c>
      <c r="AJ25" s="15" cm="1">
        <f t="array" ref="AJ25">SUM(SUMIFS('MAIN DATA, Orders'!$S:$S,'MAIN DATA, Orders'!$Y:$Y,$A25,'MAIN DATA, Orders'!$D:$D,"United Kingdom",'MAIN DATA, Orders'!$I:$I,{"Missile (Naval)","Development - Missile (Naval)"})/1000000000)</f>
        <v>0.5</v>
      </c>
    </row>
    <row r="26" spans="1:36" x14ac:dyDescent="0.35">
      <c r="A26" s="20">
        <v>202108</v>
      </c>
      <c r="B26" s="17">
        <v>44409</v>
      </c>
      <c r="C26" s="15">
        <f>(SUMIFS('MAIN DATA, Orders'!$S:$S,'MAIN DATA, Orders'!$Y:$Y,$A26,'MAIN DATA, Orders'!$D:$D,"United Kingdom",'MAIN DATA, Orders'!$I:$I,"Air defence system")/1000000000)</f>
        <v>0</v>
      </c>
      <c r="D26" s="15">
        <f>(SUMIFS('MAIN DATA, Orders'!$S:$S,'MAIN DATA, Orders'!$Y:$Y,$A26,'MAIN DATA, Orders'!$D:$D,"United Kingdom",'MAIN DATA, Orders'!$I:$I,"Development - Air defence system")/1000000000)</f>
        <v>0</v>
      </c>
      <c r="E26" s="15">
        <f>(SUMIFS('MAIN DATA, Orders'!$S:$S,'MAIN DATA, Orders'!$Y:$Y,$A26,'MAIN DATA, Orders'!$D:$D,"United Kingdom",'MAIN DATA, Orders'!$I:$I,"Aircraft")/1000000000)</f>
        <v>0</v>
      </c>
      <c r="F26" s="15">
        <f>(SUMIFS('MAIN DATA, Orders'!$S:$S,'MAIN DATA, Orders'!$Y:$Y,$A26,'MAIN DATA, Orders'!$D:$D,"United Kingdom",'MAIN DATA, Orders'!$I:$I,"Development - Aircraft")/1000000000)</f>
        <v>0</v>
      </c>
      <c r="G26" s="15">
        <f>(SUMIFS('MAIN DATA, Orders'!$S:$S,'MAIN DATA, Orders'!$Y:$Y,$A26,'MAIN DATA, Orders'!$D:$D,"United Kingdom",'MAIN DATA, Orders'!$I:$I,"Ammunition")/1000000000)</f>
        <v>0</v>
      </c>
      <c r="H26" s="15">
        <f>(SUMIFS('MAIN DATA, Orders'!$S:$S,'MAIN DATA, Orders'!$Y:$Y,$A26,'MAIN DATA, Orders'!$D:$D,"United Kingdom",'MAIN DATA, Orders'!$I:$I,"Development - Ammunition")/1000000000)</f>
        <v>0</v>
      </c>
      <c r="I26" s="15">
        <f>(SUMIFS('MAIN DATA, Orders'!$S:$S,'MAIN DATA, Orders'!$Y:$Y,$A26,'MAIN DATA, Orders'!$D:$D,"United Kingdom",'MAIN DATA, Orders'!$I:$I,"Armoured vehicle")/1000000000)</f>
        <v>0</v>
      </c>
      <c r="J26" s="15">
        <f>(SUMIFS('MAIN DATA, Orders'!$S:$S,'MAIN DATA, Orders'!$Y:$Y,$A26,'MAIN DATA, Orders'!$D:$D,"United Kingdom",'MAIN DATA, Orders'!$I:$I,"Development - Armoured vehicle")/1000000000)</f>
        <v>0</v>
      </c>
      <c r="K26" s="15">
        <f>(SUMIFS('MAIN DATA, Orders'!$S:$S,'MAIN DATA, Orders'!$Y:$Y,$A26,'MAIN DATA, Orders'!$D:$D,"United Kingdom",'MAIN DATA, Orders'!$I:$I,"Artillery")/1000000000)</f>
        <v>0</v>
      </c>
      <c r="L26" s="15">
        <f>(SUMIFS('MAIN DATA, Orders'!$S:$S,'MAIN DATA, Orders'!$Y:$Y,$A26,'MAIN DATA, Orders'!$D:$D,"United Kingdom",'MAIN DATA, Orders'!$I:$I,"Development - Artillery")/1000000000)</f>
        <v>0</v>
      </c>
      <c r="M26" s="15">
        <f>(SUMIFS('MAIN DATA, Orders'!$S:$S,'MAIN DATA, Orders'!$Y:$Y,$A26,'MAIN DATA, Orders'!$D:$D,"United Kingdom",'MAIN DATA, Orders'!$I:$I,"Drone")/1000000000)</f>
        <v>0</v>
      </c>
      <c r="N26" s="15">
        <f>(SUMIFS('MAIN DATA, Orders'!$S:$S,'MAIN DATA, Orders'!$Y:$Y,$A26,'MAIN DATA, Orders'!$D:$D,"United Kingdom",'MAIN DATA, Orders'!$I:$I,"Development - Drone")/1000000000)</f>
        <v>0</v>
      </c>
      <c r="O26" s="15">
        <f>(SUMIFS('MAIN DATA, Orders'!$S:$S,'MAIN DATA, Orders'!$Y:$Y,$A26,'MAIN DATA, Orders'!$D:$D,"United Kingdom",'MAIN DATA, Orders'!$I:$I,"Helicopter")/1000000000)</f>
        <v>0</v>
      </c>
      <c r="P26" s="15">
        <f>(SUMIFS('MAIN DATA, Orders'!$S:$S,'MAIN DATA, Orders'!$Y:$Y,$A26,'MAIN DATA, Orders'!$D:$D,"United Kingdom",'MAIN DATA, Orders'!$I:$I,"Development - Helicopter")/1000000000)</f>
        <v>0</v>
      </c>
      <c r="Q26" s="15">
        <f>(SUMIFS('MAIN DATA, Orders'!$S:$S,'MAIN DATA, Orders'!$Y:$Y,$A26,'MAIN DATA, Orders'!$D:$D,"United Kingdom",'MAIN DATA, Orders'!$I:$I,"Infantry")/1000000000)</f>
        <v>0</v>
      </c>
      <c r="R26" s="15">
        <f>(SUMIFS('MAIN DATA, Orders'!$S:$S,'MAIN DATA, Orders'!$Y:$Y,$A26,'MAIN DATA, Orders'!$D:$D,"United Kingdom",'MAIN DATA, Orders'!$I:$I,"Development - Infantry")/1000000000)</f>
        <v>0</v>
      </c>
      <c r="S26" s="15">
        <f>(SUMIFS('MAIN DATA, Orders'!$S:$S,'MAIN DATA, Orders'!$Y:$Y,$A26,'MAIN DATA, Orders'!$D:$D,"United Kingdom",'MAIN DATA, Orders'!$I:$I,"Tank")/1000000000)</f>
        <v>0</v>
      </c>
      <c r="T26" s="15">
        <f>(SUMIFS('MAIN DATA, Orders'!$S:$S,'MAIN DATA, Orders'!$Y:$Y,$A26,'MAIN DATA, Orders'!$D:$D,"United Kingdom",'MAIN DATA, Orders'!$I:$I,"Development - Tank")/1000000000)</f>
        <v>0</v>
      </c>
      <c r="U26" s="15">
        <f>(SUMIFS('MAIN DATA, Orders'!$S:$S,'MAIN DATA, Orders'!$Y:$Y,$A26,'MAIN DATA, Orders'!$D:$D,"United Kingdom",'MAIN DATA, Orders'!$I:$I,"Maintenance")/1000000000)</f>
        <v>0</v>
      </c>
      <c r="V26" s="15">
        <f>(SUMIFS('MAIN DATA, Orders'!$S:$S,'MAIN DATA, Orders'!$Y:$Y,$A26,'MAIN DATA, Orders'!$D:$D,"United Kingdom",'MAIN DATA, Orders'!$I:$I,"Development - Maintenance")/1000000000)</f>
        <v>0</v>
      </c>
      <c r="W26" s="15">
        <f>(SUMIFS('MAIN DATA, Orders'!$S:$S,'MAIN DATA, Orders'!$Y:$Y,$A26,'MAIN DATA, Orders'!$D:$D,"United Kingdom",'MAIN DATA, Orders'!$I:$I,"Mine")/1000000000)</f>
        <v>0</v>
      </c>
      <c r="X26" s="15">
        <f>(SUMIFS('MAIN DATA, Orders'!$S:$S,'MAIN DATA, Orders'!$Y:$Y,$A26,'MAIN DATA, Orders'!$D:$D,"United Kingdom",'MAIN DATA, Orders'!$I:$I,"Development - Mine")/1000000000)</f>
        <v>0</v>
      </c>
      <c r="Y26" s="15">
        <f>(SUMIFS('MAIN DATA, Orders'!$S:$S,'MAIN DATA, Orders'!$Y:$Y,$A26,'MAIN DATA, Orders'!$D:$D,"United Kingdom",'MAIN DATA, Orders'!$J:$J,"6")/1000000000)</f>
        <v>0</v>
      </c>
      <c r="Z26" s="15" cm="1">
        <f t="array" ref="Z26">SUM(SUMIFS('MAIN DATA, Orders'!$S:$S,'MAIN DATA, Orders'!$Y:$Y,$A26,'MAIN DATA, Orders'!$D:$D,"United Kingdom",'MAIN DATA, Orders'!$I:$I,{"Development - Missile (Land)","Development - Missile (Naval)","Development - Missile (Air)"})/1000000000)</f>
        <v>0</v>
      </c>
      <c r="AA26" s="15">
        <f>(SUMIFS('MAIN DATA, Orders'!$S:$S,'MAIN DATA, Orders'!$Y:$Y,$A26,'MAIN DATA, Orders'!$D:$D,"United Kingdom",'MAIN DATA, Orders'!$I:$I,"Modernisation")/1000000000)</f>
        <v>0</v>
      </c>
      <c r="AB26" s="15">
        <f>(SUMIFS('MAIN DATA, Orders'!$S:$S,'MAIN DATA, Orders'!$Y:$Y,$A26,'MAIN DATA, Orders'!$D:$D,"United Kingdom",'MAIN DATA, Orders'!$I:$I,"Development - Modernisation")/1000000000)</f>
        <v>0</v>
      </c>
      <c r="AC26" s="15">
        <f>(SUMIFS('MAIN DATA, Orders'!$S:$S,'MAIN DATA, Orders'!$Y:$Y,$A26,'MAIN DATA, Orders'!$D:$D,"United Kingdom",'MAIN DATA, Orders'!$I:$I,"Naval")/1000000000)</f>
        <v>0</v>
      </c>
      <c r="AD26" s="15">
        <f>(SUMIFS('MAIN DATA, Orders'!$S:$S,'MAIN DATA, Orders'!$Y:$Y,$A26,'MAIN DATA, Orders'!$D:$D,"United Kingdom",'MAIN DATA, Orders'!$I:$I,"Development - Naval")/1000000000)</f>
        <v>0</v>
      </c>
      <c r="AE26" s="15">
        <f>(SUMIFS('MAIN DATA, Orders'!$S:$S,'MAIN DATA, Orders'!$Y:$Y,$A26,'MAIN DATA, Orders'!$D:$D,"United Kingdom",'MAIN DATA, Orders'!$I:$I,"Other")/1000000000)</f>
        <v>0</v>
      </c>
      <c r="AF26" s="15">
        <f>(SUMIFS('MAIN DATA, Orders'!$S:$S,'MAIN DATA, Orders'!$Y:$Y,$A26,'MAIN DATA, Orders'!$D:$D,"United Kingdom",'MAIN DATA, Orders'!$I:$I,"Development - Other")/1000000000)</f>
        <v>0</v>
      </c>
      <c r="AG26" s="15"/>
      <c r="AH26" s="15" cm="1">
        <f t="array" ref="AH26">SUM(SUMIFS('MAIN DATA, Orders'!$S:$S,'MAIN DATA, Orders'!$Y:$Y,$A26,'MAIN DATA, Orders'!$D:$D,"United Kingdom",'MAIN DATA, Orders'!$I:$I,{"Missile (Land)","Development - Missile (Land)"})/1000000000)</f>
        <v>0</v>
      </c>
      <c r="AI26" s="15" cm="1">
        <f t="array" ref="AI26">SUM(SUMIFS('MAIN DATA, Orders'!$S:$S,'MAIN DATA, Orders'!$D:$D,"United Kingdom",'MAIN DATA, Orders'!$I:$I,{"Missile (Air)","Development - Missile (Air)"},'MAIN DATA, Orders'!$Y:$Y,$A26)/1000000000)</f>
        <v>0</v>
      </c>
      <c r="AJ26" s="15" cm="1">
        <f t="array" ref="AJ26">SUM(SUMIFS('MAIN DATA, Orders'!$S:$S,'MAIN DATA, Orders'!$Y:$Y,$A26,'MAIN DATA, Orders'!$D:$D,"United Kingdom",'MAIN DATA, Orders'!$I:$I,{"Missile (Naval)","Development - Missile (Naval)"})/1000000000)</f>
        <v>0</v>
      </c>
    </row>
    <row r="27" spans="1:36" x14ac:dyDescent="0.35">
      <c r="A27" s="20">
        <v>202109</v>
      </c>
      <c r="B27" s="17">
        <v>44440</v>
      </c>
      <c r="C27" s="15">
        <f>(SUMIFS('MAIN DATA, Orders'!$S:$S,'MAIN DATA, Orders'!$Y:$Y,$A27,'MAIN DATA, Orders'!$D:$D,"United Kingdom",'MAIN DATA, Orders'!$I:$I,"Air defence system")/1000000000)</f>
        <v>0</v>
      </c>
      <c r="D27" s="15">
        <f>(SUMIFS('MAIN DATA, Orders'!$S:$S,'MAIN DATA, Orders'!$Y:$Y,$A27,'MAIN DATA, Orders'!$D:$D,"United Kingdom",'MAIN DATA, Orders'!$I:$I,"Development - Air defence system")/1000000000)</f>
        <v>0</v>
      </c>
      <c r="E27" s="15">
        <f>(SUMIFS('MAIN DATA, Orders'!$S:$S,'MAIN DATA, Orders'!$Y:$Y,$A27,'MAIN DATA, Orders'!$D:$D,"United Kingdom",'MAIN DATA, Orders'!$I:$I,"Aircraft")/1000000000)</f>
        <v>0.38800000000000001</v>
      </c>
      <c r="F27" s="15">
        <f>(SUMIFS('MAIN DATA, Orders'!$S:$S,'MAIN DATA, Orders'!$Y:$Y,$A27,'MAIN DATA, Orders'!$D:$D,"United Kingdom",'MAIN DATA, Orders'!$I:$I,"Development - Aircraft")/1000000000)</f>
        <v>0</v>
      </c>
      <c r="G27" s="15">
        <f>(SUMIFS('MAIN DATA, Orders'!$S:$S,'MAIN DATA, Orders'!$Y:$Y,$A27,'MAIN DATA, Orders'!$D:$D,"United Kingdom",'MAIN DATA, Orders'!$I:$I,"Ammunition")/1000000000)</f>
        <v>0</v>
      </c>
      <c r="H27" s="15">
        <f>(SUMIFS('MAIN DATA, Orders'!$S:$S,'MAIN DATA, Orders'!$Y:$Y,$A27,'MAIN DATA, Orders'!$D:$D,"United Kingdom",'MAIN DATA, Orders'!$I:$I,"Development - Ammunition")/1000000000)</f>
        <v>0</v>
      </c>
      <c r="I27" s="15">
        <f>(SUMIFS('MAIN DATA, Orders'!$S:$S,'MAIN DATA, Orders'!$Y:$Y,$A27,'MAIN DATA, Orders'!$D:$D,"United Kingdom",'MAIN DATA, Orders'!$I:$I,"Armoured vehicle")/1000000000)</f>
        <v>0</v>
      </c>
      <c r="J27" s="15">
        <f>(SUMIFS('MAIN DATA, Orders'!$S:$S,'MAIN DATA, Orders'!$Y:$Y,$A27,'MAIN DATA, Orders'!$D:$D,"United Kingdom",'MAIN DATA, Orders'!$I:$I,"Development - Armoured vehicle")/1000000000)</f>
        <v>0</v>
      </c>
      <c r="K27" s="15">
        <f>(SUMIFS('MAIN DATA, Orders'!$S:$S,'MAIN DATA, Orders'!$Y:$Y,$A27,'MAIN DATA, Orders'!$D:$D,"United Kingdom",'MAIN DATA, Orders'!$I:$I,"Artillery")/1000000000)</f>
        <v>0</v>
      </c>
      <c r="L27" s="15">
        <f>(SUMIFS('MAIN DATA, Orders'!$S:$S,'MAIN DATA, Orders'!$Y:$Y,$A27,'MAIN DATA, Orders'!$D:$D,"United Kingdom",'MAIN DATA, Orders'!$I:$I,"Development - Artillery")/1000000000)</f>
        <v>0</v>
      </c>
      <c r="M27" s="15">
        <f>(SUMIFS('MAIN DATA, Orders'!$S:$S,'MAIN DATA, Orders'!$Y:$Y,$A27,'MAIN DATA, Orders'!$D:$D,"United Kingdom",'MAIN DATA, Orders'!$I:$I,"Drone")/1000000000)</f>
        <v>0</v>
      </c>
      <c r="N27" s="15">
        <f>(SUMIFS('MAIN DATA, Orders'!$S:$S,'MAIN DATA, Orders'!$Y:$Y,$A27,'MAIN DATA, Orders'!$D:$D,"United Kingdom",'MAIN DATA, Orders'!$I:$I,"Development - Drone")/1000000000)</f>
        <v>0</v>
      </c>
      <c r="O27" s="15">
        <f>(SUMIFS('MAIN DATA, Orders'!$S:$S,'MAIN DATA, Orders'!$Y:$Y,$A27,'MAIN DATA, Orders'!$D:$D,"United Kingdom",'MAIN DATA, Orders'!$I:$I,"Helicopter")/1000000000)</f>
        <v>0</v>
      </c>
      <c r="P27" s="15">
        <f>(SUMIFS('MAIN DATA, Orders'!$S:$S,'MAIN DATA, Orders'!$Y:$Y,$A27,'MAIN DATA, Orders'!$D:$D,"United Kingdom",'MAIN DATA, Orders'!$I:$I,"Development - Helicopter")/1000000000)</f>
        <v>0</v>
      </c>
      <c r="Q27" s="15">
        <f>(SUMIFS('MAIN DATA, Orders'!$S:$S,'MAIN DATA, Orders'!$Y:$Y,$A27,'MAIN DATA, Orders'!$D:$D,"United Kingdom",'MAIN DATA, Orders'!$I:$I,"Infantry")/1000000000)</f>
        <v>0</v>
      </c>
      <c r="R27" s="15">
        <f>(SUMIFS('MAIN DATA, Orders'!$S:$S,'MAIN DATA, Orders'!$Y:$Y,$A27,'MAIN DATA, Orders'!$D:$D,"United Kingdom",'MAIN DATA, Orders'!$I:$I,"Development - Infantry")/1000000000)</f>
        <v>0</v>
      </c>
      <c r="S27" s="15">
        <f>(SUMIFS('MAIN DATA, Orders'!$S:$S,'MAIN DATA, Orders'!$Y:$Y,$A27,'MAIN DATA, Orders'!$D:$D,"United Kingdom",'MAIN DATA, Orders'!$I:$I,"Tank")/1000000000)</f>
        <v>0</v>
      </c>
      <c r="T27" s="15">
        <f>(SUMIFS('MAIN DATA, Orders'!$S:$S,'MAIN DATA, Orders'!$Y:$Y,$A27,'MAIN DATA, Orders'!$D:$D,"United Kingdom",'MAIN DATA, Orders'!$I:$I,"Development - Tank")/1000000000)</f>
        <v>0</v>
      </c>
      <c r="U27" s="15">
        <f>(SUMIFS('MAIN DATA, Orders'!$S:$S,'MAIN DATA, Orders'!$Y:$Y,$A27,'MAIN DATA, Orders'!$D:$D,"United Kingdom",'MAIN DATA, Orders'!$I:$I,"Maintenance")/1000000000)</f>
        <v>0</v>
      </c>
      <c r="V27" s="15">
        <f>(SUMIFS('MAIN DATA, Orders'!$S:$S,'MAIN DATA, Orders'!$Y:$Y,$A27,'MAIN DATA, Orders'!$D:$D,"United Kingdom",'MAIN DATA, Orders'!$I:$I,"Development - Maintenance")/1000000000)</f>
        <v>0</v>
      </c>
      <c r="W27" s="15">
        <f>(SUMIFS('MAIN DATA, Orders'!$S:$S,'MAIN DATA, Orders'!$Y:$Y,$A27,'MAIN DATA, Orders'!$D:$D,"United Kingdom",'MAIN DATA, Orders'!$I:$I,"Mine")/1000000000)</f>
        <v>0</v>
      </c>
      <c r="X27" s="15">
        <f>(SUMIFS('MAIN DATA, Orders'!$S:$S,'MAIN DATA, Orders'!$Y:$Y,$A27,'MAIN DATA, Orders'!$D:$D,"United Kingdom",'MAIN DATA, Orders'!$I:$I,"Development - Mine")/1000000000)</f>
        <v>0</v>
      </c>
      <c r="Y27" s="15">
        <f>(SUMIFS('MAIN DATA, Orders'!$S:$S,'MAIN DATA, Orders'!$Y:$Y,$A27,'MAIN DATA, Orders'!$D:$D,"United Kingdom",'MAIN DATA, Orders'!$J:$J,"6")/1000000000)</f>
        <v>0</v>
      </c>
      <c r="Z27" s="15" cm="1">
        <f t="array" ref="Z27">SUM(SUMIFS('MAIN DATA, Orders'!$S:$S,'MAIN DATA, Orders'!$Y:$Y,$A27,'MAIN DATA, Orders'!$D:$D,"United Kingdom",'MAIN DATA, Orders'!$I:$I,{"Development - Missile (Land)","Development - Missile (Naval)","Development - Missile (Air)"})/1000000000)</f>
        <v>0</v>
      </c>
      <c r="AA27" s="15">
        <f>(SUMIFS('MAIN DATA, Orders'!$S:$S,'MAIN DATA, Orders'!$Y:$Y,$A27,'MAIN DATA, Orders'!$D:$D,"United Kingdom",'MAIN DATA, Orders'!$I:$I,"Modernisation")/1000000000)</f>
        <v>0</v>
      </c>
      <c r="AB27" s="15">
        <f>(SUMIFS('MAIN DATA, Orders'!$S:$S,'MAIN DATA, Orders'!$Y:$Y,$A27,'MAIN DATA, Orders'!$D:$D,"United Kingdom",'MAIN DATA, Orders'!$I:$I,"Development - Modernisation")/1000000000)</f>
        <v>7.2499999999999995E-2</v>
      </c>
      <c r="AC27" s="15">
        <f>(SUMIFS('MAIN DATA, Orders'!$S:$S,'MAIN DATA, Orders'!$Y:$Y,$A27,'MAIN DATA, Orders'!$D:$D,"United Kingdom",'MAIN DATA, Orders'!$I:$I,"Naval")/1000000000)</f>
        <v>0</v>
      </c>
      <c r="AD27" s="15">
        <f>(SUMIFS('MAIN DATA, Orders'!$S:$S,'MAIN DATA, Orders'!$Y:$Y,$A27,'MAIN DATA, Orders'!$D:$D,"United Kingdom",'MAIN DATA, Orders'!$I:$I,"Development - Naval")/1000000000)</f>
        <v>0.17</v>
      </c>
      <c r="AE27" s="15">
        <f>(SUMIFS('MAIN DATA, Orders'!$S:$S,'MAIN DATA, Orders'!$Y:$Y,$A27,'MAIN DATA, Orders'!$D:$D,"United Kingdom",'MAIN DATA, Orders'!$I:$I,"Other")/1000000000)</f>
        <v>0</v>
      </c>
      <c r="AF27" s="15">
        <f>(SUMIFS('MAIN DATA, Orders'!$S:$S,'MAIN DATA, Orders'!$Y:$Y,$A27,'MAIN DATA, Orders'!$D:$D,"United Kingdom",'MAIN DATA, Orders'!$I:$I,"Development - Other")/1000000000)</f>
        <v>0</v>
      </c>
      <c r="AG27" s="15"/>
      <c r="AH27" s="15" cm="1">
        <f t="array" ref="AH27">SUM(SUMIFS('MAIN DATA, Orders'!$S:$S,'MAIN DATA, Orders'!$Y:$Y,$A27,'MAIN DATA, Orders'!$D:$D,"United Kingdom",'MAIN DATA, Orders'!$I:$I,{"Missile (Land)","Development - Missile (Land)"})/1000000000)</f>
        <v>0</v>
      </c>
      <c r="AI27" s="15" cm="1">
        <f t="array" ref="AI27">SUM(SUMIFS('MAIN DATA, Orders'!$S:$S,'MAIN DATA, Orders'!$D:$D,"United Kingdom",'MAIN DATA, Orders'!$I:$I,{"Missile (Air)","Development - Missile (Air)"},'MAIN DATA, Orders'!$Y:$Y,$A27)/1000000000)</f>
        <v>0</v>
      </c>
      <c r="AJ27" s="15" cm="1">
        <f t="array" ref="AJ27">SUM(SUMIFS('MAIN DATA, Orders'!$S:$S,'MAIN DATA, Orders'!$Y:$Y,$A27,'MAIN DATA, Orders'!$D:$D,"United Kingdom",'MAIN DATA, Orders'!$I:$I,{"Missile (Naval)","Development - Missile (Naval)"})/1000000000)</f>
        <v>0</v>
      </c>
    </row>
    <row r="28" spans="1:36" x14ac:dyDescent="0.35">
      <c r="A28" s="20">
        <v>202110</v>
      </c>
      <c r="B28" s="17">
        <v>44470</v>
      </c>
      <c r="C28" s="15">
        <f>(SUMIFS('MAIN DATA, Orders'!$S:$S,'MAIN DATA, Orders'!$Y:$Y,$A28,'MAIN DATA, Orders'!$D:$D,"United Kingdom",'MAIN DATA, Orders'!$I:$I,"Air defence system")/1000000000)</f>
        <v>0</v>
      </c>
      <c r="D28" s="15">
        <f>(SUMIFS('MAIN DATA, Orders'!$S:$S,'MAIN DATA, Orders'!$Y:$Y,$A28,'MAIN DATA, Orders'!$D:$D,"United Kingdom",'MAIN DATA, Orders'!$I:$I,"Development - Air defence system")/1000000000)</f>
        <v>0</v>
      </c>
      <c r="E28" s="15">
        <f>(SUMIFS('MAIN DATA, Orders'!$S:$S,'MAIN DATA, Orders'!$Y:$Y,$A28,'MAIN DATA, Orders'!$D:$D,"United Kingdom",'MAIN DATA, Orders'!$I:$I,"Aircraft")/1000000000)</f>
        <v>0</v>
      </c>
      <c r="F28" s="15">
        <f>(SUMIFS('MAIN DATA, Orders'!$S:$S,'MAIN DATA, Orders'!$Y:$Y,$A28,'MAIN DATA, Orders'!$D:$D,"United Kingdom",'MAIN DATA, Orders'!$I:$I,"Development - Aircraft")/1000000000)</f>
        <v>0</v>
      </c>
      <c r="G28" s="15">
        <f>(SUMIFS('MAIN DATA, Orders'!$S:$S,'MAIN DATA, Orders'!$Y:$Y,$A28,'MAIN DATA, Orders'!$D:$D,"United Kingdom",'MAIN DATA, Orders'!$I:$I,"Ammunition")/1000000000)</f>
        <v>0</v>
      </c>
      <c r="H28" s="15">
        <f>(SUMIFS('MAIN DATA, Orders'!$S:$S,'MAIN DATA, Orders'!$Y:$Y,$A28,'MAIN DATA, Orders'!$D:$D,"United Kingdom",'MAIN DATA, Orders'!$I:$I,"Development - Ammunition")/1000000000)</f>
        <v>0</v>
      </c>
      <c r="I28" s="15">
        <f>(SUMIFS('MAIN DATA, Orders'!$S:$S,'MAIN DATA, Orders'!$Y:$Y,$A28,'MAIN DATA, Orders'!$D:$D,"United Kingdom",'MAIN DATA, Orders'!$I:$I,"Armoured vehicle")/1000000000)</f>
        <v>0</v>
      </c>
      <c r="J28" s="15">
        <f>(SUMIFS('MAIN DATA, Orders'!$S:$S,'MAIN DATA, Orders'!$Y:$Y,$A28,'MAIN DATA, Orders'!$D:$D,"United Kingdom",'MAIN DATA, Orders'!$I:$I,"Development - Armoured vehicle")/1000000000)</f>
        <v>0</v>
      </c>
      <c r="K28" s="15">
        <f>(SUMIFS('MAIN DATA, Orders'!$S:$S,'MAIN DATA, Orders'!$Y:$Y,$A28,'MAIN DATA, Orders'!$D:$D,"United Kingdom",'MAIN DATA, Orders'!$I:$I,"Artillery")/1000000000)</f>
        <v>0</v>
      </c>
      <c r="L28" s="15">
        <f>(SUMIFS('MAIN DATA, Orders'!$S:$S,'MAIN DATA, Orders'!$Y:$Y,$A28,'MAIN DATA, Orders'!$D:$D,"United Kingdom",'MAIN DATA, Orders'!$I:$I,"Development - Artillery")/1000000000)</f>
        <v>0</v>
      </c>
      <c r="M28" s="15">
        <f>(SUMIFS('MAIN DATA, Orders'!$S:$S,'MAIN DATA, Orders'!$Y:$Y,$A28,'MAIN DATA, Orders'!$D:$D,"United Kingdom",'MAIN DATA, Orders'!$I:$I,"Drone")/1000000000)</f>
        <v>0</v>
      </c>
      <c r="N28" s="15">
        <f>(SUMIFS('MAIN DATA, Orders'!$S:$S,'MAIN DATA, Orders'!$Y:$Y,$A28,'MAIN DATA, Orders'!$D:$D,"United Kingdom",'MAIN DATA, Orders'!$I:$I,"Development - Drone")/1000000000)</f>
        <v>0</v>
      </c>
      <c r="O28" s="15">
        <f>(SUMIFS('MAIN DATA, Orders'!$S:$S,'MAIN DATA, Orders'!$Y:$Y,$A28,'MAIN DATA, Orders'!$D:$D,"United Kingdom",'MAIN DATA, Orders'!$I:$I,"Helicopter")/1000000000)</f>
        <v>0</v>
      </c>
      <c r="P28" s="15">
        <f>(SUMIFS('MAIN DATA, Orders'!$S:$S,'MAIN DATA, Orders'!$Y:$Y,$A28,'MAIN DATA, Orders'!$D:$D,"United Kingdom",'MAIN DATA, Orders'!$I:$I,"Development - Helicopter")/1000000000)</f>
        <v>0</v>
      </c>
      <c r="Q28" s="15">
        <f>(SUMIFS('MAIN DATA, Orders'!$S:$S,'MAIN DATA, Orders'!$Y:$Y,$A28,'MAIN DATA, Orders'!$D:$D,"United Kingdom",'MAIN DATA, Orders'!$I:$I,"Infantry")/1000000000)</f>
        <v>0</v>
      </c>
      <c r="R28" s="15">
        <f>(SUMIFS('MAIN DATA, Orders'!$S:$S,'MAIN DATA, Orders'!$Y:$Y,$A28,'MAIN DATA, Orders'!$D:$D,"United Kingdom",'MAIN DATA, Orders'!$I:$I,"Development - Infantry")/1000000000)</f>
        <v>0</v>
      </c>
      <c r="S28" s="15">
        <f>(SUMIFS('MAIN DATA, Orders'!$S:$S,'MAIN DATA, Orders'!$Y:$Y,$A28,'MAIN DATA, Orders'!$D:$D,"United Kingdom",'MAIN DATA, Orders'!$I:$I,"Tank")/1000000000)</f>
        <v>0</v>
      </c>
      <c r="T28" s="15">
        <f>(SUMIFS('MAIN DATA, Orders'!$S:$S,'MAIN DATA, Orders'!$Y:$Y,$A28,'MAIN DATA, Orders'!$D:$D,"United Kingdom",'MAIN DATA, Orders'!$I:$I,"Development - Tank")/1000000000)</f>
        <v>0</v>
      </c>
      <c r="U28" s="15">
        <f>(SUMIFS('MAIN DATA, Orders'!$S:$S,'MAIN DATA, Orders'!$Y:$Y,$A28,'MAIN DATA, Orders'!$D:$D,"United Kingdom",'MAIN DATA, Orders'!$I:$I,"Maintenance")/1000000000)</f>
        <v>0</v>
      </c>
      <c r="V28" s="15">
        <f>(SUMIFS('MAIN DATA, Orders'!$S:$S,'MAIN DATA, Orders'!$Y:$Y,$A28,'MAIN DATA, Orders'!$D:$D,"United Kingdom",'MAIN DATA, Orders'!$I:$I,"Development - Maintenance")/1000000000)</f>
        <v>0</v>
      </c>
      <c r="W28" s="15">
        <f>(SUMIFS('MAIN DATA, Orders'!$S:$S,'MAIN DATA, Orders'!$Y:$Y,$A28,'MAIN DATA, Orders'!$D:$D,"United Kingdom",'MAIN DATA, Orders'!$I:$I,"Mine")/1000000000)</f>
        <v>0</v>
      </c>
      <c r="X28" s="15">
        <f>(SUMIFS('MAIN DATA, Orders'!$S:$S,'MAIN DATA, Orders'!$Y:$Y,$A28,'MAIN DATA, Orders'!$D:$D,"United Kingdom",'MAIN DATA, Orders'!$I:$I,"Development - Mine")/1000000000)</f>
        <v>0</v>
      </c>
      <c r="Y28" s="15">
        <f>(SUMIFS('MAIN DATA, Orders'!$S:$S,'MAIN DATA, Orders'!$Y:$Y,$A28,'MAIN DATA, Orders'!$D:$D,"United Kingdom",'MAIN DATA, Orders'!$J:$J,"6")/1000000000)</f>
        <v>0</v>
      </c>
      <c r="Z28" s="15" cm="1">
        <f t="array" ref="Z28">SUM(SUMIFS('MAIN DATA, Orders'!$S:$S,'MAIN DATA, Orders'!$Y:$Y,$A28,'MAIN DATA, Orders'!$D:$D,"United Kingdom",'MAIN DATA, Orders'!$I:$I,{"Development - Missile (Land)","Development - Missile (Naval)","Development - Missile (Air)"})/1000000000)</f>
        <v>0</v>
      </c>
      <c r="AA28" s="15">
        <f>(SUMIFS('MAIN DATA, Orders'!$S:$S,'MAIN DATA, Orders'!$Y:$Y,$A28,'MAIN DATA, Orders'!$D:$D,"United Kingdom",'MAIN DATA, Orders'!$I:$I,"Modernisation")/1000000000)</f>
        <v>0</v>
      </c>
      <c r="AB28" s="15">
        <f>(SUMIFS('MAIN DATA, Orders'!$S:$S,'MAIN DATA, Orders'!$Y:$Y,$A28,'MAIN DATA, Orders'!$D:$D,"United Kingdom",'MAIN DATA, Orders'!$I:$I,"Development - Modernisation")/1000000000)</f>
        <v>0</v>
      </c>
      <c r="AC28" s="15">
        <f>(SUMIFS('MAIN DATA, Orders'!$S:$S,'MAIN DATA, Orders'!$Y:$Y,$A28,'MAIN DATA, Orders'!$D:$D,"United Kingdom",'MAIN DATA, Orders'!$I:$I,"Naval")/1000000000)</f>
        <v>0</v>
      </c>
      <c r="AD28" s="15">
        <f>(SUMIFS('MAIN DATA, Orders'!$S:$S,'MAIN DATA, Orders'!$Y:$Y,$A28,'MAIN DATA, Orders'!$D:$D,"United Kingdom",'MAIN DATA, Orders'!$I:$I,"Development - Naval")/1000000000)</f>
        <v>0</v>
      </c>
      <c r="AE28" s="15">
        <f>(SUMIFS('MAIN DATA, Orders'!$S:$S,'MAIN DATA, Orders'!$Y:$Y,$A28,'MAIN DATA, Orders'!$D:$D,"United Kingdom",'MAIN DATA, Orders'!$I:$I,"Other")/1000000000)</f>
        <v>0.17499999999999999</v>
      </c>
      <c r="AF28" s="15">
        <f>(SUMIFS('MAIN DATA, Orders'!$S:$S,'MAIN DATA, Orders'!$Y:$Y,$A28,'MAIN DATA, Orders'!$D:$D,"United Kingdom",'MAIN DATA, Orders'!$I:$I,"Development - Other")/1000000000)</f>
        <v>0</v>
      </c>
      <c r="AG28" s="15"/>
      <c r="AH28" s="15" cm="1">
        <f t="array" ref="AH28">SUM(SUMIFS('MAIN DATA, Orders'!$S:$S,'MAIN DATA, Orders'!$Y:$Y,$A28,'MAIN DATA, Orders'!$D:$D,"United Kingdom",'MAIN DATA, Orders'!$I:$I,{"Missile (Land)","Development - Missile (Land)"})/1000000000)</f>
        <v>0</v>
      </c>
      <c r="AI28" s="15" cm="1">
        <f t="array" ref="AI28">SUM(SUMIFS('MAIN DATA, Orders'!$S:$S,'MAIN DATA, Orders'!$D:$D,"United Kingdom",'MAIN DATA, Orders'!$I:$I,{"Missile (Air)","Development - Missile (Air)"},'MAIN DATA, Orders'!$Y:$Y,$A28)/1000000000)</f>
        <v>0</v>
      </c>
      <c r="AJ28" s="15" cm="1">
        <f t="array" ref="AJ28">SUM(SUMIFS('MAIN DATA, Orders'!$S:$S,'MAIN DATA, Orders'!$Y:$Y,$A28,'MAIN DATA, Orders'!$D:$D,"United Kingdom",'MAIN DATA, Orders'!$I:$I,{"Missile (Naval)","Development - Missile (Naval)"})/1000000000)</f>
        <v>0</v>
      </c>
    </row>
    <row r="29" spans="1:36" x14ac:dyDescent="0.35">
      <c r="A29" s="20">
        <v>202111</v>
      </c>
      <c r="B29" s="17">
        <v>44501</v>
      </c>
      <c r="C29" s="15">
        <f>(SUMIFS('MAIN DATA, Orders'!$S:$S,'MAIN DATA, Orders'!$Y:$Y,$A29,'MAIN DATA, Orders'!$D:$D,"United Kingdom",'MAIN DATA, Orders'!$I:$I,"Air defence system")/1000000000)</f>
        <v>0</v>
      </c>
      <c r="D29" s="15">
        <f>(SUMIFS('MAIN DATA, Orders'!$S:$S,'MAIN DATA, Orders'!$Y:$Y,$A29,'MAIN DATA, Orders'!$D:$D,"United Kingdom",'MAIN DATA, Orders'!$I:$I,"Development - Air defence system")/1000000000)</f>
        <v>0</v>
      </c>
      <c r="E29" s="15">
        <f>(SUMIFS('MAIN DATA, Orders'!$S:$S,'MAIN DATA, Orders'!$Y:$Y,$A29,'MAIN DATA, Orders'!$D:$D,"United Kingdom",'MAIN DATA, Orders'!$I:$I,"Aircraft")/1000000000)</f>
        <v>0.11</v>
      </c>
      <c r="F29" s="15">
        <f>(SUMIFS('MAIN DATA, Orders'!$S:$S,'MAIN DATA, Orders'!$Y:$Y,$A29,'MAIN DATA, Orders'!$D:$D,"United Kingdom",'MAIN DATA, Orders'!$I:$I,"Development - Aircraft")/1000000000)</f>
        <v>0</v>
      </c>
      <c r="G29" s="15">
        <f>(SUMIFS('MAIN DATA, Orders'!$S:$S,'MAIN DATA, Orders'!$Y:$Y,$A29,'MAIN DATA, Orders'!$D:$D,"United Kingdom",'MAIN DATA, Orders'!$I:$I,"Ammunition")/1000000000)</f>
        <v>0</v>
      </c>
      <c r="H29" s="15">
        <f>(SUMIFS('MAIN DATA, Orders'!$S:$S,'MAIN DATA, Orders'!$Y:$Y,$A29,'MAIN DATA, Orders'!$D:$D,"United Kingdom",'MAIN DATA, Orders'!$I:$I,"Development - Ammunition")/1000000000)</f>
        <v>0</v>
      </c>
      <c r="I29" s="15">
        <f>(SUMIFS('MAIN DATA, Orders'!$S:$S,'MAIN DATA, Orders'!$Y:$Y,$A29,'MAIN DATA, Orders'!$D:$D,"United Kingdom",'MAIN DATA, Orders'!$I:$I,"Armoured vehicle")/1000000000)</f>
        <v>0</v>
      </c>
      <c r="J29" s="15">
        <f>(SUMIFS('MAIN DATA, Orders'!$S:$S,'MAIN DATA, Orders'!$Y:$Y,$A29,'MAIN DATA, Orders'!$D:$D,"United Kingdom",'MAIN DATA, Orders'!$I:$I,"Development - Armoured vehicle")/1000000000)</f>
        <v>0</v>
      </c>
      <c r="K29" s="15">
        <f>(SUMIFS('MAIN DATA, Orders'!$S:$S,'MAIN DATA, Orders'!$Y:$Y,$A29,'MAIN DATA, Orders'!$D:$D,"United Kingdom",'MAIN DATA, Orders'!$I:$I,"Artillery")/1000000000)</f>
        <v>0</v>
      </c>
      <c r="L29" s="15">
        <f>(SUMIFS('MAIN DATA, Orders'!$S:$S,'MAIN DATA, Orders'!$Y:$Y,$A29,'MAIN DATA, Orders'!$D:$D,"United Kingdom",'MAIN DATA, Orders'!$I:$I,"Development - Artillery")/1000000000)</f>
        <v>0</v>
      </c>
      <c r="M29" s="15">
        <f>(SUMIFS('MAIN DATA, Orders'!$S:$S,'MAIN DATA, Orders'!$Y:$Y,$A29,'MAIN DATA, Orders'!$D:$D,"United Kingdom",'MAIN DATA, Orders'!$I:$I,"Drone")/1000000000)</f>
        <v>0</v>
      </c>
      <c r="N29" s="15">
        <f>(SUMIFS('MAIN DATA, Orders'!$S:$S,'MAIN DATA, Orders'!$Y:$Y,$A29,'MAIN DATA, Orders'!$D:$D,"United Kingdom",'MAIN DATA, Orders'!$I:$I,"Development - Drone")/1000000000)</f>
        <v>0</v>
      </c>
      <c r="O29" s="15">
        <f>(SUMIFS('MAIN DATA, Orders'!$S:$S,'MAIN DATA, Orders'!$Y:$Y,$A29,'MAIN DATA, Orders'!$D:$D,"United Kingdom",'MAIN DATA, Orders'!$I:$I,"Helicopter")/1000000000)</f>
        <v>0</v>
      </c>
      <c r="P29" s="15">
        <f>(SUMIFS('MAIN DATA, Orders'!$S:$S,'MAIN DATA, Orders'!$Y:$Y,$A29,'MAIN DATA, Orders'!$D:$D,"United Kingdom",'MAIN DATA, Orders'!$I:$I,"Development - Helicopter")/1000000000)</f>
        <v>0</v>
      </c>
      <c r="Q29" s="15">
        <f>(SUMIFS('MAIN DATA, Orders'!$S:$S,'MAIN DATA, Orders'!$Y:$Y,$A29,'MAIN DATA, Orders'!$D:$D,"United Kingdom",'MAIN DATA, Orders'!$I:$I,"Infantry")/1000000000)</f>
        <v>0</v>
      </c>
      <c r="R29" s="15">
        <f>(SUMIFS('MAIN DATA, Orders'!$S:$S,'MAIN DATA, Orders'!$Y:$Y,$A29,'MAIN DATA, Orders'!$D:$D,"United Kingdom",'MAIN DATA, Orders'!$I:$I,"Development - Infantry")/1000000000)</f>
        <v>0</v>
      </c>
      <c r="S29" s="15">
        <f>(SUMIFS('MAIN DATA, Orders'!$S:$S,'MAIN DATA, Orders'!$Y:$Y,$A29,'MAIN DATA, Orders'!$D:$D,"United Kingdom",'MAIN DATA, Orders'!$I:$I,"Tank")/1000000000)</f>
        <v>0</v>
      </c>
      <c r="T29" s="15">
        <f>(SUMIFS('MAIN DATA, Orders'!$S:$S,'MAIN DATA, Orders'!$Y:$Y,$A29,'MAIN DATA, Orders'!$D:$D,"United Kingdom",'MAIN DATA, Orders'!$I:$I,"Development - Tank")/1000000000)</f>
        <v>0</v>
      </c>
      <c r="U29" s="15">
        <f>(SUMIFS('MAIN DATA, Orders'!$S:$S,'MAIN DATA, Orders'!$Y:$Y,$A29,'MAIN DATA, Orders'!$D:$D,"United Kingdom",'MAIN DATA, Orders'!$I:$I,"Maintenance")/1000000000)</f>
        <v>0</v>
      </c>
      <c r="V29" s="15">
        <f>(SUMIFS('MAIN DATA, Orders'!$S:$S,'MAIN DATA, Orders'!$Y:$Y,$A29,'MAIN DATA, Orders'!$D:$D,"United Kingdom",'MAIN DATA, Orders'!$I:$I,"Development - Maintenance")/1000000000)</f>
        <v>0</v>
      </c>
      <c r="W29" s="15">
        <f>(SUMIFS('MAIN DATA, Orders'!$S:$S,'MAIN DATA, Orders'!$Y:$Y,$A29,'MAIN DATA, Orders'!$D:$D,"United Kingdom",'MAIN DATA, Orders'!$I:$I,"Mine")/1000000000)</f>
        <v>0</v>
      </c>
      <c r="X29" s="15">
        <f>(SUMIFS('MAIN DATA, Orders'!$S:$S,'MAIN DATA, Orders'!$Y:$Y,$A29,'MAIN DATA, Orders'!$D:$D,"United Kingdom",'MAIN DATA, Orders'!$I:$I,"Development - Mine")/1000000000)</f>
        <v>0</v>
      </c>
      <c r="Y29" s="15">
        <f>(SUMIFS('MAIN DATA, Orders'!$S:$S,'MAIN DATA, Orders'!$Y:$Y,$A29,'MAIN DATA, Orders'!$D:$D,"United Kingdom",'MAIN DATA, Orders'!$J:$J,"6")/1000000000)</f>
        <v>0</v>
      </c>
      <c r="Z29" s="15" cm="1">
        <f t="array" ref="Z29">SUM(SUMIFS('MAIN DATA, Orders'!$S:$S,'MAIN DATA, Orders'!$Y:$Y,$A29,'MAIN DATA, Orders'!$D:$D,"United Kingdom",'MAIN DATA, Orders'!$I:$I,{"Development - Missile (Land)","Development - Missile (Naval)","Development - Missile (Air)"})/1000000000)</f>
        <v>0</v>
      </c>
      <c r="AA29" s="15">
        <f>(SUMIFS('MAIN DATA, Orders'!$S:$S,'MAIN DATA, Orders'!$Y:$Y,$A29,'MAIN DATA, Orders'!$D:$D,"United Kingdom",'MAIN DATA, Orders'!$I:$I,"Modernisation")/1000000000)</f>
        <v>0</v>
      </c>
      <c r="AB29" s="15">
        <f>(SUMIFS('MAIN DATA, Orders'!$S:$S,'MAIN DATA, Orders'!$Y:$Y,$A29,'MAIN DATA, Orders'!$D:$D,"United Kingdom",'MAIN DATA, Orders'!$I:$I,"Development - Modernisation")/1000000000)</f>
        <v>0</v>
      </c>
      <c r="AC29" s="15">
        <f>(SUMIFS('MAIN DATA, Orders'!$S:$S,'MAIN DATA, Orders'!$Y:$Y,$A29,'MAIN DATA, Orders'!$D:$D,"United Kingdom",'MAIN DATA, Orders'!$I:$I,"Naval")/1000000000)</f>
        <v>0.1</v>
      </c>
      <c r="AD29" s="15">
        <f>(SUMIFS('MAIN DATA, Orders'!$S:$S,'MAIN DATA, Orders'!$Y:$Y,$A29,'MAIN DATA, Orders'!$D:$D,"United Kingdom",'MAIN DATA, Orders'!$I:$I,"Development - Naval")/1000000000)</f>
        <v>0</v>
      </c>
      <c r="AE29" s="15">
        <f>(SUMIFS('MAIN DATA, Orders'!$S:$S,'MAIN DATA, Orders'!$Y:$Y,$A29,'MAIN DATA, Orders'!$D:$D,"United Kingdom",'MAIN DATA, Orders'!$I:$I,"Other")/1000000000)</f>
        <v>0</v>
      </c>
      <c r="AF29" s="15">
        <f>(SUMIFS('MAIN DATA, Orders'!$S:$S,'MAIN DATA, Orders'!$Y:$Y,$A29,'MAIN DATA, Orders'!$D:$D,"United Kingdom",'MAIN DATA, Orders'!$I:$I,"Development - Other")/1000000000)</f>
        <v>0</v>
      </c>
      <c r="AG29" s="15"/>
      <c r="AH29" s="15" cm="1">
        <f t="array" ref="AH29">SUM(SUMIFS('MAIN DATA, Orders'!$S:$S,'MAIN DATA, Orders'!$Y:$Y,$A29,'MAIN DATA, Orders'!$D:$D,"United Kingdom",'MAIN DATA, Orders'!$I:$I,{"Missile (Land)","Development - Missile (Land)"})/1000000000)</f>
        <v>0</v>
      </c>
      <c r="AI29" s="15" cm="1">
        <f t="array" ref="AI29">SUM(SUMIFS('MAIN DATA, Orders'!$S:$S,'MAIN DATA, Orders'!$D:$D,"United Kingdom",'MAIN DATA, Orders'!$I:$I,{"Missile (Air)","Development - Missile (Air)"},'MAIN DATA, Orders'!$Y:$Y,$A29)/1000000000)</f>
        <v>0</v>
      </c>
      <c r="AJ29" s="15" cm="1">
        <f t="array" ref="AJ29">SUM(SUMIFS('MAIN DATA, Orders'!$S:$S,'MAIN DATA, Orders'!$Y:$Y,$A29,'MAIN DATA, Orders'!$D:$D,"United Kingdom",'MAIN DATA, Orders'!$I:$I,{"Missile (Naval)","Development - Missile (Naval)"})/1000000000)</f>
        <v>0</v>
      </c>
    </row>
    <row r="30" spans="1:36" x14ac:dyDescent="0.35">
      <c r="A30" s="20">
        <v>202112</v>
      </c>
      <c r="B30" s="17">
        <v>44531</v>
      </c>
      <c r="C30" s="15">
        <f>(SUMIFS('MAIN DATA, Orders'!$S:$S,'MAIN DATA, Orders'!$Y:$Y,$A30,'MAIN DATA, Orders'!$D:$D,"United Kingdom",'MAIN DATA, Orders'!$I:$I,"Air defence system")/1000000000)</f>
        <v>0</v>
      </c>
      <c r="D30" s="15">
        <f>(SUMIFS('MAIN DATA, Orders'!$S:$S,'MAIN DATA, Orders'!$Y:$Y,$A30,'MAIN DATA, Orders'!$D:$D,"United Kingdom",'MAIN DATA, Orders'!$I:$I,"Development - Air defence system")/1000000000)</f>
        <v>0</v>
      </c>
      <c r="E30" s="15">
        <f>(SUMIFS('MAIN DATA, Orders'!$S:$S,'MAIN DATA, Orders'!$Y:$Y,$A30,'MAIN DATA, Orders'!$D:$D,"United Kingdom",'MAIN DATA, Orders'!$I:$I,"Aircraft")/1000000000)</f>
        <v>0</v>
      </c>
      <c r="F30" s="15">
        <f>(SUMIFS('MAIN DATA, Orders'!$S:$S,'MAIN DATA, Orders'!$Y:$Y,$A30,'MAIN DATA, Orders'!$D:$D,"United Kingdom",'MAIN DATA, Orders'!$I:$I,"Development - Aircraft")/1000000000)</f>
        <v>0</v>
      </c>
      <c r="G30" s="15">
        <f>(SUMIFS('MAIN DATA, Orders'!$S:$S,'MAIN DATA, Orders'!$Y:$Y,$A30,'MAIN DATA, Orders'!$D:$D,"United Kingdom",'MAIN DATA, Orders'!$I:$I,"Ammunition")/1000000000)</f>
        <v>0</v>
      </c>
      <c r="H30" s="15">
        <f>(SUMIFS('MAIN DATA, Orders'!$S:$S,'MAIN DATA, Orders'!$Y:$Y,$A30,'MAIN DATA, Orders'!$D:$D,"United Kingdom",'MAIN DATA, Orders'!$I:$I,"Development - Ammunition")/1000000000)</f>
        <v>0</v>
      </c>
      <c r="I30" s="15">
        <f>(SUMIFS('MAIN DATA, Orders'!$S:$S,'MAIN DATA, Orders'!$Y:$Y,$A30,'MAIN DATA, Orders'!$D:$D,"United Kingdom",'MAIN DATA, Orders'!$I:$I,"Armoured vehicle")/1000000000)</f>
        <v>0</v>
      </c>
      <c r="J30" s="15">
        <f>(SUMIFS('MAIN DATA, Orders'!$S:$S,'MAIN DATA, Orders'!$Y:$Y,$A30,'MAIN DATA, Orders'!$D:$D,"United Kingdom",'MAIN DATA, Orders'!$I:$I,"Development - Armoured vehicle")/1000000000)</f>
        <v>0</v>
      </c>
      <c r="K30" s="15">
        <f>(SUMIFS('MAIN DATA, Orders'!$S:$S,'MAIN DATA, Orders'!$Y:$Y,$A30,'MAIN DATA, Orders'!$D:$D,"United Kingdom",'MAIN DATA, Orders'!$I:$I,"Artillery")/1000000000)</f>
        <v>0</v>
      </c>
      <c r="L30" s="15">
        <f>(SUMIFS('MAIN DATA, Orders'!$S:$S,'MAIN DATA, Orders'!$Y:$Y,$A30,'MAIN DATA, Orders'!$D:$D,"United Kingdom",'MAIN DATA, Orders'!$I:$I,"Development - Artillery")/1000000000)</f>
        <v>0</v>
      </c>
      <c r="M30" s="15">
        <f>(SUMIFS('MAIN DATA, Orders'!$S:$S,'MAIN DATA, Orders'!$Y:$Y,$A30,'MAIN DATA, Orders'!$D:$D,"United Kingdom",'MAIN DATA, Orders'!$I:$I,"Drone")/1000000000)</f>
        <v>0</v>
      </c>
      <c r="N30" s="15">
        <f>(SUMIFS('MAIN DATA, Orders'!$S:$S,'MAIN DATA, Orders'!$Y:$Y,$A30,'MAIN DATA, Orders'!$D:$D,"United Kingdom",'MAIN DATA, Orders'!$I:$I,"Development - Drone")/1000000000)</f>
        <v>0</v>
      </c>
      <c r="O30" s="15">
        <f>(SUMIFS('MAIN DATA, Orders'!$S:$S,'MAIN DATA, Orders'!$Y:$Y,$A30,'MAIN DATA, Orders'!$D:$D,"United Kingdom",'MAIN DATA, Orders'!$I:$I,"Helicopter")/1000000000)</f>
        <v>0</v>
      </c>
      <c r="P30" s="15">
        <f>(SUMIFS('MAIN DATA, Orders'!$S:$S,'MAIN DATA, Orders'!$Y:$Y,$A30,'MAIN DATA, Orders'!$D:$D,"United Kingdom",'MAIN DATA, Orders'!$I:$I,"Development - Helicopter")/1000000000)</f>
        <v>0</v>
      </c>
      <c r="Q30" s="15">
        <f>(SUMIFS('MAIN DATA, Orders'!$S:$S,'MAIN DATA, Orders'!$Y:$Y,$A30,'MAIN DATA, Orders'!$D:$D,"United Kingdom",'MAIN DATA, Orders'!$I:$I,"Infantry")/1000000000)</f>
        <v>0</v>
      </c>
      <c r="R30" s="15">
        <f>(SUMIFS('MAIN DATA, Orders'!$S:$S,'MAIN DATA, Orders'!$Y:$Y,$A30,'MAIN DATA, Orders'!$D:$D,"United Kingdom",'MAIN DATA, Orders'!$I:$I,"Development - Infantry")/1000000000)</f>
        <v>0</v>
      </c>
      <c r="S30" s="15">
        <f>(SUMIFS('MAIN DATA, Orders'!$S:$S,'MAIN DATA, Orders'!$Y:$Y,$A30,'MAIN DATA, Orders'!$D:$D,"United Kingdom",'MAIN DATA, Orders'!$I:$I,"Tank")/1000000000)</f>
        <v>0</v>
      </c>
      <c r="T30" s="15">
        <f>(SUMIFS('MAIN DATA, Orders'!$S:$S,'MAIN DATA, Orders'!$Y:$Y,$A30,'MAIN DATA, Orders'!$D:$D,"United Kingdom",'MAIN DATA, Orders'!$I:$I,"Development - Tank")/1000000000)</f>
        <v>0</v>
      </c>
      <c r="U30" s="15">
        <f>(SUMIFS('MAIN DATA, Orders'!$S:$S,'MAIN DATA, Orders'!$Y:$Y,$A30,'MAIN DATA, Orders'!$D:$D,"United Kingdom",'MAIN DATA, Orders'!$I:$I,"Maintenance")/1000000000)</f>
        <v>0</v>
      </c>
      <c r="V30" s="15">
        <f>(SUMIFS('MAIN DATA, Orders'!$S:$S,'MAIN DATA, Orders'!$Y:$Y,$A30,'MAIN DATA, Orders'!$D:$D,"United Kingdom",'MAIN DATA, Orders'!$I:$I,"Development - Maintenance")/1000000000)</f>
        <v>0</v>
      </c>
      <c r="W30" s="15">
        <f>(SUMIFS('MAIN DATA, Orders'!$S:$S,'MAIN DATA, Orders'!$Y:$Y,$A30,'MAIN DATA, Orders'!$D:$D,"United Kingdom",'MAIN DATA, Orders'!$I:$I,"Mine")/1000000000)</f>
        <v>0</v>
      </c>
      <c r="X30" s="15">
        <f>(SUMIFS('MAIN DATA, Orders'!$S:$S,'MAIN DATA, Orders'!$Y:$Y,$A30,'MAIN DATA, Orders'!$D:$D,"United Kingdom",'MAIN DATA, Orders'!$I:$I,"Development - Mine")/1000000000)</f>
        <v>0</v>
      </c>
      <c r="Y30" s="15">
        <f>(SUMIFS('MAIN DATA, Orders'!$S:$S,'MAIN DATA, Orders'!$Y:$Y,$A30,'MAIN DATA, Orders'!$D:$D,"United Kingdom",'MAIN DATA, Orders'!$J:$J,"6")/1000000000)</f>
        <v>0</v>
      </c>
      <c r="Z30" s="15" cm="1">
        <f t="array" ref="Z30">SUM(SUMIFS('MAIN DATA, Orders'!$S:$S,'MAIN DATA, Orders'!$Y:$Y,$A30,'MAIN DATA, Orders'!$D:$D,"United Kingdom",'MAIN DATA, Orders'!$I:$I,{"Development - Missile (Land)","Development - Missile (Naval)","Development - Missile (Air)"})/1000000000)</f>
        <v>0</v>
      </c>
      <c r="AA30" s="15">
        <f>(SUMIFS('MAIN DATA, Orders'!$S:$S,'MAIN DATA, Orders'!$Y:$Y,$A30,'MAIN DATA, Orders'!$D:$D,"United Kingdom",'MAIN DATA, Orders'!$I:$I,"Modernisation")/1000000000)</f>
        <v>0</v>
      </c>
      <c r="AB30" s="15">
        <f>(SUMIFS('MAIN DATA, Orders'!$S:$S,'MAIN DATA, Orders'!$Y:$Y,$A30,'MAIN DATA, Orders'!$D:$D,"United Kingdom",'MAIN DATA, Orders'!$I:$I,"Development - Modernisation")/1000000000)</f>
        <v>1.0200000000000001E-3</v>
      </c>
      <c r="AC30" s="15">
        <f>(SUMIFS('MAIN DATA, Orders'!$S:$S,'MAIN DATA, Orders'!$Y:$Y,$A30,'MAIN DATA, Orders'!$D:$D,"United Kingdom",'MAIN DATA, Orders'!$I:$I,"Naval")/1000000000)</f>
        <v>0</v>
      </c>
      <c r="AD30" s="15">
        <f>(SUMIFS('MAIN DATA, Orders'!$S:$S,'MAIN DATA, Orders'!$Y:$Y,$A30,'MAIN DATA, Orders'!$D:$D,"United Kingdom",'MAIN DATA, Orders'!$I:$I,"Development - Naval")/1000000000)</f>
        <v>0</v>
      </c>
      <c r="AE30" s="15">
        <f>(SUMIFS('MAIN DATA, Orders'!$S:$S,'MAIN DATA, Orders'!$Y:$Y,$A30,'MAIN DATA, Orders'!$D:$D,"United Kingdom",'MAIN DATA, Orders'!$I:$I,"Other")/1000000000)</f>
        <v>0</v>
      </c>
      <c r="AF30" s="15">
        <f>(SUMIFS('MAIN DATA, Orders'!$S:$S,'MAIN DATA, Orders'!$Y:$Y,$A30,'MAIN DATA, Orders'!$D:$D,"United Kingdom",'MAIN DATA, Orders'!$I:$I,"Development - Other")/1000000000)</f>
        <v>0</v>
      </c>
      <c r="AG30" s="15"/>
      <c r="AH30" s="15" cm="1">
        <f t="array" ref="AH30">SUM(SUMIFS('MAIN DATA, Orders'!$S:$S,'MAIN DATA, Orders'!$Y:$Y,$A30,'MAIN DATA, Orders'!$D:$D,"United Kingdom",'MAIN DATA, Orders'!$I:$I,{"Missile (Land)","Development - Missile (Land)"})/1000000000)</f>
        <v>0</v>
      </c>
      <c r="AI30" s="15" cm="1">
        <f t="array" ref="AI30">SUM(SUMIFS('MAIN DATA, Orders'!$S:$S,'MAIN DATA, Orders'!$D:$D,"United Kingdom",'MAIN DATA, Orders'!$I:$I,{"Missile (Air)","Development - Missile (Air)"},'MAIN DATA, Orders'!$Y:$Y,$A30)/1000000000)</f>
        <v>0</v>
      </c>
      <c r="AJ30" s="15" cm="1">
        <f t="array" ref="AJ30">SUM(SUMIFS('MAIN DATA, Orders'!$S:$S,'MAIN DATA, Orders'!$Y:$Y,$A30,'MAIN DATA, Orders'!$D:$D,"United Kingdom",'MAIN DATA, Orders'!$I:$I,{"Missile (Naval)","Development - Missile (Naval)"})/1000000000)</f>
        <v>0</v>
      </c>
    </row>
    <row r="31" spans="1:36" x14ac:dyDescent="0.35">
      <c r="A31" s="20">
        <v>202201</v>
      </c>
      <c r="B31" s="17">
        <v>44562</v>
      </c>
      <c r="C31" s="15">
        <f>(SUMIFS('MAIN DATA, Orders'!$S:$S,'MAIN DATA, Orders'!$Y:$Y,$A31,'MAIN DATA, Orders'!$D:$D,"United Kingdom",'MAIN DATA, Orders'!$I:$I,"Air defence system")/1000000000)</f>
        <v>0</v>
      </c>
      <c r="D31" s="15">
        <f>(SUMIFS('MAIN DATA, Orders'!$S:$S,'MAIN DATA, Orders'!$Y:$Y,$A31,'MAIN DATA, Orders'!$D:$D,"United Kingdom",'MAIN DATA, Orders'!$I:$I,"Development - Air defence system")/1000000000)</f>
        <v>0</v>
      </c>
      <c r="E31" s="15">
        <f>(SUMIFS('MAIN DATA, Orders'!$S:$S,'MAIN DATA, Orders'!$Y:$Y,$A31,'MAIN DATA, Orders'!$D:$D,"United Kingdom",'MAIN DATA, Orders'!$I:$I,"Aircraft")/1000000000)</f>
        <v>0</v>
      </c>
      <c r="F31" s="15">
        <f>(SUMIFS('MAIN DATA, Orders'!$S:$S,'MAIN DATA, Orders'!$Y:$Y,$A31,'MAIN DATA, Orders'!$D:$D,"United Kingdom",'MAIN DATA, Orders'!$I:$I,"Development - Aircraft")/1000000000)</f>
        <v>0</v>
      </c>
      <c r="G31" s="15">
        <f>(SUMIFS('MAIN DATA, Orders'!$S:$S,'MAIN DATA, Orders'!$Y:$Y,$A31,'MAIN DATA, Orders'!$D:$D,"United Kingdom",'MAIN DATA, Orders'!$I:$I,"Ammunition")/1000000000)</f>
        <v>0</v>
      </c>
      <c r="H31" s="15">
        <f>(SUMIFS('MAIN DATA, Orders'!$S:$S,'MAIN DATA, Orders'!$Y:$Y,$A31,'MAIN DATA, Orders'!$D:$D,"United Kingdom",'MAIN DATA, Orders'!$I:$I,"Development - Ammunition")/1000000000)</f>
        <v>0</v>
      </c>
      <c r="I31" s="15">
        <f>(SUMIFS('MAIN DATA, Orders'!$S:$S,'MAIN DATA, Orders'!$Y:$Y,$A31,'MAIN DATA, Orders'!$D:$D,"United Kingdom",'MAIN DATA, Orders'!$I:$I,"Armoured vehicle")/1000000000)</f>
        <v>0</v>
      </c>
      <c r="J31" s="15">
        <f>(SUMIFS('MAIN DATA, Orders'!$S:$S,'MAIN DATA, Orders'!$Y:$Y,$A31,'MAIN DATA, Orders'!$D:$D,"United Kingdom",'MAIN DATA, Orders'!$I:$I,"Development - Armoured vehicle")/1000000000)</f>
        <v>0</v>
      </c>
      <c r="K31" s="15">
        <f>(SUMIFS('MAIN DATA, Orders'!$S:$S,'MAIN DATA, Orders'!$Y:$Y,$A31,'MAIN DATA, Orders'!$D:$D,"United Kingdom",'MAIN DATA, Orders'!$I:$I,"Artillery")/1000000000)</f>
        <v>0</v>
      </c>
      <c r="L31" s="15">
        <f>(SUMIFS('MAIN DATA, Orders'!$S:$S,'MAIN DATA, Orders'!$Y:$Y,$A31,'MAIN DATA, Orders'!$D:$D,"United Kingdom",'MAIN DATA, Orders'!$I:$I,"Development - Artillery")/1000000000)</f>
        <v>0</v>
      </c>
      <c r="M31" s="15">
        <f>(SUMIFS('MAIN DATA, Orders'!$S:$S,'MAIN DATA, Orders'!$Y:$Y,$A31,'MAIN DATA, Orders'!$D:$D,"United Kingdom",'MAIN DATA, Orders'!$I:$I,"Drone")/1000000000)</f>
        <v>0</v>
      </c>
      <c r="N31" s="15">
        <f>(SUMIFS('MAIN DATA, Orders'!$S:$S,'MAIN DATA, Orders'!$Y:$Y,$A31,'MAIN DATA, Orders'!$D:$D,"United Kingdom",'MAIN DATA, Orders'!$I:$I,"Development - Drone")/1000000000)</f>
        <v>0</v>
      </c>
      <c r="O31" s="15">
        <f>(SUMIFS('MAIN DATA, Orders'!$S:$S,'MAIN DATA, Orders'!$Y:$Y,$A31,'MAIN DATA, Orders'!$D:$D,"United Kingdom",'MAIN DATA, Orders'!$I:$I,"Helicopter")/1000000000)</f>
        <v>0</v>
      </c>
      <c r="P31" s="15">
        <f>(SUMIFS('MAIN DATA, Orders'!$S:$S,'MAIN DATA, Orders'!$Y:$Y,$A31,'MAIN DATA, Orders'!$D:$D,"United Kingdom",'MAIN DATA, Orders'!$I:$I,"Development - Helicopter")/1000000000)</f>
        <v>0</v>
      </c>
      <c r="Q31" s="15">
        <f>(SUMIFS('MAIN DATA, Orders'!$S:$S,'MAIN DATA, Orders'!$Y:$Y,$A31,'MAIN DATA, Orders'!$D:$D,"United Kingdom",'MAIN DATA, Orders'!$I:$I,"Infantry")/1000000000)</f>
        <v>0</v>
      </c>
      <c r="R31" s="15">
        <f>(SUMIFS('MAIN DATA, Orders'!$S:$S,'MAIN DATA, Orders'!$Y:$Y,$A31,'MAIN DATA, Orders'!$D:$D,"United Kingdom",'MAIN DATA, Orders'!$I:$I,"Development - Infantry")/1000000000)</f>
        <v>0</v>
      </c>
      <c r="S31" s="15">
        <f>(SUMIFS('MAIN DATA, Orders'!$S:$S,'MAIN DATA, Orders'!$Y:$Y,$A31,'MAIN DATA, Orders'!$D:$D,"United Kingdom",'MAIN DATA, Orders'!$I:$I,"Tank")/1000000000)</f>
        <v>0</v>
      </c>
      <c r="T31" s="15">
        <f>(SUMIFS('MAIN DATA, Orders'!$S:$S,'MAIN DATA, Orders'!$Y:$Y,$A31,'MAIN DATA, Orders'!$D:$D,"United Kingdom",'MAIN DATA, Orders'!$I:$I,"Development - Tank")/1000000000)</f>
        <v>0</v>
      </c>
      <c r="U31" s="15">
        <f>(SUMIFS('MAIN DATA, Orders'!$S:$S,'MAIN DATA, Orders'!$Y:$Y,$A31,'MAIN DATA, Orders'!$D:$D,"United Kingdom",'MAIN DATA, Orders'!$I:$I,"Maintenance")/1000000000)</f>
        <v>0</v>
      </c>
      <c r="V31" s="15">
        <f>(SUMIFS('MAIN DATA, Orders'!$S:$S,'MAIN DATA, Orders'!$Y:$Y,$A31,'MAIN DATA, Orders'!$D:$D,"United Kingdom",'MAIN DATA, Orders'!$I:$I,"Development - Maintenance")/1000000000)</f>
        <v>0</v>
      </c>
      <c r="W31" s="15">
        <f>(SUMIFS('MAIN DATA, Orders'!$S:$S,'MAIN DATA, Orders'!$Y:$Y,$A31,'MAIN DATA, Orders'!$D:$D,"United Kingdom",'MAIN DATA, Orders'!$I:$I,"Mine")/1000000000)</f>
        <v>0</v>
      </c>
      <c r="X31" s="15">
        <f>(SUMIFS('MAIN DATA, Orders'!$S:$S,'MAIN DATA, Orders'!$Y:$Y,$A31,'MAIN DATA, Orders'!$D:$D,"United Kingdom",'MAIN DATA, Orders'!$I:$I,"Development - Mine")/1000000000)</f>
        <v>0</v>
      </c>
      <c r="Y31" s="15">
        <f>(SUMIFS('MAIN DATA, Orders'!$S:$S,'MAIN DATA, Orders'!$Y:$Y,$A31,'MAIN DATA, Orders'!$D:$D,"United Kingdom",'MAIN DATA, Orders'!$J:$J,"6")/1000000000)</f>
        <v>0</v>
      </c>
      <c r="Z31" s="15" cm="1">
        <f t="array" ref="Z31">SUM(SUMIFS('MAIN DATA, Orders'!$S:$S,'MAIN DATA, Orders'!$Y:$Y,$A31,'MAIN DATA, Orders'!$D:$D,"United Kingdom",'MAIN DATA, Orders'!$I:$I,{"Development - Missile (Land)","Development - Missile (Naval)","Development - Missile (Air)"})/1000000000)</f>
        <v>0</v>
      </c>
      <c r="AA31" s="15">
        <f>(SUMIFS('MAIN DATA, Orders'!$S:$S,'MAIN DATA, Orders'!$Y:$Y,$A31,'MAIN DATA, Orders'!$D:$D,"United Kingdom",'MAIN DATA, Orders'!$I:$I,"Modernisation")/1000000000)</f>
        <v>1.96</v>
      </c>
      <c r="AB31" s="15">
        <f>(SUMIFS('MAIN DATA, Orders'!$S:$S,'MAIN DATA, Orders'!$Y:$Y,$A31,'MAIN DATA, Orders'!$D:$D,"United Kingdom",'MAIN DATA, Orders'!$I:$I,"Development - Modernisation")/1000000000)</f>
        <v>0</v>
      </c>
      <c r="AC31" s="15">
        <f>(SUMIFS('MAIN DATA, Orders'!$S:$S,'MAIN DATA, Orders'!$Y:$Y,$A31,'MAIN DATA, Orders'!$D:$D,"United Kingdom",'MAIN DATA, Orders'!$I:$I,"Naval")/1000000000)</f>
        <v>0</v>
      </c>
      <c r="AD31" s="15">
        <f>(SUMIFS('MAIN DATA, Orders'!$S:$S,'MAIN DATA, Orders'!$Y:$Y,$A31,'MAIN DATA, Orders'!$D:$D,"United Kingdom",'MAIN DATA, Orders'!$I:$I,"Development - Naval")/1000000000)</f>
        <v>0</v>
      </c>
      <c r="AE31" s="15">
        <f>(SUMIFS('MAIN DATA, Orders'!$S:$S,'MAIN DATA, Orders'!$Y:$Y,$A31,'MAIN DATA, Orders'!$D:$D,"United Kingdom",'MAIN DATA, Orders'!$I:$I,"Other")/1000000000)</f>
        <v>0.31036999999999998</v>
      </c>
      <c r="AF31" s="15">
        <f>(SUMIFS('MAIN DATA, Orders'!$S:$S,'MAIN DATA, Orders'!$Y:$Y,$A31,'MAIN DATA, Orders'!$D:$D,"United Kingdom",'MAIN DATA, Orders'!$I:$I,"Development - Other")/1000000000)</f>
        <v>0</v>
      </c>
      <c r="AG31" s="15"/>
      <c r="AH31" s="15" cm="1">
        <f t="array" ref="AH31">SUM(SUMIFS('MAIN DATA, Orders'!$S:$S,'MAIN DATA, Orders'!$Y:$Y,$A31,'MAIN DATA, Orders'!$D:$D,"United Kingdom",'MAIN DATA, Orders'!$I:$I,{"Missile (Land)","Development - Missile (Land)"})/1000000000)</f>
        <v>0</v>
      </c>
      <c r="AI31" s="15" cm="1">
        <f t="array" ref="AI31">SUM(SUMIFS('MAIN DATA, Orders'!$S:$S,'MAIN DATA, Orders'!$D:$D,"United Kingdom",'MAIN DATA, Orders'!$I:$I,{"Missile (Air)","Development - Missile (Air)"},'MAIN DATA, Orders'!$Y:$Y,$A31)/1000000000)</f>
        <v>0</v>
      </c>
      <c r="AJ31" s="15" cm="1">
        <f t="array" ref="AJ31">SUM(SUMIFS('MAIN DATA, Orders'!$S:$S,'MAIN DATA, Orders'!$Y:$Y,$A31,'MAIN DATA, Orders'!$D:$D,"United Kingdom",'MAIN DATA, Orders'!$I:$I,{"Missile (Naval)","Development - Missile (Naval)"})/1000000000)</f>
        <v>0</v>
      </c>
    </row>
    <row r="32" spans="1:36" x14ac:dyDescent="0.35">
      <c r="A32" s="20">
        <v>202202</v>
      </c>
      <c r="B32" s="17">
        <v>44593</v>
      </c>
      <c r="C32" s="15">
        <f>(SUMIFS('MAIN DATA, Orders'!$S:$S,'MAIN DATA, Orders'!$Y:$Y,$A32,'MAIN DATA, Orders'!$D:$D,"United Kingdom",'MAIN DATA, Orders'!$I:$I,"Air defence system")/1000000000)</f>
        <v>0</v>
      </c>
      <c r="D32" s="15">
        <f>(SUMIFS('MAIN DATA, Orders'!$S:$S,'MAIN DATA, Orders'!$Y:$Y,$A32,'MAIN DATA, Orders'!$D:$D,"United Kingdom",'MAIN DATA, Orders'!$I:$I,"Development - Air defence system")/1000000000)</f>
        <v>0</v>
      </c>
      <c r="E32" s="15">
        <f>(SUMIFS('MAIN DATA, Orders'!$S:$S,'MAIN DATA, Orders'!$Y:$Y,$A32,'MAIN DATA, Orders'!$D:$D,"United Kingdom",'MAIN DATA, Orders'!$I:$I,"Aircraft")/1000000000)</f>
        <v>0.08</v>
      </c>
      <c r="F32" s="15">
        <f>(SUMIFS('MAIN DATA, Orders'!$S:$S,'MAIN DATA, Orders'!$Y:$Y,$A32,'MAIN DATA, Orders'!$D:$D,"United Kingdom",'MAIN DATA, Orders'!$I:$I,"Development - Aircraft")/1000000000)</f>
        <v>0</v>
      </c>
      <c r="G32" s="15">
        <f>(SUMIFS('MAIN DATA, Orders'!$S:$S,'MAIN DATA, Orders'!$Y:$Y,$A32,'MAIN DATA, Orders'!$D:$D,"United Kingdom",'MAIN DATA, Orders'!$I:$I,"Ammunition")/1000000000)</f>
        <v>0</v>
      </c>
      <c r="H32" s="15">
        <f>(SUMIFS('MAIN DATA, Orders'!$S:$S,'MAIN DATA, Orders'!$Y:$Y,$A32,'MAIN DATA, Orders'!$D:$D,"United Kingdom",'MAIN DATA, Orders'!$I:$I,"Development - Ammunition")/1000000000)</f>
        <v>0</v>
      </c>
      <c r="I32" s="15">
        <f>(SUMIFS('MAIN DATA, Orders'!$S:$S,'MAIN DATA, Orders'!$Y:$Y,$A32,'MAIN DATA, Orders'!$D:$D,"United Kingdom",'MAIN DATA, Orders'!$I:$I,"Armoured vehicle")/1000000000)</f>
        <v>0</v>
      </c>
      <c r="J32" s="15">
        <f>(SUMIFS('MAIN DATA, Orders'!$S:$S,'MAIN DATA, Orders'!$Y:$Y,$A32,'MAIN DATA, Orders'!$D:$D,"United Kingdom",'MAIN DATA, Orders'!$I:$I,"Development - Armoured vehicle")/1000000000)</f>
        <v>0</v>
      </c>
      <c r="K32" s="15">
        <f>(SUMIFS('MAIN DATA, Orders'!$S:$S,'MAIN DATA, Orders'!$Y:$Y,$A32,'MAIN DATA, Orders'!$D:$D,"United Kingdom",'MAIN DATA, Orders'!$I:$I,"Artillery")/1000000000)</f>
        <v>0</v>
      </c>
      <c r="L32" s="15">
        <f>(SUMIFS('MAIN DATA, Orders'!$S:$S,'MAIN DATA, Orders'!$Y:$Y,$A32,'MAIN DATA, Orders'!$D:$D,"United Kingdom",'MAIN DATA, Orders'!$I:$I,"Development - Artillery")/1000000000)</f>
        <v>0</v>
      </c>
      <c r="M32" s="15">
        <f>(SUMIFS('MAIN DATA, Orders'!$S:$S,'MAIN DATA, Orders'!$Y:$Y,$A32,'MAIN DATA, Orders'!$D:$D,"United Kingdom",'MAIN DATA, Orders'!$I:$I,"Drone")/1000000000)</f>
        <v>0</v>
      </c>
      <c r="N32" s="15">
        <f>(SUMIFS('MAIN DATA, Orders'!$S:$S,'MAIN DATA, Orders'!$Y:$Y,$A32,'MAIN DATA, Orders'!$D:$D,"United Kingdom",'MAIN DATA, Orders'!$I:$I,"Development - Drone")/1000000000)</f>
        <v>0</v>
      </c>
      <c r="O32" s="15">
        <f>(SUMIFS('MAIN DATA, Orders'!$S:$S,'MAIN DATA, Orders'!$Y:$Y,$A32,'MAIN DATA, Orders'!$D:$D,"United Kingdom",'MAIN DATA, Orders'!$I:$I,"Helicopter")/1000000000)</f>
        <v>0</v>
      </c>
      <c r="P32" s="15">
        <f>(SUMIFS('MAIN DATA, Orders'!$S:$S,'MAIN DATA, Orders'!$Y:$Y,$A32,'MAIN DATA, Orders'!$D:$D,"United Kingdom",'MAIN DATA, Orders'!$I:$I,"Development - Helicopter")/1000000000)</f>
        <v>0</v>
      </c>
      <c r="Q32" s="15">
        <f>(SUMIFS('MAIN DATA, Orders'!$S:$S,'MAIN DATA, Orders'!$Y:$Y,$A32,'MAIN DATA, Orders'!$D:$D,"United Kingdom",'MAIN DATA, Orders'!$I:$I,"Infantry")/1000000000)</f>
        <v>0</v>
      </c>
      <c r="R32" s="15">
        <f>(SUMIFS('MAIN DATA, Orders'!$S:$S,'MAIN DATA, Orders'!$Y:$Y,$A32,'MAIN DATA, Orders'!$D:$D,"United Kingdom",'MAIN DATA, Orders'!$I:$I,"Development - Infantry")/1000000000)</f>
        <v>0</v>
      </c>
      <c r="S32" s="15">
        <f>(SUMIFS('MAIN DATA, Orders'!$S:$S,'MAIN DATA, Orders'!$Y:$Y,$A32,'MAIN DATA, Orders'!$D:$D,"United Kingdom",'MAIN DATA, Orders'!$I:$I,"Tank")/1000000000)</f>
        <v>0</v>
      </c>
      <c r="T32" s="15">
        <f>(SUMIFS('MAIN DATA, Orders'!$S:$S,'MAIN DATA, Orders'!$Y:$Y,$A32,'MAIN DATA, Orders'!$D:$D,"United Kingdom",'MAIN DATA, Orders'!$I:$I,"Development - Tank")/1000000000)</f>
        <v>0</v>
      </c>
      <c r="U32" s="15">
        <f>(SUMIFS('MAIN DATA, Orders'!$S:$S,'MAIN DATA, Orders'!$Y:$Y,$A32,'MAIN DATA, Orders'!$D:$D,"United Kingdom",'MAIN DATA, Orders'!$I:$I,"Maintenance")/1000000000)</f>
        <v>0</v>
      </c>
      <c r="V32" s="15">
        <f>(SUMIFS('MAIN DATA, Orders'!$S:$S,'MAIN DATA, Orders'!$Y:$Y,$A32,'MAIN DATA, Orders'!$D:$D,"United Kingdom",'MAIN DATA, Orders'!$I:$I,"Development - Maintenance")/1000000000)</f>
        <v>0</v>
      </c>
      <c r="W32" s="15">
        <f>(SUMIFS('MAIN DATA, Orders'!$S:$S,'MAIN DATA, Orders'!$Y:$Y,$A32,'MAIN DATA, Orders'!$D:$D,"United Kingdom",'MAIN DATA, Orders'!$I:$I,"Mine")/1000000000)</f>
        <v>0</v>
      </c>
      <c r="X32" s="15">
        <f>(SUMIFS('MAIN DATA, Orders'!$S:$S,'MAIN DATA, Orders'!$Y:$Y,$A32,'MAIN DATA, Orders'!$D:$D,"United Kingdom",'MAIN DATA, Orders'!$I:$I,"Development - Mine")/1000000000)</f>
        <v>0</v>
      </c>
      <c r="Y32" s="15">
        <f>(SUMIFS('MAIN DATA, Orders'!$S:$S,'MAIN DATA, Orders'!$Y:$Y,$A32,'MAIN DATA, Orders'!$D:$D,"United Kingdom",'MAIN DATA, Orders'!$J:$J,"6")/1000000000)</f>
        <v>0</v>
      </c>
      <c r="Z32" s="15" cm="1">
        <f t="array" ref="Z32">SUM(SUMIFS('MAIN DATA, Orders'!$S:$S,'MAIN DATA, Orders'!$Y:$Y,$A32,'MAIN DATA, Orders'!$D:$D,"United Kingdom",'MAIN DATA, Orders'!$I:$I,{"Development - Missile (Land)","Development - Missile (Naval)","Development - Missile (Air)"})/1000000000)</f>
        <v>0</v>
      </c>
      <c r="AA32" s="15">
        <f>(SUMIFS('MAIN DATA, Orders'!$S:$S,'MAIN DATA, Orders'!$Y:$Y,$A32,'MAIN DATA, Orders'!$D:$D,"United Kingdom",'MAIN DATA, Orders'!$I:$I,"Modernisation")/1000000000)</f>
        <v>0</v>
      </c>
      <c r="AB32" s="15">
        <f>(SUMIFS('MAIN DATA, Orders'!$S:$S,'MAIN DATA, Orders'!$Y:$Y,$A32,'MAIN DATA, Orders'!$D:$D,"United Kingdom",'MAIN DATA, Orders'!$I:$I,"Development - Modernisation")/1000000000)</f>
        <v>0</v>
      </c>
      <c r="AC32" s="15">
        <f>(SUMIFS('MAIN DATA, Orders'!$S:$S,'MAIN DATA, Orders'!$Y:$Y,$A32,'MAIN DATA, Orders'!$D:$D,"United Kingdom",'MAIN DATA, Orders'!$I:$I,"Naval")/1000000000)</f>
        <v>0</v>
      </c>
      <c r="AD32" s="15">
        <f>(SUMIFS('MAIN DATA, Orders'!$S:$S,'MAIN DATA, Orders'!$Y:$Y,$A32,'MAIN DATA, Orders'!$D:$D,"United Kingdom",'MAIN DATA, Orders'!$I:$I,"Development - Naval")/1000000000)</f>
        <v>0</v>
      </c>
      <c r="AE32" s="15">
        <f>(SUMIFS('MAIN DATA, Orders'!$S:$S,'MAIN DATA, Orders'!$Y:$Y,$A32,'MAIN DATA, Orders'!$D:$D,"United Kingdom",'MAIN DATA, Orders'!$I:$I,"Other")/1000000000)</f>
        <v>0</v>
      </c>
      <c r="AF32" s="15">
        <f>(SUMIFS('MAIN DATA, Orders'!$S:$S,'MAIN DATA, Orders'!$Y:$Y,$A32,'MAIN DATA, Orders'!$D:$D,"United Kingdom",'MAIN DATA, Orders'!$I:$I,"Development - Other")/1000000000)</f>
        <v>0</v>
      </c>
      <c r="AG32" s="15"/>
      <c r="AH32" s="15" cm="1">
        <f t="array" ref="AH32">SUM(SUMIFS('MAIN DATA, Orders'!$S:$S,'MAIN DATA, Orders'!$Y:$Y,$A32,'MAIN DATA, Orders'!$D:$D,"United Kingdom",'MAIN DATA, Orders'!$I:$I,{"Missile (Land)","Development - Missile (Land)"})/1000000000)</f>
        <v>0</v>
      </c>
      <c r="AI32" s="15" cm="1">
        <f t="array" ref="AI32">SUM(SUMIFS('MAIN DATA, Orders'!$S:$S,'MAIN DATA, Orders'!$D:$D,"United Kingdom",'MAIN DATA, Orders'!$I:$I,{"Missile (Air)","Development - Missile (Air)"},'MAIN DATA, Orders'!$Y:$Y,$A32)/1000000000)</f>
        <v>0</v>
      </c>
      <c r="AJ32" s="15" cm="1">
        <f t="array" ref="AJ32">SUM(SUMIFS('MAIN DATA, Orders'!$S:$S,'MAIN DATA, Orders'!$Y:$Y,$A32,'MAIN DATA, Orders'!$D:$D,"United Kingdom",'MAIN DATA, Orders'!$I:$I,{"Missile (Naval)","Development - Missile (Naval)"})/1000000000)</f>
        <v>0</v>
      </c>
    </row>
    <row r="33" spans="1:36" x14ac:dyDescent="0.35">
      <c r="A33" s="20">
        <v>202203</v>
      </c>
      <c r="B33" s="17">
        <v>44621</v>
      </c>
      <c r="C33" s="15">
        <f>(SUMIFS('MAIN DATA, Orders'!$S:$S,'MAIN DATA, Orders'!$Y:$Y,$A33,'MAIN DATA, Orders'!$D:$D,"United Kingdom",'MAIN DATA, Orders'!$I:$I,"Air defence system")/1000000000)</f>
        <v>0</v>
      </c>
      <c r="D33" s="15">
        <f>(SUMIFS('MAIN DATA, Orders'!$S:$S,'MAIN DATA, Orders'!$Y:$Y,$A33,'MAIN DATA, Orders'!$D:$D,"United Kingdom",'MAIN DATA, Orders'!$I:$I,"Development - Air defence system")/1000000000)</f>
        <v>0</v>
      </c>
      <c r="E33" s="15">
        <f>(SUMIFS('MAIN DATA, Orders'!$S:$S,'MAIN DATA, Orders'!$Y:$Y,$A33,'MAIN DATA, Orders'!$D:$D,"United Kingdom",'MAIN DATA, Orders'!$I:$I,"Aircraft")/1000000000)</f>
        <v>0</v>
      </c>
      <c r="F33" s="15">
        <f>(SUMIFS('MAIN DATA, Orders'!$S:$S,'MAIN DATA, Orders'!$Y:$Y,$A33,'MAIN DATA, Orders'!$D:$D,"United Kingdom",'MAIN DATA, Orders'!$I:$I,"Development - Aircraft")/1000000000)</f>
        <v>0</v>
      </c>
      <c r="G33" s="15">
        <f>(SUMIFS('MAIN DATA, Orders'!$S:$S,'MAIN DATA, Orders'!$Y:$Y,$A33,'MAIN DATA, Orders'!$D:$D,"United Kingdom",'MAIN DATA, Orders'!$I:$I,"Ammunition")/1000000000)</f>
        <v>0</v>
      </c>
      <c r="H33" s="15">
        <f>(SUMIFS('MAIN DATA, Orders'!$S:$S,'MAIN DATA, Orders'!$Y:$Y,$A33,'MAIN DATA, Orders'!$D:$D,"United Kingdom",'MAIN DATA, Orders'!$I:$I,"Development - Ammunition")/1000000000)</f>
        <v>0</v>
      </c>
      <c r="I33" s="15">
        <f>(SUMIFS('MAIN DATA, Orders'!$S:$S,'MAIN DATA, Orders'!$Y:$Y,$A33,'MAIN DATA, Orders'!$D:$D,"United Kingdom",'MAIN DATA, Orders'!$I:$I,"Armoured vehicle")/1000000000)</f>
        <v>0</v>
      </c>
      <c r="J33" s="15">
        <f>(SUMIFS('MAIN DATA, Orders'!$S:$S,'MAIN DATA, Orders'!$Y:$Y,$A33,'MAIN DATA, Orders'!$D:$D,"United Kingdom",'MAIN DATA, Orders'!$I:$I,"Development - Armoured vehicle")/1000000000)</f>
        <v>0</v>
      </c>
      <c r="K33" s="15">
        <f>(SUMIFS('MAIN DATA, Orders'!$S:$S,'MAIN DATA, Orders'!$Y:$Y,$A33,'MAIN DATA, Orders'!$D:$D,"United Kingdom",'MAIN DATA, Orders'!$I:$I,"Artillery")/1000000000)</f>
        <v>0</v>
      </c>
      <c r="L33" s="15">
        <f>(SUMIFS('MAIN DATA, Orders'!$S:$S,'MAIN DATA, Orders'!$Y:$Y,$A33,'MAIN DATA, Orders'!$D:$D,"United Kingdom",'MAIN DATA, Orders'!$I:$I,"Development - Artillery")/1000000000)</f>
        <v>0</v>
      </c>
      <c r="M33" s="15">
        <f>(SUMIFS('MAIN DATA, Orders'!$S:$S,'MAIN DATA, Orders'!$Y:$Y,$A33,'MAIN DATA, Orders'!$D:$D,"United Kingdom",'MAIN DATA, Orders'!$I:$I,"Drone")/1000000000)</f>
        <v>0</v>
      </c>
      <c r="N33" s="15">
        <f>(SUMIFS('MAIN DATA, Orders'!$S:$S,'MAIN DATA, Orders'!$Y:$Y,$A33,'MAIN DATA, Orders'!$D:$D,"United Kingdom",'MAIN DATA, Orders'!$I:$I,"Development - Drone")/1000000000)</f>
        <v>0</v>
      </c>
      <c r="O33" s="15">
        <f>(SUMIFS('MAIN DATA, Orders'!$S:$S,'MAIN DATA, Orders'!$Y:$Y,$A33,'MAIN DATA, Orders'!$D:$D,"United Kingdom",'MAIN DATA, Orders'!$I:$I,"Helicopter")/1000000000)</f>
        <v>0</v>
      </c>
      <c r="P33" s="15">
        <f>(SUMIFS('MAIN DATA, Orders'!$S:$S,'MAIN DATA, Orders'!$Y:$Y,$A33,'MAIN DATA, Orders'!$D:$D,"United Kingdom",'MAIN DATA, Orders'!$I:$I,"Development - Helicopter")/1000000000)</f>
        <v>0</v>
      </c>
      <c r="Q33" s="15">
        <f>(SUMIFS('MAIN DATA, Orders'!$S:$S,'MAIN DATA, Orders'!$Y:$Y,$A33,'MAIN DATA, Orders'!$D:$D,"United Kingdom",'MAIN DATA, Orders'!$I:$I,"Infantry")/1000000000)</f>
        <v>0</v>
      </c>
      <c r="R33" s="15">
        <f>(SUMIFS('MAIN DATA, Orders'!$S:$S,'MAIN DATA, Orders'!$Y:$Y,$A33,'MAIN DATA, Orders'!$D:$D,"United Kingdom",'MAIN DATA, Orders'!$I:$I,"Development - Infantry")/1000000000)</f>
        <v>0</v>
      </c>
      <c r="S33" s="15">
        <f>(SUMIFS('MAIN DATA, Orders'!$S:$S,'MAIN DATA, Orders'!$Y:$Y,$A33,'MAIN DATA, Orders'!$D:$D,"United Kingdom",'MAIN DATA, Orders'!$I:$I,"Tank")/1000000000)</f>
        <v>0</v>
      </c>
      <c r="T33" s="15">
        <f>(SUMIFS('MAIN DATA, Orders'!$S:$S,'MAIN DATA, Orders'!$Y:$Y,$A33,'MAIN DATA, Orders'!$D:$D,"United Kingdom",'MAIN DATA, Orders'!$I:$I,"Development - Tank")/1000000000)</f>
        <v>0</v>
      </c>
      <c r="U33" s="15">
        <f>(SUMIFS('MAIN DATA, Orders'!$S:$S,'MAIN DATA, Orders'!$Y:$Y,$A33,'MAIN DATA, Orders'!$D:$D,"United Kingdom",'MAIN DATA, Orders'!$I:$I,"Maintenance")/1000000000)</f>
        <v>0.69499999999999995</v>
      </c>
      <c r="V33" s="15">
        <f>(SUMIFS('MAIN DATA, Orders'!$S:$S,'MAIN DATA, Orders'!$Y:$Y,$A33,'MAIN DATA, Orders'!$D:$D,"United Kingdom",'MAIN DATA, Orders'!$I:$I,"Development - Maintenance")/1000000000)</f>
        <v>0</v>
      </c>
      <c r="W33" s="15">
        <f>(SUMIFS('MAIN DATA, Orders'!$S:$S,'MAIN DATA, Orders'!$Y:$Y,$A33,'MAIN DATA, Orders'!$D:$D,"United Kingdom",'MAIN DATA, Orders'!$I:$I,"Mine")/1000000000)</f>
        <v>0</v>
      </c>
      <c r="X33" s="15">
        <f>(SUMIFS('MAIN DATA, Orders'!$S:$S,'MAIN DATA, Orders'!$Y:$Y,$A33,'MAIN DATA, Orders'!$D:$D,"United Kingdom",'MAIN DATA, Orders'!$I:$I,"Development - Mine")/1000000000)</f>
        <v>0</v>
      </c>
      <c r="Y33" s="15">
        <f>(SUMIFS('MAIN DATA, Orders'!$S:$S,'MAIN DATA, Orders'!$Y:$Y,$A33,'MAIN DATA, Orders'!$D:$D,"United Kingdom",'MAIN DATA, Orders'!$J:$J,"6")/1000000000)</f>
        <v>0</v>
      </c>
      <c r="Z33" s="15" cm="1">
        <f t="array" ref="Z33">SUM(SUMIFS('MAIN DATA, Orders'!$S:$S,'MAIN DATA, Orders'!$Y:$Y,$A33,'MAIN DATA, Orders'!$D:$D,"United Kingdom",'MAIN DATA, Orders'!$I:$I,{"Development - Missile (Land)","Development - Missile (Naval)","Development - Missile (Air)"})/1000000000)</f>
        <v>0</v>
      </c>
      <c r="AA33" s="15">
        <f>(SUMIFS('MAIN DATA, Orders'!$S:$S,'MAIN DATA, Orders'!$Y:$Y,$A33,'MAIN DATA, Orders'!$D:$D,"United Kingdom",'MAIN DATA, Orders'!$I:$I,"Modernisation")/1000000000)</f>
        <v>0</v>
      </c>
      <c r="AB33" s="15">
        <f>(SUMIFS('MAIN DATA, Orders'!$S:$S,'MAIN DATA, Orders'!$Y:$Y,$A33,'MAIN DATA, Orders'!$D:$D,"United Kingdom",'MAIN DATA, Orders'!$I:$I,"Development - Modernisation")/1000000000)</f>
        <v>0</v>
      </c>
      <c r="AC33" s="15">
        <f>(SUMIFS('MAIN DATA, Orders'!$S:$S,'MAIN DATA, Orders'!$Y:$Y,$A33,'MAIN DATA, Orders'!$D:$D,"United Kingdom",'MAIN DATA, Orders'!$I:$I,"Naval")/1000000000)</f>
        <v>0</v>
      </c>
      <c r="AD33" s="15">
        <f>(SUMIFS('MAIN DATA, Orders'!$S:$S,'MAIN DATA, Orders'!$Y:$Y,$A33,'MAIN DATA, Orders'!$D:$D,"United Kingdom",'MAIN DATA, Orders'!$I:$I,"Development - Naval")/1000000000)</f>
        <v>0</v>
      </c>
      <c r="AE33" s="15">
        <f>(SUMIFS('MAIN DATA, Orders'!$S:$S,'MAIN DATA, Orders'!$Y:$Y,$A33,'MAIN DATA, Orders'!$D:$D,"United Kingdom",'MAIN DATA, Orders'!$I:$I,"Other")/1000000000)</f>
        <v>0</v>
      </c>
      <c r="AF33" s="15">
        <f>(SUMIFS('MAIN DATA, Orders'!$S:$S,'MAIN DATA, Orders'!$Y:$Y,$A33,'MAIN DATA, Orders'!$D:$D,"United Kingdom",'MAIN DATA, Orders'!$I:$I,"Development - Other")/1000000000)</f>
        <v>0</v>
      </c>
      <c r="AG33" s="15"/>
      <c r="AH33" s="15" cm="1">
        <f t="array" ref="AH33">SUM(SUMIFS('MAIN DATA, Orders'!$S:$S,'MAIN DATA, Orders'!$Y:$Y,$A33,'MAIN DATA, Orders'!$D:$D,"United Kingdom",'MAIN DATA, Orders'!$I:$I,{"Missile (Land)","Development - Missile (Land)"})/1000000000)</f>
        <v>0</v>
      </c>
      <c r="AI33" s="15" cm="1">
        <f t="array" ref="AI33">SUM(SUMIFS('MAIN DATA, Orders'!$S:$S,'MAIN DATA, Orders'!$D:$D,"United Kingdom",'MAIN DATA, Orders'!$I:$I,{"Missile (Air)","Development - Missile (Air)"},'MAIN DATA, Orders'!$Y:$Y,$A33)/1000000000)</f>
        <v>0</v>
      </c>
      <c r="AJ33" s="15" cm="1">
        <f t="array" ref="AJ33">SUM(SUMIFS('MAIN DATA, Orders'!$S:$S,'MAIN DATA, Orders'!$Y:$Y,$A33,'MAIN DATA, Orders'!$D:$D,"United Kingdom",'MAIN DATA, Orders'!$I:$I,{"Missile (Naval)","Development - Missile (Naval)"})/1000000000)</f>
        <v>0</v>
      </c>
    </row>
    <row r="34" spans="1:36" x14ac:dyDescent="0.35">
      <c r="A34" s="20">
        <v>202204</v>
      </c>
      <c r="B34" s="17">
        <v>44652</v>
      </c>
      <c r="C34" s="15">
        <f>(SUMIFS('MAIN DATA, Orders'!$S:$S,'MAIN DATA, Orders'!$Y:$Y,$A34,'MAIN DATA, Orders'!$D:$D,"United Kingdom",'MAIN DATA, Orders'!$I:$I,"Air defence system")/1000000000)</f>
        <v>0</v>
      </c>
      <c r="D34" s="15">
        <f>(SUMIFS('MAIN DATA, Orders'!$S:$S,'MAIN DATA, Orders'!$Y:$Y,$A34,'MAIN DATA, Orders'!$D:$D,"United Kingdom",'MAIN DATA, Orders'!$I:$I,"Development - Air defence system")/1000000000)</f>
        <v>0</v>
      </c>
      <c r="E34" s="15">
        <f>(SUMIFS('MAIN DATA, Orders'!$S:$S,'MAIN DATA, Orders'!$Y:$Y,$A34,'MAIN DATA, Orders'!$D:$D,"United Kingdom",'MAIN DATA, Orders'!$I:$I,"Aircraft")/1000000000)</f>
        <v>0</v>
      </c>
      <c r="F34" s="15">
        <f>(SUMIFS('MAIN DATA, Orders'!$S:$S,'MAIN DATA, Orders'!$Y:$Y,$A34,'MAIN DATA, Orders'!$D:$D,"United Kingdom",'MAIN DATA, Orders'!$I:$I,"Development - Aircraft")/1000000000)</f>
        <v>0</v>
      </c>
      <c r="G34" s="15">
        <f>(SUMIFS('MAIN DATA, Orders'!$S:$S,'MAIN DATA, Orders'!$Y:$Y,$A34,'MAIN DATA, Orders'!$D:$D,"United Kingdom",'MAIN DATA, Orders'!$I:$I,"Ammunition")/1000000000)</f>
        <v>0</v>
      </c>
      <c r="H34" s="15">
        <f>(SUMIFS('MAIN DATA, Orders'!$S:$S,'MAIN DATA, Orders'!$Y:$Y,$A34,'MAIN DATA, Orders'!$D:$D,"United Kingdom",'MAIN DATA, Orders'!$I:$I,"Development - Ammunition")/1000000000)</f>
        <v>0</v>
      </c>
      <c r="I34" s="15">
        <f>(SUMIFS('MAIN DATA, Orders'!$S:$S,'MAIN DATA, Orders'!$Y:$Y,$A34,'MAIN DATA, Orders'!$D:$D,"United Kingdom",'MAIN DATA, Orders'!$I:$I,"Armoured vehicle")/1000000000)</f>
        <v>0</v>
      </c>
      <c r="J34" s="15">
        <f>(SUMIFS('MAIN DATA, Orders'!$S:$S,'MAIN DATA, Orders'!$Y:$Y,$A34,'MAIN DATA, Orders'!$D:$D,"United Kingdom",'MAIN DATA, Orders'!$I:$I,"Development - Armoured vehicle")/1000000000)</f>
        <v>0</v>
      </c>
      <c r="K34" s="15">
        <f>(SUMIFS('MAIN DATA, Orders'!$S:$S,'MAIN DATA, Orders'!$Y:$Y,$A34,'MAIN DATA, Orders'!$D:$D,"United Kingdom",'MAIN DATA, Orders'!$I:$I,"Artillery")/1000000000)</f>
        <v>0</v>
      </c>
      <c r="L34" s="15">
        <f>(SUMIFS('MAIN DATA, Orders'!$S:$S,'MAIN DATA, Orders'!$Y:$Y,$A34,'MAIN DATA, Orders'!$D:$D,"United Kingdom",'MAIN DATA, Orders'!$I:$I,"Development - Artillery")/1000000000)</f>
        <v>0</v>
      </c>
      <c r="M34" s="15">
        <f>(SUMIFS('MAIN DATA, Orders'!$S:$S,'MAIN DATA, Orders'!$Y:$Y,$A34,'MAIN DATA, Orders'!$D:$D,"United Kingdom",'MAIN DATA, Orders'!$I:$I,"Drone")/1000000000)</f>
        <v>3.2000000000000001E-2</v>
      </c>
      <c r="N34" s="15">
        <f>(SUMIFS('MAIN DATA, Orders'!$S:$S,'MAIN DATA, Orders'!$Y:$Y,$A34,'MAIN DATA, Orders'!$D:$D,"United Kingdom",'MAIN DATA, Orders'!$I:$I,"Development - Drone")/1000000000)</f>
        <v>0</v>
      </c>
      <c r="O34" s="15">
        <f>(SUMIFS('MAIN DATA, Orders'!$S:$S,'MAIN DATA, Orders'!$Y:$Y,$A34,'MAIN DATA, Orders'!$D:$D,"United Kingdom",'MAIN DATA, Orders'!$I:$I,"Helicopter")/1000000000)</f>
        <v>0</v>
      </c>
      <c r="P34" s="15">
        <f>(SUMIFS('MAIN DATA, Orders'!$S:$S,'MAIN DATA, Orders'!$Y:$Y,$A34,'MAIN DATA, Orders'!$D:$D,"United Kingdom",'MAIN DATA, Orders'!$I:$I,"Development - Helicopter")/1000000000)</f>
        <v>0</v>
      </c>
      <c r="Q34" s="15">
        <f>(SUMIFS('MAIN DATA, Orders'!$S:$S,'MAIN DATA, Orders'!$Y:$Y,$A34,'MAIN DATA, Orders'!$D:$D,"United Kingdom",'MAIN DATA, Orders'!$I:$I,"Infantry")/1000000000)</f>
        <v>0</v>
      </c>
      <c r="R34" s="15">
        <f>(SUMIFS('MAIN DATA, Orders'!$S:$S,'MAIN DATA, Orders'!$Y:$Y,$A34,'MAIN DATA, Orders'!$D:$D,"United Kingdom",'MAIN DATA, Orders'!$I:$I,"Development - Infantry")/1000000000)</f>
        <v>0</v>
      </c>
      <c r="S34" s="15">
        <f>(SUMIFS('MAIN DATA, Orders'!$S:$S,'MAIN DATA, Orders'!$Y:$Y,$A34,'MAIN DATA, Orders'!$D:$D,"United Kingdom",'MAIN DATA, Orders'!$I:$I,"Tank")/1000000000)</f>
        <v>0</v>
      </c>
      <c r="T34" s="15">
        <f>(SUMIFS('MAIN DATA, Orders'!$S:$S,'MAIN DATA, Orders'!$Y:$Y,$A34,'MAIN DATA, Orders'!$D:$D,"United Kingdom",'MAIN DATA, Orders'!$I:$I,"Development - Tank")/1000000000)</f>
        <v>0</v>
      </c>
      <c r="U34" s="15">
        <f>(SUMIFS('MAIN DATA, Orders'!$S:$S,'MAIN DATA, Orders'!$Y:$Y,$A34,'MAIN DATA, Orders'!$D:$D,"United Kingdom",'MAIN DATA, Orders'!$I:$I,"Maintenance")/1000000000)</f>
        <v>0</v>
      </c>
      <c r="V34" s="15">
        <f>(SUMIFS('MAIN DATA, Orders'!$S:$S,'MAIN DATA, Orders'!$Y:$Y,$A34,'MAIN DATA, Orders'!$D:$D,"United Kingdom",'MAIN DATA, Orders'!$I:$I,"Development - Maintenance")/1000000000)</f>
        <v>0</v>
      </c>
      <c r="W34" s="15">
        <f>(SUMIFS('MAIN DATA, Orders'!$S:$S,'MAIN DATA, Orders'!$Y:$Y,$A34,'MAIN DATA, Orders'!$D:$D,"United Kingdom",'MAIN DATA, Orders'!$I:$I,"Mine")/1000000000)</f>
        <v>0</v>
      </c>
      <c r="X34" s="15">
        <f>(SUMIFS('MAIN DATA, Orders'!$S:$S,'MAIN DATA, Orders'!$Y:$Y,$A34,'MAIN DATA, Orders'!$D:$D,"United Kingdom",'MAIN DATA, Orders'!$I:$I,"Development - Mine")/1000000000)</f>
        <v>0</v>
      </c>
      <c r="Y34" s="15">
        <f>(SUMIFS('MAIN DATA, Orders'!$S:$S,'MAIN DATA, Orders'!$Y:$Y,$A34,'MAIN DATA, Orders'!$D:$D,"United Kingdom",'MAIN DATA, Orders'!$J:$J,"6")/1000000000)</f>
        <v>0</v>
      </c>
      <c r="Z34" s="15" cm="1">
        <f t="array" ref="Z34">SUM(SUMIFS('MAIN DATA, Orders'!$S:$S,'MAIN DATA, Orders'!$Y:$Y,$A34,'MAIN DATA, Orders'!$D:$D,"United Kingdom",'MAIN DATA, Orders'!$I:$I,{"Development - Missile (Land)","Development - Missile (Naval)","Development - Missile (Air)"})/1000000000)</f>
        <v>0</v>
      </c>
      <c r="AA34" s="15">
        <f>(SUMIFS('MAIN DATA, Orders'!$S:$S,'MAIN DATA, Orders'!$Y:$Y,$A34,'MAIN DATA, Orders'!$D:$D,"United Kingdom",'MAIN DATA, Orders'!$I:$I,"Modernisation")/1000000000)</f>
        <v>2.1999999999999999E-2</v>
      </c>
      <c r="AB34" s="15">
        <f>(SUMIFS('MAIN DATA, Orders'!$S:$S,'MAIN DATA, Orders'!$Y:$Y,$A34,'MAIN DATA, Orders'!$D:$D,"United Kingdom",'MAIN DATA, Orders'!$I:$I,"Development - Modernisation")/1000000000)</f>
        <v>0</v>
      </c>
      <c r="AC34" s="15">
        <f>(SUMIFS('MAIN DATA, Orders'!$S:$S,'MAIN DATA, Orders'!$Y:$Y,$A34,'MAIN DATA, Orders'!$D:$D,"United Kingdom",'MAIN DATA, Orders'!$I:$I,"Naval")/1000000000)</f>
        <v>0</v>
      </c>
      <c r="AD34" s="15">
        <f>(SUMIFS('MAIN DATA, Orders'!$S:$S,'MAIN DATA, Orders'!$Y:$Y,$A34,'MAIN DATA, Orders'!$D:$D,"United Kingdom",'MAIN DATA, Orders'!$I:$I,"Development - Naval")/1000000000)</f>
        <v>0</v>
      </c>
      <c r="AE34" s="15">
        <f>(SUMIFS('MAIN DATA, Orders'!$S:$S,'MAIN DATA, Orders'!$Y:$Y,$A34,'MAIN DATA, Orders'!$D:$D,"United Kingdom",'MAIN DATA, Orders'!$I:$I,"Other")/1000000000)</f>
        <v>0.36</v>
      </c>
      <c r="AF34" s="15">
        <f>(SUMIFS('MAIN DATA, Orders'!$S:$S,'MAIN DATA, Orders'!$Y:$Y,$A34,'MAIN DATA, Orders'!$D:$D,"United Kingdom",'MAIN DATA, Orders'!$I:$I,"Development - Other")/1000000000)</f>
        <v>0</v>
      </c>
      <c r="AG34" s="15"/>
      <c r="AH34" s="15" cm="1">
        <f t="array" ref="AH34">SUM(SUMIFS('MAIN DATA, Orders'!$S:$S,'MAIN DATA, Orders'!$Y:$Y,$A34,'MAIN DATA, Orders'!$D:$D,"United Kingdom",'MAIN DATA, Orders'!$I:$I,{"Missile (Land)","Development - Missile (Land)"})/1000000000)</f>
        <v>0</v>
      </c>
      <c r="AI34" s="15" cm="1">
        <f t="array" ref="AI34">SUM(SUMIFS('MAIN DATA, Orders'!$S:$S,'MAIN DATA, Orders'!$D:$D,"United Kingdom",'MAIN DATA, Orders'!$I:$I,{"Missile (Air)","Development - Missile (Air)"},'MAIN DATA, Orders'!$Y:$Y,$A34)/1000000000)</f>
        <v>0</v>
      </c>
      <c r="AJ34" s="15" cm="1">
        <f t="array" ref="AJ34">SUM(SUMIFS('MAIN DATA, Orders'!$S:$S,'MAIN DATA, Orders'!$Y:$Y,$A34,'MAIN DATA, Orders'!$D:$D,"United Kingdom",'MAIN DATA, Orders'!$I:$I,{"Missile (Naval)","Development - Missile (Naval)"})/1000000000)</f>
        <v>0</v>
      </c>
    </row>
    <row r="35" spans="1:36" x14ac:dyDescent="0.35">
      <c r="A35" s="20">
        <v>202205</v>
      </c>
      <c r="B35" s="17">
        <v>44682</v>
      </c>
      <c r="C35" s="15">
        <f>(SUMIFS('MAIN DATA, Orders'!$S:$S,'MAIN DATA, Orders'!$Y:$Y,$A35,'MAIN DATA, Orders'!$D:$D,"United Kingdom",'MAIN DATA, Orders'!$I:$I,"Air defence system")/1000000000)</f>
        <v>0</v>
      </c>
      <c r="D35" s="15">
        <f>(SUMIFS('MAIN DATA, Orders'!$S:$S,'MAIN DATA, Orders'!$Y:$Y,$A35,'MAIN DATA, Orders'!$D:$D,"United Kingdom",'MAIN DATA, Orders'!$I:$I,"Development - Air defence system")/1000000000)</f>
        <v>0</v>
      </c>
      <c r="E35" s="15">
        <f>(SUMIFS('MAIN DATA, Orders'!$S:$S,'MAIN DATA, Orders'!$Y:$Y,$A35,'MAIN DATA, Orders'!$D:$D,"United Kingdom",'MAIN DATA, Orders'!$I:$I,"Aircraft")/1000000000)</f>
        <v>0</v>
      </c>
      <c r="F35" s="15">
        <f>(SUMIFS('MAIN DATA, Orders'!$S:$S,'MAIN DATA, Orders'!$Y:$Y,$A35,'MAIN DATA, Orders'!$D:$D,"United Kingdom",'MAIN DATA, Orders'!$I:$I,"Development - Aircraft")/1000000000)</f>
        <v>0</v>
      </c>
      <c r="G35" s="15">
        <f>(SUMIFS('MAIN DATA, Orders'!$S:$S,'MAIN DATA, Orders'!$Y:$Y,$A35,'MAIN DATA, Orders'!$D:$D,"United Kingdom",'MAIN DATA, Orders'!$I:$I,"Ammunition")/1000000000)</f>
        <v>0</v>
      </c>
      <c r="H35" s="15">
        <f>(SUMIFS('MAIN DATA, Orders'!$S:$S,'MAIN DATA, Orders'!$Y:$Y,$A35,'MAIN DATA, Orders'!$D:$D,"United Kingdom",'MAIN DATA, Orders'!$I:$I,"Development - Ammunition")/1000000000)</f>
        <v>0</v>
      </c>
      <c r="I35" s="15">
        <f>(SUMIFS('MAIN DATA, Orders'!$S:$S,'MAIN DATA, Orders'!$Y:$Y,$A35,'MAIN DATA, Orders'!$D:$D,"United Kingdom",'MAIN DATA, Orders'!$I:$I,"Armoured vehicle")/1000000000)</f>
        <v>0</v>
      </c>
      <c r="J35" s="15">
        <f>(SUMIFS('MAIN DATA, Orders'!$S:$S,'MAIN DATA, Orders'!$Y:$Y,$A35,'MAIN DATA, Orders'!$D:$D,"United Kingdom",'MAIN DATA, Orders'!$I:$I,"Development - Armoured vehicle")/1000000000)</f>
        <v>0</v>
      </c>
      <c r="K35" s="15">
        <f>(SUMIFS('MAIN DATA, Orders'!$S:$S,'MAIN DATA, Orders'!$Y:$Y,$A35,'MAIN DATA, Orders'!$D:$D,"United Kingdom",'MAIN DATA, Orders'!$I:$I,"Artillery")/1000000000)</f>
        <v>0</v>
      </c>
      <c r="L35" s="15">
        <f>(SUMIFS('MAIN DATA, Orders'!$S:$S,'MAIN DATA, Orders'!$Y:$Y,$A35,'MAIN DATA, Orders'!$D:$D,"United Kingdom",'MAIN DATA, Orders'!$I:$I,"Development - Artillery")/1000000000)</f>
        <v>0</v>
      </c>
      <c r="M35" s="15">
        <f>(SUMIFS('MAIN DATA, Orders'!$S:$S,'MAIN DATA, Orders'!$Y:$Y,$A35,'MAIN DATA, Orders'!$D:$D,"United Kingdom",'MAIN DATA, Orders'!$I:$I,"Drone")/1000000000)</f>
        <v>0</v>
      </c>
      <c r="N35" s="15">
        <f>(SUMIFS('MAIN DATA, Orders'!$S:$S,'MAIN DATA, Orders'!$Y:$Y,$A35,'MAIN DATA, Orders'!$D:$D,"United Kingdom",'MAIN DATA, Orders'!$I:$I,"Development - Drone")/1000000000)</f>
        <v>0</v>
      </c>
      <c r="O35" s="15">
        <f>(SUMIFS('MAIN DATA, Orders'!$S:$S,'MAIN DATA, Orders'!$Y:$Y,$A35,'MAIN DATA, Orders'!$D:$D,"United Kingdom",'MAIN DATA, Orders'!$I:$I,"Helicopter")/1000000000)</f>
        <v>0</v>
      </c>
      <c r="P35" s="15">
        <f>(SUMIFS('MAIN DATA, Orders'!$S:$S,'MAIN DATA, Orders'!$Y:$Y,$A35,'MAIN DATA, Orders'!$D:$D,"United Kingdom",'MAIN DATA, Orders'!$I:$I,"Development - Helicopter")/1000000000)</f>
        <v>0</v>
      </c>
      <c r="Q35" s="15">
        <f>(SUMIFS('MAIN DATA, Orders'!$S:$S,'MAIN DATA, Orders'!$Y:$Y,$A35,'MAIN DATA, Orders'!$D:$D,"United Kingdom",'MAIN DATA, Orders'!$I:$I,"Infantry")/1000000000)</f>
        <v>0</v>
      </c>
      <c r="R35" s="15">
        <f>(SUMIFS('MAIN DATA, Orders'!$S:$S,'MAIN DATA, Orders'!$Y:$Y,$A35,'MAIN DATA, Orders'!$D:$D,"United Kingdom",'MAIN DATA, Orders'!$I:$I,"Development - Infantry")/1000000000)</f>
        <v>0</v>
      </c>
      <c r="S35" s="15">
        <f>(SUMIFS('MAIN DATA, Orders'!$S:$S,'MAIN DATA, Orders'!$Y:$Y,$A35,'MAIN DATA, Orders'!$D:$D,"United Kingdom",'MAIN DATA, Orders'!$I:$I,"Tank")/1000000000)</f>
        <v>0</v>
      </c>
      <c r="T35" s="15">
        <f>(SUMIFS('MAIN DATA, Orders'!$S:$S,'MAIN DATA, Orders'!$Y:$Y,$A35,'MAIN DATA, Orders'!$D:$D,"United Kingdom",'MAIN DATA, Orders'!$I:$I,"Development - Tank")/1000000000)</f>
        <v>0</v>
      </c>
      <c r="U35" s="15">
        <f>(SUMIFS('MAIN DATA, Orders'!$S:$S,'MAIN DATA, Orders'!$Y:$Y,$A35,'MAIN DATA, Orders'!$D:$D,"United Kingdom",'MAIN DATA, Orders'!$I:$I,"Maintenance")/1000000000)</f>
        <v>0</v>
      </c>
      <c r="V35" s="15">
        <f>(SUMIFS('MAIN DATA, Orders'!$S:$S,'MAIN DATA, Orders'!$Y:$Y,$A35,'MAIN DATA, Orders'!$D:$D,"United Kingdom",'MAIN DATA, Orders'!$I:$I,"Development - Maintenance")/1000000000)</f>
        <v>0</v>
      </c>
      <c r="W35" s="15">
        <f>(SUMIFS('MAIN DATA, Orders'!$S:$S,'MAIN DATA, Orders'!$Y:$Y,$A35,'MAIN DATA, Orders'!$D:$D,"United Kingdom",'MAIN DATA, Orders'!$I:$I,"Mine")/1000000000)</f>
        <v>0</v>
      </c>
      <c r="X35" s="15">
        <f>(SUMIFS('MAIN DATA, Orders'!$S:$S,'MAIN DATA, Orders'!$Y:$Y,$A35,'MAIN DATA, Orders'!$D:$D,"United Kingdom",'MAIN DATA, Orders'!$I:$I,"Development - Mine")/1000000000)</f>
        <v>0</v>
      </c>
      <c r="Y35" s="15">
        <f>(SUMIFS('MAIN DATA, Orders'!$S:$S,'MAIN DATA, Orders'!$Y:$Y,$A35,'MAIN DATA, Orders'!$D:$D,"United Kingdom",'MAIN DATA, Orders'!$J:$J,"6")/1000000000)</f>
        <v>0.56499999999999995</v>
      </c>
      <c r="Z35" s="15" cm="1">
        <f t="array" ref="Z35">SUM(SUMIFS('MAIN DATA, Orders'!$S:$S,'MAIN DATA, Orders'!$Y:$Y,$A35,'MAIN DATA, Orders'!$D:$D,"United Kingdom",'MAIN DATA, Orders'!$I:$I,{"Development - Missile (Land)","Development - Missile (Naval)","Development - Missile (Air)"})/1000000000)</f>
        <v>0</v>
      </c>
      <c r="AA35" s="15">
        <f>(SUMIFS('MAIN DATA, Orders'!$S:$S,'MAIN DATA, Orders'!$Y:$Y,$A35,'MAIN DATA, Orders'!$D:$D,"United Kingdom",'MAIN DATA, Orders'!$I:$I,"Modernisation")/1000000000)</f>
        <v>0</v>
      </c>
      <c r="AB35" s="15">
        <f>(SUMIFS('MAIN DATA, Orders'!$S:$S,'MAIN DATA, Orders'!$Y:$Y,$A35,'MAIN DATA, Orders'!$D:$D,"United Kingdom",'MAIN DATA, Orders'!$I:$I,"Development - Modernisation")/1000000000)</f>
        <v>0</v>
      </c>
      <c r="AC35" s="15">
        <f>(SUMIFS('MAIN DATA, Orders'!$S:$S,'MAIN DATA, Orders'!$Y:$Y,$A35,'MAIN DATA, Orders'!$D:$D,"United Kingdom",'MAIN DATA, Orders'!$I:$I,"Naval")/1000000000)</f>
        <v>2</v>
      </c>
      <c r="AD35" s="15">
        <f>(SUMIFS('MAIN DATA, Orders'!$S:$S,'MAIN DATA, Orders'!$Y:$Y,$A35,'MAIN DATA, Orders'!$D:$D,"United Kingdom",'MAIN DATA, Orders'!$I:$I,"Development - Naval")/1000000000)</f>
        <v>0</v>
      </c>
      <c r="AE35" s="15">
        <f>(SUMIFS('MAIN DATA, Orders'!$S:$S,'MAIN DATA, Orders'!$Y:$Y,$A35,'MAIN DATA, Orders'!$D:$D,"United Kingdom",'MAIN DATA, Orders'!$I:$I,"Other")/1000000000)</f>
        <v>0</v>
      </c>
      <c r="AF35" s="15">
        <f>(SUMIFS('MAIN DATA, Orders'!$S:$S,'MAIN DATA, Orders'!$Y:$Y,$A35,'MAIN DATA, Orders'!$D:$D,"United Kingdom",'MAIN DATA, Orders'!$I:$I,"Development - Other")/1000000000)</f>
        <v>0</v>
      </c>
      <c r="AG35" s="15"/>
      <c r="AH35" s="15" cm="1">
        <f t="array" ref="AH35">SUM(SUMIFS('MAIN DATA, Orders'!$S:$S,'MAIN DATA, Orders'!$Y:$Y,$A35,'MAIN DATA, Orders'!$D:$D,"United Kingdom",'MAIN DATA, Orders'!$I:$I,{"Missile (Land)","Development - Missile (Land)"})/1000000000)</f>
        <v>0</v>
      </c>
      <c r="AI35" s="15" cm="1">
        <f t="array" ref="AI35">SUM(SUMIFS('MAIN DATA, Orders'!$S:$S,'MAIN DATA, Orders'!$D:$D,"United Kingdom",'MAIN DATA, Orders'!$I:$I,{"Missile (Air)","Development - Missile (Air)"},'MAIN DATA, Orders'!$Y:$Y,$A35)/1000000000)</f>
        <v>0</v>
      </c>
      <c r="AJ35" s="15" cm="1">
        <f t="array" ref="AJ35">SUM(SUMIFS('MAIN DATA, Orders'!$S:$S,'MAIN DATA, Orders'!$Y:$Y,$A35,'MAIN DATA, Orders'!$D:$D,"United Kingdom",'MAIN DATA, Orders'!$I:$I,{"Missile (Naval)","Development - Missile (Naval)"})/1000000000)</f>
        <v>0.56499999999999995</v>
      </c>
    </row>
    <row r="36" spans="1:36" x14ac:dyDescent="0.35">
      <c r="A36" s="20">
        <v>202206</v>
      </c>
      <c r="B36" s="17">
        <v>44713</v>
      </c>
      <c r="C36" s="15">
        <f>(SUMIFS('MAIN DATA, Orders'!$S:$S,'MAIN DATA, Orders'!$Y:$Y,$A36,'MAIN DATA, Orders'!$D:$D,"United Kingdom",'MAIN DATA, Orders'!$I:$I,"Air defence system")/1000000000)</f>
        <v>0</v>
      </c>
      <c r="D36" s="15">
        <f>(SUMIFS('MAIN DATA, Orders'!$S:$S,'MAIN DATA, Orders'!$Y:$Y,$A36,'MAIN DATA, Orders'!$D:$D,"United Kingdom",'MAIN DATA, Orders'!$I:$I,"Development - Air defence system")/1000000000)</f>
        <v>0</v>
      </c>
      <c r="E36" s="15">
        <f>(SUMIFS('MAIN DATA, Orders'!$S:$S,'MAIN DATA, Orders'!$Y:$Y,$A36,'MAIN DATA, Orders'!$D:$D,"United Kingdom",'MAIN DATA, Orders'!$I:$I,"Aircraft")/1000000000)</f>
        <v>0</v>
      </c>
      <c r="F36" s="15">
        <f>(SUMIFS('MAIN DATA, Orders'!$S:$S,'MAIN DATA, Orders'!$Y:$Y,$A36,'MAIN DATA, Orders'!$D:$D,"United Kingdom",'MAIN DATA, Orders'!$I:$I,"Development - Aircraft")/1000000000)</f>
        <v>0</v>
      </c>
      <c r="G36" s="15">
        <f>(SUMIFS('MAIN DATA, Orders'!$S:$S,'MAIN DATA, Orders'!$Y:$Y,$A36,'MAIN DATA, Orders'!$D:$D,"United Kingdom",'MAIN DATA, Orders'!$I:$I,"Ammunition")/1000000000)</f>
        <v>0</v>
      </c>
      <c r="H36" s="15">
        <f>(SUMIFS('MAIN DATA, Orders'!$S:$S,'MAIN DATA, Orders'!$Y:$Y,$A36,'MAIN DATA, Orders'!$D:$D,"United Kingdom",'MAIN DATA, Orders'!$I:$I,"Development - Ammunition")/1000000000)</f>
        <v>0</v>
      </c>
      <c r="I36" s="15">
        <f>(SUMIFS('MAIN DATA, Orders'!$S:$S,'MAIN DATA, Orders'!$Y:$Y,$A36,'MAIN DATA, Orders'!$D:$D,"United Kingdom",'MAIN DATA, Orders'!$I:$I,"Armoured vehicle")/1000000000)</f>
        <v>0</v>
      </c>
      <c r="J36" s="15">
        <f>(SUMIFS('MAIN DATA, Orders'!$S:$S,'MAIN DATA, Orders'!$Y:$Y,$A36,'MAIN DATA, Orders'!$D:$D,"United Kingdom",'MAIN DATA, Orders'!$I:$I,"Development - Armoured vehicle")/1000000000)</f>
        <v>0</v>
      </c>
      <c r="K36" s="15">
        <f>(SUMIFS('MAIN DATA, Orders'!$S:$S,'MAIN DATA, Orders'!$Y:$Y,$A36,'MAIN DATA, Orders'!$D:$D,"United Kingdom",'MAIN DATA, Orders'!$I:$I,"Artillery")/1000000000)</f>
        <v>0</v>
      </c>
      <c r="L36" s="15">
        <f>(SUMIFS('MAIN DATA, Orders'!$S:$S,'MAIN DATA, Orders'!$Y:$Y,$A36,'MAIN DATA, Orders'!$D:$D,"United Kingdom",'MAIN DATA, Orders'!$I:$I,"Development - Artillery")/1000000000)</f>
        <v>0</v>
      </c>
      <c r="M36" s="15">
        <f>(SUMIFS('MAIN DATA, Orders'!$S:$S,'MAIN DATA, Orders'!$Y:$Y,$A36,'MAIN DATA, Orders'!$D:$D,"United Kingdom",'MAIN DATA, Orders'!$I:$I,"Drone")/1000000000)</f>
        <v>0</v>
      </c>
      <c r="N36" s="15">
        <f>(SUMIFS('MAIN DATA, Orders'!$S:$S,'MAIN DATA, Orders'!$Y:$Y,$A36,'MAIN DATA, Orders'!$D:$D,"United Kingdom",'MAIN DATA, Orders'!$I:$I,"Development - Drone")/1000000000)</f>
        <v>0</v>
      </c>
      <c r="O36" s="15">
        <f>(SUMIFS('MAIN DATA, Orders'!$S:$S,'MAIN DATA, Orders'!$Y:$Y,$A36,'MAIN DATA, Orders'!$D:$D,"United Kingdom",'MAIN DATA, Orders'!$I:$I,"Helicopter")/1000000000)</f>
        <v>0</v>
      </c>
      <c r="P36" s="15">
        <f>(SUMIFS('MAIN DATA, Orders'!$S:$S,'MAIN DATA, Orders'!$Y:$Y,$A36,'MAIN DATA, Orders'!$D:$D,"United Kingdom",'MAIN DATA, Orders'!$I:$I,"Development - Helicopter")/1000000000)</f>
        <v>0</v>
      </c>
      <c r="Q36" s="15">
        <f>(SUMIFS('MAIN DATA, Orders'!$S:$S,'MAIN DATA, Orders'!$Y:$Y,$A36,'MAIN DATA, Orders'!$D:$D,"United Kingdom",'MAIN DATA, Orders'!$I:$I,"Infantry")/1000000000)</f>
        <v>0</v>
      </c>
      <c r="R36" s="15">
        <f>(SUMIFS('MAIN DATA, Orders'!$S:$S,'MAIN DATA, Orders'!$Y:$Y,$A36,'MAIN DATA, Orders'!$D:$D,"United Kingdom",'MAIN DATA, Orders'!$I:$I,"Development - Infantry")/1000000000)</f>
        <v>0</v>
      </c>
      <c r="S36" s="15">
        <f>(SUMIFS('MAIN DATA, Orders'!$S:$S,'MAIN DATA, Orders'!$Y:$Y,$A36,'MAIN DATA, Orders'!$D:$D,"United Kingdom",'MAIN DATA, Orders'!$I:$I,"Tank")/1000000000)</f>
        <v>0</v>
      </c>
      <c r="T36" s="15">
        <f>(SUMIFS('MAIN DATA, Orders'!$S:$S,'MAIN DATA, Orders'!$Y:$Y,$A36,'MAIN DATA, Orders'!$D:$D,"United Kingdom",'MAIN DATA, Orders'!$I:$I,"Development - Tank")/1000000000)</f>
        <v>0</v>
      </c>
      <c r="U36" s="15">
        <f>(SUMIFS('MAIN DATA, Orders'!$S:$S,'MAIN DATA, Orders'!$Y:$Y,$A36,'MAIN DATA, Orders'!$D:$D,"United Kingdom",'MAIN DATA, Orders'!$I:$I,"Maintenance")/1000000000)</f>
        <v>0</v>
      </c>
      <c r="V36" s="15">
        <f>(SUMIFS('MAIN DATA, Orders'!$S:$S,'MAIN DATA, Orders'!$Y:$Y,$A36,'MAIN DATA, Orders'!$D:$D,"United Kingdom",'MAIN DATA, Orders'!$I:$I,"Development - Maintenance")/1000000000)</f>
        <v>0</v>
      </c>
      <c r="W36" s="15">
        <f>(SUMIFS('MAIN DATA, Orders'!$S:$S,'MAIN DATA, Orders'!$Y:$Y,$A36,'MAIN DATA, Orders'!$D:$D,"United Kingdom",'MAIN DATA, Orders'!$I:$I,"Mine")/1000000000)</f>
        <v>0</v>
      </c>
      <c r="X36" s="15">
        <f>(SUMIFS('MAIN DATA, Orders'!$S:$S,'MAIN DATA, Orders'!$Y:$Y,$A36,'MAIN DATA, Orders'!$D:$D,"United Kingdom",'MAIN DATA, Orders'!$I:$I,"Development - Mine")/1000000000)</f>
        <v>0</v>
      </c>
      <c r="Y36" s="15">
        <f>(SUMIFS('MAIN DATA, Orders'!$S:$S,'MAIN DATA, Orders'!$Y:$Y,$A36,'MAIN DATA, Orders'!$D:$D,"United Kingdom",'MAIN DATA, Orders'!$J:$J,"6")/1000000000)</f>
        <v>0</v>
      </c>
      <c r="Z36" s="15" cm="1">
        <f t="array" ref="Z36">SUM(SUMIFS('MAIN DATA, Orders'!$S:$S,'MAIN DATA, Orders'!$Y:$Y,$A36,'MAIN DATA, Orders'!$D:$D,"United Kingdom",'MAIN DATA, Orders'!$I:$I,{"Development - Missile (Land)","Development - Missile (Naval)","Development - Missile (Air)"})/1000000000)</f>
        <v>0</v>
      </c>
      <c r="AA36" s="15">
        <f>(SUMIFS('MAIN DATA, Orders'!$S:$S,'MAIN DATA, Orders'!$Y:$Y,$A36,'MAIN DATA, Orders'!$D:$D,"United Kingdom",'MAIN DATA, Orders'!$I:$I,"Modernisation")/1000000000)</f>
        <v>0</v>
      </c>
      <c r="AB36" s="15">
        <f>(SUMIFS('MAIN DATA, Orders'!$S:$S,'MAIN DATA, Orders'!$Y:$Y,$A36,'MAIN DATA, Orders'!$D:$D,"United Kingdom",'MAIN DATA, Orders'!$I:$I,"Development - Modernisation")/1000000000)</f>
        <v>2</v>
      </c>
      <c r="AC36" s="15">
        <f>(SUMIFS('MAIN DATA, Orders'!$S:$S,'MAIN DATA, Orders'!$Y:$Y,$A36,'MAIN DATA, Orders'!$D:$D,"United Kingdom",'MAIN DATA, Orders'!$I:$I,"Naval")/1000000000)</f>
        <v>0</v>
      </c>
      <c r="AD36" s="15">
        <f>(SUMIFS('MAIN DATA, Orders'!$S:$S,'MAIN DATA, Orders'!$Y:$Y,$A36,'MAIN DATA, Orders'!$D:$D,"United Kingdom",'MAIN DATA, Orders'!$I:$I,"Development - Naval")/1000000000)</f>
        <v>0</v>
      </c>
      <c r="AE36" s="15">
        <f>(SUMIFS('MAIN DATA, Orders'!$S:$S,'MAIN DATA, Orders'!$Y:$Y,$A36,'MAIN DATA, Orders'!$D:$D,"United Kingdom",'MAIN DATA, Orders'!$I:$I,"Other")/1000000000)</f>
        <v>7.1999999999999998E-3</v>
      </c>
      <c r="AF36" s="15">
        <f>(SUMIFS('MAIN DATA, Orders'!$S:$S,'MAIN DATA, Orders'!$Y:$Y,$A36,'MAIN DATA, Orders'!$D:$D,"United Kingdom",'MAIN DATA, Orders'!$I:$I,"Development - Other")/1000000000)</f>
        <v>0</v>
      </c>
      <c r="AG36" s="15"/>
      <c r="AH36" s="15" cm="1">
        <f t="array" ref="AH36">SUM(SUMIFS('MAIN DATA, Orders'!$S:$S,'MAIN DATA, Orders'!$Y:$Y,$A36,'MAIN DATA, Orders'!$D:$D,"United Kingdom",'MAIN DATA, Orders'!$I:$I,{"Missile (Land)","Development - Missile (Land)"})/1000000000)</f>
        <v>0</v>
      </c>
      <c r="AI36" s="15" cm="1">
        <f t="array" ref="AI36">SUM(SUMIFS('MAIN DATA, Orders'!$S:$S,'MAIN DATA, Orders'!$D:$D,"United Kingdom",'MAIN DATA, Orders'!$I:$I,{"Missile (Air)","Development - Missile (Air)"},'MAIN DATA, Orders'!$Y:$Y,$A36)/1000000000)</f>
        <v>0</v>
      </c>
      <c r="AJ36" s="15" cm="1">
        <f t="array" ref="AJ36">SUM(SUMIFS('MAIN DATA, Orders'!$S:$S,'MAIN DATA, Orders'!$Y:$Y,$A36,'MAIN DATA, Orders'!$D:$D,"United Kingdom",'MAIN DATA, Orders'!$I:$I,{"Missile (Naval)","Development - Missile (Naval)"})/1000000000)</f>
        <v>0</v>
      </c>
    </row>
    <row r="37" spans="1:36" x14ac:dyDescent="0.35">
      <c r="A37" s="20">
        <v>202207</v>
      </c>
      <c r="B37" s="17">
        <v>44743</v>
      </c>
      <c r="C37" s="15">
        <f>(SUMIFS('MAIN DATA, Orders'!$S:$S,'MAIN DATA, Orders'!$Y:$Y,$A37,'MAIN DATA, Orders'!$D:$D,"United Kingdom",'MAIN DATA, Orders'!$I:$I,"Air defence system")/1000000000)</f>
        <v>0</v>
      </c>
      <c r="D37" s="15">
        <f>(SUMIFS('MAIN DATA, Orders'!$S:$S,'MAIN DATA, Orders'!$Y:$Y,$A37,'MAIN DATA, Orders'!$D:$D,"United Kingdom",'MAIN DATA, Orders'!$I:$I,"Development - Air defence system")/1000000000)</f>
        <v>0</v>
      </c>
      <c r="E37" s="15">
        <f>(SUMIFS('MAIN DATA, Orders'!$S:$S,'MAIN DATA, Orders'!$Y:$Y,$A37,'MAIN DATA, Orders'!$D:$D,"United Kingdom",'MAIN DATA, Orders'!$I:$I,"Aircraft")/1000000000)</f>
        <v>2.35</v>
      </c>
      <c r="F37" s="15">
        <f>(SUMIFS('MAIN DATA, Orders'!$S:$S,'MAIN DATA, Orders'!$Y:$Y,$A37,'MAIN DATA, Orders'!$D:$D,"United Kingdom",'MAIN DATA, Orders'!$I:$I,"Development - Aircraft")/1000000000)</f>
        <v>0</v>
      </c>
      <c r="G37" s="15">
        <f>(SUMIFS('MAIN DATA, Orders'!$S:$S,'MAIN DATA, Orders'!$Y:$Y,$A37,'MAIN DATA, Orders'!$D:$D,"United Kingdom",'MAIN DATA, Orders'!$I:$I,"Ammunition")/1000000000)</f>
        <v>0</v>
      </c>
      <c r="H37" s="15">
        <f>(SUMIFS('MAIN DATA, Orders'!$S:$S,'MAIN DATA, Orders'!$Y:$Y,$A37,'MAIN DATA, Orders'!$D:$D,"United Kingdom",'MAIN DATA, Orders'!$I:$I,"Development - Ammunition")/1000000000)</f>
        <v>0</v>
      </c>
      <c r="I37" s="15">
        <f>(SUMIFS('MAIN DATA, Orders'!$S:$S,'MAIN DATA, Orders'!$Y:$Y,$A37,'MAIN DATA, Orders'!$D:$D,"United Kingdom",'MAIN DATA, Orders'!$I:$I,"Armoured vehicle")/1000000000)</f>
        <v>0</v>
      </c>
      <c r="J37" s="15">
        <f>(SUMIFS('MAIN DATA, Orders'!$S:$S,'MAIN DATA, Orders'!$Y:$Y,$A37,'MAIN DATA, Orders'!$D:$D,"United Kingdom",'MAIN DATA, Orders'!$I:$I,"Development - Armoured vehicle")/1000000000)</f>
        <v>0</v>
      </c>
      <c r="K37" s="15">
        <f>(SUMIFS('MAIN DATA, Orders'!$S:$S,'MAIN DATA, Orders'!$Y:$Y,$A37,'MAIN DATA, Orders'!$D:$D,"United Kingdom",'MAIN DATA, Orders'!$I:$I,"Artillery")/1000000000)</f>
        <v>0</v>
      </c>
      <c r="L37" s="15">
        <f>(SUMIFS('MAIN DATA, Orders'!$S:$S,'MAIN DATA, Orders'!$Y:$Y,$A37,'MAIN DATA, Orders'!$D:$D,"United Kingdom",'MAIN DATA, Orders'!$I:$I,"Development - Artillery")/1000000000)</f>
        <v>0</v>
      </c>
      <c r="M37" s="15">
        <f>(SUMIFS('MAIN DATA, Orders'!$S:$S,'MAIN DATA, Orders'!$Y:$Y,$A37,'MAIN DATA, Orders'!$D:$D,"United Kingdom",'MAIN DATA, Orders'!$I:$I,"Drone")/1000000000)</f>
        <v>0</v>
      </c>
      <c r="N37" s="15">
        <f>(SUMIFS('MAIN DATA, Orders'!$S:$S,'MAIN DATA, Orders'!$Y:$Y,$A37,'MAIN DATA, Orders'!$D:$D,"United Kingdom",'MAIN DATA, Orders'!$I:$I,"Development - Drone")/1000000000)</f>
        <v>0.06</v>
      </c>
      <c r="O37" s="15">
        <f>(SUMIFS('MAIN DATA, Orders'!$S:$S,'MAIN DATA, Orders'!$Y:$Y,$A37,'MAIN DATA, Orders'!$D:$D,"United Kingdom",'MAIN DATA, Orders'!$I:$I,"Helicopter")/1000000000)</f>
        <v>0</v>
      </c>
      <c r="P37" s="15">
        <f>(SUMIFS('MAIN DATA, Orders'!$S:$S,'MAIN DATA, Orders'!$Y:$Y,$A37,'MAIN DATA, Orders'!$D:$D,"United Kingdom",'MAIN DATA, Orders'!$I:$I,"Development - Helicopter")/1000000000)</f>
        <v>0</v>
      </c>
      <c r="Q37" s="15">
        <f>(SUMIFS('MAIN DATA, Orders'!$S:$S,'MAIN DATA, Orders'!$Y:$Y,$A37,'MAIN DATA, Orders'!$D:$D,"United Kingdom",'MAIN DATA, Orders'!$I:$I,"Infantry")/1000000000)</f>
        <v>0</v>
      </c>
      <c r="R37" s="15">
        <f>(SUMIFS('MAIN DATA, Orders'!$S:$S,'MAIN DATA, Orders'!$Y:$Y,$A37,'MAIN DATA, Orders'!$D:$D,"United Kingdom",'MAIN DATA, Orders'!$I:$I,"Development - Infantry")/1000000000)</f>
        <v>0</v>
      </c>
      <c r="S37" s="15">
        <f>(SUMIFS('MAIN DATA, Orders'!$S:$S,'MAIN DATA, Orders'!$Y:$Y,$A37,'MAIN DATA, Orders'!$D:$D,"United Kingdom",'MAIN DATA, Orders'!$I:$I,"Tank")/1000000000)</f>
        <v>0</v>
      </c>
      <c r="T37" s="15">
        <f>(SUMIFS('MAIN DATA, Orders'!$S:$S,'MAIN DATA, Orders'!$Y:$Y,$A37,'MAIN DATA, Orders'!$D:$D,"United Kingdom",'MAIN DATA, Orders'!$I:$I,"Development - Tank")/1000000000)</f>
        <v>0</v>
      </c>
      <c r="U37" s="15">
        <f>(SUMIFS('MAIN DATA, Orders'!$S:$S,'MAIN DATA, Orders'!$Y:$Y,$A37,'MAIN DATA, Orders'!$D:$D,"United Kingdom",'MAIN DATA, Orders'!$I:$I,"Maintenance")/1000000000)</f>
        <v>0</v>
      </c>
      <c r="V37" s="15">
        <f>(SUMIFS('MAIN DATA, Orders'!$S:$S,'MAIN DATA, Orders'!$Y:$Y,$A37,'MAIN DATA, Orders'!$D:$D,"United Kingdom",'MAIN DATA, Orders'!$I:$I,"Development - Maintenance")/1000000000)</f>
        <v>0</v>
      </c>
      <c r="W37" s="15">
        <f>(SUMIFS('MAIN DATA, Orders'!$S:$S,'MAIN DATA, Orders'!$Y:$Y,$A37,'MAIN DATA, Orders'!$D:$D,"United Kingdom",'MAIN DATA, Orders'!$I:$I,"Mine")/1000000000)</f>
        <v>0</v>
      </c>
      <c r="X37" s="15">
        <f>(SUMIFS('MAIN DATA, Orders'!$S:$S,'MAIN DATA, Orders'!$Y:$Y,$A37,'MAIN DATA, Orders'!$D:$D,"United Kingdom",'MAIN DATA, Orders'!$I:$I,"Development - Mine")/1000000000)</f>
        <v>0</v>
      </c>
      <c r="Y37" s="15">
        <f>(SUMIFS('MAIN DATA, Orders'!$S:$S,'MAIN DATA, Orders'!$Y:$Y,$A37,'MAIN DATA, Orders'!$D:$D,"United Kingdom",'MAIN DATA, Orders'!$J:$J,"6")/1000000000)</f>
        <v>0</v>
      </c>
      <c r="Z37" s="15" cm="1">
        <f t="array" ref="Z37">SUM(SUMIFS('MAIN DATA, Orders'!$S:$S,'MAIN DATA, Orders'!$Y:$Y,$A37,'MAIN DATA, Orders'!$D:$D,"United Kingdom",'MAIN DATA, Orders'!$I:$I,{"Development - Missile (Land)","Development - Missile (Naval)","Development - Missile (Air)"})/1000000000)</f>
        <v>0</v>
      </c>
      <c r="AA37" s="15">
        <f>(SUMIFS('MAIN DATA, Orders'!$S:$S,'MAIN DATA, Orders'!$Y:$Y,$A37,'MAIN DATA, Orders'!$D:$D,"United Kingdom",'MAIN DATA, Orders'!$I:$I,"Modernisation")/1000000000)</f>
        <v>0</v>
      </c>
      <c r="AB37" s="15">
        <f>(SUMIFS('MAIN DATA, Orders'!$S:$S,'MAIN DATA, Orders'!$Y:$Y,$A37,'MAIN DATA, Orders'!$D:$D,"United Kingdom",'MAIN DATA, Orders'!$I:$I,"Development - Modernisation")/1000000000)</f>
        <v>1E-3</v>
      </c>
      <c r="AC37" s="15">
        <f>(SUMIFS('MAIN DATA, Orders'!$S:$S,'MAIN DATA, Orders'!$Y:$Y,$A37,'MAIN DATA, Orders'!$D:$D,"United Kingdom",'MAIN DATA, Orders'!$I:$I,"Naval")/1000000000)</f>
        <v>0</v>
      </c>
      <c r="AD37" s="15">
        <f>(SUMIFS('MAIN DATA, Orders'!$S:$S,'MAIN DATA, Orders'!$Y:$Y,$A37,'MAIN DATA, Orders'!$D:$D,"United Kingdom",'MAIN DATA, Orders'!$I:$I,"Development - Naval")/1000000000)</f>
        <v>0</v>
      </c>
      <c r="AE37" s="15">
        <f>(SUMIFS('MAIN DATA, Orders'!$S:$S,'MAIN DATA, Orders'!$Y:$Y,$A37,'MAIN DATA, Orders'!$D:$D,"United Kingdom",'MAIN DATA, Orders'!$I:$I,"Other")/1000000000)</f>
        <v>4.1000000000000002E-2</v>
      </c>
      <c r="AF37" s="15">
        <f>(SUMIFS('MAIN DATA, Orders'!$S:$S,'MAIN DATA, Orders'!$Y:$Y,$A37,'MAIN DATA, Orders'!$D:$D,"United Kingdom",'MAIN DATA, Orders'!$I:$I,"Development - Other")/1000000000)</f>
        <v>0</v>
      </c>
      <c r="AG37" s="15"/>
      <c r="AH37" s="15" cm="1">
        <f t="array" ref="AH37">SUM(SUMIFS('MAIN DATA, Orders'!$S:$S,'MAIN DATA, Orders'!$Y:$Y,$A37,'MAIN DATA, Orders'!$D:$D,"United Kingdom",'MAIN DATA, Orders'!$I:$I,{"Missile (Land)","Development - Missile (Land)"})/1000000000)</f>
        <v>0</v>
      </c>
      <c r="AI37" s="15" cm="1">
        <f t="array" ref="AI37">SUM(SUMIFS('MAIN DATA, Orders'!$S:$S,'MAIN DATA, Orders'!$D:$D,"United Kingdom",'MAIN DATA, Orders'!$I:$I,{"Missile (Air)","Development - Missile (Air)"},'MAIN DATA, Orders'!$Y:$Y,$A37)/1000000000)</f>
        <v>0</v>
      </c>
      <c r="AJ37" s="15" cm="1">
        <f t="array" ref="AJ37">SUM(SUMIFS('MAIN DATA, Orders'!$S:$S,'MAIN DATA, Orders'!$Y:$Y,$A37,'MAIN DATA, Orders'!$D:$D,"United Kingdom",'MAIN DATA, Orders'!$I:$I,{"Missile (Naval)","Development - Missile (Naval)"})/1000000000)</f>
        <v>0</v>
      </c>
    </row>
    <row r="38" spans="1:36" x14ac:dyDescent="0.35">
      <c r="A38" s="20">
        <v>202208</v>
      </c>
      <c r="B38" s="17">
        <v>44774</v>
      </c>
      <c r="C38" s="15">
        <f>(SUMIFS('MAIN DATA, Orders'!$S:$S,'MAIN DATA, Orders'!$Y:$Y,$A38,'MAIN DATA, Orders'!$D:$D,"United Kingdom",'MAIN DATA, Orders'!$I:$I,"Air defence system")/1000000000)</f>
        <v>0</v>
      </c>
      <c r="D38" s="15">
        <f>(SUMIFS('MAIN DATA, Orders'!$S:$S,'MAIN DATA, Orders'!$Y:$Y,$A38,'MAIN DATA, Orders'!$D:$D,"United Kingdom",'MAIN DATA, Orders'!$I:$I,"Development - Air defence system")/1000000000)</f>
        <v>0</v>
      </c>
      <c r="E38" s="15">
        <f>(SUMIFS('MAIN DATA, Orders'!$S:$S,'MAIN DATA, Orders'!$Y:$Y,$A38,'MAIN DATA, Orders'!$D:$D,"United Kingdom",'MAIN DATA, Orders'!$I:$I,"Aircraft")/1000000000)</f>
        <v>0</v>
      </c>
      <c r="F38" s="15">
        <f>(SUMIFS('MAIN DATA, Orders'!$S:$S,'MAIN DATA, Orders'!$Y:$Y,$A38,'MAIN DATA, Orders'!$D:$D,"United Kingdom",'MAIN DATA, Orders'!$I:$I,"Development - Aircraft")/1000000000)</f>
        <v>0</v>
      </c>
      <c r="G38" s="15">
        <f>(SUMIFS('MAIN DATA, Orders'!$S:$S,'MAIN DATA, Orders'!$Y:$Y,$A38,'MAIN DATA, Orders'!$D:$D,"United Kingdom",'MAIN DATA, Orders'!$I:$I,"Ammunition")/1000000000)</f>
        <v>0</v>
      </c>
      <c r="H38" s="15">
        <f>(SUMIFS('MAIN DATA, Orders'!$S:$S,'MAIN DATA, Orders'!$Y:$Y,$A38,'MAIN DATA, Orders'!$D:$D,"United Kingdom",'MAIN DATA, Orders'!$I:$I,"Development - Ammunition")/1000000000)</f>
        <v>0</v>
      </c>
      <c r="I38" s="15">
        <f>(SUMIFS('MAIN DATA, Orders'!$S:$S,'MAIN DATA, Orders'!$Y:$Y,$A38,'MAIN DATA, Orders'!$D:$D,"United Kingdom",'MAIN DATA, Orders'!$I:$I,"Armoured vehicle")/1000000000)</f>
        <v>0</v>
      </c>
      <c r="J38" s="15">
        <f>(SUMIFS('MAIN DATA, Orders'!$S:$S,'MAIN DATA, Orders'!$Y:$Y,$A38,'MAIN DATA, Orders'!$D:$D,"United Kingdom",'MAIN DATA, Orders'!$I:$I,"Development - Armoured vehicle")/1000000000)</f>
        <v>0</v>
      </c>
      <c r="K38" s="15">
        <f>(SUMIFS('MAIN DATA, Orders'!$S:$S,'MAIN DATA, Orders'!$Y:$Y,$A38,'MAIN DATA, Orders'!$D:$D,"United Kingdom",'MAIN DATA, Orders'!$I:$I,"Artillery")/1000000000)</f>
        <v>0</v>
      </c>
      <c r="L38" s="15">
        <f>(SUMIFS('MAIN DATA, Orders'!$S:$S,'MAIN DATA, Orders'!$Y:$Y,$A38,'MAIN DATA, Orders'!$D:$D,"United Kingdom",'MAIN DATA, Orders'!$I:$I,"Development - Artillery")/1000000000)</f>
        <v>0</v>
      </c>
      <c r="M38" s="15">
        <f>(SUMIFS('MAIN DATA, Orders'!$S:$S,'MAIN DATA, Orders'!$Y:$Y,$A38,'MAIN DATA, Orders'!$D:$D,"United Kingdom",'MAIN DATA, Orders'!$I:$I,"Drone")/1000000000)</f>
        <v>0</v>
      </c>
      <c r="N38" s="15">
        <f>(SUMIFS('MAIN DATA, Orders'!$S:$S,'MAIN DATA, Orders'!$Y:$Y,$A38,'MAIN DATA, Orders'!$D:$D,"United Kingdom",'MAIN DATA, Orders'!$I:$I,"Development - Drone")/1000000000)</f>
        <v>0</v>
      </c>
      <c r="O38" s="15">
        <f>(SUMIFS('MAIN DATA, Orders'!$S:$S,'MAIN DATA, Orders'!$Y:$Y,$A38,'MAIN DATA, Orders'!$D:$D,"United Kingdom",'MAIN DATA, Orders'!$I:$I,"Helicopter")/1000000000)</f>
        <v>0</v>
      </c>
      <c r="P38" s="15">
        <f>(SUMIFS('MAIN DATA, Orders'!$S:$S,'MAIN DATA, Orders'!$Y:$Y,$A38,'MAIN DATA, Orders'!$D:$D,"United Kingdom",'MAIN DATA, Orders'!$I:$I,"Development - Helicopter")/1000000000)</f>
        <v>0</v>
      </c>
      <c r="Q38" s="15">
        <f>(SUMIFS('MAIN DATA, Orders'!$S:$S,'MAIN DATA, Orders'!$Y:$Y,$A38,'MAIN DATA, Orders'!$D:$D,"United Kingdom",'MAIN DATA, Orders'!$I:$I,"Infantry")/1000000000)</f>
        <v>0</v>
      </c>
      <c r="R38" s="15">
        <f>(SUMIFS('MAIN DATA, Orders'!$S:$S,'MAIN DATA, Orders'!$Y:$Y,$A38,'MAIN DATA, Orders'!$D:$D,"United Kingdom",'MAIN DATA, Orders'!$I:$I,"Development - Infantry")/1000000000)</f>
        <v>0</v>
      </c>
      <c r="S38" s="15">
        <f>(SUMIFS('MAIN DATA, Orders'!$S:$S,'MAIN DATA, Orders'!$Y:$Y,$A38,'MAIN DATA, Orders'!$D:$D,"United Kingdom",'MAIN DATA, Orders'!$I:$I,"Tank")/1000000000)</f>
        <v>0</v>
      </c>
      <c r="T38" s="15">
        <f>(SUMIFS('MAIN DATA, Orders'!$S:$S,'MAIN DATA, Orders'!$Y:$Y,$A38,'MAIN DATA, Orders'!$D:$D,"United Kingdom",'MAIN DATA, Orders'!$I:$I,"Development - Tank")/1000000000)</f>
        <v>0</v>
      </c>
      <c r="U38" s="15">
        <f>(SUMIFS('MAIN DATA, Orders'!$S:$S,'MAIN DATA, Orders'!$Y:$Y,$A38,'MAIN DATA, Orders'!$D:$D,"United Kingdom",'MAIN DATA, Orders'!$I:$I,"Maintenance")/1000000000)</f>
        <v>0</v>
      </c>
      <c r="V38" s="15">
        <f>(SUMIFS('MAIN DATA, Orders'!$S:$S,'MAIN DATA, Orders'!$Y:$Y,$A38,'MAIN DATA, Orders'!$D:$D,"United Kingdom",'MAIN DATA, Orders'!$I:$I,"Development - Maintenance")/1000000000)</f>
        <v>0</v>
      </c>
      <c r="W38" s="15">
        <f>(SUMIFS('MAIN DATA, Orders'!$S:$S,'MAIN DATA, Orders'!$Y:$Y,$A38,'MAIN DATA, Orders'!$D:$D,"United Kingdom",'MAIN DATA, Orders'!$I:$I,"Mine")/1000000000)</f>
        <v>0</v>
      </c>
      <c r="X38" s="15">
        <f>(SUMIFS('MAIN DATA, Orders'!$S:$S,'MAIN DATA, Orders'!$Y:$Y,$A38,'MAIN DATA, Orders'!$D:$D,"United Kingdom",'MAIN DATA, Orders'!$I:$I,"Development - Mine")/1000000000)</f>
        <v>0</v>
      </c>
      <c r="Y38" s="15">
        <f>(SUMIFS('MAIN DATA, Orders'!$S:$S,'MAIN DATA, Orders'!$Y:$Y,$A38,'MAIN DATA, Orders'!$D:$D,"United Kingdom",'MAIN DATA, Orders'!$J:$J,"6")/1000000000)</f>
        <v>0</v>
      </c>
      <c r="Z38" s="15" cm="1">
        <f t="array" ref="Z38">SUM(SUMIFS('MAIN DATA, Orders'!$S:$S,'MAIN DATA, Orders'!$Y:$Y,$A38,'MAIN DATA, Orders'!$D:$D,"United Kingdom",'MAIN DATA, Orders'!$I:$I,{"Development - Missile (Land)","Development - Missile (Naval)","Development - Missile (Air)"})/1000000000)</f>
        <v>0</v>
      </c>
      <c r="AA38" s="15">
        <f>(SUMIFS('MAIN DATA, Orders'!$S:$S,'MAIN DATA, Orders'!$Y:$Y,$A38,'MAIN DATA, Orders'!$D:$D,"United Kingdom",'MAIN DATA, Orders'!$I:$I,"Modernisation")/1000000000)</f>
        <v>0</v>
      </c>
      <c r="AB38" s="15">
        <f>(SUMIFS('MAIN DATA, Orders'!$S:$S,'MAIN DATA, Orders'!$Y:$Y,$A38,'MAIN DATA, Orders'!$D:$D,"United Kingdom",'MAIN DATA, Orders'!$I:$I,"Development - Modernisation")/1000000000)</f>
        <v>0</v>
      </c>
      <c r="AC38" s="15">
        <f>(SUMIFS('MAIN DATA, Orders'!$S:$S,'MAIN DATA, Orders'!$Y:$Y,$A38,'MAIN DATA, Orders'!$D:$D,"United Kingdom",'MAIN DATA, Orders'!$I:$I,"Naval")/1000000000)</f>
        <v>0</v>
      </c>
      <c r="AD38" s="15">
        <f>(SUMIFS('MAIN DATA, Orders'!$S:$S,'MAIN DATA, Orders'!$Y:$Y,$A38,'MAIN DATA, Orders'!$D:$D,"United Kingdom",'MAIN DATA, Orders'!$I:$I,"Development - Naval")/1000000000)</f>
        <v>0</v>
      </c>
      <c r="AE38" s="15">
        <f>(SUMIFS('MAIN DATA, Orders'!$S:$S,'MAIN DATA, Orders'!$Y:$Y,$A38,'MAIN DATA, Orders'!$D:$D,"United Kingdom",'MAIN DATA, Orders'!$I:$I,"Other")/1000000000)</f>
        <v>0</v>
      </c>
      <c r="AF38" s="15">
        <f>(SUMIFS('MAIN DATA, Orders'!$S:$S,'MAIN DATA, Orders'!$Y:$Y,$A38,'MAIN DATA, Orders'!$D:$D,"United Kingdom",'MAIN DATA, Orders'!$I:$I,"Development - Other")/1000000000)</f>
        <v>0</v>
      </c>
      <c r="AG38" s="15"/>
      <c r="AH38" s="15" cm="1">
        <f t="array" ref="AH38">SUM(SUMIFS('MAIN DATA, Orders'!$S:$S,'MAIN DATA, Orders'!$Y:$Y,$A38,'MAIN DATA, Orders'!$D:$D,"United Kingdom",'MAIN DATA, Orders'!$I:$I,{"Missile (Land)","Development - Missile (Land)"})/1000000000)</f>
        <v>0</v>
      </c>
      <c r="AI38" s="15" cm="1">
        <f t="array" ref="AI38">SUM(SUMIFS('MAIN DATA, Orders'!$S:$S,'MAIN DATA, Orders'!$D:$D,"United Kingdom",'MAIN DATA, Orders'!$I:$I,{"Missile (Air)","Development - Missile (Air)"},'MAIN DATA, Orders'!$Y:$Y,$A38)/1000000000)</f>
        <v>0</v>
      </c>
      <c r="AJ38" s="15" cm="1">
        <f t="array" ref="AJ38">SUM(SUMIFS('MAIN DATA, Orders'!$S:$S,'MAIN DATA, Orders'!$Y:$Y,$A38,'MAIN DATA, Orders'!$D:$D,"United Kingdom",'MAIN DATA, Orders'!$I:$I,{"Missile (Naval)","Development - Missile (Naval)"})/1000000000)</f>
        <v>0</v>
      </c>
    </row>
    <row r="39" spans="1:36" x14ac:dyDescent="0.35">
      <c r="A39" s="20">
        <v>202209</v>
      </c>
      <c r="B39" s="17">
        <v>44805</v>
      </c>
      <c r="C39" s="15">
        <f>(SUMIFS('MAIN DATA, Orders'!$S:$S,'MAIN DATA, Orders'!$Y:$Y,$A39,'MAIN DATA, Orders'!$D:$D,"United Kingdom",'MAIN DATA, Orders'!$I:$I,"Air defence system")/1000000000)</f>
        <v>0</v>
      </c>
      <c r="D39" s="15">
        <f>(SUMIFS('MAIN DATA, Orders'!$S:$S,'MAIN DATA, Orders'!$Y:$Y,$A39,'MAIN DATA, Orders'!$D:$D,"United Kingdom",'MAIN DATA, Orders'!$I:$I,"Development - Air defence system")/1000000000)</f>
        <v>0</v>
      </c>
      <c r="E39" s="15">
        <f>(SUMIFS('MAIN DATA, Orders'!$S:$S,'MAIN DATA, Orders'!$Y:$Y,$A39,'MAIN DATA, Orders'!$D:$D,"United Kingdom",'MAIN DATA, Orders'!$I:$I,"Aircraft")/1000000000)</f>
        <v>0</v>
      </c>
      <c r="F39" s="15">
        <f>(SUMIFS('MAIN DATA, Orders'!$S:$S,'MAIN DATA, Orders'!$Y:$Y,$A39,'MAIN DATA, Orders'!$D:$D,"United Kingdom",'MAIN DATA, Orders'!$I:$I,"Development - Aircraft")/1000000000)</f>
        <v>0</v>
      </c>
      <c r="G39" s="15">
        <f>(SUMIFS('MAIN DATA, Orders'!$S:$S,'MAIN DATA, Orders'!$Y:$Y,$A39,'MAIN DATA, Orders'!$D:$D,"United Kingdom",'MAIN DATA, Orders'!$I:$I,"Ammunition")/1000000000)</f>
        <v>0</v>
      </c>
      <c r="H39" s="15">
        <f>(SUMIFS('MAIN DATA, Orders'!$S:$S,'MAIN DATA, Orders'!$Y:$Y,$A39,'MAIN DATA, Orders'!$D:$D,"United Kingdom",'MAIN DATA, Orders'!$I:$I,"Development - Ammunition")/1000000000)</f>
        <v>0</v>
      </c>
      <c r="I39" s="15">
        <f>(SUMIFS('MAIN DATA, Orders'!$S:$S,'MAIN DATA, Orders'!$Y:$Y,$A39,'MAIN DATA, Orders'!$D:$D,"United Kingdom",'MAIN DATA, Orders'!$I:$I,"Armoured vehicle")/1000000000)</f>
        <v>0</v>
      </c>
      <c r="J39" s="15">
        <f>(SUMIFS('MAIN DATA, Orders'!$S:$S,'MAIN DATA, Orders'!$Y:$Y,$A39,'MAIN DATA, Orders'!$D:$D,"United Kingdom",'MAIN DATA, Orders'!$I:$I,"Development - Armoured vehicle")/1000000000)</f>
        <v>1.4999999999999999E-2</v>
      </c>
      <c r="K39" s="15">
        <f>(SUMIFS('MAIN DATA, Orders'!$S:$S,'MAIN DATA, Orders'!$Y:$Y,$A39,'MAIN DATA, Orders'!$D:$D,"United Kingdom",'MAIN DATA, Orders'!$I:$I,"Artillery")/1000000000)</f>
        <v>0</v>
      </c>
      <c r="L39" s="15">
        <f>(SUMIFS('MAIN DATA, Orders'!$S:$S,'MAIN DATA, Orders'!$Y:$Y,$A39,'MAIN DATA, Orders'!$D:$D,"United Kingdom",'MAIN DATA, Orders'!$I:$I,"Development - Artillery")/1000000000)</f>
        <v>0</v>
      </c>
      <c r="M39" s="15">
        <f>(SUMIFS('MAIN DATA, Orders'!$S:$S,'MAIN DATA, Orders'!$Y:$Y,$A39,'MAIN DATA, Orders'!$D:$D,"United Kingdom",'MAIN DATA, Orders'!$I:$I,"Drone")/1000000000)</f>
        <v>0</v>
      </c>
      <c r="N39" s="15">
        <f>(SUMIFS('MAIN DATA, Orders'!$S:$S,'MAIN DATA, Orders'!$Y:$Y,$A39,'MAIN DATA, Orders'!$D:$D,"United Kingdom",'MAIN DATA, Orders'!$I:$I,"Development - Drone")/1000000000)</f>
        <v>0</v>
      </c>
      <c r="O39" s="15">
        <f>(SUMIFS('MAIN DATA, Orders'!$S:$S,'MAIN DATA, Orders'!$Y:$Y,$A39,'MAIN DATA, Orders'!$D:$D,"United Kingdom",'MAIN DATA, Orders'!$I:$I,"Helicopter")/1000000000)</f>
        <v>0</v>
      </c>
      <c r="P39" s="15">
        <f>(SUMIFS('MAIN DATA, Orders'!$S:$S,'MAIN DATA, Orders'!$Y:$Y,$A39,'MAIN DATA, Orders'!$D:$D,"United Kingdom",'MAIN DATA, Orders'!$I:$I,"Development - Helicopter")/1000000000)</f>
        <v>0</v>
      </c>
      <c r="Q39" s="15">
        <f>(SUMIFS('MAIN DATA, Orders'!$S:$S,'MAIN DATA, Orders'!$Y:$Y,$A39,'MAIN DATA, Orders'!$D:$D,"United Kingdom",'MAIN DATA, Orders'!$I:$I,"Infantry")/1000000000)</f>
        <v>0</v>
      </c>
      <c r="R39" s="15">
        <f>(SUMIFS('MAIN DATA, Orders'!$S:$S,'MAIN DATA, Orders'!$Y:$Y,$A39,'MAIN DATA, Orders'!$D:$D,"United Kingdom",'MAIN DATA, Orders'!$I:$I,"Development - Infantry")/1000000000)</f>
        <v>0</v>
      </c>
      <c r="S39" s="15">
        <f>(SUMIFS('MAIN DATA, Orders'!$S:$S,'MAIN DATA, Orders'!$Y:$Y,$A39,'MAIN DATA, Orders'!$D:$D,"United Kingdom",'MAIN DATA, Orders'!$I:$I,"Tank")/1000000000)</f>
        <v>0</v>
      </c>
      <c r="T39" s="15">
        <f>(SUMIFS('MAIN DATA, Orders'!$S:$S,'MAIN DATA, Orders'!$Y:$Y,$A39,'MAIN DATA, Orders'!$D:$D,"United Kingdom",'MAIN DATA, Orders'!$I:$I,"Development - Tank")/1000000000)</f>
        <v>0</v>
      </c>
      <c r="U39" s="15">
        <f>(SUMIFS('MAIN DATA, Orders'!$S:$S,'MAIN DATA, Orders'!$Y:$Y,$A39,'MAIN DATA, Orders'!$D:$D,"United Kingdom",'MAIN DATA, Orders'!$I:$I,"Maintenance")/1000000000)</f>
        <v>0</v>
      </c>
      <c r="V39" s="15">
        <f>(SUMIFS('MAIN DATA, Orders'!$S:$S,'MAIN DATA, Orders'!$Y:$Y,$A39,'MAIN DATA, Orders'!$D:$D,"United Kingdom",'MAIN DATA, Orders'!$I:$I,"Development - Maintenance")/1000000000)</f>
        <v>0</v>
      </c>
      <c r="W39" s="15">
        <f>(SUMIFS('MAIN DATA, Orders'!$S:$S,'MAIN DATA, Orders'!$Y:$Y,$A39,'MAIN DATA, Orders'!$D:$D,"United Kingdom",'MAIN DATA, Orders'!$I:$I,"Mine")/1000000000)</f>
        <v>0</v>
      </c>
      <c r="X39" s="15">
        <f>(SUMIFS('MAIN DATA, Orders'!$S:$S,'MAIN DATA, Orders'!$Y:$Y,$A39,'MAIN DATA, Orders'!$D:$D,"United Kingdom",'MAIN DATA, Orders'!$I:$I,"Development - Mine")/1000000000)</f>
        <v>0</v>
      </c>
      <c r="Y39" s="15">
        <f>(SUMIFS('MAIN DATA, Orders'!$S:$S,'MAIN DATA, Orders'!$Y:$Y,$A39,'MAIN DATA, Orders'!$D:$D,"United Kingdom",'MAIN DATA, Orders'!$J:$J,"6")/1000000000)</f>
        <v>0</v>
      </c>
      <c r="Z39" s="15" cm="1">
        <f t="array" ref="Z39">SUM(SUMIFS('MAIN DATA, Orders'!$S:$S,'MAIN DATA, Orders'!$Y:$Y,$A39,'MAIN DATA, Orders'!$D:$D,"United Kingdom",'MAIN DATA, Orders'!$I:$I,{"Development - Missile (Land)","Development - Missile (Naval)","Development - Missile (Air)"})/1000000000)</f>
        <v>0</v>
      </c>
      <c r="AA39" s="15">
        <f>(SUMIFS('MAIN DATA, Orders'!$S:$S,'MAIN DATA, Orders'!$Y:$Y,$A39,'MAIN DATA, Orders'!$D:$D,"United Kingdom",'MAIN DATA, Orders'!$I:$I,"Modernisation")/1000000000)</f>
        <v>0</v>
      </c>
      <c r="AB39" s="15">
        <f>(SUMIFS('MAIN DATA, Orders'!$S:$S,'MAIN DATA, Orders'!$Y:$Y,$A39,'MAIN DATA, Orders'!$D:$D,"United Kingdom",'MAIN DATA, Orders'!$I:$I,"Development - Modernisation")/1000000000)</f>
        <v>0</v>
      </c>
      <c r="AC39" s="15">
        <f>(SUMIFS('MAIN DATA, Orders'!$S:$S,'MAIN DATA, Orders'!$Y:$Y,$A39,'MAIN DATA, Orders'!$D:$D,"United Kingdom",'MAIN DATA, Orders'!$I:$I,"Naval")/1000000000)</f>
        <v>0</v>
      </c>
      <c r="AD39" s="15">
        <f>(SUMIFS('MAIN DATA, Orders'!$S:$S,'MAIN DATA, Orders'!$Y:$Y,$A39,'MAIN DATA, Orders'!$D:$D,"United Kingdom",'MAIN DATA, Orders'!$I:$I,"Development - Naval")/1000000000)</f>
        <v>0</v>
      </c>
      <c r="AE39" s="15">
        <f>(SUMIFS('MAIN DATA, Orders'!$S:$S,'MAIN DATA, Orders'!$Y:$Y,$A39,'MAIN DATA, Orders'!$D:$D,"United Kingdom",'MAIN DATA, Orders'!$I:$I,"Other")/1000000000)</f>
        <v>0</v>
      </c>
      <c r="AF39" s="15">
        <f>(SUMIFS('MAIN DATA, Orders'!$S:$S,'MAIN DATA, Orders'!$Y:$Y,$A39,'MAIN DATA, Orders'!$D:$D,"United Kingdom",'MAIN DATA, Orders'!$I:$I,"Development - Other")/1000000000)</f>
        <v>0</v>
      </c>
      <c r="AG39" s="15"/>
      <c r="AH39" s="15" cm="1">
        <f t="array" ref="AH39">SUM(SUMIFS('MAIN DATA, Orders'!$S:$S,'MAIN DATA, Orders'!$Y:$Y,$A39,'MAIN DATA, Orders'!$D:$D,"United Kingdom",'MAIN DATA, Orders'!$I:$I,{"Missile (Land)","Development - Missile (Land)"})/1000000000)</f>
        <v>0</v>
      </c>
      <c r="AI39" s="15" cm="1">
        <f t="array" ref="AI39">SUM(SUMIFS('MAIN DATA, Orders'!$S:$S,'MAIN DATA, Orders'!$D:$D,"United Kingdom",'MAIN DATA, Orders'!$I:$I,{"Missile (Air)","Development - Missile (Air)"},'MAIN DATA, Orders'!$Y:$Y,$A39)/1000000000)</f>
        <v>0</v>
      </c>
      <c r="AJ39" s="15" cm="1">
        <f t="array" ref="AJ39">SUM(SUMIFS('MAIN DATA, Orders'!$S:$S,'MAIN DATA, Orders'!$Y:$Y,$A39,'MAIN DATA, Orders'!$D:$D,"United Kingdom",'MAIN DATA, Orders'!$I:$I,{"Missile (Naval)","Development - Missile (Naval)"})/1000000000)</f>
        <v>0</v>
      </c>
    </row>
    <row r="40" spans="1:36" x14ac:dyDescent="0.35">
      <c r="A40" s="20">
        <v>202210</v>
      </c>
      <c r="B40" s="17">
        <v>44835</v>
      </c>
      <c r="C40" s="15">
        <f>(SUMIFS('MAIN DATA, Orders'!$S:$S,'MAIN DATA, Orders'!$Y:$Y,$A40,'MAIN DATA, Orders'!$D:$D,"United Kingdom",'MAIN DATA, Orders'!$I:$I,"Air defence system")/1000000000)</f>
        <v>0</v>
      </c>
      <c r="D40" s="15">
        <f>(SUMIFS('MAIN DATA, Orders'!$S:$S,'MAIN DATA, Orders'!$Y:$Y,$A40,'MAIN DATA, Orders'!$D:$D,"United Kingdom",'MAIN DATA, Orders'!$I:$I,"Development - Air defence system")/1000000000)</f>
        <v>0</v>
      </c>
      <c r="E40" s="15">
        <f>(SUMIFS('MAIN DATA, Orders'!$S:$S,'MAIN DATA, Orders'!$Y:$Y,$A40,'MAIN DATA, Orders'!$D:$D,"United Kingdom",'MAIN DATA, Orders'!$I:$I,"Aircraft")/1000000000)</f>
        <v>0</v>
      </c>
      <c r="F40" s="15">
        <f>(SUMIFS('MAIN DATA, Orders'!$S:$S,'MAIN DATA, Orders'!$Y:$Y,$A40,'MAIN DATA, Orders'!$D:$D,"United Kingdom",'MAIN DATA, Orders'!$I:$I,"Development - Aircraft")/1000000000)</f>
        <v>0</v>
      </c>
      <c r="G40" s="15">
        <f>(SUMIFS('MAIN DATA, Orders'!$S:$S,'MAIN DATA, Orders'!$Y:$Y,$A40,'MAIN DATA, Orders'!$D:$D,"United Kingdom",'MAIN DATA, Orders'!$I:$I,"Ammunition")/1000000000)</f>
        <v>0</v>
      </c>
      <c r="H40" s="15">
        <f>(SUMIFS('MAIN DATA, Orders'!$S:$S,'MAIN DATA, Orders'!$Y:$Y,$A40,'MAIN DATA, Orders'!$D:$D,"United Kingdom",'MAIN DATA, Orders'!$I:$I,"Development - Ammunition")/1000000000)</f>
        <v>0</v>
      </c>
      <c r="I40" s="15">
        <f>(SUMIFS('MAIN DATA, Orders'!$S:$S,'MAIN DATA, Orders'!$Y:$Y,$A40,'MAIN DATA, Orders'!$D:$D,"United Kingdom",'MAIN DATA, Orders'!$I:$I,"Armoured vehicle")/1000000000)</f>
        <v>0</v>
      </c>
      <c r="J40" s="15">
        <f>(SUMIFS('MAIN DATA, Orders'!$S:$S,'MAIN DATA, Orders'!$Y:$Y,$A40,'MAIN DATA, Orders'!$D:$D,"United Kingdom",'MAIN DATA, Orders'!$I:$I,"Development - Armoured vehicle")/1000000000)</f>
        <v>0</v>
      </c>
      <c r="K40" s="15">
        <f>(SUMIFS('MAIN DATA, Orders'!$S:$S,'MAIN DATA, Orders'!$Y:$Y,$A40,'MAIN DATA, Orders'!$D:$D,"United Kingdom",'MAIN DATA, Orders'!$I:$I,"Artillery")/1000000000)</f>
        <v>0</v>
      </c>
      <c r="L40" s="15">
        <f>(SUMIFS('MAIN DATA, Orders'!$S:$S,'MAIN DATA, Orders'!$Y:$Y,$A40,'MAIN DATA, Orders'!$D:$D,"United Kingdom",'MAIN DATA, Orders'!$I:$I,"Development - Artillery")/1000000000)</f>
        <v>0</v>
      </c>
      <c r="M40" s="15">
        <f>(SUMIFS('MAIN DATA, Orders'!$S:$S,'MAIN DATA, Orders'!$Y:$Y,$A40,'MAIN DATA, Orders'!$D:$D,"United Kingdom",'MAIN DATA, Orders'!$I:$I,"Drone")/1000000000)</f>
        <v>0</v>
      </c>
      <c r="N40" s="15">
        <f>(SUMIFS('MAIN DATA, Orders'!$S:$S,'MAIN DATA, Orders'!$Y:$Y,$A40,'MAIN DATA, Orders'!$D:$D,"United Kingdom",'MAIN DATA, Orders'!$I:$I,"Development - Drone")/1000000000)</f>
        <v>0</v>
      </c>
      <c r="O40" s="15">
        <f>(SUMIFS('MAIN DATA, Orders'!$S:$S,'MAIN DATA, Orders'!$Y:$Y,$A40,'MAIN DATA, Orders'!$D:$D,"United Kingdom",'MAIN DATA, Orders'!$I:$I,"Helicopter")/1000000000)</f>
        <v>0</v>
      </c>
      <c r="P40" s="15">
        <f>(SUMIFS('MAIN DATA, Orders'!$S:$S,'MAIN DATA, Orders'!$Y:$Y,$A40,'MAIN DATA, Orders'!$D:$D,"United Kingdom",'MAIN DATA, Orders'!$I:$I,"Development - Helicopter")/1000000000)</f>
        <v>0</v>
      </c>
      <c r="Q40" s="15">
        <f>(SUMIFS('MAIN DATA, Orders'!$S:$S,'MAIN DATA, Orders'!$Y:$Y,$A40,'MAIN DATA, Orders'!$D:$D,"United Kingdom",'MAIN DATA, Orders'!$I:$I,"Infantry")/1000000000)</f>
        <v>0</v>
      </c>
      <c r="R40" s="15">
        <f>(SUMIFS('MAIN DATA, Orders'!$S:$S,'MAIN DATA, Orders'!$Y:$Y,$A40,'MAIN DATA, Orders'!$D:$D,"United Kingdom",'MAIN DATA, Orders'!$I:$I,"Development - Infantry")/1000000000)</f>
        <v>0</v>
      </c>
      <c r="S40" s="15">
        <f>(SUMIFS('MAIN DATA, Orders'!$S:$S,'MAIN DATA, Orders'!$Y:$Y,$A40,'MAIN DATA, Orders'!$D:$D,"United Kingdom",'MAIN DATA, Orders'!$I:$I,"Tank")/1000000000)</f>
        <v>0</v>
      </c>
      <c r="T40" s="15">
        <f>(SUMIFS('MAIN DATA, Orders'!$S:$S,'MAIN DATA, Orders'!$Y:$Y,$A40,'MAIN DATA, Orders'!$D:$D,"United Kingdom",'MAIN DATA, Orders'!$I:$I,"Development - Tank")/1000000000)</f>
        <v>0</v>
      </c>
      <c r="U40" s="15">
        <f>(SUMIFS('MAIN DATA, Orders'!$S:$S,'MAIN DATA, Orders'!$Y:$Y,$A40,'MAIN DATA, Orders'!$D:$D,"United Kingdom",'MAIN DATA, Orders'!$I:$I,"Maintenance")/1000000000)</f>
        <v>0</v>
      </c>
      <c r="V40" s="15">
        <f>(SUMIFS('MAIN DATA, Orders'!$S:$S,'MAIN DATA, Orders'!$Y:$Y,$A40,'MAIN DATA, Orders'!$D:$D,"United Kingdom",'MAIN DATA, Orders'!$I:$I,"Development - Maintenance")/1000000000)</f>
        <v>0</v>
      </c>
      <c r="W40" s="15">
        <f>(SUMIFS('MAIN DATA, Orders'!$S:$S,'MAIN DATA, Orders'!$Y:$Y,$A40,'MAIN DATA, Orders'!$D:$D,"United Kingdom",'MAIN DATA, Orders'!$I:$I,"Mine")/1000000000)</f>
        <v>0</v>
      </c>
      <c r="X40" s="15">
        <f>(SUMIFS('MAIN DATA, Orders'!$S:$S,'MAIN DATA, Orders'!$Y:$Y,$A40,'MAIN DATA, Orders'!$D:$D,"United Kingdom",'MAIN DATA, Orders'!$I:$I,"Development - Mine")/1000000000)</f>
        <v>0</v>
      </c>
      <c r="Y40" s="15">
        <f>(SUMIFS('MAIN DATA, Orders'!$S:$S,'MAIN DATA, Orders'!$Y:$Y,$A40,'MAIN DATA, Orders'!$D:$D,"United Kingdom",'MAIN DATA, Orders'!$J:$J,"6")/1000000000)</f>
        <v>0</v>
      </c>
      <c r="Z40" s="15" cm="1">
        <f t="array" ref="Z40">SUM(SUMIFS('MAIN DATA, Orders'!$S:$S,'MAIN DATA, Orders'!$Y:$Y,$A40,'MAIN DATA, Orders'!$D:$D,"United Kingdom",'MAIN DATA, Orders'!$I:$I,{"Development - Missile (Land)","Development - Missile (Naval)","Development - Missile (Air)"})/1000000000)</f>
        <v>0</v>
      </c>
      <c r="AA40" s="15">
        <f>(SUMIFS('MAIN DATA, Orders'!$S:$S,'MAIN DATA, Orders'!$Y:$Y,$A40,'MAIN DATA, Orders'!$D:$D,"United Kingdom",'MAIN DATA, Orders'!$I:$I,"Modernisation")/1000000000)</f>
        <v>0</v>
      </c>
      <c r="AB40" s="15">
        <f>(SUMIFS('MAIN DATA, Orders'!$S:$S,'MAIN DATA, Orders'!$Y:$Y,$A40,'MAIN DATA, Orders'!$D:$D,"United Kingdom",'MAIN DATA, Orders'!$I:$I,"Development - Modernisation")/1000000000)</f>
        <v>0</v>
      </c>
      <c r="AC40" s="15">
        <f>(SUMIFS('MAIN DATA, Orders'!$S:$S,'MAIN DATA, Orders'!$Y:$Y,$A40,'MAIN DATA, Orders'!$D:$D,"United Kingdom",'MAIN DATA, Orders'!$I:$I,"Naval")/1000000000)</f>
        <v>3.4000000000000002E-2</v>
      </c>
      <c r="AD40" s="15">
        <f>(SUMIFS('MAIN DATA, Orders'!$S:$S,'MAIN DATA, Orders'!$Y:$Y,$A40,'MAIN DATA, Orders'!$D:$D,"United Kingdom",'MAIN DATA, Orders'!$I:$I,"Development - Naval")/1000000000)</f>
        <v>0</v>
      </c>
      <c r="AE40" s="15">
        <f>(SUMIFS('MAIN DATA, Orders'!$S:$S,'MAIN DATA, Orders'!$Y:$Y,$A40,'MAIN DATA, Orders'!$D:$D,"United Kingdom",'MAIN DATA, Orders'!$I:$I,"Other")/1000000000)</f>
        <v>4.4999999999999998E-2</v>
      </c>
      <c r="AF40" s="15">
        <f>(SUMIFS('MAIN DATA, Orders'!$S:$S,'MAIN DATA, Orders'!$Y:$Y,$A40,'MAIN DATA, Orders'!$D:$D,"United Kingdom",'MAIN DATA, Orders'!$I:$I,"Development - Other")/1000000000)</f>
        <v>0</v>
      </c>
      <c r="AG40" s="15"/>
      <c r="AH40" s="15" cm="1">
        <f t="array" ref="AH40">SUM(SUMIFS('MAIN DATA, Orders'!$S:$S,'MAIN DATA, Orders'!$Y:$Y,$A40,'MAIN DATA, Orders'!$D:$D,"United Kingdom",'MAIN DATA, Orders'!$I:$I,{"Missile (Land)","Development - Missile (Land)"})/1000000000)</f>
        <v>0</v>
      </c>
      <c r="AI40" s="15" cm="1">
        <f t="array" ref="AI40">SUM(SUMIFS('MAIN DATA, Orders'!$S:$S,'MAIN DATA, Orders'!$D:$D,"United Kingdom",'MAIN DATA, Orders'!$I:$I,{"Missile (Air)","Development - Missile (Air)"},'MAIN DATA, Orders'!$Y:$Y,$A40)/1000000000)</f>
        <v>0</v>
      </c>
      <c r="AJ40" s="15" cm="1">
        <f t="array" ref="AJ40">SUM(SUMIFS('MAIN DATA, Orders'!$S:$S,'MAIN DATA, Orders'!$Y:$Y,$A40,'MAIN DATA, Orders'!$D:$D,"United Kingdom",'MAIN DATA, Orders'!$I:$I,{"Missile (Naval)","Development - Missile (Naval)"})/1000000000)</f>
        <v>0</v>
      </c>
    </row>
    <row r="41" spans="1:36" x14ac:dyDescent="0.35">
      <c r="A41" s="20">
        <v>202211</v>
      </c>
      <c r="B41" s="17">
        <v>44866</v>
      </c>
      <c r="C41" s="15">
        <f>(SUMIFS('MAIN DATA, Orders'!$S:$S,'MAIN DATA, Orders'!$Y:$Y,$A41,'MAIN DATA, Orders'!$D:$D,"United Kingdom",'MAIN DATA, Orders'!$I:$I,"Air defence system")/1000000000)</f>
        <v>0</v>
      </c>
      <c r="D41" s="15">
        <f>(SUMIFS('MAIN DATA, Orders'!$S:$S,'MAIN DATA, Orders'!$Y:$Y,$A41,'MAIN DATA, Orders'!$D:$D,"United Kingdom",'MAIN DATA, Orders'!$I:$I,"Development - Air defence system")/1000000000)</f>
        <v>0</v>
      </c>
      <c r="E41" s="15">
        <f>(SUMIFS('MAIN DATA, Orders'!$S:$S,'MAIN DATA, Orders'!$Y:$Y,$A41,'MAIN DATA, Orders'!$D:$D,"United Kingdom",'MAIN DATA, Orders'!$I:$I,"Aircraft")/1000000000)</f>
        <v>0</v>
      </c>
      <c r="F41" s="15">
        <f>(SUMIFS('MAIN DATA, Orders'!$S:$S,'MAIN DATA, Orders'!$Y:$Y,$A41,'MAIN DATA, Orders'!$D:$D,"United Kingdom",'MAIN DATA, Orders'!$I:$I,"Development - Aircraft")/1000000000)</f>
        <v>3.1E-2</v>
      </c>
      <c r="G41" s="15">
        <f>(SUMIFS('MAIN DATA, Orders'!$S:$S,'MAIN DATA, Orders'!$Y:$Y,$A41,'MAIN DATA, Orders'!$D:$D,"United Kingdom",'MAIN DATA, Orders'!$I:$I,"Ammunition")/1000000000)</f>
        <v>0</v>
      </c>
      <c r="H41" s="15">
        <f>(SUMIFS('MAIN DATA, Orders'!$S:$S,'MAIN DATA, Orders'!$Y:$Y,$A41,'MAIN DATA, Orders'!$D:$D,"United Kingdom",'MAIN DATA, Orders'!$I:$I,"Development - Ammunition")/1000000000)</f>
        <v>0</v>
      </c>
      <c r="I41" s="15">
        <f>(SUMIFS('MAIN DATA, Orders'!$S:$S,'MAIN DATA, Orders'!$Y:$Y,$A41,'MAIN DATA, Orders'!$D:$D,"United Kingdom",'MAIN DATA, Orders'!$I:$I,"Armoured vehicle")/1000000000)</f>
        <v>0</v>
      </c>
      <c r="J41" s="15">
        <f>(SUMIFS('MAIN DATA, Orders'!$S:$S,'MAIN DATA, Orders'!$Y:$Y,$A41,'MAIN DATA, Orders'!$D:$D,"United Kingdom",'MAIN DATA, Orders'!$I:$I,"Development - Armoured vehicle")/1000000000)</f>
        <v>0</v>
      </c>
      <c r="K41" s="15">
        <f>(SUMIFS('MAIN DATA, Orders'!$S:$S,'MAIN DATA, Orders'!$Y:$Y,$A41,'MAIN DATA, Orders'!$D:$D,"United Kingdom",'MAIN DATA, Orders'!$I:$I,"Artillery")/1000000000)</f>
        <v>0</v>
      </c>
      <c r="L41" s="15">
        <f>(SUMIFS('MAIN DATA, Orders'!$S:$S,'MAIN DATA, Orders'!$Y:$Y,$A41,'MAIN DATA, Orders'!$D:$D,"United Kingdom",'MAIN DATA, Orders'!$I:$I,"Development - Artillery")/1000000000)</f>
        <v>0</v>
      </c>
      <c r="M41" s="15">
        <f>(SUMIFS('MAIN DATA, Orders'!$S:$S,'MAIN DATA, Orders'!$Y:$Y,$A41,'MAIN DATA, Orders'!$D:$D,"United Kingdom",'MAIN DATA, Orders'!$I:$I,"Drone")/1000000000)</f>
        <v>0</v>
      </c>
      <c r="N41" s="15">
        <f>(SUMIFS('MAIN DATA, Orders'!$S:$S,'MAIN DATA, Orders'!$Y:$Y,$A41,'MAIN DATA, Orders'!$D:$D,"United Kingdom",'MAIN DATA, Orders'!$I:$I,"Development - Drone")/1000000000)</f>
        <v>0</v>
      </c>
      <c r="O41" s="15">
        <f>(SUMIFS('MAIN DATA, Orders'!$S:$S,'MAIN DATA, Orders'!$Y:$Y,$A41,'MAIN DATA, Orders'!$D:$D,"United Kingdom",'MAIN DATA, Orders'!$I:$I,"Helicopter")/1000000000)</f>
        <v>0</v>
      </c>
      <c r="P41" s="15">
        <f>(SUMIFS('MAIN DATA, Orders'!$S:$S,'MAIN DATA, Orders'!$Y:$Y,$A41,'MAIN DATA, Orders'!$D:$D,"United Kingdom",'MAIN DATA, Orders'!$I:$I,"Development - Helicopter")/1000000000)</f>
        <v>0</v>
      </c>
      <c r="Q41" s="15">
        <f>(SUMIFS('MAIN DATA, Orders'!$S:$S,'MAIN DATA, Orders'!$Y:$Y,$A41,'MAIN DATA, Orders'!$D:$D,"United Kingdom",'MAIN DATA, Orders'!$I:$I,"Infantry")/1000000000)</f>
        <v>0</v>
      </c>
      <c r="R41" s="15">
        <f>(SUMIFS('MAIN DATA, Orders'!$S:$S,'MAIN DATA, Orders'!$Y:$Y,$A41,'MAIN DATA, Orders'!$D:$D,"United Kingdom",'MAIN DATA, Orders'!$I:$I,"Development - Infantry")/1000000000)</f>
        <v>0</v>
      </c>
      <c r="S41" s="15">
        <f>(SUMIFS('MAIN DATA, Orders'!$S:$S,'MAIN DATA, Orders'!$Y:$Y,$A41,'MAIN DATA, Orders'!$D:$D,"United Kingdom",'MAIN DATA, Orders'!$I:$I,"Tank")/1000000000)</f>
        <v>0</v>
      </c>
      <c r="T41" s="15">
        <f>(SUMIFS('MAIN DATA, Orders'!$S:$S,'MAIN DATA, Orders'!$Y:$Y,$A41,'MAIN DATA, Orders'!$D:$D,"United Kingdom",'MAIN DATA, Orders'!$I:$I,"Development - Tank")/1000000000)</f>
        <v>0</v>
      </c>
      <c r="U41" s="15">
        <f>(SUMIFS('MAIN DATA, Orders'!$S:$S,'MAIN DATA, Orders'!$Y:$Y,$A41,'MAIN DATA, Orders'!$D:$D,"United Kingdom",'MAIN DATA, Orders'!$I:$I,"Maintenance")/1000000000)</f>
        <v>0</v>
      </c>
      <c r="V41" s="15">
        <f>(SUMIFS('MAIN DATA, Orders'!$S:$S,'MAIN DATA, Orders'!$Y:$Y,$A41,'MAIN DATA, Orders'!$D:$D,"United Kingdom",'MAIN DATA, Orders'!$I:$I,"Development - Maintenance")/1000000000)</f>
        <v>0</v>
      </c>
      <c r="W41" s="15">
        <f>(SUMIFS('MAIN DATA, Orders'!$S:$S,'MAIN DATA, Orders'!$Y:$Y,$A41,'MAIN DATA, Orders'!$D:$D,"United Kingdom",'MAIN DATA, Orders'!$I:$I,"Mine")/1000000000)</f>
        <v>0</v>
      </c>
      <c r="X41" s="15">
        <f>(SUMIFS('MAIN DATA, Orders'!$S:$S,'MAIN DATA, Orders'!$Y:$Y,$A41,'MAIN DATA, Orders'!$D:$D,"United Kingdom",'MAIN DATA, Orders'!$I:$I,"Development - Mine")/1000000000)</f>
        <v>0</v>
      </c>
      <c r="Y41" s="15">
        <f>(SUMIFS('MAIN DATA, Orders'!$S:$S,'MAIN DATA, Orders'!$Y:$Y,$A41,'MAIN DATA, Orders'!$D:$D,"United Kingdom",'MAIN DATA, Orders'!$J:$J,"6")/1000000000)</f>
        <v>0</v>
      </c>
      <c r="Z41" s="15" cm="1">
        <f t="array" ref="Z41">SUM(SUMIFS('MAIN DATA, Orders'!$S:$S,'MAIN DATA, Orders'!$Y:$Y,$A41,'MAIN DATA, Orders'!$D:$D,"United Kingdom",'MAIN DATA, Orders'!$I:$I,{"Development - Missile (Land)","Development - Missile (Naval)","Development - Missile (Air)"})/1000000000)</f>
        <v>0</v>
      </c>
      <c r="AA41" s="15">
        <f>(SUMIFS('MAIN DATA, Orders'!$S:$S,'MAIN DATA, Orders'!$Y:$Y,$A41,'MAIN DATA, Orders'!$D:$D,"United Kingdom",'MAIN DATA, Orders'!$I:$I,"Modernisation")/1000000000)</f>
        <v>0.09</v>
      </c>
      <c r="AB41" s="15">
        <f>(SUMIFS('MAIN DATA, Orders'!$S:$S,'MAIN DATA, Orders'!$Y:$Y,$A41,'MAIN DATA, Orders'!$D:$D,"United Kingdom",'MAIN DATA, Orders'!$I:$I,"Development - Modernisation")/1000000000)</f>
        <v>0</v>
      </c>
      <c r="AC41" s="15">
        <f>(SUMIFS('MAIN DATA, Orders'!$S:$S,'MAIN DATA, Orders'!$Y:$Y,$A41,'MAIN DATA, Orders'!$D:$D,"United Kingdom",'MAIN DATA, Orders'!$I:$I,"Naval")/1000000000)</f>
        <v>4.2</v>
      </c>
      <c r="AD41" s="15">
        <f>(SUMIFS('MAIN DATA, Orders'!$S:$S,'MAIN DATA, Orders'!$Y:$Y,$A41,'MAIN DATA, Orders'!$D:$D,"United Kingdom",'MAIN DATA, Orders'!$I:$I,"Development - Naval")/1000000000)</f>
        <v>0</v>
      </c>
      <c r="AE41" s="15">
        <f>(SUMIFS('MAIN DATA, Orders'!$S:$S,'MAIN DATA, Orders'!$Y:$Y,$A41,'MAIN DATA, Orders'!$D:$D,"United Kingdom",'MAIN DATA, Orders'!$I:$I,"Other")/1000000000)</f>
        <v>0</v>
      </c>
      <c r="AF41" s="15">
        <f>(SUMIFS('MAIN DATA, Orders'!$S:$S,'MAIN DATA, Orders'!$Y:$Y,$A41,'MAIN DATA, Orders'!$D:$D,"United Kingdom",'MAIN DATA, Orders'!$I:$I,"Development - Other")/1000000000)</f>
        <v>0</v>
      </c>
      <c r="AG41" s="15"/>
      <c r="AH41" s="15" cm="1">
        <f t="array" ref="AH41">SUM(SUMIFS('MAIN DATA, Orders'!$S:$S,'MAIN DATA, Orders'!$Y:$Y,$A41,'MAIN DATA, Orders'!$D:$D,"United Kingdom",'MAIN DATA, Orders'!$I:$I,{"Missile (Land)","Development - Missile (Land)"})/1000000000)</f>
        <v>0</v>
      </c>
      <c r="AI41" s="15" cm="1">
        <f t="array" ref="AI41">SUM(SUMIFS('MAIN DATA, Orders'!$S:$S,'MAIN DATA, Orders'!$D:$D,"United Kingdom",'MAIN DATA, Orders'!$I:$I,{"Missile (Air)","Development - Missile (Air)"},'MAIN DATA, Orders'!$Y:$Y,$A41)/1000000000)</f>
        <v>0</v>
      </c>
      <c r="AJ41" s="15" cm="1">
        <f t="array" ref="AJ41">SUM(SUMIFS('MAIN DATA, Orders'!$S:$S,'MAIN DATA, Orders'!$Y:$Y,$A41,'MAIN DATA, Orders'!$D:$D,"United Kingdom",'MAIN DATA, Orders'!$I:$I,{"Missile (Naval)","Development - Missile (Naval)"})/1000000000)</f>
        <v>0</v>
      </c>
    </row>
    <row r="42" spans="1:36" x14ac:dyDescent="0.35">
      <c r="A42" s="20">
        <v>202212</v>
      </c>
      <c r="B42" s="17">
        <v>44896</v>
      </c>
      <c r="C42" s="15">
        <f>(SUMIFS('MAIN DATA, Orders'!$S:$S,'MAIN DATA, Orders'!$Y:$Y,$A42,'MAIN DATA, Orders'!$D:$D,"United Kingdom",'MAIN DATA, Orders'!$I:$I,"Air defence system")/1000000000)</f>
        <v>0</v>
      </c>
      <c r="D42" s="15">
        <f>(SUMIFS('MAIN DATA, Orders'!$S:$S,'MAIN DATA, Orders'!$Y:$Y,$A42,'MAIN DATA, Orders'!$D:$D,"United Kingdom",'MAIN DATA, Orders'!$I:$I,"Development - Air defence system")/1000000000)</f>
        <v>0</v>
      </c>
      <c r="E42" s="15">
        <f>(SUMIFS('MAIN DATA, Orders'!$S:$S,'MAIN DATA, Orders'!$Y:$Y,$A42,'MAIN DATA, Orders'!$D:$D,"United Kingdom",'MAIN DATA, Orders'!$I:$I,"Aircraft")/1000000000)</f>
        <v>0</v>
      </c>
      <c r="F42" s="15">
        <f>(SUMIFS('MAIN DATA, Orders'!$S:$S,'MAIN DATA, Orders'!$Y:$Y,$A42,'MAIN DATA, Orders'!$D:$D,"United Kingdom",'MAIN DATA, Orders'!$I:$I,"Development - Aircraft")/1000000000)</f>
        <v>0</v>
      </c>
      <c r="G42" s="15">
        <f>(SUMIFS('MAIN DATA, Orders'!$S:$S,'MAIN DATA, Orders'!$Y:$Y,$A42,'MAIN DATA, Orders'!$D:$D,"United Kingdom",'MAIN DATA, Orders'!$I:$I,"Ammunition")/1000000000)</f>
        <v>0</v>
      </c>
      <c r="H42" s="15">
        <f>(SUMIFS('MAIN DATA, Orders'!$S:$S,'MAIN DATA, Orders'!$Y:$Y,$A42,'MAIN DATA, Orders'!$D:$D,"United Kingdom",'MAIN DATA, Orders'!$I:$I,"Development - Ammunition")/1000000000)</f>
        <v>0</v>
      </c>
      <c r="I42" s="15">
        <f>(SUMIFS('MAIN DATA, Orders'!$S:$S,'MAIN DATA, Orders'!$Y:$Y,$A42,'MAIN DATA, Orders'!$D:$D,"United Kingdom",'MAIN DATA, Orders'!$I:$I,"Armoured vehicle")/1000000000)</f>
        <v>0.14000000000000001</v>
      </c>
      <c r="J42" s="15">
        <f>(SUMIFS('MAIN DATA, Orders'!$S:$S,'MAIN DATA, Orders'!$Y:$Y,$A42,'MAIN DATA, Orders'!$D:$D,"United Kingdom",'MAIN DATA, Orders'!$I:$I,"Development - Armoured vehicle")/1000000000)</f>
        <v>0</v>
      </c>
      <c r="K42" s="15">
        <f>(SUMIFS('MAIN DATA, Orders'!$S:$S,'MAIN DATA, Orders'!$Y:$Y,$A42,'MAIN DATA, Orders'!$D:$D,"United Kingdom",'MAIN DATA, Orders'!$I:$I,"Artillery")/1000000000)</f>
        <v>0</v>
      </c>
      <c r="L42" s="15">
        <f>(SUMIFS('MAIN DATA, Orders'!$S:$S,'MAIN DATA, Orders'!$Y:$Y,$A42,'MAIN DATA, Orders'!$D:$D,"United Kingdom",'MAIN DATA, Orders'!$I:$I,"Development - Artillery")/1000000000)</f>
        <v>0</v>
      </c>
      <c r="M42" s="15">
        <f>(SUMIFS('MAIN DATA, Orders'!$S:$S,'MAIN DATA, Orders'!$Y:$Y,$A42,'MAIN DATA, Orders'!$D:$D,"United Kingdom",'MAIN DATA, Orders'!$I:$I,"Drone")/1000000000)</f>
        <v>0.1444</v>
      </c>
      <c r="N42" s="15">
        <f>(SUMIFS('MAIN DATA, Orders'!$S:$S,'MAIN DATA, Orders'!$Y:$Y,$A42,'MAIN DATA, Orders'!$D:$D,"United Kingdom",'MAIN DATA, Orders'!$I:$I,"Development - Drone")/1000000000)</f>
        <v>0</v>
      </c>
      <c r="O42" s="15">
        <f>(SUMIFS('MAIN DATA, Orders'!$S:$S,'MAIN DATA, Orders'!$Y:$Y,$A42,'MAIN DATA, Orders'!$D:$D,"United Kingdom",'MAIN DATA, Orders'!$I:$I,"Helicopter")/1000000000)</f>
        <v>0</v>
      </c>
      <c r="P42" s="15">
        <f>(SUMIFS('MAIN DATA, Orders'!$S:$S,'MAIN DATA, Orders'!$Y:$Y,$A42,'MAIN DATA, Orders'!$D:$D,"United Kingdom",'MAIN DATA, Orders'!$I:$I,"Development - Helicopter")/1000000000)</f>
        <v>0</v>
      </c>
      <c r="Q42" s="15">
        <f>(SUMIFS('MAIN DATA, Orders'!$S:$S,'MAIN DATA, Orders'!$Y:$Y,$A42,'MAIN DATA, Orders'!$D:$D,"United Kingdom",'MAIN DATA, Orders'!$I:$I,"Infantry")/1000000000)</f>
        <v>0</v>
      </c>
      <c r="R42" s="15">
        <f>(SUMIFS('MAIN DATA, Orders'!$S:$S,'MAIN DATA, Orders'!$Y:$Y,$A42,'MAIN DATA, Orders'!$D:$D,"United Kingdom",'MAIN DATA, Orders'!$I:$I,"Development - Infantry")/1000000000)</f>
        <v>0</v>
      </c>
      <c r="S42" s="15">
        <f>(SUMIFS('MAIN DATA, Orders'!$S:$S,'MAIN DATA, Orders'!$Y:$Y,$A42,'MAIN DATA, Orders'!$D:$D,"United Kingdom",'MAIN DATA, Orders'!$I:$I,"Tank")/1000000000)</f>
        <v>0</v>
      </c>
      <c r="T42" s="15">
        <f>(SUMIFS('MAIN DATA, Orders'!$S:$S,'MAIN DATA, Orders'!$Y:$Y,$A42,'MAIN DATA, Orders'!$D:$D,"United Kingdom",'MAIN DATA, Orders'!$I:$I,"Development - Tank")/1000000000)</f>
        <v>0</v>
      </c>
      <c r="U42" s="15">
        <f>(SUMIFS('MAIN DATA, Orders'!$S:$S,'MAIN DATA, Orders'!$Y:$Y,$A42,'MAIN DATA, Orders'!$D:$D,"United Kingdom",'MAIN DATA, Orders'!$I:$I,"Maintenance")/1000000000)</f>
        <v>0</v>
      </c>
      <c r="V42" s="15">
        <f>(SUMIFS('MAIN DATA, Orders'!$S:$S,'MAIN DATA, Orders'!$Y:$Y,$A42,'MAIN DATA, Orders'!$D:$D,"United Kingdom",'MAIN DATA, Orders'!$I:$I,"Development - Maintenance")/1000000000)</f>
        <v>0</v>
      </c>
      <c r="W42" s="15">
        <f>(SUMIFS('MAIN DATA, Orders'!$S:$S,'MAIN DATA, Orders'!$Y:$Y,$A42,'MAIN DATA, Orders'!$D:$D,"United Kingdom",'MAIN DATA, Orders'!$I:$I,"Mine")/1000000000)</f>
        <v>0</v>
      </c>
      <c r="X42" s="15">
        <f>(SUMIFS('MAIN DATA, Orders'!$S:$S,'MAIN DATA, Orders'!$Y:$Y,$A42,'MAIN DATA, Orders'!$D:$D,"United Kingdom",'MAIN DATA, Orders'!$I:$I,"Development - Mine")/1000000000)</f>
        <v>0</v>
      </c>
      <c r="Y42" s="15">
        <f>(SUMIFS('MAIN DATA, Orders'!$S:$S,'MAIN DATA, Orders'!$Y:$Y,$A42,'MAIN DATA, Orders'!$D:$D,"United Kingdom",'MAIN DATA, Orders'!$J:$J,"6")/1000000000)</f>
        <v>0.22900000000000001</v>
      </c>
      <c r="Z42" s="15" cm="1">
        <f t="array" ref="Z42">SUM(SUMIFS('MAIN DATA, Orders'!$S:$S,'MAIN DATA, Orders'!$Y:$Y,$A42,'MAIN DATA, Orders'!$D:$D,"United Kingdom",'MAIN DATA, Orders'!$I:$I,{"Development - Missile (Land)","Development - Missile (Naval)","Development - Missile (Air)"})/1000000000)</f>
        <v>0</v>
      </c>
      <c r="AA42" s="15">
        <f>(SUMIFS('MAIN DATA, Orders'!$S:$S,'MAIN DATA, Orders'!$Y:$Y,$A42,'MAIN DATA, Orders'!$D:$D,"United Kingdom",'MAIN DATA, Orders'!$I:$I,"Modernisation")/1000000000)</f>
        <v>0</v>
      </c>
      <c r="AB42" s="15">
        <f>(SUMIFS('MAIN DATA, Orders'!$S:$S,'MAIN DATA, Orders'!$Y:$Y,$A42,'MAIN DATA, Orders'!$D:$D,"United Kingdom",'MAIN DATA, Orders'!$I:$I,"Development - Modernisation")/1000000000)</f>
        <v>0</v>
      </c>
      <c r="AC42" s="15">
        <f>(SUMIFS('MAIN DATA, Orders'!$S:$S,'MAIN DATA, Orders'!$Y:$Y,$A42,'MAIN DATA, Orders'!$D:$D,"United Kingdom",'MAIN DATA, Orders'!$I:$I,"Naval")/1000000000)</f>
        <v>0</v>
      </c>
      <c r="AD42" s="15">
        <f>(SUMIFS('MAIN DATA, Orders'!$S:$S,'MAIN DATA, Orders'!$Y:$Y,$A42,'MAIN DATA, Orders'!$D:$D,"United Kingdom",'MAIN DATA, Orders'!$I:$I,"Development - Naval")/1000000000)</f>
        <v>0</v>
      </c>
      <c r="AE42" s="15">
        <f>(SUMIFS('MAIN DATA, Orders'!$S:$S,'MAIN DATA, Orders'!$Y:$Y,$A42,'MAIN DATA, Orders'!$D:$D,"United Kingdom",'MAIN DATA, Orders'!$I:$I,"Other")/1000000000)</f>
        <v>0</v>
      </c>
      <c r="AF42" s="15">
        <f>(SUMIFS('MAIN DATA, Orders'!$S:$S,'MAIN DATA, Orders'!$Y:$Y,$A42,'MAIN DATA, Orders'!$D:$D,"United Kingdom",'MAIN DATA, Orders'!$I:$I,"Development - Other")/1000000000)</f>
        <v>0</v>
      </c>
      <c r="AG42" s="15"/>
      <c r="AH42" s="15" cm="1">
        <f t="array" ref="AH42">SUM(SUMIFS('MAIN DATA, Orders'!$S:$S,'MAIN DATA, Orders'!$Y:$Y,$A42,'MAIN DATA, Orders'!$D:$D,"United Kingdom",'MAIN DATA, Orders'!$I:$I,{"Missile (Land)","Development - Missile (Land)"})/1000000000)</f>
        <v>0.22900000000000001</v>
      </c>
      <c r="AI42" s="15" cm="1">
        <f t="array" ref="AI42">SUM(SUMIFS('MAIN DATA, Orders'!$S:$S,'MAIN DATA, Orders'!$D:$D,"United Kingdom",'MAIN DATA, Orders'!$I:$I,{"Missile (Air)","Development - Missile (Air)"},'MAIN DATA, Orders'!$Y:$Y,$A42)/1000000000)</f>
        <v>0</v>
      </c>
      <c r="AJ42" s="15" cm="1">
        <f t="array" ref="AJ42">SUM(SUMIFS('MAIN DATA, Orders'!$S:$S,'MAIN DATA, Orders'!$Y:$Y,$A42,'MAIN DATA, Orders'!$D:$D,"United Kingdom",'MAIN DATA, Orders'!$I:$I,{"Missile (Naval)","Development - Missile (Naval)"})/1000000000)</f>
        <v>0</v>
      </c>
    </row>
    <row r="43" spans="1:36" x14ac:dyDescent="0.35">
      <c r="A43" s="20">
        <v>202301</v>
      </c>
      <c r="B43" s="17">
        <v>44927</v>
      </c>
      <c r="C43" s="15">
        <f>(SUMIFS('MAIN DATA, Orders'!$S:$S,'MAIN DATA, Orders'!$Y:$Y,$A43,'MAIN DATA, Orders'!$D:$D,"United Kingdom",'MAIN DATA, Orders'!$I:$I,"Air defence system")/1000000000)</f>
        <v>0</v>
      </c>
      <c r="D43" s="15">
        <f>(SUMIFS('MAIN DATA, Orders'!$S:$S,'MAIN DATA, Orders'!$Y:$Y,$A43,'MAIN DATA, Orders'!$D:$D,"United Kingdom",'MAIN DATA, Orders'!$I:$I,"Development - Air defence system")/1000000000)</f>
        <v>0</v>
      </c>
      <c r="E43" s="15">
        <f>(SUMIFS('MAIN DATA, Orders'!$S:$S,'MAIN DATA, Orders'!$Y:$Y,$A43,'MAIN DATA, Orders'!$D:$D,"United Kingdom",'MAIN DATA, Orders'!$I:$I,"Aircraft")/1000000000)</f>
        <v>0</v>
      </c>
      <c r="F43" s="15">
        <f>(SUMIFS('MAIN DATA, Orders'!$S:$S,'MAIN DATA, Orders'!$Y:$Y,$A43,'MAIN DATA, Orders'!$D:$D,"United Kingdom",'MAIN DATA, Orders'!$I:$I,"Development - Aircraft")/1000000000)</f>
        <v>0</v>
      </c>
      <c r="G43" s="15">
        <f>(SUMIFS('MAIN DATA, Orders'!$S:$S,'MAIN DATA, Orders'!$Y:$Y,$A43,'MAIN DATA, Orders'!$D:$D,"United Kingdom",'MAIN DATA, Orders'!$I:$I,"Ammunition")/1000000000)</f>
        <v>0</v>
      </c>
      <c r="H43" s="15">
        <f>(SUMIFS('MAIN DATA, Orders'!$S:$S,'MAIN DATA, Orders'!$Y:$Y,$A43,'MAIN DATA, Orders'!$D:$D,"United Kingdom",'MAIN DATA, Orders'!$I:$I,"Development - Ammunition")/1000000000)</f>
        <v>0</v>
      </c>
      <c r="I43" s="15">
        <f>(SUMIFS('MAIN DATA, Orders'!$S:$S,'MAIN DATA, Orders'!$Y:$Y,$A43,'MAIN DATA, Orders'!$D:$D,"United Kingdom",'MAIN DATA, Orders'!$I:$I,"Armoured vehicle")/1000000000)</f>
        <v>0</v>
      </c>
      <c r="J43" s="15">
        <f>(SUMIFS('MAIN DATA, Orders'!$S:$S,'MAIN DATA, Orders'!$Y:$Y,$A43,'MAIN DATA, Orders'!$D:$D,"United Kingdom",'MAIN DATA, Orders'!$I:$I,"Development - Armoured vehicle")/1000000000)</f>
        <v>0</v>
      </c>
      <c r="K43" s="15">
        <f>(SUMIFS('MAIN DATA, Orders'!$S:$S,'MAIN DATA, Orders'!$Y:$Y,$A43,'MAIN DATA, Orders'!$D:$D,"United Kingdom",'MAIN DATA, Orders'!$I:$I,"Artillery")/1000000000)</f>
        <v>0</v>
      </c>
      <c r="L43" s="15">
        <f>(SUMIFS('MAIN DATA, Orders'!$S:$S,'MAIN DATA, Orders'!$Y:$Y,$A43,'MAIN DATA, Orders'!$D:$D,"United Kingdom",'MAIN DATA, Orders'!$I:$I,"Development - Artillery")/1000000000)</f>
        <v>0</v>
      </c>
      <c r="M43" s="15">
        <f>(SUMIFS('MAIN DATA, Orders'!$S:$S,'MAIN DATA, Orders'!$Y:$Y,$A43,'MAIN DATA, Orders'!$D:$D,"United Kingdom",'MAIN DATA, Orders'!$I:$I,"Drone")/1000000000)</f>
        <v>0</v>
      </c>
      <c r="N43" s="15">
        <f>(SUMIFS('MAIN DATA, Orders'!$S:$S,'MAIN DATA, Orders'!$Y:$Y,$A43,'MAIN DATA, Orders'!$D:$D,"United Kingdom",'MAIN DATA, Orders'!$I:$I,"Development - Drone")/1000000000)</f>
        <v>0</v>
      </c>
      <c r="O43" s="15">
        <f>(SUMIFS('MAIN DATA, Orders'!$S:$S,'MAIN DATA, Orders'!$Y:$Y,$A43,'MAIN DATA, Orders'!$D:$D,"United Kingdom",'MAIN DATA, Orders'!$I:$I,"Helicopter")/1000000000)</f>
        <v>0</v>
      </c>
      <c r="P43" s="15">
        <f>(SUMIFS('MAIN DATA, Orders'!$S:$S,'MAIN DATA, Orders'!$Y:$Y,$A43,'MAIN DATA, Orders'!$D:$D,"United Kingdom",'MAIN DATA, Orders'!$I:$I,"Development - Helicopter")/1000000000)</f>
        <v>0</v>
      </c>
      <c r="Q43" s="15">
        <f>(SUMIFS('MAIN DATA, Orders'!$S:$S,'MAIN DATA, Orders'!$Y:$Y,$A43,'MAIN DATA, Orders'!$D:$D,"United Kingdom",'MAIN DATA, Orders'!$I:$I,"Infantry")/1000000000)</f>
        <v>0</v>
      </c>
      <c r="R43" s="15">
        <f>(SUMIFS('MAIN DATA, Orders'!$S:$S,'MAIN DATA, Orders'!$Y:$Y,$A43,'MAIN DATA, Orders'!$D:$D,"United Kingdom",'MAIN DATA, Orders'!$I:$I,"Development - Infantry")/1000000000)</f>
        <v>0</v>
      </c>
      <c r="S43" s="15">
        <f>(SUMIFS('MAIN DATA, Orders'!$S:$S,'MAIN DATA, Orders'!$Y:$Y,$A43,'MAIN DATA, Orders'!$D:$D,"United Kingdom",'MAIN DATA, Orders'!$I:$I,"Tank")/1000000000)</f>
        <v>0</v>
      </c>
      <c r="T43" s="15">
        <f>(SUMIFS('MAIN DATA, Orders'!$S:$S,'MAIN DATA, Orders'!$Y:$Y,$A43,'MAIN DATA, Orders'!$D:$D,"United Kingdom",'MAIN DATA, Orders'!$I:$I,"Development - Tank")/1000000000)</f>
        <v>0</v>
      </c>
      <c r="U43" s="15">
        <f>(SUMIFS('MAIN DATA, Orders'!$S:$S,'MAIN DATA, Orders'!$Y:$Y,$A43,'MAIN DATA, Orders'!$D:$D,"United Kingdom",'MAIN DATA, Orders'!$I:$I,"Maintenance")/1000000000)</f>
        <v>0</v>
      </c>
      <c r="V43" s="15">
        <f>(SUMIFS('MAIN DATA, Orders'!$S:$S,'MAIN DATA, Orders'!$Y:$Y,$A43,'MAIN DATA, Orders'!$D:$D,"United Kingdom",'MAIN DATA, Orders'!$I:$I,"Development - Maintenance")/1000000000)</f>
        <v>0</v>
      </c>
      <c r="W43" s="15">
        <f>(SUMIFS('MAIN DATA, Orders'!$S:$S,'MAIN DATA, Orders'!$Y:$Y,$A43,'MAIN DATA, Orders'!$D:$D,"United Kingdom",'MAIN DATA, Orders'!$I:$I,"Mine")/1000000000)</f>
        <v>0</v>
      </c>
      <c r="X43" s="15">
        <f>(SUMIFS('MAIN DATA, Orders'!$S:$S,'MAIN DATA, Orders'!$Y:$Y,$A43,'MAIN DATA, Orders'!$D:$D,"United Kingdom",'MAIN DATA, Orders'!$I:$I,"Development - Mine")/1000000000)</f>
        <v>0</v>
      </c>
      <c r="Y43" s="15">
        <f>(SUMIFS('MAIN DATA, Orders'!$S:$S,'MAIN DATA, Orders'!$Y:$Y,$A43,'MAIN DATA, Orders'!$D:$D,"United Kingdom",'MAIN DATA, Orders'!$J:$J,"6")/1000000000)</f>
        <v>0</v>
      </c>
      <c r="Z43" s="15" cm="1">
        <f t="array" ref="Z43">SUM(SUMIFS('MAIN DATA, Orders'!$S:$S,'MAIN DATA, Orders'!$Y:$Y,$A43,'MAIN DATA, Orders'!$D:$D,"United Kingdom",'MAIN DATA, Orders'!$I:$I,{"Development - Missile (Land)","Development - Missile (Naval)","Development - Missile (Air)"})/1000000000)</f>
        <v>0</v>
      </c>
      <c r="AA43" s="15">
        <f>(SUMIFS('MAIN DATA, Orders'!$S:$S,'MAIN DATA, Orders'!$Y:$Y,$A43,'MAIN DATA, Orders'!$D:$D,"United Kingdom",'MAIN DATA, Orders'!$I:$I,"Modernisation")/1000000000)</f>
        <v>0</v>
      </c>
      <c r="AB43" s="15">
        <f>(SUMIFS('MAIN DATA, Orders'!$S:$S,'MAIN DATA, Orders'!$Y:$Y,$A43,'MAIN DATA, Orders'!$D:$D,"United Kingdom",'MAIN DATA, Orders'!$I:$I,"Development - Modernisation")/1000000000)</f>
        <v>0</v>
      </c>
      <c r="AC43" s="15">
        <f>(SUMIFS('MAIN DATA, Orders'!$S:$S,'MAIN DATA, Orders'!$Y:$Y,$A43,'MAIN DATA, Orders'!$D:$D,"United Kingdom",'MAIN DATA, Orders'!$I:$I,"Naval")/1000000000)</f>
        <v>1.665</v>
      </c>
      <c r="AD43" s="15">
        <f>(SUMIFS('MAIN DATA, Orders'!$S:$S,'MAIN DATA, Orders'!$Y:$Y,$A43,'MAIN DATA, Orders'!$D:$D,"United Kingdom",'MAIN DATA, Orders'!$I:$I,"Development - Naval")/1000000000)</f>
        <v>0</v>
      </c>
      <c r="AE43" s="15">
        <f>(SUMIFS('MAIN DATA, Orders'!$S:$S,'MAIN DATA, Orders'!$Y:$Y,$A43,'MAIN DATA, Orders'!$D:$D,"United Kingdom",'MAIN DATA, Orders'!$I:$I,"Other")/1000000000)</f>
        <v>0</v>
      </c>
      <c r="AF43" s="15">
        <f>(SUMIFS('MAIN DATA, Orders'!$S:$S,'MAIN DATA, Orders'!$Y:$Y,$A43,'MAIN DATA, Orders'!$D:$D,"United Kingdom",'MAIN DATA, Orders'!$I:$I,"Development - Other")/1000000000)</f>
        <v>0</v>
      </c>
      <c r="AG43" s="15"/>
      <c r="AH43" s="15" cm="1">
        <f t="array" ref="AH43">SUM(SUMIFS('MAIN DATA, Orders'!$S:$S,'MAIN DATA, Orders'!$Y:$Y,$A43,'MAIN DATA, Orders'!$D:$D,"United Kingdom",'MAIN DATA, Orders'!$I:$I,{"Missile (Land)","Development - Missile (Land)"})/1000000000)</f>
        <v>0</v>
      </c>
      <c r="AI43" s="15" cm="1">
        <f t="array" ref="AI43">SUM(SUMIFS('MAIN DATA, Orders'!$S:$S,'MAIN DATA, Orders'!$D:$D,"United Kingdom",'MAIN DATA, Orders'!$I:$I,{"Missile (Air)","Development - Missile (Air)"},'MAIN DATA, Orders'!$Y:$Y,$A43)/1000000000)</f>
        <v>0</v>
      </c>
      <c r="AJ43" s="15" cm="1">
        <f t="array" ref="AJ43">SUM(SUMIFS('MAIN DATA, Orders'!$S:$S,'MAIN DATA, Orders'!$Y:$Y,$A43,'MAIN DATA, Orders'!$D:$D,"United Kingdom",'MAIN DATA, Orders'!$I:$I,{"Missile (Naval)","Development - Missile (Naval)"})/1000000000)</f>
        <v>0</v>
      </c>
    </row>
    <row r="44" spans="1:36" x14ac:dyDescent="0.35">
      <c r="A44" s="20">
        <v>202302</v>
      </c>
      <c r="B44" s="17">
        <v>44958</v>
      </c>
      <c r="C44" s="15">
        <f>(SUMIFS('MAIN DATA, Orders'!$S:$S,'MAIN DATA, Orders'!$Y:$Y,$A44,'MAIN DATA, Orders'!$D:$D,"United Kingdom",'MAIN DATA, Orders'!$I:$I,"Air defence system")/1000000000)</f>
        <v>0</v>
      </c>
      <c r="D44" s="15">
        <f>(SUMIFS('MAIN DATA, Orders'!$S:$S,'MAIN DATA, Orders'!$Y:$Y,$A44,'MAIN DATA, Orders'!$D:$D,"United Kingdom",'MAIN DATA, Orders'!$I:$I,"Development - Air defence system")/1000000000)</f>
        <v>0</v>
      </c>
      <c r="E44" s="15">
        <f>(SUMIFS('MAIN DATA, Orders'!$S:$S,'MAIN DATA, Orders'!$Y:$Y,$A44,'MAIN DATA, Orders'!$D:$D,"United Kingdom",'MAIN DATA, Orders'!$I:$I,"Aircraft")/1000000000)</f>
        <v>0</v>
      </c>
      <c r="F44" s="15">
        <f>(SUMIFS('MAIN DATA, Orders'!$S:$S,'MAIN DATA, Orders'!$Y:$Y,$A44,'MAIN DATA, Orders'!$D:$D,"United Kingdom",'MAIN DATA, Orders'!$I:$I,"Development - Aircraft")/1000000000)</f>
        <v>0</v>
      </c>
      <c r="G44" s="15">
        <f>(SUMIFS('MAIN DATA, Orders'!$S:$S,'MAIN DATA, Orders'!$Y:$Y,$A44,'MAIN DATA, Orders'!$D:$D,"United Kingdom",'MAIN DATA, Orders'!$I:$I,"Ammunition")/1000000000)</f>
        <v>0</v>
      </c>
      <c r="H44" s="15">
        <f>(SUMIFS('MAIN DATA, Orders'!$S:$S,'MAIN DATA, Orders'!$Y:$Y,$A44,'MAIN DATA, Orders'!$D:$D,"United Kingdom",'MAIN DATA, Orders'!$I:$I,"Development - Ammunition")/1000000000)</f>
        <v>0</v>
      </c>
      <c r="I44" s="15">
        <f>(SUMIFS('MAIN DATA, Orders'!$S:$S,'MAIN DATA, Orders'!$Y:$Y,$A44,'MAIN DATA, Orders'!$D:$D,"United Kingdom",'MAIN DATA, Orders'!$I:$I,"Armoured vehicle")/1000000000)</f>
        <v>0.09</v>
      </c>
      <c r="J44" s="15">
        <f>(SUMIFS('MAIN DATA, Orders'!$S:$S,'MAIN DATA, Orders'!$Y:$Y,$A44,'MAIN DATA, Orders'!$D:$D,"United Kingdom",'MAIN DATA, Orders'!$I:$I,"Development - Armoured vehicle")/1000000000)</f>
        <v>0</v>
      </c>
      <c r="K44" s="15">
        <f>(SUMIFS('MAIN DATA, Orders'!$S:$S,'MAIN DATA, Orders'!$Y:$Y,$A44,'MAIN DATA, Orders'!$D:$D,"United Kingdom",'MAIN DATA, Orders'!$I:$I,"Artillery")/1000000000)</f>
        <v>0</v>
      </c>
      <c r="L44" s="15">
        <f>(SUMIFS('MAIN DATA, Orders'!$S:$S,'MAIN DATA, Orders'!$Y:$Y,$A44,'MAIN DATA, Orders'!$D:$D,"United Kingdom",'MAIN DATA, Orders'!$I:$I,"Development - Artillery")/1000000000)</f>
        <v>0</v>
      </c>
      <c r="M44" s="15">
        <f>(SUMIFS('MAIN DATA, Orders'!$S:$S,'MAIN DATA, Orders'!$Y:$Y,$A44,'MAIN DATA, Orders'!$D:$D,"United Kingdom",'MAIN DATA, Orders'!$I:$I,"Drone")/1000000000)</f>
        <v>0.02</v>
      </c>
      <c r="N44" s="15">
        <f>(SUMIFS('MAIN DATA, Orders'!$S:$S,'MAIN DATA, Orders'!$Y:$Y,$A44,'MAIN DATA, Orders'!$D:$D,"United Kingdom",'MAIN DATA, Orders'!$I:$I,"Development - Drone")/1000000000)</f>
        <v>0</v>
      </c>
      <c r="O44" s="15">
        <f>(SUMIFS('MAIN DATA, Orders'!$S:$S,'MAIN DATA, Orders'!$Y:$Y,$A44,'MAIN DATA, Orders'!$D:$D,"United Kingdom",'MAIN DATA, Orders'!$I:$I,"Helicopter")/1000000000)</f>
        <v>0</v>
      </c>
      <c r="P44" s="15">
        <f>(SUMIFS('MAIN DATA, Orders'!$S:$S,'MAIN DATA, Orders'!$Y:$Y,$A44,'MAIN DATA, Orders'!$D:$D,"United Kingdom",'MAIN DATA, Orders'!$I:$I,"Development - Helicopter")/1000000000)</f>
        <v>0</v>
      </c>
      <c r="Q44" s="15">
        <f>(SUMIFS('MAIN DATA, Orders'!$S:$S,'MAIN DATA, Orders'!$Y:$Y,$A44,'MAIN DATA, Orders'!$D:$D,"United Kingdom",'MAIN DATA, Orders'!$I:$I,"Infantry")/1000000000)</f>
        <v>0</v>
      </c>
      <c r="R44" s="15">
        <f>(SUMIFS('MAIN DATA, Orders'!$S:$S,'MAIN DATA, Orders'!$Y:$Y,$A44,'MAIN DATA, Orders'!$D:$D,"United Kingdom",'MAIN DATA, Orders'!$I:$I,"Development - Infantry")/1000000000)</f>
        <v>0</v>
      </c>
      <c r="S44" s="15">
        <f>(SUMIFS('MAIN DATA, Orders'!$S:$S,'MAIN DATA, Orders'!$Y:$Y,$A44,'MAIN DATA, Orders'!$D:$D,"United Kingdom",'MAIN DATA, Orders'!$I:$I,"Tank")/1000000000)</f>
        <v>0</v>
      </c>
      <c r="T44" s="15">
        <f>(SUMIFS('MAIN DATA, Orders'!$S:$S,'MAIN DATA, Orders'!$Y:$Y,$A44,'MAIN DATA, Orders'!$D:$D,"United Kingdom",'MAIN DATA, Orders'!$I:$I,"Development - Tank")/1000000000)</f>
        <v>0</v>
      </c>
      <c r="U44" s="15">
        <f>(SUMIFS('MAIN DATA, Orders'!$S:$S,'MAIN DATA, Orders'!$Y:$Y,$A44,'MAIN DATA, Orders'!$D:$D,"United Kingdom",'MAIN DATA, Orders'!$I:$I,"Maintenance")/1000000000)</f>
        <v>0</v>
      </c>
      <c r="V44" s="15">
        <f>(SUMIFS('MAIN DATA, Orders'!$S:$S,'MAIN DATA, Orders'!$Y:$Y,$A44,'MAIN DATA, Orders'!$D:$D,"United Kingdom",'MAIN DATA, Orders'!$I:$I,"Development - Maintenance")/1000000000)</f>
        <v>0</v>
      </c>
      <c r="W44" s="15">
        <f>(SUMIFS('MAIN DATA, Orders'!$S:$S,'MAIN DATA, Orders'!$Y:$Y,$A44,'MAIN DATA, Orders'!$D:$D,"United Kingdom",'MAIN DATA, Orders'!$I:$I,"Mine")/1000000000)</f>
        <v>0</v>
      </c>
      <c r="X44" s="15">
        <f>(SUMIFS('MAIN DATA, Orders'!$S:$S,'MAIN DATA, Orders'!$Y:$Y,$A44,'MAIN DATA, Orders'!$D:$D,"United Kingdom",'MAIN DATA, Orders'!$I:$I,"Development - Mine")/1000000000)</f>
        <v>0</v>
      </c>
      <c r="Y44" s="15">
        <f>(SUMIFS('MAIN DATA, Orders'!$S:$S,'MAIN DATA, Orders'!$Y:$Y,$A44,'MAIN DATA, Orders'!$D:$D,"United Kingdom",'MAIN DATA, Orders'!$J:$J,"6")/1000000000)</f>
        <v>0</v>
      </c>
      <c r="Z44" s="15" cm="1">
        <f t="array" ref="Z44">SUM(SUMIFS('MAIN DATA, Orders'!$S:$S,'MAIN DATA, Orders'!$Y:$Y,$A44,'MAIN DATA, Orders'!$D:$D,"United Kingdom",'MAIN DATA, Orders'!$I:$I,{"Development - Missile (Land)","Development - Missile (Naval)","Development - Missile (Air)"})/1000000000)</f>
        <v>0</v>
      </c>
      <c r="AA44" s="15">
        <f>(SUMIFS('MAIN DATA, Orders'!$S:$S,'MAIN DATA, Orders'!$Y:$Y,$A44,'MAIN DATA, Orders'!$D:$D,"United Kingdom",'MAIN DATA, Orders'!$I:$I,"Modernisation")/1000000000)</f>
        <v>0.4</v>
      </c>
      <c r="AB44" s="15">
        <f>(SUMIFS('MAIN DATA, Orders'!$S:$S,'MAIN DATA, Orders'!$Y:$Y,$A44,'MAIN DATA, Orders'!$D:$D,"United Kingdom",'MAIN DATA, Orders'!$I:$I,"Development - Modernisation")/1000000000)</f>
        <v>0</v>
      </c>
      <c r="AC44" s="15">
        <f>(SUMIFS('MAIN DATA, Orders'!$S:$S,'MAIN DATA, Orders'!$Y:$Y,$A44,'MAIN DATA, Orders'!$D:$D,"United Kingdom",'MAIN DATA, Orders'!$I:$I,"Naval")/1000000000)</f>
        <v>0</v>
      </c>
      <c r="AD44" s="15">
        <f>(SUMIFS('MAIN DATA, Orders'!$S:$S,'MAIN DATA, Orders'!$Y:$Y,$A44,'MAIN DATA, Orders'!$D:$D,"United Kingdom",'MAIN DATA, Orders'!$I:$I,"Development - Naval")/1000000000)</f>
        <v>0</v>
      </c>
      <c r="AE44" s="15">
        <f>(SUMIFS('MAIN DATA, Orders'!$S:$S,'MAIN DATA, Orders'!$Y:$Y,$A44,'MAIN DATA, Orders'!$D:$D,"United Kingdom",'MAIN DATA, Orders'!$I:$I,"Other")/1000000000)</f>
        <v>0</v>
      </c>
      <c r="AF44" s="15">
        <f>(SUMIFS('MAIN DATA, Orders'!$S:$S,'MAIN DATA, Orders'!$Y:$Y,$A44,'MAIN DATA, Orders'!$D:$D,"United Kingdom",'MAIN DATA, Orders'!$I:$I,"Development - Other")/1000000000)</f>
        <v>0</v>
      </c>
      <c r="AG44" s="15"/>
      <c r="AH44" s="15" cm="1">
        <f t="array" ref="AH44">SUM(SUMIFS('MAIN DATA, Orders'!$S:$S,'MAIN DATA, Orders'!$Y:$Y,$A44,'MAIN DATA, Orders'!$D:$D,"United Kingdom",'MAIN DATA, Orders'!$I:$I,{"Missile (Land)","Development - Missile (Land)"})/1000000000)</f>
        <v>0</v>
      </c>
      <c r="AI44" s="15" cm="1">
        <f t="array" ref="AI44">SUM(SUMIFS('MAIN DATA, Orders'!$S:$S,'MAIN DATA, Orders'!$D:$D,"United Kingdom",'MAIN DATA, Orders'!$I:$I,{"Missile (Air)","Development - Missile (Air)"},'MAIN DATA, Orders'!$Y:$Y,$A44)/1000000000)</f>
        <v>0</v>
      </c>
      <c r="AJ44" s="15" cm="1">
        <f t="array" ref="AJ44">SUM(SUMIFS('MAIN DATA, Orders'!$S:$S,'MAIN DATA, Orders'!$Y:$Y,$A44,'MAIN DATA, Orders'!$D:$D,"United Kingdom",'MAIN DATA, Orders'!$I:$I,{"Missile (Naval)","Development - Missile (Naval)"})/1000000000)</f>
        <v>0</v>
      </c>
    </row>
    <row r="45" spans="1:36" x14ac:dyDescent="0.35">
      <c r="A45" s="20">
        <v>202303</v>
      </c>
      <c r="B45" s="17">
        <v>44986</v>
      </c>
      <c r="C45" s="15">
        <f>(SUMIFS('MAIN DATA, Orders'!$S:$S,'MAIN DATA, Orders'!$Y:$Y,$A45,'MAIN DATA, Orders'!$D:$D,"United Kingdom",'MAIN DATA, Orders'!$I:$I,"Air defence system")/1000000000)</f>
        <v>0</v>
      </c>
      <c r="D45" s="15">
        <f>(SUMIFS('MAIN DATA, Orders'!$S:$S,'MAIN DATA, Orders'!$Y:$Y,$A45,'MAIN DATA, Orders'!$D:$D,"United Kingdom",'MAIN DATA, Orders'!$I:$I,"Development - Air defence system")/1000000000)</f>
        <v>0</v>
      </c>
      <c r="E45" s="15">
        <f>(SUMIFS('MAIN DATA, Orders'!$S:$S,'MAIN DATA, Orders'!$Y:$Y,$A45,'MAIN DATA, Orders'!$D:$D,"United Kingdom",'MAIN DATA, Orders'!$I:$I,"Aircraft")/1000000000)</f>
        <v>0</v>
      </c>
      <c r="F45" s="15">
        <f>(SUMIFS('MAIN DATA, Orders'!$S:$S,'MAIN DATA, Orders'!$Y:$Y,$A45,'MAIN DATA, Orders'!$D:$D,"United Kingdom",'MAIN DATA, Orders'!$I:$I,"Development - Aircraft")/1000000000)</f>
        <v>0</v>
      </c>
      <c r="G45" s="15">
        <f>(SUMIFS('MAIN DATA, Orders'!$S:$S,'MAIN DATA, Orders'!$Y:$Y,$A45,'MAIN DATA, Orders'!$D:$D,"United Kingdom",'MAIN DATA, Orders'!$I:$I,"Ammunition")/1000000000)</f>
        <v>0</v>
      </c>
      <c r="H45" s="15">
        <f>(SUMIFS('MAIN DATA, Orders'!$S:$S,'MAIN DATA, Orders'!$Y:$Y,$A45,'MAIN DATA, Orders'!$D:$D,"United Kingdom",'MAIN DATA, Orders'!$I:$I,"Development - Ammunition")/1000000000)</f>
        <v>0</v>
      </c>
      <c r="I45" s="15">
        <f>(SUMIFS('MAIN DATA, Orders'!$S:$S,'MAIN DATA, Orders'!$Y:$Y,$A45,'MAIN DATA, Orders'!$D:$D,"United Kingdom",'MAIN DATA, Orders'!$I:$I,"Armoured vehicle")/1000000000)</f>
        <v>0</v>
      </c>
      <c r="J45" s="15">
        <f>(SUMIFS('MAIN DATA, Orders'!$S:$S,'MAIN DATA, Orders'!$Y:$Y,$A45,'MAIN DATA, Orders'!$D:$D,"United Kingdom",'MAIN DATA, Orders'!$I:$I,"Development - Armoured vehicle")/1000000000)</f>
        <v>0</v>
      </c>
      <c r="K45" s="15">
        <f>(SUMIFS('MAIN DATA, Orders'!$S:$S,'MAIN DATA, Orders'!$Y:$Y,$A45,'MAIN DATA, Orders'!$D:$D,"United Kingdom",'MAIN DATA, Orders'!$I:$I,"Artillery")/1000000000)</f>
        <v>0</v>
      </c>
      <c r="L45" s="15">
        <f>(SUMIFS('MAIN DATA, Orders'!$S:$S,'MAIN DATA, Orders'!$Y:$Y,$A45,'MAIN DATA, Orders'!$D:$D,"United Kingdom",'MAIN DATA, Orders'!$I:$I,"Development - Artillery")/1000000000)</f>
        <v>0</v>
      </c>
      <c r="M45" s="15">
        <f>(SUMIFS('MAIN DATA, Orders'!$S:$S,'MAIN DATA, Orders'!$Y:$Y,$A45,'MAIN DATA, Orders'!$D:$D,"United Kingdom",'MAIN DATA, Orders'!$I:$I,"Drone")/1000000000)</f>
        <v>0</v>
      </c>
      <c r="N45" s="15">
        <f>(SUMIFS('MAIN DATA, Orders'!$S:$S,'MAIN DATA, Orders'!$Y:$Y,$A45,'MAIN DATA, Orders'!$D:$D,"United Kingdom",'MAIN DATA, Orders'!$I:$I,"Development - Drone")/1000000000)</f>
        <v>0</v>
      </c>
      <c r="O45" s="15">
        <f>(SUMIFS('MAIN DATA, Orders'!$S:$S,'MAIN DATA, Orders'!$Y:$Y,$A45,'MAIN DATA, Orders'!$D:$D,"United Kingdom",'MAIN DATA, Orders'!$I:$I,"Helicopter")/1000000000)</f>
        <v>0</v>
      </c>
      <c r="P45" s="15">
        <f>(SUMIFS('MAIN DATA, Orders'!$S:$S,'MAIN DATA, Orders'!$Y:$Y,$A45,'MAIN DATA, Orders'!$D:$D,"United Kingdom",'MAIN DATA, Orders'!$I:$I,"Development - Helicopter")/1000000000)</f>
        <v>0</v>
      </c>
      <c r="Q45" s="15">
        <f>(SUMIFS('MAIN DATA, Orders'!$S:$S,'MAIN DATA, Orders'!$Y:$Y,$A45,'MAIN DATA, Orders'!$D:$D,"United Kingdom",'MAIN DATA, Orders'!$I:$I,"Infantry")/1000000000)</f>
        <v>4.5999999999999999E-3</v>
      </c>
      <c r="R45" s="15">
        <f>(SUMIFS('MAIN DATA, Orders'!$S:$S,'MAIN DATA, Orders'!$Y:$Y,$A45,'MAIN DATA, Orders'!$D:$D,"United Kingdom",'MAIN DATA, Orders'!$I:$I,"Development - Infantry")/1000000000)</f>
        <v>0</v>
      </c>
      <c r="S45" s="15">
        <f>(SUMIFS('MAIN DATA, Orders'!$S:$S,'MAIN DATA, Orders'!$Y:$Y,$A45,'MAIN DATA, Orders'!$D:$D,"United Kingdom",'MAIN DATA, Orders'!$I:$I,"Tank")/1000000000)</f>
        <v>0</v>
      </c>
      <c r="T45" s="15">
        <f>(SUMIFS('MAIN DATA, Orders'!$S:$S,'MAIN DATA, Orders'!$Y:$Y,$A45,'MAIN DATA, Orders'!$D:$D,"United Kingdom",'MAIN DATA, Orders'!$I:$I,"Development - Tank")/1000000000)</f>
        <v>0</v>
      </c>
      <c r="U45" s="15">
        <f>(SUMIFS('MAIN DATA, Orders'!$S:$S,'MAIN DATA, Orders'!$Y:$Y,$A45,'MAIN DATA, Orders'!$D:$D,"United Kingdom",'MAIN DATA, Orders'!$I:$I,"Maintenance")/1000000000)</f>
        <v>0</v>
      </c>
      <c r="V45" s="15">
        <f>(SUMIFS('MAIN DATA, Orders'!$S:$S,'MAIN DATA, Orders'!$Y:$Y,$A45,'MAIN DATA, Orders'!$D:$D,"United Kingdom",'MAIN DATA, Orders'!$I:$I,"Development - Maintenance")/1000000000)</f>
        <v>0</v>
      </c>
      <c r="W45" s="15">
        <f>(SUMIFS('MAIN DATA, Orders'!$S:$S,'MAIN DATA, Orders'!$Y:$Y,$A45,'MAIN DATA, Orders'!$D:$D,"United Kingdom",'MAIN DATA, Orders'!$I:$I,"Mine")/1000000000)</f>
        <v>0</v>
      </c>
      <c r="X45" s="15">
        <f>(SUMIFS('MAIN DATA, Orders'!$S:$S,'MAIN DATA, Orders'!$Y:$Y,$A45,'MAIN DATA, Orders'!$D:$D,"United Kingdom",'MAIN DATA, Orders'!$I:$I,"Development - Mine")/1000000000)</f>
        <v>0</v>
      </c>
      <c r="Y45" s="15">
        <f>(SUMIFS('MAIN DATA, Orders'!$S:$S,'MAIN DATA, Orders'!$Y:$Y,$A45,'MAIN DATA, Orders'!$D:$D,"United Kingdom",'MAIN DATA, Orders'!$J:$J,"6")/1000000000)</f>
        <v>0</v>
      </c>
      <c r="Z45" s="15" cm="1">
        <f t="array" ref="Z45">SUM(SUMIFS('MAIN DATA, Orders'!$S:$S,'MAIN DATA, Orders'!$Y:$Y,$A45,'MAIN DATA, Orders'!$D:$D,"United Kingdom",'MAIN DATA, Orders'!$I:$I,{"Development - Missile (Land)","Development - Missile (Naval)","Development - Missile (Air)"})/1000000000)</f>
        <v>0</v>
      </c>
      <c r="AA45" s="15">
        <f>(SUMIFS('MAIN DATA, Orders'!$S:$S,'MAIN DATA, Orders'!$Y:$Y,$A45,'MAIN DATA, Orders'!$D:$D,"United Kingdom",'MAIN DATA, Orders'!$I:$I,"Modernisation")/1000000000)</f>
        <v>0</v>
      </c>
      <c r="AB45" s="15">
        <f>(SUMIFS('MAIN DATA, Orders'!$S:$S,'MAIN DATA, Orders'!$Y:$Y,$A45,'MAIN DATA, Orders'!$D:$D,"United Kingdom",'MAIN DATA, Orders'!$I:$I,"Development - Modernisation")/1000000000)</f>
        <v>0</v>
      </c>
      <c r="AC45" s="15">
        <f>(SUMIFS('MAIN DATA, Orders'!$S:$S,'MAIN DATA, Orders'!$Y:$Y,$A45,'MAIN DATA, Orders'!$D:$D,"United Kingdom",'MAIN DATA, Orders'!$I:$I,"Naval")/1000000000)</f>
        <v>0</v>
      </c>
      <c r="AD45" s="15">
        <f>(SUMIFS('MAIN DATA, Orders'!$S:$S,'MAIN DATA, Orders'!$Y:$Y,$A45,'MAIN DATA, Orders'!$D:$D,"United Kingdom",'MAIN DATA, Orders'!$I:$I,"Development - Naval")/1000000000)</f>
        <v>0</v>
      </c>
      <c r="AE45" s="15">
        <f>(SUMIFS('MAIN DATA, Orders'!$S:$S,'MAIN DATA, Orders'!$Y:$Y,$A45,'MAIN DATA, Orders'!$D:$D,"United Kingdom",'MAIN DATA, Orders'!$I:$I,"Other")/1000000000)</f>
        <v>1.15E-2</v>
      </c>
      <c r="AF45" s="15">
        <f>(SUMIFS('MAIN DATA, Orders'!$S:$S,'MAIN DATA, Orders'!$Y:$Y,$A45,'MAIN DATA, Orders'!$D:$D,"United Kingdom",'MAIN DATA, Orders'!$I:$I,"Development - Other")/1000000000)</f>
        <v>0</v>
      </c>
      <c r="AG45" s="15"/>
      <c r="AH45" s="15" cm="1">
        <f t="array" ref="AH45">SUM(SUMIFS('MAIN DATA, Orders'!$S:$S,'MAIN DATA, Orders'!$Y:$Y,$A45,'MAIN DATA, Orders'!$D:$D,"United Kingdom",'MAIN DATA, Orders'!$I:$I,{"Missile (Land)","Development - Missile (Land)"})/1000000000)</f>
        <v>0</v>
      </c>
      <c r="AI45" s="15" cm="1">
        <f t="array" ref="AI45">SUM(SUMIFS('MAIN DATA, Orders'!$S:$S,'MAIN DATA, Orders'!$D:$D,"United Kingdom",'MAIN DATA, Orders'!$I:$I,{"Missile (Air)","Development - Missile (Air)"},'MAIN DATA, Orders'!$Y:$Y,$A45)/1000000000)</f>
        <v>0</v>
      </c>
      <c r="AJ45" s="15" cm="1">
        <f t="array" ref="AJ45">SUM(SUMIFS('MAIN DATA, Orders'!$S:$S,'MAIN DATA, Orders'!$Y:$Y,$A45,'MAIN DATA, Orders'!$D:$D,"United Kingdom",'MAIN DATA, Orders'!$I:$I,{"Missile (Naval)","Development - Missile (Naval)"})/1000000000)</f>
        <v>0</v>
      </c>
    </row>
    <row r="46" spans="1:36" x14ac:dyDescent="0.35">
      <c r="A46" s="20">
        <v>202304</v>
      </c>
      <c r="B46" s="17">
        <v>45017</v>
      </c>
      <c r="C46" s="15">
        <f>(SUMIFS('MAIN DATA, Orders'!$S:$S,'MAIN DATA, Orders'!$Y:$Y,$A46,'MAIN DATA, Orders'!$D:$D,"United Kingdom",'MAIN DATA, Orders'!$I:$I,"Air defence system")/1000000000)</f>
        <v>0</v>
      </c>
      <c r="D46" s="15">
        <f>(SUMIFS('MAIN DATA, Orders'!$S:$S,'MAIN DATA, Orders'!$Y:$Y,$A46,'MAIN DATA, Orders'!$D:$D,"United Kingdom",'MAIN DATA, Orders'!$I:$I,"Development - Air defence system")/1000000000)</f>
        <v>0</v>
      </c>
      <c r="E46" s="15">
        <f>(SUMIFS('MAIN DATA, Orders'!$S:$S,'MAIN DATA, Orders'!$Y:$Y,$A46,'MAIN DATA, Orders'!$D:$D,"United Kingdom",'MAIN DATA, Orders'!$I:$I,"Aircraft")/1000000000)</f>
        <v>0</v>
      </c>
      <c r="F46" s="15">
        <f>(SUMIFS('MAIN DATA, Orders'!$S:$S,'MAIN DATA, Orders'!$Y:$Y,$A46,'MAIN DATA, Orders'!$D:$D,"United Kingdom",'MAIN DATA, Orders'!$I:$I,"Development - Aircraft")/1000000000)</f>
        <v>0.65600000000000003</v>
      </c>
      <c r="G46" s="15">
        <f>(SUMIFS('MAIN DATA, Orders'!$S:$S,'MAIN DATA, Orders'!$Y:$Y,$A46,'MAIN DATA, Orders'!$D:$D,"United Kingdom",'MAIN DATA, Orders'!$I:$I,"Ammunition")/1000000000)</f>
        <v>0</v>
      </c>
      <c r="H46" s="15">
        <f>(SUMIFS('MAIN DATA, Orders'!$S:$S,'MAIN DATA, Orders'!$Y:$Y,$A46,'MAIN DATA, Orders'!$D:$D,"United Kingdom",'MAIN DATA, Orders'!$I:$I,"Development - Ammunition")/1000000000)</f>
        <v>0</v>
      </c>
      <c r="I46" s="15">
        <f>(SUMIFS('MAIN DATA, Orders'!$S:$S,'MAIN DATA, Orders'!$Y:$Y,$A46,'MAIN DATA, Orders'!$D:$D,"United Kingdom",'MAIN DATA, Orders'!$I:$I,"Armoured vehicle")/1000000000)</f>
        <v>0</v>
      </c>
      <c r="J46" s="15">
        <f>(SUMIFS('MAIN DATA, Orders'!$S:$S,'MAIN DATA, Orders'!$Y:$Y,$A46,'MAIN DATA, Orders'!$D:$D,"United Kingdom",'MAIN DATA, Orders'!$I:$I,"Development - Armoured vehicle")/1000000000)</f>
        <v>0</v>
      </c>
      <c r="K46" s="15">
        <f>(SUMIFS('MAIN DATA, Orders'!$S:$S,'MAIN DATA, Orders'!$Y:$Y,$A46,'MAIN DATA, Orders'!$D:$D,"United Kingdom",'MAIN DATA, Orders'!$I:$I,"Artillery")/1000000000)</f>
        <v>0</v>
      </c>
      <c r="L46" s="15">
        <f>(SUMIFS('MAIN DATA, Orders'!$S:$S,'MAIN DATA, Orders'!$Y:$Y,$A46,'MAIN DATA, Orders'!$D:$D,"United Kingdom",'MAIN DATA, Orders'!$I:$I,"Development - Artillery")/1000000000)</f>
        <v>0</v>
      </c>
      <c r="M46" s="15">
        <f>(SUMIFS('MAIN DATA, Orders'!$S:$S,'MAIN DATA, Orders'!$Y:$Y,$A46,'MAIN DATA, Orders'!$D:$D,"United Kingdom",'MAIN DATA, Orders'!$I:$I,"Drone")/1000000000)</f>
        <v>0</v>
      </c>
      <c r="N46" s="15">
        <f>(SUMIFS('MAIN DATA, Orders'!$S:$S,'MAIN DATA, Orders'!$Y:$Y,$A46,'MAIN DATA, Orders'!$D:$D,"United Kingdom",'MAIN DATA, Orders'!$I:$I,"Development - Drone")/1000000000)</f>
        <v>0</v>
      </c>
      <c r="O46" s="15">
        <f>(SUMIFS('MAIN DATA, Orders'!$S:$S,'MAIN DATA, Orders'!$Y:$Y,$A46,'MAIN DATA, Orders'!$D:$D,"United Kingdom",'MAIN DATA, Orders'!$I:$I,"Helicopter")/1000000000)</f>
        <v>0</v>
      </c>
      <c r="P46" s="15">
        <f>(SUMIFS('MAIN DATA, Orders'!$S:$S,'MAIN DATA, Orders'!$Y:$Y,$A46,'MAIN DATA, Orders'!$D:$D,"United Kingdom",'MAIN DATA, Orders'!$I:$I,"Development - Helicopter")/1000000000)</f>
        <v>0</v>
      </c>
      <c r="Q46" s="15">
        <f>(SUMIFS('MAIN DATA, Orders'!$S:$S,'MAIN DATA, Orders'!$Y:$Y,$A46,'MAIN DATA, Orders'!$D:$D,"United Kingdom",'MAIN DATA, Orders'!$I:$I,"Infantry")/1000000000)</f>
        <v>0</v>
      </c>
      <c r="R46" s="15">
        <f>(SUMIFS('MAIN DATA, Orders'!$S:$S,'MAIN DATA, Orders'!$Y:$Y,$A46,'MAIN DATA, Orders'!$D:$D,"United Kingdom",'MAIN DATA, Orders'!$I:$I,"Development - Infantry")/1000000000)</f>
        <v>0</v>
      </c>
      <c r="S46" s="15">
        <f>(SUMIFS('MAIN DATA, Orders'!$S:$S,'MAIN DATA, Orders'!$Y:$Y,$A46,'MAIN DATA, Orders'!$D:$D,"United Kingdom",'MAIN DATA, Orders'!$I:$I,"Tank")/1000000000)</f>
        <v>0</v>
      </c>
      <c r="T46" s="15">
        <f>(SUMIFS('MAIN DATA, Orders'!$S:$S,'MAIN DATA, Orders'!$Y:$Y,$A46,'MAIN DATA, Orders'!$D:$D,"United Kingdom",'MAIN DATA, Orders'!$I:$I,"Development - Tank")/1000000000)</f>
        <v>0</v>
      </c>
      <c r="U46" s="15">
        <f>(SUMIFS('MAIN DATA, Orders'!$S:$S,'MAIN DATA, Orders'!$Y:$Y,$A46,'MAIN DATA, Orders'!$D:$D,"United Kingdom",'MAIN DATA, Orders'!$I:$I,"Maintenance")/1000000000)</f>
        <v>0.161</v>
      </c>
      <c r="V46" s="15">
        <f>(SUMIFS('MAIN DATA, Orders'!$S:$S,'MAIN DATA, Orders'!$Y:$Y,$A46,'MAIN DATA, Orders'!$D:$D,"United Kingdom",'MAIN DATA, Orders'!$I:$I,"Development - Maintenance")/1000000000)</f>
        <v>0</v>
      </c>
      <c r="W46" s="15">
        <f>(SUMIFS('MAIN DATA, Orders'!$S:$S,'MAIN DATA, Orders'!$Y:$Y,$A46,'MAIN DATA, Orders'!$D:$D,"United Kingdom",'MAIN DATA, Orders'!$I:$I,"Mine")/1000000000)</f>
        <v>0</v>
      </c>
      <c r="X46" s="15">
        <f>(SUMIFS('MAIN DATA, Orders'!$S:$S,'MAIN DATA, Orders'!$Y:$Y,$A46,'MAIN DATA, Orders'!$D:$D,"United Kingdom",'MAIN DATA, Orders'!$I:$I,"Development - Mine")/1000000000)</f>
        <v>0</v>
      </c>
      <c r="Y46" s="15">
        <f>(SUMIFS('MAIN DATA, Orders'!$S:$S,'MAIN DATA, Orders'!$Y:$Y,$A46,'MAIN DATA, Orders'!$D:$D,"United Kingdom",'MAIN DATA, Orders'!$J:$J,"6")/1000000000)</f>
        <v>0</v>
      </c>
      <c r="Z46" s="15" cm="1">
        <f t="array" ref="Z46">SUM(SUMIFS('MAIN DATA, Orders'!$S:$S,'MAIN DATA, Orders'!$Y:$Y,$A46,'MAIN DATA, Orders'!$D:$D,"United Kingdom",'MAIN DATA, Orders'!$I:$I,{"Development - Missile (Land)","Development - Missile (Naval)","Development - Missile (Air)"})/1000000000)</f>
        <v>0</v>
      </c>
      <c r="AA46" s="15">
        <f>(SUMIFS('MAIN DATA, Orders'!$S:$S,'MAIN DATA, Orders'!$Y:$Y,$A46,'MAIN DATA, Orders'!$D:$D,"United Kingdom",'MAIN DATA, Orders'!$I:$I,"Modernisation")/1000000000)</f>
        <v>0</v>
      </c>
      <c r="AB46" s="15">
        <f>(SUMIFS('MAIN DATA, Orders'!$S:$S,'MAIN DATA, Orders'!$Y:$Y,$A46,'MAIN DATA, Orders'!$D:$D,"United Kingdom",'MAIN DATA, Orders'!$I:$I,"Development - Modernisation")/1000000000)</f>
        <v>0</v>
      </c>
      <c r="AC46" s="15">
        <f>(SUMIFS('MAIN DATA, Orders'!$S:$S,'MAIN DATA, Orders'!$Y:$Y,$A46,'MAIN DATA, Orders'!$D:$D,"United Kingdom",'MAIN DATA, Orders'!$I:$I,"Naval")/1000000000)</f>
        <v>0</v>
      </c>
      <c r="AD46" s="15">
        <f>(SUMIFS('MAIN DATA, Orders'!$S:$S,'MAIN DATA, Orders'!$Y:$Y,$A46,'MAIN DATA, Orders'!$D:$D,"United Kingdom",'MAIN DATA, Orders'!$I:$I,"Development - Naval")/1000000000)</f>
        <v>0</v>
      </c>
      <c r="AE46" s="15">
        <f>(SUMIFS('MAIN DATA, Orders'!$S:$S,'MAIN DATA, Orders'!$Y:$Y,$A46,'MAIN DATA, Orders'!$D:$D,"United Kingdom",'MAIN DATA, Orders'!$I:$I,"Other")/1000000000)</f>
        <v>0</v>
      </c>
      <c r="AF46" s="15">
        <f>(SUMIFS('MAIN DATA, Orders'!$S:$S,'MAIN DATA, Orders'!$Y:$Y,$A46,'MAIN DATA, Orders'!$D:$D,"United Kingdom",'MAIN DATA, Orders'!$I:$I,"Development - Other")/1000000000)</f>
        <v>0</v>
      </c>
      <c r="AG46" s="15"/>
      <c r="AH46" s="15" cm="1">
        <f t="array" ref="AH46">SUM(SUMIFS('MAIN DATA, Orders'!$S:$S,'MAIN DATA, Orders'!$Y:$Y,$A46,'MAIN DATA, Orders'!$D:$D,"United Kingdom",'MAIN DATA, Orders'!$I:$I,{"Missile (Land)","Development - Missile (Land)"})/1000000000)</f>
        <v>0</v>
      </c>
      <c r="AI46" s="15" cm="1">
        <f t="array" ref="AI46">SUM(SUMIFS('MAIN DATA, Orders'!$S:$S,'MAIN DATA, Orders'!$D:$D,"United Kingdom",'MAIN DATA, Orders'!$I:$I,{"Missile (Air)","Development - Missile (Air)"},'MAIN DATA, Orders'!$Y:$Y,$A46)/1000000000)</f>
        <v>0</v>
      </c>
      <c r="AJ46" s="15" cm="1">
        <f t="array" ref="AJ46">SUM(SUMIFS('MAIN DATA, Orders'!$S:$S,'MAIN DATA, Orders'!$Y:$Y,$A46,'MAIN DATA, Orders'!$D:$D,"United Kingdom",'MAIN DATA, Orders'!$I:$I,{"Missile (Naval)","Development - Missile (Naval)"})/1000000000)</f>
        <v>0</v>
      </c>
    </row>
    <row r="47" spans="1:36" x14ac:dyDescent="0.35">
      <c r="A47" s="20">
        <v>202305</v>
      </c>
      <c r="B47" s="17">
        <v>45047</v>
      </c>
      <c r="C47" s="15">
        <f>(SUMIFS('MAIN DATA, Orders'!$S:$S,'MAIN DATA, Orders'!$Y:$Y,$A47,'MAIN DATA, Orders'!$D:$D,"United Kingdom",'MAIN DATA, Orders'!$I:$I,"Air defence system")/1000000000)</f>
        <v>0</v>
      </c>
      <c r="D47" s="15">
        <f>(SUMIFS('MAIN DATA, Orders'!$S:$S,'MAIN DATA, Orders'!$Y:$Y,$A47,'MAIN DATA, Orders'!$D:$D,"United Kingdom",'MAIN DATA, Orders'!$I:$I,"Development - Air defence system")/1000000000)</f>
        <v>0</v>
      </c>
      <c r="E47" s="15">
        <f>(SUMIFS('MAIN DATA, Orders'!$S:$S,'MAIN DATA, Orders'!$Y:$Y,$A47,'MAIN DATA, Orders'!$D:$D,"United Kingdom",'MAIN DATA, Orders'!$I:$I,"Aircraft")/1000000000)</f>
        <v>0</v>
      </c>
      <c r="F47" s="15">
        <f>(SUMIFS('MAIN DATA, Orders'!$S:$S,'MAIN DATA, Orders'!$Y:$Y,$A47,'MAIN DATA, Orders'!$D:$D,"United Kingdom",'MAIN DATA, Orders'!$I:$I,"Development - Aircraft")/1000000000)</f>
        <v>0</v>
      </c>
      <c r="G47" s="15">
        <f>(SUMIFS('MAIN DATA, Orders'!$S:$S,'MAIN DATA, Orders'!$Y:$Y,$A47,'MAIN DATA, Orders'!$D:$D,"United Kingdom",'MAIN DATA, Orders'!$I:$I,"Ammunition")/1000000000)</f>
        <v>0</v>
      </c>
      <c r="H47" s="15">
        <f>(SUMIFS('MAIN DATA, Orders'!$S:$S,'MAIN DATA, Orders'!$Y:$Y,$A47,'MAIN DATA, Orders'!$D:$D,"United Kingdom",'MAIN DATA, Orders'!$I:$I,"Development - Ammunition")/1000000000)</f>
        <v>0</v>
      </c>
      <c r="I47" s="15">
        <f>(SUMIFS('MAIN DATA, Orders'!$S:$S,'MAIN DATA, Orders'!$Y:$Y,$A47,'MAIN DATA, Orders'!$D:$D,"United Kingdom",'MAIN DATA, Orders'!$I:$I,"Armoured vehicle")/1000000000)</f>
        <v>0</v>
      </c>
      <c r="J47" s="15">
        <f>(SUMIFS('MAIN DATA, Orders'!$S:$S,'MAIN DATA, Orders'!$Y:$Y,$A47,'MAIN DATA, Orders'!$D:$D,"United Kingdom",'MAIN DATA, Orders'!$I:$I,"Development - Armoured vehicle")/1000000000)</f>
        <v>0</v>
      </c>
      <c r="K47" s="15">
        <f>(SUMIFS('MAIN DATA, Orders'!$S:$S,'MAIN DATA, Orders'!$Y:$Y,$A47,'MAIN DATA, Orders'!$D:$D,"United Kingdom",'MAIN DATA, Orders'!$I:$I,"Artillery")/1000000000)</f>
        <v>0</v>
      </c>
      <c r="L47" s="15">
        <f>(SUMIFS('MAIN DATA, Orders'!$S:$S,'MAIN DATA, Orders'!$Y:$Y,$A47,'MAIN DATA, Orders'!$D:$D,"United Kingdom",'MAIN DATA, Orders'!$I:$I,"Development - Artillery")/1000000000)</f>
        <v>0</v>
      </c>
      <c r="M47" s="15">
        <f>(SUMIFS('MAIN DATA, Orders'!$S:$S,'MAIN DATA, Orders'!$Y:$Y,$A47,'MAIN DATA, Orders'!$D:$D,"United Kingdom",'MAIN DATA, Orders'!$I:$I,"Drone")/1000000000)</f>
        <v>0</v>
      </c>
      <c r="N47" s="15">
        <f>(SUMIFS('MAIN DATA, Orders'!$S:$S,'MAIN DATA, Orders'!$Y:$Y,$A47,'MAIN DATA, Orders'!$D:$D,"United Kingdom",'MAIN DATA, Orders'!$I:$I,"Development - Drone")/1000000000)</f>
        <v>0</v>
      </c>
      <c r="O47" s="15">
        <f>(SUMIFS('MAIN DATA, Orders'!$S:$S,'MAIN DATA, Orders'!$Y:$Y,$A47,'MAIN DATA, Orders'!$D:$D,"United Kingdom",'MAIN DATA, Orders'!$I:$I,"Helicopter")/1000000000)</f>
        <v>0</v>
      </c>
      <c r="P47" s="15">
        <f>(SUMIFS('MAIN DATA, Orders'!$S:$S,'MAIN DATA, Orders'!$Y:$Y,$A47,'MAIN DATA, Orders'!$D:$D,"United Kingdom",'MAIN DATA, Orders'!$I:$I,"Development - Helicopter")/1000000000)</f>
        <v>0</v>
      </c>
      <c r="Q47" s="15">
        <f>(SUMIFS('MAIN DATA, Orders'!$S:$S,'MAIN DATA, Orders'!$Y:$Y,$A47,'MAIN DATA, Orders'!$D:$D,"United Kingdom",'MAIN DATA, Orders'!$I:$I,"Infantry")/1000000000)</f>
        <v>0</v>
      </c>
      <c r="R47" s="15">
        <f>(SUMIFS('MAIN DATA, Orders'!$S:$S,'MAIN DATA, Orders'!$Y:$Y,$A47,'MAIN DATA, Orders'!$D:$D,"United Kingdom",'MAIN DATA, Orders'!$I:$I,"Development - Infantry")/1000000000)</f>
        <v>0</v>
      </c>
      <c r="S47" s="15">
        <f>(SUMIFS('MAIN DATA, Orders'!$S:$S,'MAIN DATA, Orders'!$Y:$Y,$A47,'MAIN DATA, Orders'!$D:$D,"United Kingdom",'MAIN DATA, Orders'!$I:$I,"Tank")/1000000000)</f>
        <v>0</v>
      </c>
      <c r="T47" s="15">
        <f>(SUMIFS('MAIN DATA, Orders'!$S:$S,'MAIN DATA, Orders'!$Y:$Y,$A47,'MAIN DATA, Orders'!$D:$D,"United Kingdom",'MAIN DATA, Orders'!$I:$I,"Development - Tank")/1000000000)</f>
        <v>0</v>
      </c>
      <c r="U47" s="15">
        <f>(SUMIFS('MAIN DATA, Orders'!$S:$S,'MAIN DATA, Orders'!$Y:$Y,$A47,'MAIN DATA, Orders'!$D:$D,"United Kingdom",'MAIN DATA, Orders'!$I:$I,"Maintenance")/1000000000)</f>
        <v>0.32</v>
      </c>
      <c r="V47" s="15">
        <f>(SUMIFS('MAIN DATA, Orders'!$S:$S,'MAIN DATA, Orders'!$Y:$Y,$A47,'MAIN DATA, Orders'!$D:$D,"United Kingdom",'MAIN DATA, Orders'!$I:$I,"Development - Maintenance")/1000000000)</f>
        <v>0</v>
      </c>
      <c r="W47" s="15">
        <f>(SUMIFS('MAIN DATA, Orders'!$S:$S,'MAIN DATA, Orders'!$Y:$Y,$A47,'MAIN DATA, Orders'!$D:$D,"United Kingdom",'MAIN DATA, Orders'!$I:$I,"Mine")/1000000000)</f>
        <v>0</v>
      </c>
      <c r="X47" s="15">
        <f>(SUMIFS('MAIN DATA, Orders'!$S:$S,'MAIN DATA, Orders'!$Y:$Y,$A47,'MAIN DATA, Orders'!$D:$D,"United Kingdom",'MAIN DATA, Orders'!$I:$I,"Development - Mine")/1000000000)</f>
        <v>0</v>
      </c>
      <c r="Y47" s="15">
        <f>(SUMIFS('MAIN DATA, Orders'!$S:$S,'MAIN DATA, Orders'!$Y:$Y,$A47,'MAIN DATA, Orders'!$D:$D,"United Kingdom",'MAIN DATA, Orders'!$J:$J,"6")/1000000000)</f>
        <v>0</v>
      </c>
      <c r="Z47" s="15" cm="1">
        <f t="array" ref="Z47">SUM(SUMIFS('MAIN DATA, Orders'!$S:$S,'MAIN DATA, Orders'!$Y:$Y,$A47,'MAIN DATA, Orders'!$D:$D,"United Kingdom",'MAIN DATA, Orders'!$I:$I,{"Development - Missile (Land)","Development - Missile (Naval)","Development - Missile (Air)"})/1000000000)</f>
        <v>0</v>
      </c>
      <c r="AA47" s="15">
        <f>(SUMIFS('MAIN DATA, Orders'!$S:$S,'MAIN DATA, Orders'!$Y:$Y,$A47,'MAIN DATA, Orders'!$D:$D,"United Kingdom",'MAIN DATA, Orders'!$I:$I,"Modernisation")/1000000000)</f>
        <v>0</v>
      </c>
      <c r="AB47" s="15">
        <f>(SUMIFS('MAIN DATA, Orders'!$S:$S,'MAIN DATA, Orders'!$Y:$Y,$A47,'MAIN DATA, Orders'!$D:$D,"United Kingdom",'MAIN DATA, Orders'!$I:$I,"Development - Modernisation")/1000000000)</f>
        <v>0</v>
      </c>
      <c r="AC47" s="15">
        <f>(SUMIFS('MAIN DATA, Orders'!$S:$S,'MAIN DATA, Orders'!$Y:$Y,$A47,'MAIN DATA, Orders'!$D:$D,"United Kingdom",'MAIN DATA, Orders'!$I:$I,"Naval")/1000000000)</f>
        <v>0</v>
      </c>
      <c r="AD47" s="15">
        <f>(SUMIFS('MAIN DATA, Orders'!$S:$S,'MAIN DATA, Orders'!$Y:$Y,$A47,'MAIN DATA, Orders'!$D:$D,"United Kingdom",'MAIN DATA, Orders'!$I:$I,"Development - Naval")/1000000000)</f>
        <v>0</v>
      </c>
      <c r="AE47" s="15">
        <f>(SUMIFS('MAIN DATA, Orders'!$S:$S,'MAIN DATA, Orders'!$Y:$Y,$A47,'MAIN DATA, Orders'!$D:$D,"United Kingdom",'MAIN DATA, Orders'!$I:$I,"Other")/1000000000)</f>
        <v>0</v>
      </c>
      <c r="AF47" s="15">
        <f>(SUMIFS('MAIN DATA, Orders'!$S:$S,'MAIN DATA, Orders'!$Y:$Y,$A47,'MAIN DATA, Orders'!$D:$D,"United Kingdom",'MAIN DATA, Orders'!$I:$I,"Development - Other")/1000000000)</f>
        <v>0</v>
      </c>
      <c r="AG47" s="15"/>
      <c r="AH47" s="15" cm="1">
        <f t="array" ref="AH47">SUM(SUMIFS('MAIN DATA, Orders'!$S:$S,'MAIN DATA, Orders'!$Y:$Y,$A47,'MAIN DATA, Orders'!$D:$D,"United Kingdom",'MAIN DATA, Orders'!$I:$I,{"Missile (Land)","Development - Missile (Land)"})/1000000000)</f>
        <v>0</v>
      </c>
      <c r="AI47" s="15" cm="1">
        <f t="array" ref="AI47">SUM(SUMIFS('MAIN DATA, Orders'!$S:$S,'MAIN DATA, Orders'!$D:$D,"United Kingdom",'MAIN DATA, Orders'!$I:$I,{"Missile (Air)","Development - Missile (Air)"},'MAIN DATA, Orders'!$Y:$Y,$A47)/1000000000)</f>
        <v>0</v>
      </c>
      <c r="AJ47" s="15" cm="1">
        <f t="array" ref="AJ47">SUM(SUMIFS('MAIN DATA, Orders'!$S:$S,'MAIN DATA, Orders'!$Y:$Y,$A47,'MAIN DATA, Orders'!$D:$D,"United Kingdom",'MAIN DATA, Orders'!$I:$I,{"Missile (Naval)","Development - Missile (Naval)"})/1000000000)</f>
        <v>0</v>
      </c>
    </row>
    <row r="48" spans="1:36" x14ac:dyDescent="0.35">
      <c r="A48" s="20">
        <v>202306</v>
      </c>
      <c r="B48" s="17">
        <v>45078</v>
      </c>
      <c r="C48" s="15">
        <f>(SUMIFS('MAIN DATA, Orders'!$S:$S,'MAIN DATA, Orders'!$Y:$Y,$A48,'MAIN DATA, Orders'!$D:$D,"United Kingdom",'MAIN DATA, Orders'!$I:$I,"Air defence system")/1000000000)</f>
        <v>0</v>
      </c>
      <c r="D48" s="15">
        <f>(SUMIFS('MAIN DATA, Orders'!$S:$S,'MAIN DATA, Orders'!$Y:$Y,$A48,'MAIN DATA, Orders'!$D:$D,"United Kingdom",'MAIN DATA, Orders'!$I:$I,"Development - Air defence system")/1000000000)</f>
        <v>0</v>
      </c>
      <c r="E48" s="15">
        <f>(SUMIFS('MAIN DATA, Orders'!$S:$S,'MAIN DATA, Orders'!$Y:$Y,$A48,'MAIN DATA, Orders'!$D:$D,"United Kingdom",'MAIN DATA, Orders'!$I:$I,"Aircraft")/1000000000)</f>
        <v>0</v>
      </c>
      <c r="F48" s="15">
        <f>(SUMIFS('MAIN DATA, Orders'!$S:$S,'MAIN DATA, Orders'!$Y:$Y,$A48,'MAIN DATA, Orders'!$D:$D,"United Kingdom",'MAIN DATA, Orders'!$I:$I,"Development - Aircraft")/1000000000)</f>
        <v>0</v>
      </c>
      <c r="G48" s="15">
        <f>(SUMIFS('MAIN DATA, Orders'!$S:$S,'MAIN DATA, Orders'!$Y:$Y,$A48,'MAIN DATA, Orders'!$D:$D,"United Kingdom",'MAIN DATA, Orders'!$I:$I,"Ammunition")/1000000000)</f>
        <v>0</v>
      </c>
      <c r="H48" s="15">
        <f>(SUMIFS('MAIN DATA, Orders'!$S:$S,'MAIN DATA, Orders'!$Y:$Y,$A48,'MAIN DATA, Orders'!$D:$D,"United Kingdom",'MAIN DATA, Orders'!$I:$I,"Development - Ammunition")/1000000000)</f>
        <v>0</v>
      </c>
      <c r="I48" s="15">
        <f>(SUMIFS('MAIN DATA, Orders'!$S:$S,'MAIN DATA, Orders'!$Y:$Y,$A48,'MAIN DATA, Orders'!$D:$D,"United Kingdom",'MAIN DATA, Orders'!$I:$I,"Armoured vehicle")/1000000000)</f>
        <v>0</v>
      </c>
      <c r="J48" s="15">
        <f>(SUMIFS('MAIN DATA, Orders'!$S:$S,'MAIN DATA, Orders'!$Y:$Y,$A48,'MAIN DATA, Orders'!$D:$D,"United Kingdom",'MAIN DATA, Orders'!$I:$I,"Development - Armoured vehicle")/1000000000)</f>
        <v>0</v>
      </c>
      <c r="K48" s="15">
        <f>(SUMIFS('MAIN DATA, Orders'!$S:$S,'MAIN DATA, Orders'!$Y:$Y,$A48,'MAIN DATA, Orders'!$D:$D,"United Kingdom",'MAIN DATA, Orders'!$I:$I,"Artillery")/1000000000)</f>
        <v>0</v>
      </c>
      <c r="L48" s="15">
        <f>(SUMIFS('MAIN DATA, Orders'!$S:$S,'MAIN DATA, Orders'!$Y:$Y,$A48,'MAIN DATA, Orders'!$D:$D,"United Kingdom",'MAIN DATA, Orders'!$I:$I,"Development - Artillery")/1000000000)</f>
        <v>0</v>
      </c>
      <c r="M48" s="15">
        <f>(SUMIFS('MAIN DATA, Orders'!$S:$S,'MAIN DATA, Orders'!$Y:$Y,$A48,'MAIN DATA, Orders'!$D:$D,"United Kingdom",'MAIN DATA, Orders'!$I:$I,"Drone")/1000000000)</f>
        <v>0</v>
      </c>
      <c r="N48" s="15">
        <f>(SUMIFS('MAIN DATA, Orders'!$S:$S,'MAIN DATA, Orders'!$Y:$Y,$A48,'MAIN DATA, Orders'!$D:$D,"United Kingdom",'MAIN DATA, Orders'!$I:$I,"Development - Drone")/1000000000)</f>
        <v>0</v>
      </c>
      <c r="O48" s="15">
        <f>(SUMIFS('MAIN DATA, Orders'!$S:$S,'MAIN DATA, Orders'!$Y:$Y,$A48,'MAIN DATA, Orders'!$D:$D,"United Kingdom",'MAIN DATA, Orders'!$I:$I,"Helicopter")/1000000000)</f>
        <v>0</v>
      </c>
      <c r="P48" s="15">
        <f>(SUMIFS('MAIN DATA, Orders'!$S:$S,'MAIN DATA, Orders'!$Y:$Y,$A48,'MAIN DATA, Orders'!$D:$D,"United Kingdom",'MAIN DATA, Orders'!$I:$I,"Development - Helicopter")/1000000000)</f>
        <v>0</v>
      </c>
      <c r="Q48" s="15">
        <f>(SUMIFS('MAIN DATA, Orders'!$S:$S,'MAIN DATA, Orders'!$Y:$Y,$A48,'MAIN DATA, Orders'!$D:$D,"United Kingdom",'MAIN DATA, Orders'!$I:$I,"Infantry")/1000000000)</f>
        <v>0</v>
      </c>
      <c r="R48" s="15">
        <f>(SUMIFS('MAIN DATA, Orders'!$S:$S,'MAIN DATA, Orders'!$Y:$Y,$A48,'MAIN DATA, Orders'!$D:$D,"United Kingdom",'MAIN DATA, Orders'!$I:$I,"Development - Infantry")/1000000000)</f>
        <v>0</v>
      </c>
      <c r="S48" s="15">
        <f>(SUMIFS('MAIN DATA, Orders'!$S:$S,'MAIN DATA, Orders'!$Y:$Y,$A48,'MAIN DATA, Orders'!$D:$D,"United Kingdom",'MAIN DATA, Orders'!$I:$I,"Tank")/1000000000)</f>
        <v>0</v>
      </c>
      <c r="T48" s="15">
        <f>(SUMIFS('MAIN DATA, Orders'!$S:$S,'MAIN DATA, Orders'!$Y:$Y,$A48,'MAIN DATA, Orders'!$D:$D,"United Kingdom",'MAIN DATA, Orders'!$I:$I,"Development - Tank")/1000000000)</f>
        <v>0</v>
      </c>
      <c r="U48" s="15">
        <f>(SUMIFS('MAIN DATA, Orders'!$S:$S,'MAIN DATA, Orders'!$Y:$Y,$A48,'MAIN DATA, Orders'!$D:$D,"United Kingdom",'MAIN DATA, Orders'!$I:$I,"Maintenance")/1000000000)</f>
        <v>0</v>
      </c>
      <c r="V48" s="15">
        <f>(SUMIFS('MAIN DATA, Orders'!$S:$S,'MAIN DATA, Orders'!$Y:$Y,$A48,'MAIN DATA, Orders'!$D:$D,"United Kingdom",'MAIN DATA, Orders'!$I:$I,"Development - Maintenance")/1000000000)</f>
        <v>0</v>
      </c>
      <c r="W48" s="15">
        <f>(SUMIFS('MAIN DATA, Orders'!$S:$S,'MAIN DATA, Orders'!$Y:$Y,$A48,'MAIN DATA, Orders'!$D:$D,"United Kingdom",'MAIN DATA, Orders'!$I:$I,"Mine")/1000000000)</f>
        <v>0</v>
      </c>
      <c r="X48" s="15">
        <f>(SUMIFS('MAIN DATA, Orders'!$S:$S,'MAIN DATA, Orders'!$Y:$Y,$A48,'MAIN DATA, Orders'!$D:$D,"United Kingdom",'MAIN DATA, Orders'!$I:$I,"Development - Mine")/1000000000)</f>
        <v>0</v>
      </c>
      <c r="Y48" s="15">
        <f>(SUMIFS('MAIN DATA, Orders'!$S:$S,'MAIN DATA, Orders'!$Y:$Y,$A48,'MAIN DATA, Orders'!$D:$D,"United Kingdom",'MAIN DATA, Orders'!$J:$J,"6")/1000000000)</f>
        <v>0</v>
      </c>
      <c r="Z48" s="15" cm="1">
        <f t="array" ref="Z48">SUM(SUMIFS('MAIN DATA, Orders'!$S:$S,'MAIN DATA, Orders'!$Y:$Y,$A48,'MAIN DATA, Orders'!$D:$D,"United Kingdom",'MAIN DATA, Orders'!$I:$I,{"Development - Missile (Land)","Development - Missile (Naval)","Development - Missile (Air)"})/1000000000)</f>
        <v>0</v>
      </c>
      <c r="AA48" s="15">
        <f>(SUMIFS('MAIN DATA, Orders'!$S:$S,'MAIN DATA, Orders'!$Y:$Y,$A48,'MAIN DATA, Orders'!$D:$D,"United Kingdom",'MAIN DATA, Orders'!$I:$I,"Modernisation")/1000000000)</f>
        <v>4.5999999999999999E-2</v>
      </c>
      <c r="AB48" s="15">
        <f>(SUMIFS('MAIN DATA, Orders'!$S:$S,'MAIN DATA, Orders'!$Y:$Y,$A48,'MAIN DATA, Orders'!$D:$D,"United Kingdom",'MAIN DATA, Orders'!$I:$I,"Development - Modernisation")/1000000000)</f>
        <v>0</v>
      </c>
      <c r="AC48" s="15">
        <f>(SUMIFS('MAIN DATA, Orders'!$S:$S,'MAIN DATA, Orders'!$Y:$Y,$A48,'MAIN DATA, Orders'!$D:$D,"United Kingdom",'MAIN DATA, Orders'!$I:$I,"Naval")/1000000000)</f>
        <v>0.27</v>
      </c>
      <c r="AD48" s="15">
        <f>(SUMIFS('MAIN DATA, Orders'!$S:$S,'MAIN DATA, Orders'!$Y:$Y,$A48,'MAIN DATA, Orders'!$D:$D,"United Kingdom",'MAIN DATA, Orders'!$I:$I,"Development - Naval")/1000000000)</f>
        <v>0</v>
      </c>
      <c r="AE48" s="15">
        <f>(SUMIFS('MAIN DATA, Orders'!$S:$S,'MAIN DATA, Orders'!$Y:$Y,$A48,'MAIN DATA, Orders'!$D:$D,"United Kingdom",'MAIN DATA, Orders'!$I:$I,"Other")/1000000000)</f>
        <v>0.125</v>
      </c>
      <c r="AF48" s="15">
        <f>(SUMIFS('MAIN DATA, Orders'!$S:$S,'MAIN DATA, Orders'!$Y:$Y,$A48,'MAIN DATA, Orders'!$D:$D,"United Kingdom",'MAIN DATA, Orders'!$I:$I,"Development - Other")/1000000000)</f>
        <v>0</v>
      </c>
      <c r="AG48" s="15"/>
      <c r="AH48" s="15" cm="1">
        <f t="array" ref="AH48">SUM(SUMIFS('MAIN DATA, Orders'!$S:$S,'MAIN DATA, Orders'!$Y:$Y,$A48,'MAIN DATA, Orders'!$D:$D,"United Kingdom",'MAIN DATA, Orders'!$I:$I,{"Missile (Land)","Development - Missile (Land)"})/1000000000)</f>
        <v>0</v>
      </c>
      <c r="AI48" s="15" cm="1">
        <f t="array" ref="AI48">SUM(SUMIFS('MAIN DATA, Orders'!$S:$S,'MAIN DATA, Orders'!$D:$D,"United Kingdom",'MAIN DATA, Orders'!$I:$I,{"Missile (Air)","Development - Missile (Air)"},'MAIN DATA, Orders'!$Y:$Y,$A48)/1000000000)</f>
        <v>0</v>
      </c>
      <c r="AJ48" s="15" cm="1">
        <f t="array" ref="AJ48">SUM(SUMIFS('MAIN DATA, Orders'!$S:$S,'MAIN DATA, Orders'!$Y:$Y,$A48,'MAIN DATA, Orders'!$D:$D,"United Kingdom",'MAIN DATA, Orders'!$I:$I,{"Missile (Naval)","Development - Missile (Naval)"})/1000000000)</f>
        <v>0</v>
      </c>
    </row>
    <row r="49" spans="1:36" x14ac:dyDescent="0.35">
      <c r="A49" s="20">
        <v>202307</v>
      </c>
      <c r="B49" s="17">
        <v>45108</v>
      </c>
      <c r="C49" s="15">
        <f>(SUMIFS('MAIN DATA, Orders'!$S:$S,'MAIN DATA, Orders'!$Y:$Y,$A49,'MAIN DATA, Orders'!$D:$D,"United Kingdom",'MAIN DATA, Orders'!$I:$I,"Air defence system")/1000000000)</f>
        <v>0</v>
      </c>
      <c r="D49" s="15">
        <f>(SUMIFS('MAIN DATA, Orders'!$S:$S,'MAIN DATA, Orders'!$Y:$Y,$A49,'MAIN DATA, Orders'!$D:$D,"United Kingdom",'MAIN DATA, Orders'!$I:$I,"Development - Air defence system")/1000000000)</f>
        <v>0</v>
      </c>
      <c r="E49" s="15">
        <f>(SUMIFS('MAIN DATA, Orders'!$S:$S,'MAIN DATA, Orders'!$Y:$Y,$A49,'MAIN DATA, Orders'!$D:$D,"United Kingdom",'MAIN DATA, Orders'!$I:$I,"Aircraft")/1000000000)</f>
        <v>0</v>
      </c>
      <c r="F49" s="15">
        <f>(SUMIFS('MAIN DATA, Orders'!$S:$S,'MAIN DATA, Orders'!$Y:$Y,$A49,'MAIN DATA, Orders'!$D:$D,"United Kingdom",'MAIN DATA, Orders'!$I:$I,"Development - Aircraft")/1000000000)</f>
        <v>0.115</v>
      </c>
      <c r="G49" s="15">
        <f>(SUMIFS('MAIN DATA, Orders'!$S:$S,'MAIN DATA, Orders'!$Y:$Y,$A49,'MAIN DATA, Orders'!$D:$D,"United Kingdom",'MAIN DATA, Orders'!$I:$I,"Ammunition")/1000000000)</f>
        <v>0</v>
      </c>
      <c r="H49" s="15">
        <f>(SUMIFS('MAIN DATA, Orders'!$S:$S,'MAIN DATA, Orders'!$Y:$Y,$A49,'MAIN DATA, Orders'!$D:$D,"United Kingdom",'MAIN DATA, Orders'!$I:$I,"Development - Ammunition")/1000000000)</f>
        <v>0</v>
      </c>
      <c r="I49" s="15">
        <f>(SUMIFS('MAIN DATA, Orders'!$S:$S,'MAIN DATA, Orders'!$Y:$Y,$A49,'MAIN DATA, Orders'!$D:$D,"United Kingdom",'MAIN DATA, Orders'!$I:$I,"Armoured vehicle")/1000000000)</f>
        <v>0</v>
      </c>
      <c r="J49" s="15">
        <f>(SUMIFS('MAIN DATA, Orders'!$S:$S,'MAIN DATA, Orders'!$Y:$Y,$A49,'MAIN DATA, Orders'!$D:$D,"United Kingdom",'MAIN DATA, Orders'!$I:$I,"Development - Armoured vehicle")/1000000000)</f>
        <v>0</v>
      </c>
      <c r="K49" s="15">
        <f>(SUMIFS('MAIN DATA, Orders'!$S:$S,'MAIN DATA, Orders'!$Y:$Y,$A49,'MAIN DATA, Orders'!$D:$D,"United Kingdom",'MAIN DATA, Orders'!$I:$I,"Artillery")/1000000000)</f>
        <v>0</v>
      </c>
      <c r="L49" s="15">
        <f>(SUMIFS('MAIN DATA, Orders'!$S:$S,'MAIN DATA, Orders'!$Y:$Y,$A49,'MAIN DATA, Orders'!$D:$D,"United Kingdom",'MAIN DATA, Orders'!$I:$I,"Development - Artillery")/1000000000)</f>
        <v>0</v>
      </c>
      <c r="M49" s="15">
        <f>(SUMIFS('MAIN DATA, Orders'!$S:$S,'MAIN DATA, Orders'!$Y:$Y,$A49,'MAIN DATA, Orders'!$D:$D,"United Kingdom",'MAIN DATA, Orders'!$I:$I,"Drone")/1000000000)</f>
        <v>0</v>
      </c>
      <c r="N49" s="15">
        <f>(SUMIFS('MAIN DATA, Orders'!$S:$S,'MAIN DATA, Orders'!$Y:$Y,$A49,'MAIN DATA, Orders'!$D:$D,"United Kingdom",'MAIN DATA, Orders'!$I:$I,"Development - Drone")/1000000000)</f>
        <v>0</v>
      </c>
      <c r="O49" s="15">
        <f>(SUMIFS('MAIN DATA, Orders'!$S:$S,'MAIN DATA, Orders'!$Y:$Y,$A49,'MAIN DATA, Orders'!$D:$D,"United Kingdom",'MAIN DATA, Orders'!$I:$I,"Helicopter")/1000000000)</f>
        <v>0</v>
      </c>
      <c r="P49" s="15">
        <f>(SUMIFS('MAIN DATA, Orders'!$S:$S,'MAIN DATA, Orders'!$Y:$Y,$A49,'MAIN DATA, Orders'!$D:$D,"United Kingdom",'MAIN DATA, Orders'!$I:$I,"Development - Helicopter")/1000000000)</f>
        <v>0</v>
      </c>
      <c r="Q49" s="15">
        <f>(SUMIFS('MAIN DATA, Orders'!$S:$S,'MAIN DATA, Orders'!$Y:$Y,$A49,'MAIN DATA, Orders'!$D:$D,"United Kingdom",'MAIN DATA, Orders'!$I:$I,"Infantry")/1000000000)</f>
        <v>0</v>
      </c>
      <c r="R49" s="15">
        <f>(SUMIFS('MAIN DATA, Orders'!$S:$S,'MAIN DATA, Orders'!$Y:$Y,$A49,'MAIN DATA, Orders'!$D:$D,"United Kingdom",'MAIN DATA, Orders'!$I:$I,"Development - Infantry")/1000000000)</f>
        <v>0</v>
      </c>
      <c r="S49" s="15">
        <f>(SUMIFS('MAIN DATA, Orders'!$S:$S,'MAIN DATA, Orders'!$Y:$Y,$A49,'MAIN DATA, Orders'!$D:$D,"United Kingdom",'MAIN DATA, Orders'!$I:$I,"Tank")/1000000000)</f>
        <v>0.02</v>
      </c>
      <c r="T49" s="15">
        <f>(SUMIFS('MAIN DATA, Orders'!$S:$S,'MAIN DATA, Orders'!$Y:$Y,$A49,'MAIN DATA, Orders'!$D:$D,"United Kingdom",'MAIN DATA, Orders'!$I:$I,"Development - Tank")/1000000000)</f>
        <v>0</v>
      </c>
      <c r="U49" s="15">
        <f>(SUMIFS('MAIN DATA, Orders'!$S:$S,'MAIN DATA, Orders'!$Y:$Y,$A49,'MAIN DATA, Orders'!$D:$D,"United Kingdom",'MAIN DATA, Orders'!$I:$I,"Maintenance")/1000000000)</f>
        <v>0.05</v>
      </c>
      <c r="V49" s="15">
        <f>(SUMIFS('MAIN DATA, Orders'!$S:$S,'MAIN DATA, Orders'!$Y:$Y,$A49,'MAIN DATA, Orders'!$D:$D,"United Kingdom",'MAIN DATA, Orders'!$I:$I,"Development - Maintenance")/1000000000)</f>
        <v>0</v>
      </c>
      <c r="W49" s="15">
        <f>(SUMIFS('MAIN DATA, Orders'!$S:$S,'MAIN DATA, Orders'!$Y:$Y,$A49,'MAIN DATA, Orders'!$D:$D,"United Kingdom",'MAIN DATA, Orders'!$I:$I,"Mine")/1000000000)</f>
        <v>0</v>
      </c>
      <c r="X49" s="15">
        <f>(SUMIFS('MAIN DATA, Orders'!$S:$S,'MAIN DATA, Orders'!$Y:$Y,$A49,'MAIN DATA, Orders'!$D:$D,"United Kingdom",'MAIN DATA, Orders'!$I:$I,"Development - Mine")/1000000000)</f>
        <v>0</v>
      </c>
      <c r="Y49" s="15">
        <f>(SUMIFS('MAIN DATA, Orders'!$S:$S,'MAIN DATA, Orders'!$Y:$Y,$A49,'MAIN DATA, Orders'!$D:$D,"United Kingdom",'MAIN DATA, Orders'!$J:$J,"6")/1000000000)</f>
        <v>0</v>
      </c>
      <c r="Z49" s="15" cm="1">
        <f t="array" ref="Z49">SUM(SUMIFS('MAIN DATA, Orders'!$S:$S,'MAIN DATA, Orders'!$Y:$Y,$A49,'MAIN DATA, Orders'!$D:$D,"United Kingdom",'MAIN DATA, Orders'!$I:$I,{"Development - Missile (Land)","Development - Missile (Naval)","Development - Missile (Air)"})/1000000000)</f>
        <v>0</v>
      </c>
      <c r="AA49" s="15">
        <f>(SUMIFS('MAIN DATA, Orders'!$S:$S,'MAIN DATA, Orders'!$Y:$Y,$A49,'MAIN DATA, Orders'!$D:$D,"United Kingdom",'MAIN DATA, Orders'!$I:$I,"Modernisation")/1000000000)</f>
        <v>0</v>
      </c>
      <c r="AB49" s="15">
        <f>(SUMIFS('MAIN DATA, Orders'!$S:$S,'MAIN DATA, Orders'!$Y:$Y,$A49,'MAIN DATA, Orders'!$D:$D,"United Kingdom",'MAIN DATA, Orders'!$I:$I,"Development - Modernisation")/1000000000)</f>
        <v>0</v>
      </c>
      <c r="AC49" s="15">
        <f>(SUMIFS('MAIN DATA, Orders'!$S:$S,'MAIN DATA, Orders'!$Y:$Y,$A49,'MAIN DATA, Orders'!$D:$D,"United Kingdom",'MAIN DATA, Orders'!$I:$I,"Naval")/1000000000)</f>
        <v>0.16900000000000001</v>
      </c>
      <c r="AD49" s="15">
        <f>(SUMIFS('MAIN DATA, Orders'!$S:$S,'MAIN DATA, Orders'!$Y:$Y,$A49,'MAIN DATA, Orders'!$D:$D,"United Kingdom",'MAIN DATA, Orders'!$I:$I,"Development - Naval")/1000000000)</f>
        <v>0</v>
      </c>
      <c r="AE49" s="15">
        <f>(SUMIFS('MAIN DATA, Orders'!$S:$S,'MAIN DATA, Orders'!$Y:$Y,$A49,'MAIN DATA, Orders'!$D:$D,"United Kingdom",'MAIN DATA, Orders'!$I:$I,"Other")/1000000000)</f>
        <v>0</v>
      </c>
      <c r="AF49" s="15">
        <f>(SUMIFS('MAIN DATA, Orders'!$S:$S,'MAIN DATA, Orders'!$Y:$Y,$A49,'MAIN DATA, Orders'!$D:$D,"United Kingdom",'MAIN DATA, Orders'!$I:$I,"Development - Other")/1000000000)</f>
        <v>0</v>
      </c>
      <c r="AG49" s="15"/>
      <c r="AH49" s="15" cm="1">
        <f t="array" ref="AH49">SUM(SUMIFS('MAIN DATA, Orders'!$S:$S,'MAIN DATA, Orders'!$Y:$Y,$A49,'MAIN DATA, Orders'!$D:$D,"United Kingdom",'MAIN DATA, Orders'!$I:$I,{"Missile (Land)","Development - Missile (Land)"})/1000000000)</f>
        <v>0</v>
      </c>
      <c r="AI49" s="15" cm="1">
        <f t="array" ref="AI49">SUM(SUMIFS('MAIN DATA, Orders'!$S:$S,'MAIN DATA, Orders'!$D:$D,"United Kingdom",'MAIN DATA, Orders'!$I:$I,{"Missile (Air)","Development - Missile (Air)"},'MAIN DATA, Orders'!$Y:$Y,$A49)/1000000000)</f>
        <v>0</v>
      </c>
      <c r="AJ49" s="15" cm="1">
        <f t="array" ref="AJ49">SUM(SUMIFS('MAIN DATA, Orders'!$S:$S,'MAIN DATA, Orders'!$Y:$Y,$A49,'MAIN DATA, Orders'!$D:$D,"United Kingdom",'MAIN DATA, Orders'!$I:$I,{"Missile (Naval)","Development - Missile (Naval)"})/1000000000)</f>
        <v>0</v>
      </c>
    </row>
    <row r="50" spans="1:36" x14ac:dyDescent="0.35">
      <c r="A50" s="20">
        <v>202308</v>
      </c>
      <c r="B50" s="17">
        <v>45139</v>
      </c>
      <c r="C50" s="15">
        <f>(SUMIFS('MAIN DATA, Orders'!$S:$S,'MAIN DATA, Orders'!$Y:$Y,$A50,'MAIN DATA, Orders'!$D:$D,"United Kingdom",'MAIN DATA, Orders'!$I:$I,"Air defence system")/1000000000)</f>
        <v>0</v>
      </c>
      <c r="D50" s="15">
        <f>(SUMIFS('MAIN DATA, Orders'!$S:$S,'MAIN DATA, Orders'!$Y:$Y,$A50,'MAIN DATA, Orders'!$D:$D,"United Kingdom",'MAIN DATA, Orders'!$I:$I,"Development - Air defence system")/1000000000)</f>
        <v>0</v>
      </c>
      <c r="E50" s="15">
        <f>(SUMIFS('MAIN DATA, Orders'!$S:$S,'MAIN DATA, Orders'!$Y:$Y,$A50,'MAIN DATA, Orders'!$D:$D,"United Kingdom",'MAIN DATA, Orders'!$I:$I,"Aircraft")/1000000000)</f>
        <v>0</v>
      </c>
      <c r="F50" s="15">
        <f>(SUMIFS('MAIN DATA, Orders'!$S:$S,'MAIN DATA, Orders'!$Y:$Y,$A50,'MAIN DATA, Orders'!$D:$D,"United Kingdom",'MAIN DATA, Orders'!$I:$I,"Development - Aircraft")/1000000000)</f>
        <v>0</v>
      </c>
      <c r="G50" s="15">
        <f>(SUMIFS('MAIN DATA, Orders'!$S:$S,'MAIN DATA, Orders'!$Y:$Y,$A50,'MAIN DATA, Orders'!$D:$D,"United Kingdom",'MAIN DATA, Orders'!$I:$I,"Ammunition")/1000000000)</f>
        <v>0</v>
      </c>
      <c r="H50" s="15">
        <f>(SUMIFS('MAIN DATA, Orders'!$S:$S,'MAIN DATA, Orders'!$Y:$Y,$A50,'MAIN DATA, Orders'!$D:$D,"United Kingdom",'MAIN DATA, Orders'!$I:$I,"Development - Ammunition")/1000000000)</f>
        <v>0</v>
      </c>
      <c r="I50" s="15">
        <f>(SUMIFS('MAIN DATA, Orders'!$S:$S,'MAIN DATA, Orders'!$Y:$Y,$A50,'MAIN DATA, Orders'!$D:$D,"United Kingdom",'MAIN DATA, Orders'!$I:$I,"Armoured vehicle")/1000000000)</f>
        <v>0</v>
      </c>
      <c r="J50" s="15">
        <f>(SUMIFS('MAIN DATA, Orders'!$S:$S,'MAIN DATA, Orders'!$Y:$Y,$A50,'MAIN DATA, Orders'!$D:$D,"United Kingdom",'MAIN DATA, Orders'!$I:$I,"Development - Armoured vehicle")/1000000000)</f>
        <v>0</v>
      </c>
      <c r="K50" s="15">
        <f>(SUMIFS('MAIN DATA, Orders'!$S:$S,'MAIN DATA, Orders'!$Y:$Y,$A50,'MAIN DATA, Orders'!$D:$D,"United Kingdom",'MAIN DATA, Orders'!$I:$I,"Artillery")/1000000000)</f>
        <v>0</v>
      </c>
      <c r="L50" s="15">
        <f>(SUMIFS('MAIN DATA, Orders'!$S:$S,'MAIN DATA, Orders'!$Y:$Y,$A50,'MAIN DATA, Orders'!$D:$D,"United Kingdom",'MAIN DATA, Orders'!$I:$I,"Development - Artillery")/1000000000)</f>
        <v>0</v>
      </c>
      <c r="M50" s="15">
        <f>(SUMIFS('MAIN DATA, Orders'!$S:$S,'MAIN DATA, Orders'!$Y:$Y,$A50,'MAIN DATA, Orders'!$D:$D,"United Kingdom",'MAIN DATA, Orders'!$I:$I,"Drone")/1000000000)</f>
        <v>0</v>
      </c>
      <c r="N50" s="15">
        <f>(SUMIFS('MAIN DATA, Orders'!$S:$S,'MAIN DATA, Orders'!$Y:$Y,$A50,'MAIN DATA, Orders'!$D:$D,"United Kingdom",'MAIN DATA, Orders'!$I:$I,"Development - Drone")/1000000000)</f>
        <v>0</v>
      </c>
      <c r="O50" s="15">
        <f>(SUMIFS('MAIN DATA, Orders'!$S:$S,'MAIN DATA, Orders'!$Y:$Y,$A50,'MAIN DATA, Orders'!$D:$D,"United Kingdom",'MAIN DATA, Orders'!$I:$I,"Helicopter")/1000000000)</f>
        <v>0</v>
      </c>
      <c r="P50" s="15">
        <f>(SUMIFS('MAIN DATA, Orders'!$S:$S,'MAIN DATA, Orders'!$Y:$Y,$A50,'MAIN DATA, Orders'!$D:$D,"United Kingdom",'MAIN DATA, Orders'!$I:$I,"Development - Helicopter")/1000000000)</f>
        <v>0</v>
      </c>
      <c r="Q50" s="15">
        <f>(SUMIFS('MAIN DATA, Orders'!$S:$S,'MAIN DATA, Orders'!$Y:$Y,$A50,'MAIN DATA, Orders'!$D:$D,"United Kingdom",'MAIN DATA, Orders'!$I:$I,"Infantry")/1000000000)</f>
        <v>0</v>
      </c>
      <c r="R50" s="15">
        <f>(SUMIFS('MAIN DATA, Orders'!$S:$S,'MAIN DATA, Orders'!$Y:$Y,$A50,'MAIN DATA, Orders'!$D:$D,"United Kingdom",'MAIN DATA, Orders'!$I:$I,"Development - Infantry")/1000000000)</f>
        <v>0</v>
      </c>
      <c r="S50" s="15">
        <f>(SUMIFS('MAIN DATA, Orders'!$S:$S,'MAIN DATA, Orders'!$Y:$Y,$A50,'MAIN DATA, Orders'!$D:$D,"United Kingdom",'MAIN DATA, Orders'!$I:$I,"Tank")/1000000000)</f>
        <v>0</v>
      </c>
      <c r="T50" s="15">
        <f>(SUMIFS('MAIN DATA, Orders'!$S:$S,'MAIN DATA, Orders'!$Y:$Y,$A50,'MAIN DATA, Orders'!$D:$D,"United Kingdom",'MAIN DATA, Orders'!$I:$I,"Development - Tank")/1000000000)</f>
        <v>0</v>
      </c>
      <c r="U50" s="15">
        <f>(SUMIFS('MAIN DATA, Orders'!$S:$S,'MAIN DATA, Orders'!$Y:$Y,$A50,'MAIN DATA, Orders'!$D:$D,"United Kingdom",'MAIN DATA, Orders'!$I:$I,"Maintenance")/1000000000)</f>
        <v>0</v>
      </c>
      <c r="V50" s="15">
        <f>(SUMIFS('MAIN DATA, Orders'!$S:$S,'MAIN DATA, Orders'!$Y:$Y,$A50,'MAIN DATA, Orders'!$D:$D,"United Kingdom",'MAIN DATA, Orders'!$I:$I,"Development - Maintenance")/1000000000)</f>
        <v>0</v>
      </c>
      <c r="W50" s="15">
        <f>(SUMIFS('MAIN DATA, Orders'!$S:$S,'MAIN DATA, Orders'!$Y:$Y,$A50,'MAIN DATA, Orders'!$D:$D,"United Kingdom",'MAIN DATA, Orders'!$I:$I,"Mine")/1000000000)</f>
        <v>0</v>
      </c>
      <c r="X50" s="15">
        <f>(SUMIFS('MAIN DATA, Orders'!$S:$S,'MAIN DATA, Orders'!$Y:$Y,$A50,'MAIN DATA, Orders'!$D:$D,"United Kingdom",'MAIN DATA, Orders'!$I:$I,"Development - Mine")/1000000000)</f>
        <v>0</v>
      </c>
      <c r="Y50" s="15">
        <f>(SUMIFS('MAIN DATA, Orders'!$S:$S,'MAIN DATA, Orders'!$Y:$Y,$A50,'MAIN DATA, Orders'!$D:$D,"United Kingdom",'MAIN DATA, Orders'!$J:$J,"6")/1000000000)</f>
        <v>0</v>
      </c>
      <c r="Z50" s="15" cm="1">
        <f t="array" ref="Z50">SUM(SUMIFS('MAIN DATA, Orders'!$S:$S,'MAIN DATA, Orders'!$Y:$Y,$A50,'MAIN DATA, Orders'!$D:$D,"United Kingdom",'MAIN DATA, Orders'!$I:$I,{"Development - Missile (Land)","Development - Missile (Naval)","Development - Missile (Air)"})/1000000000)</f>
        <v>0</v>
      </c>
      <c r="AA50" s="15">
        <f>(SUMIFS('MAIN DATA, Orders'!$S:$S,'MAIN DATA, Orders'!$Y:$Y,$A50,'MAIN DATA, Orders'!$D:$D,"United Kingdom",'MAIN DATA, Orders'!$I:$I,"Modernisation")/1000000000)</f>
        <v>0</v>
      </c>
      <c r="AB50" s="15">
        <f>(SUMIFS('MAIN DATA, Orders'!$S:$S,'MAIN DATA, Orders'!$Y:$Y,$A50,'MAIN DATA, Orders'!$D:$D,"United Kingdom",'MAIN DATA, Orders'!$I:$I,"Development - Modernisation")/1000000000)</f>
        <v>8.8999999999999996E-2</v>
      </c>
      <c r="AC50" s="15">
        <f>(SUMIFS('MAIN DATA, Orders'!$S:$S,'MAIN DATA, Orders'!$Y:$Y,$A50,'MAIN DATA, Orders'!$D:$D,"United Kingdom",'MAIN DATA, Orders'!$I:$I,"Naval")/1000000000)</f>
        <v>0</v>
      </c>
      <c r="AD50" s="15">
        <f>(SUMIFS('MAIN DATA, Orders'!$S:$S,'MAIN DATA, Orders'!$Y:$Y,$A50,'MAIN DATA, Orders'!$D:$D,"United Kingdom",'MAIN DATA, Orders'!$I:$I,"Development - Naval")/1000000000)</f>
        <v>0</v>
      </c>
      <c r="AE50" s="15">
        <f>(SUMIFS('MAIN DATA, Orders'!$S:$S,'MAIN DATA, Orders'!$Y:$Y,$A50,'MAIN DATA, Orders'!$D:$D,"United Kingdom",'MAIN DATA, Orders'!$I:$I,"Other")/1000000000)</f>
        <v>0</v>
      </c>
      <c r="AF50" s="15">
        <f>(SUMIFS('MAIN DATA, Orders'!$S:$S,'MAIN DATA, Orders'!$Y:$Y,$A50,'MAIN DATA, Orders'!$D:$D,"United Kingdom",'MAIN DATA, Orders'!$I:$I,"Development - Other")/1000000000)</f>
        <v>0</v>
      </c>
      <c r="AG50" s="15"/>
      <c r="AH50" s="15" cm="1">
        <f t="array" ref="AH50">SUM(SUMIFS('MAIN DATA, Orders'!$S:$S,'MAIN DATA, Orders'!$Y:$Y,$A50,'MAIN DATA, Orders'!$D:$D,"United Kingdom",'MAIN DATA, Orders'!$I:$I,{"Missile (Land)","Development - Missile (Land)"})/1000000000)</f>
        <v>0</v>
      </c>
      <c r="AI50" s="15" cm="1">
        <f t="array" ref="AI50">SUM(SUMIFS('MAIN DATA, Orders'!$S:$S,'MAIN DATA, Orders'!$D:$D,"United Kingdom",'MAIN DATA, Orders'!$I:$I,{"Missile (Air)","Development - Missile (Air)"},'MAIN DATA, Orders'!$Y:$Y,$A50)/1000000000)</f>
        <v>0</v>
      </c>
      <c r="AJ50" s="15" cm="1">
        <f t="array" ref="AJ50">SUM(SUMIFS('MAIN DATA, Orders'!$S:$S,'MAIN DATA, Orders'!$Y:$Y,$A50,'MAIN DATA, Orders'!$D:$D,"United Kingdom",'MAIN DATA, Orders'!$I:$I,{"Missile (Naval)","Development - Missile (Naval)"})/1000000000)</f>
        <v>0</v>
      </c>
    </row>
    <row r="51" spans="1:36" x14ac:dyDescent="0.35">
      <c r="A51" s="20">
        <v>202309</v>
      </c>
      <c r="B51" s="17">
        <v>45170</v>
      </c>
      <c r="C51" s="15">
        <f>(SUMIFS('MAIN DATA, Orders'!$S:$S,'MAIN DATA, Orders'!$Y:$Y,$A51,'MAIN DATA, Orders'!$D:$D,"United Kingdom",'MAIN DATA, Orders'!$I:$I,"Air defence system")/1000000000)</f>
        <v>0</v>
      </c>
      <c r="D51" s="15">
        <f>(SUMIFS('MAIN DATA, Orders'!$S:$S,'MAIN DATA, Orders'!$Y:$Y,$A51,'MAIN DATA, Orders'!$D:$D,"United Kingdom",'MAIN DATA, Orders'!$I:$I,"Development - Air defence system")/1000000000)</f>
        <v>0</v>
      </c>
      <c r="E51" s="15">
        <f>(SUMIFS('MAIN DATA, Orders'!$S:$S,'MAIN DATA, Orders'!$Y:$Y,$A51,'MAIN DATA, Orders'!$D:$D,"United Kingdom",'MAIN DATA, Orders'!$I:$I,"Aircraft")/1000000000)</f>
        <v>0</v>
      </c>
      <c r="F51" s="15">
        <f>(SUMIFS('MAIN DATA, Orders'!$S:$S,'MAIN DATA, Orders'!$Y:$Y,$A51,'MAIN DATA, Orders'!$D:$D,"United Kingdom",'MAIN DATA, Orders'!$I:$I,"Development - Aircraft")/1000000000)</f>
        <v>0.04</v>
      </c>
      <c r="G51" s="15">
        <f>(SUMIFS('MAIN DATA, Orders'!$S:$S,'MAIN DATA, Orders'!$Y:$Y,$A51,'MAIN DATA, Orders'!$D:$D,"United Kingdom",'MAIN DATA, Orders'!$I:$I,"Ammunition")/1000000000)</f>
        <v>0</v>
      </c>
      <c r="H51" s="15">
        <f>(SUMIFS('MAIN DATA, Orders'!$S:$S,'MAIN DATA, Orders'!$Y:$Y,$A51,'MAIN DATA, Orders'!$D:$D,"United Kingdom",'MAIN DATA, Orders'!$I:$I,"Development - Ammunition")/1000000000)</f>
        <v>0</v>
      </c>
      <c r="I51" s="15">
        <f>(SUMIFS('MAIN DATA, Orders'!$S:$S,'MAIN DATA, Orders'!$Y:$Y,$A51,'MAIN DATA, Orders'!$D:$D,"United Kingdom",'MAIN DATA, Orders'!$I:$I,"Armoured vehicle")/1000000000)</f>
        <v>0</v>
      </c>
      <c r="J51" s="15">
        <f>(SUMIFS('MAIN DATA, Orders'!$S:$S,'MAIN DATA, Orders'!$Y:$Y,$A51,'MAIN DATA, Orders'!$D:$D,"United Kingdom",'MAIN DATA, Orders'!$I:$I,"Development - Armoured vehicle")/1000000000)</f>
        <v>0</v>
      </c>
      <c r="K51" s="15">
        <f>(SUMIFS('MAIN DATA, Orders'!$S:$S,'MAIN DATA, Orders'!$Y:$Y,$A51,'MAIN DATA, Orders'!$D:$D,"United Kingdom",'MAIN DATA, Orders'!$I:$I,"Artillery")/1000000000)</f>
        <v>0</v>
      </c>
      <c r="L51" s="15">
        <f>(SUMIFS('MAIN DATA, Orders'!$S:$S,'MAIN DATA, Orders'!$Y:$Y,$A51,'MAIN DATA, Orders'!$D:$D,"United Kingdom",'MAIN DATA, Orders'!$I:$I,"Development - Artillery")/1000000000)</f>
        <v>0</v>
      </c>
      <c r="M51" s="15">
        <f>(SUMIFS('MAIN DATA, Orders'!$S:$S,'MAIN DATA, Orders'!$Y:$Y,$A51,'MAIN DATA, Orders'!$D:$D,"United Kingdom",'MAIN DATA, Orders'!$I:$I,"Drone")/1000000000)</f>
        <v>0</v>
      </c>
      <c r="N51" s="15">
        <f>(SUMIFS('MAIN DATA, Orders'!$S:$S,'MAIN DATA, Orders'!$Y:$Y,$A51,'MAIN DATA, Orders'!$D:$D,"United Kingdom",'MAIN DATA, Orders'!$I:$I,"Development - Drone")/1000000000)</f>
        <v>0</v>
      </c>
      <c r="O51" s="15">
        <f>(SUMIFS('MAIN DATA, Orders'!$S:$S,'MAIN DATA, Orders'!$Y:$Y,$A51,'MAIN DATA, Orders'!$D:$D,"United Kingdom",'MAIN DATA, Orders'!$I:$I,"Helicopter")/1000000000)</f>
        <v>0</v>
      </c>
      <c r="P51" s="15">
        <f>(SUMIFS('MAIN DATA, Orders'!$S:$S,'MAIN DATA, Orders'!$Y:$Y,$A51,'MAIN DATA, Orders'!$D:$D,"United Kingdom",'MAIN DATA, Orders'!$I:$I,"Development - Helicopter")/1000000000)</f>
        <v>0</v>
      </c>
      <c r="Q51" s="15">
        <f>(SUMIFS('MAIN DATA, Orders'!$S:$S,'MAIN DATA, Orders'!$Y:$Y,$A51,'MAIN DATA, Orders'!$D:$D,"United Kingdom",'MAIN DATA, Orders'!$I:$I,"Infantry")/1000000000)</f>
        <v>1.4999999999999999E-2</v>
      </c>
      <c r="R51" s="15">
        <f>(SUMIFS('MAIN DATA, Orders'!$S:$S,'MAIN DATA, Orders'!$Y:$Y,$A51,'MAIN DATA, Orders'!$D:$D,"United Kingdom",'MAIN DATA, Orders'!$I:$I,"Development - Infantry")/1000000000)</f>
        <v>0</v>
      </c>
      <c r="S51" s="15">
        <f>(SUMIFS('MAIN DATA, Orders'!$S:$S,'MAIN DATA, Orders'!$Y:$Y,$A51,'MAIN DATA, Orders'!$D:$D,"United Kingdom",'MAIN DATA, Orders'!$I:$I,"Tank")/1000000000)</f>
        <v>0</v>
      </c>
      <c r="T51" s="15">
        <f>(SUMIFS('MAIN DATA, Orders'!$S:$S,'MAIN DATA, Orders'!$Y:$Y,$A51,'MAIN DATA, Orders'!$D:$D,"United Kingdom",'MAIN DATA, Orders'!$I:$I,"Development - Tank")/1000000000)</f>
        <v>0</v>
      </c>
      <c r="U51" s="15">
        <f>(SUMIFS('MAIN DATA, Orders'!$S:$S,'MAIN DATA, Orders'!$Y:$Y,$A51,'MAIN DATA, Orders'!$D:$D,"United Kingdom",'MAIN DATA, Orders'!$I:$I,"Maintenance")/1000000000)</f>
        <v>0</v>
      </c>
      <c r="V51" s="15">
        <f>(SUMIFS('MAIN DATA, Orders'!$S:$S,'MAIN DATA, Orders'!$Y:$Y,$A51,'MAIN DATA, Orders'!$D:$D,"United Kingdom",'MAIN DATA, Orders'!$I:$I,"Development - Maintenance")/1000000000)</f>
        <v>0</v>
      </c>
      <c r="W51" s="15">
        <f>(SUMIFS('MAIN DATA, Orders'!$S:$S,'MAIN DATA, Orders'!$Y:$Y,$A51,'MAIN DATA, Orders'!$D:$D,"United Kingdom",'MAIN DATA, Orders'!$I:$I,"Mine")/1000000000)</f>
        <v>0</v>
      </c>
      <c r="X51" s="15">
        <f>(SUMIFS('MAIN DATA, Orders'!$S:$S,'MAIN DATA, Orders'!$Y:$Y,$A51,'MAIN DATA, Orders'!$D:$D,"United Kingdom",'MAIN DATA, Orders'!$I:$I,"Development - Mine")/1000000000)</f>
        <v>0</v>
      </c>
      <c r="Y51" s="15">
        <f>(SUMIFS('MAIN DATA, Orders'!$S:$S,'MAIN DATA, Orders'!$Y:$Y,$A51,'MAIN DATA, Orders'!$D:$D,"United Kingdom",'MAIN DATA, Orders'!$J:$J,"6")/1000000000)</f>
        <v>0</v>
      </c>
      <c r="Z51" s="15" cm="1">
        <f t="array" ref="Z51">SUM(SUMIFS('MAIN DATA, Orders'!$S:$S,'MAIN DATA, Orders'!$Y:$Y,$A51,'MAIN DATA, Orders'!$D:$D,"United Kingdom",'MAIN DATA, Orders'!$I:$I,{"Development - Missile (Land)","Development - Missile (Naval)","Development - Missile (Air)"})/1000000000)</f>
        <v>0</v>
      </c>
      <c r="AA51" s="15">
        <f>(SUMIFS('MAIN DATA, Orders'!$S:$S,'MAIN DATA, Orders'!$Y:$Y,$A51,'MAIN DATA, Orders'!$D:$D,"United Kingdom",'MAIN DATA, Orders'!$I:$I,"Modernisation")/1000000000)</f>
        <v>0</v>
      </c>
      <c r="AB51" s="15">
        <f>(SUMIFS('MAIN DATA, Orders'!$S:$S,'MAIN DATA, Orders'!$Y:$Y,$A51,'MAIN DATA, Orders'!$D:$D,"United Kingdom",'MAIN DATA, Orders'!$I:$I,"Development - Modernisation")/1000000000)</f>
        <v>0</v>
      </c>
      <c r="AC51" s="15">
        <f>(SUMIFS('MAIN DATA, Orders'!$S:$S,'MAIN DATA, Orders'!$Y:$Y,$A51,'MAIN DATA, Orders'!$D:$D,"United Kingdom",'MAIN DATA, Orders'!$I:$I,"Naval")/1000000000)</f>
        <v>0</v>
      </c>
      <c r="AD51" s="15">
        <f>(SUMIFS('MAIN DATA, Orders'!$S:$S,'MAIN DATA, Orders'!$Y:$Y,$A51,'MAIN DATA, Orders'!$D:$D,"United Kingdom",'MAIN DATA, Orders'!$I:$I,"Development - Naval")/1000000000)</f>
        <v>0</v>
      </c>
      <c r="AE51" s="15">
        <f>(SUMIFS('MAIN DATA, Orders'!$S:$S,'MAIN DATA, Orders'!$Y:$Y,$A51,'MAIN DATA, Orders'!$D:$D,"United Kingdom",'MAIN DATA, Orders'!$I:$I,"Other")/1000000000)</f>
        <v>0</v>
      </c>
      <c r="AF51" s="15">
        <f>(SUMIFS('MAIN DATA, Orders'!$S:$S,'MAIN DATA, Orders'!$Y:$Y,$A51,'MAIN DATA, Orders'!$D:$D,"United Kingdom",'MAIN DATA, Orders'!$I:$I,"Development - Other")/1000000000)</f>
        <v>0</v>
      </c>
      <c r="AG51" s="15"/>
      <c r="AH51" s="15" cm="1">
        <f t="array" ref="AH51">SUM(SUMIFS('MAIN DATA, Orders'!$S:$S,'MAIN DATA, Orders'!$Y:$Y,$A51,'MAIN DATA, Orders'!$D:$D,"United Kingdom",'MAIN DATA, Orders'!$I:$I,{"Missile (Land)","Development - Missile (Land)"})/1000000000)</f>
        <v>0</v>
      </c>
      <c r="AI51" s="15" cm="1">
        <f t="array" ref="AI51">SUM(SUMIFS('MAIN DATA, Orders'!$S:$S,'MAIN DATA, Orders'!$D:$D,"United Kingdom",'MAIN DATA, Orders'!$I:$I,{"Missile (Air)","Development - Missile (Air)"},'MAIN DATA, Orders'!$Y:$Y,$A51)/1000000000)</f>
        <v>0</v>
      </c>
      <c r="AJ51" s="15" cm="1">
        <f t="array" ref="AJ51">SUM(SUMIFS('MAIN DATA, Orders'!$S:$S,'MAIN DATA, Orders'!$Y:$Y,$A51,'MAIN DATA, Orders'!$D:$D,"United Kingdom",'MAIN DATA, Orders'!$I:$I,{"Missile (Naval)","Development - Missile (Naval)"})/1000000000)</f>
        <v>0</v>
      </c>
    </row>
    <row r="52" spans="1:36" x14ac:dyDescent="0.35">
      <c r="A52" s="20">
        <v>202310</v>
      </c>
      <c r="B52" s="17">
        <v>45200</v>
      </c>
      <c r="C52" s="15">
        <f>(SUMIFS('MAIN DATA, Orders'!$S:$S,'MAIN DATA, Orders'!$Y:$Y,$A52,'MAIN DATA, Orders'!$D:$D,"United Kingdom",'MAIN DATA, Orders'!$I:$I,"Air defence system")/1000000000)</f>
        <v>0</v>
      </c>
      <c r="D52" s="15">
        <f>(SUMIFS('MAIN DATA, Orders'!$S:$S,'MAIN DATA, Orders'!$Y:$Y,$A52,'MAIN DATA, Orders'!$D:$D,"United Kingdom",'MAIN DATA, Orders'!$I:$I,"Development - Air defence system")/1000000000)</f>
        <v>0</v>
      </c>
      <c r="E52" s="15">
        <f>(SUMIFS('MAIN DATA, Orders'!$S:$S,'MAIN DATA, Orders'!$Y:$Y,$A52,'MAIN DATA, Orders'!$D:$D,"United Kingdom",'MAIN DATA, Orders'!$I:$I,"Aircraft")/1000000000)</f>
        <v>0</v>
      </c>
      <c r="F52" s="15">
        <f>(SUMIFS('MAIN DATA, Orders'!$S:$S,'MAIN DATA, Orders'!$Y:$Y,$A52,'MAIN DATA, Orders'!$D:$D,"United Kingdom",'MAIN DATA, Orders'!$I:$I,"Development - Aircraft")/1000000000)</f>
        <v>0</v>
      </c>
      <c r="G52" s="15">
        <f>(SUMIFS('MAIN DATA, Orders'!$S:$S,'MAIN DATA, Orders'!$Y:$Y,$A52,'MAIN DATA, Orders'!$D:$D,"United Kingdom",'MAIN DATA, Orders'!$I:$I,"Ammunition")/1000000000)</f>
        <v>0</v>
      </c>
      <c r="H52" s="15">
        <f>(SUMIFS('MAIN DATA, Orders'!$S:$S,'MAIN DATA, Orders'!$Y:$Y,$A52,'MAIN DATA, Orders'!$D:$D,"United Kingdom",'MAIN DATA, Orders'!$I:$I,"Development - Ammunition")/1000000000)</f>
        <v>0</v>
      </c>
      <c r="I52" s="15">
        <f>(SUMIFS('MAIN DATA, Orders'!$S:$S,'MAIN DATA, Orders'!$Y:$Y,$A52,'MAIN DATA, Orders'!$D:$D,"United Kingdom",'MAIN DATA, Orders'!$I:$I,"Armoured vehicle")/1000000000)</f>
        <v>0</v>
      </c>
      <c r="J52" s="15">
        <f>(SUMIFS('MAIN DATA, Orders'!$S:$S,'MAIN DATA, Orders'!$Y:$Y,$A52,'MAIN DATA, Orders'!$D:$D,"United Kingdom",'MAIN DATA, Orders'!$I:$I,"Development - Armoured vehicle")/1000000000)</f>
        <v>0</v>
      </c>
      <c r="K52" s="15">
        <f>(SUMIFS('MAIN DATA, Orders'!$S:$S,'MAIN DATA, Orders'!$Y:$Y,$A52,'MAIN DATA, Orders'!$D:$D,"United Kingdom",'MAIN DATA, Orders'!$I:$I,"Artillery")/1000000000)</f>
        <v>0</v>
      </c>
      <c r="L52" s="15">
        <f>(SUMIFS('MAIN DATA, Orders'!$S:$S,'MAIN DATA, Orders'!$Y:$Y,$A52,'MAIN DATA, Orders'!$D:$D,"United Kingdom",'MAIN DATA, Orders'!$I:$I,"Development - Artillery")/1000000000)</f>
        <v>0</v>
      </c>
      <c r="M52" s="15">
        <f>(SUMIFS('MAIN DATA, Orders'!$S:$S,'MAIN DATA, Orders'!$Y:$Y,$A52,'MAIN DATA, Orders'!$D:$D,"United Kingdom",'MAIN DATA, Orders'!$I:$I,"Drone")/1000000000)</f>
        <v>0</v>
      </c>
      <c r="N52" s="15">
        <f>(SUMIFS('MAIN DATA, Orders'!$S:$S,'MAIN DATA, Orders'!$Y:$Y,$A52,'MAIN DATA, Orders'!$D:$D,"United Kingdom",'MAIN DATA, Orders'!$I:$I,"Development - Drone")/1000000000)</f>
        <v>0</v>
      </c>
      <c r="O52" s="15">
        <f>(SUMIFS('MAIN DATA, Orders'!$S:$S,'MAIN DATA, Orders'!$Y:$Y,$A52,'MAIN DATA, Orders'!$D:$D,"United Kingdom",'MAIN DATA, Orders'!$I:$I,"Helicopter")/1000000000)</f>
        <v>0</v>
      </c>
      <c r="P52" s="15">
        <f>(SUMIFS('MAIN DATA, Orders'!$S:$S,'MAIN DATA, Orders'!$Y:$Y,$A52,'MAIN DATA, Orders'!$D:$D,"United Kingdom",'MAIN DATA, Orders'!$I:$I,"Development - Helicopter")/1000000000)</f>
        <v>0</v>
      </c>
      <c r="Q52" s="15">
        <f>(SUMIFS('MAIN DATA, Orders'!$S:$S,'MAIN DATA, Orders'!$Y:$Y,$A52,'MAIN DATA, Orders'!$D:$D,"United Kingdom",'MAIN DATA, Orders'!$I:$I,"Infantry")/1000000000)</f>
        <v>0</v>
      </c>
      <c r="R52" s="15">
        <f>(SUMIFS('MAIN DATA, Orders'!$S:$S,'MAIN DATA, Orders'!$Y:$Y,$A52,'MAIN DATA, Orders'!$D:$D,"United Kingdom",'MAIN DATA, Orders'!$I:$I,"Development - Infantry")/1000000000)</f>
        <v>0</v>
      </c>
      <c r="S52" s="15">
        <f>(SUMIFS('MAIN DATA, Orders'!$S:$S,'MAIN DATA, Orders'!$Y:$Y,$A52,'MAIN DATA, Orders'!$D:$D,"United Kingdom",'MAIN DATA, Orders'!$I:$I,"Tank")/1000000000)</f>
        <v>0</v>
      </c>
      <c r="T52" s="15">
        <f>(SUMIFS('MAIN DATA, Orders'!$S:$S,'MAIN DATA, Orders'!$Y:$Y,$A52,'MAIN DATA, Orders'!$D:$D,"United Kingdom",'MAIN DATA, Orders'!$I:$I,"Development - Tank")/1000000000)</f>
        <v>0</v>
      </c>
      <c r="U52" s="15">
        <f>(SUMIFS('MAIN DATA, Orders'!$S:$S,'MAIN DATA, Orders'!$Y:$Y,$A52,'MAIN DATA, Orders'!$D:$D,"United Kingdom",'MAIN DATA, Orders'!$I:$I,"Maintenance")/1000000000)</f>
        <v>0</v>
      </c>
      <c r="V52" s="15">
        <f>(SUMIFS('MAIN DATA, Orders'!$S:$S,'MAIN DATA, Orders'!$Y:$Y,$A52,'MAIN DATA, Orders'!$D:$D,"United Kingdom",'MAIN DATA, Orders'!$I:$I,"Development - Maintenance")/1000000000)</f>
        <v>0</v>
      </c>
      <c r="W52" s="15">
        <f>(SUMIFS('MAIN DATA, Orders'!$S:$S,'MAIN DATA, Orders'!$Y:$Y,$A52,'MAIN DATA, Orders'!$D:$D,"United Kingdom",'MAIN DATA, Orders'!$I:$I,"Mine")/1000000000)</f>
        <v>0</v>
      </c>
      <c r="X52" s="15">
        <f>(SUMIFS('MAIN DATA, Orders'!$S:$S,'MAIN DATA, Orders'!$Y:$Y,$A52,'MAIN DATA, Orders'!$D:$D,"United Kingdom",'MAIN DATA, Orders'!$I:$I,"Development - Mine")/1000000000)</f>
        <v>0</v>
      </c>
      <c r="Y52" s="15">
        <f>(SUMIFS('MAIN DATA, Orders'!$S:$S,'MAIN DATA, Orders'!$Y:$Y,$A52,'MAIN DATA, Orders'!$D:$D,"United Kingdom",'MAIN DATA, Orders'!$J:$J,"6")/1000000000)</f>
        <v>0</v>
      </c>
      <c r="Z52" s="15" cm="1">
        <f t="array" ref="Z52">SUM(SUMIFS('MAIN DATA, Orders'!$S:$S,'MAIN DATA, Orders'!$Y:$Y,$A52,'MAIN DATA, Orders'!$D:$D,"United Kingdom",'MAIN DATA, Orders'!$I:$I,{"Development - Missile (Land)","Development - Missile (Naval)","Development - Missile (Air)"})/1000000000)</f>
        <v>0</v>
      </c>
      <c r="AA52" s="15">
        <f>(SUMIFS('MAIN DATA, Orders'!$S:$S,'MAIN DATA, Orders'!$Y:$Y,$A52,'MAIN DATA, Orders'!$D:$D,"United Kingdom",'MAIN DATA, Orders'!$I:$I,"Modernisation")/1000000000)</f>
        <v>0</v>
      </c>
      <c r="AB52" s="15">
        <f>(SUMIFS('MAIN DATA, Orders'!$S:$S,'MAIN DATA, Orders'!$Y:$Y,$A52,'MAIN DATA, Orders'!$D:$D,"United Kingdom",'MAIN DATA, Orders'!$I:$I,"Development - Modernisation")/1000000000)</f>
        <v>0</v>
      </c>
      <c r="AC52" s="15">
        <f>(SUMIFS('MAIN DATA, Orders'!$S:$S,'MAIN DATA, Orders'!$Y:$Y,$A52,'MAIN DATA, Orders'!$D:$D,"United Kingdom",'MAIN DATA, Orders'!$I:$I,"Naval")/1000000000)</f>
        <v>4</v>
      </c>
      <c r="AD52" s="15">
        <f>(SUMIFS('MAIN DATA, Orders'!$S:$S,'MAIN DATA, Orders'!$Y:$Y,$A52,'MAIN DATA, Orders'!$D:$D,"United Kingdom",'MAIN DATA, Orders'!$I:$I,"Development - Naval")/1000000000)</f>
        <v>0</v>
      </c>
      <c r="AE52" s="15">
        <f>(SUMIFS('MAIN DATA, Orders'!$S:$S,'MAIN DATA, Orders'!$Y:$Y,$A52,'MAIN DATA, Orders'!$D:$D,"United Kingdom",'MAIN DATA, Orders'!$I:$I,"Other")/1000000000)</f>
        <v>8.7999999999999995E-2</v>
      </c>
      <c r="AF52" s="15">
        <f>(SUMIFS('MAIN DATA, Orders'!$S:$S,'MAIN DATA, Orders'!$Y:$Y,$A52,'MAIN DATA, Orders'!$D:$D,"United Kingdom",'MAIN DATA, Orders'!$I:$I,"Development - Other")/1000000000)</f>
        <v>0</v>
      </c>
      <c r="AG52" s="15"/>
      <c r="AH52" s="15" cm="1">
        <f t="array" ref="AH52">SUM(SUMIFS('MAIN DATA, Orders'!$S:$S,'MAIN DATA, Orders'!$Y:$Y,$A52,'MAIN DATA, Orders'!$D:$D,"United Kingdom",'MAIN DATA, Orders'!$I:$I,{"Missile (Land)","Development - Missile (Land)"})/1000000000)</f>
        <v>0</v>
      </c>
      <c r="AI52" s="15" cm="1">
        <f t="array" ref="AI52">SUM(SUMIFS('MAIN DATA, Orders'!$S:$S,'MAIN DATA, Orders'!$D:$D,"United Kingdom",'MAIN DATA, Orders'!$I:$I,{"Missile (Air)","Development - Missile (Air)"},'MAIN DATA, Orders'!$Y:$Y,$A52)/1000000000)</f>
        <v>0</v>
      </c>
      <c r="AJ52" s="15" cm="1">
        <f t="array" ref="AJ52">SUM(SUMIFS('MAIN DATA, Orders'!$S:$S,'MAIN DATA, Orders'!$Y:$Y,$A52,'MAIN DATA, Orders'!$D:$D,"United Kingdom",'MAIN DATA, Orders'!$I:$I,{"Missile (Naval)","Development - Missile (Naval)"})/1000000000)</f>
        <v>0</v>
      </c>
    </row>
    <row r="53" spans="1:36" x14ac:dyDescent="0.35">
      <c r="A53" s="20">
        <v>202311</v>
      </c>
      <c r="B53" s="17">
        <v>45231</v>
      </c>
      <c r="C53" s="15">
        <f>(SUMIFS('MAIN DATA, Orders'!$S:$S,'MAIN DATA, Orders'!$Y:$Y,$A53,'MAIN DATA, Orders'!$D:$D,"United Kingdom",'MAIN DATA, Orders'!$I:$I,"Air defence system")/1000000000)</f>
        <v>0</v>
      </c>
      <c r="D53" s="15">
        <f>(SUMIFS('MAIN DATA, Orders'!$S:$S,'MAIN DATA, Orders'!$Y:$Y,$A53,'MAIN DATA, Orders'!$D:$D,"United Kingdom",'MAIN DATA, Orders'!$I:$I,"Development - Air defence system")/1000000000)</f>
        <v>0</v>
      </c>
      <c r="E53" s="15">
        <f>(SUMIFS('MAIN DATA, Orders'!$S:$S,'MAIN DATA, Orders'!$Y:$Y,$A53,'MAIN DATA, Orders'!$D:$D,"United Kingdom",'MAIN DATA, Orders'!$I:$I,"Aircraft")/1000000000)</f>
        <v>0</v>
      </c>
      <c r="F53" s="15">
        <f>(SUMIFS('MAIN DATA, Orders'!$S:$S,'MAIN DATA, Orders'!$Y:$Y,$A53,'MAIN DATA, Orders'!$D:$D,"United Kingdom",'MAIN DATA, Orders'!$I:$I,"Development - Aircraft")/1000000000)</f>
        <v>0</v>
      </c>
      <c r="G53" s="15">
        <f>(SUMIFS('MAIN DATA, Orders'!$S:$S,'MAIN DATA, Orders'!$Y:$Y,$A53,'MAIN DATA, Orders'!$D:$D,"United Kingdom",'MAIN DATA, Orders'!$I:$I,"Ammunition")/1000000000)</f>
        <v>0</v>
      </c>
      <c r="H53" s="15">
        <f>(SUMIFS('MAIN DATA, Orders'!$S:$S,'MAIN DATA, Orders'!$Y:$Y,$A53,'MAIN DATA, Orders'!$D:$D,"United Kingdom",'MAIN DATA, Orders'!$I:$I,"Development - Ammunition")/1000000000)</f>
        <v>0</v>
      </c>
      <c r="I53" s="15">
        <f>(SUMIFS('MAIN DATA, Orders'!$S:$S,'MAIN DATA, Orders'!$Y:$Y,$A53,'MAIN DATA, Orders'!$D:$D,"United Kingdom",'MAIN DATA, Orders'!$I:$I,"Armoured vehicle")/1000000000)</f>
        <v>0</v>
      </c>
      <c r="J53" s="15">
        <f>(SUMIFS('MAIN DATA, Orders'!$S:$S,'MAIN DATA, Orders'!$Y:$Y,$A53,'MAIN DATA, Orders'!$D:$D,"United Kingdom",'MAIN DATA, Orders'!$I:$I,"Development - Armoured vehicle")/1000000000)</f>
        <v>0</v>
      </c>
      <c r="K53" s="15">
        <f>(SUMIFS('MAIN DATA, Orders'!$S:$S,'MAIN DATA, Orders'!$Y:$Y,$A53,'MAIN DATA, Orders'!$D:$D,"United Kingdom",'MAIN DATA, Orders'!$I:$I,"Artillery")/1000000000)</f>
        <v>0</v>
      </c>
      <c r="L53" s="15">
        <f>(SUMIFS('MAIN DATA, Orders'!$S:$S,'MAIN DATA, Orders'!$Y:$Y,$A53,'MAIN DATA, Orders'!$D:$D,"United Kingdom",'MAIN DATA, Orders'!$I:$I,"Development - Artillery")/1000000000)</f>
        <v>0</v>
      </c>
      <c r="M53" s="15">
        <f>(SUMIFS('MAIN DATA, Orders'!$S:$S,'MAIN DATA, Orders'!$Y:$Y,$A53,'MAIN DATA, Orders'!$D:$D,"United Kingdom",'MAIN DATA, Orders'!$I:$I,"Drone")/1000000000)</f>
        <v>0</v>
      </c>
      <c r="N53" s="15">
        <f>(SUMIFS('MAIN DATA, Orders'!$S:$S,'MAIN DATA, Orders'!$Y:$Y,$A53,'MAIN DATA, Orders'!$D:$D,"United Kingdom",'MAIN DATA, Orders'!$I:$I,"Development - Drone")/1000000000)</f>
        <v>0</v>
      </c>
      <c r="O53" s="15">
        <f>(SUMIFS('MAIN DATA, Orders'!$S:$S,'MAIN DATA, Orders'!$Y:$Y,$A53,'MAIN DATA, Orders'!$D:$D,"United Kingdom",'MAIN DATA, Orders'!$I:$I,"Helicopter")/1000000000)</f>
        <v>0</v>
      </c>
      <c r="P53" s="15">
        <f>(SUMIFS('MAIN DATA, Orders'!$S:$S,'MAIN DATA, Orders'!$Y:$Y,$A53,'MAIN DATA, Orders'!$D:$D,"United Kingdom",'MAIN DATA, Orders'!$I:$I,"Development - Helicopter")/1000000000)</f>
        <v>0</v>
      </c>
      <c r="Q53" s="15">
        <f>(SUMIFS('MAIN DATA, Orders'!$S:$S,'MAIN DATA, Orders'!$Y:$Y,$A53,'MAIN DATA, Orders'!$D:$D,"United Kingdom",'MAIN DATA, Orders'!$I:$I,"Infantry")/1000000000)</f>
        <v>0.02</v>
      </c>
      <c r="R53" s="15">
        <f>(SUMIFS('MAIN DATA, Orders'!$S:$S,'MAIN DATA, Orders'!$Y:$Y,$A53,'MAIN DATA, Orders'!$D:$D,"United Kingdom",'MAIN DATA, Orders'!$I:$I,"Development - Infantry")/1000000000)</f>
        <v>0</v>
      </c>
      <c r="S53" s="15">
        <f>(SUMIFS('MAIN DATA, Orders'!$S:$S,'MAIN DATA, Orders'!$Y:$Y,$A53,'MAIN DATA, Orders'!$D:$D,"United Kingdom",'MAIN DATA, Orders'!$I:$I,"Tank")/1000000000)</f>
        <v>0</v>
      </c>
      <c r="T53" s="15">
        <f>(SUMIFS('MAIN DATA, Orders'!$S:$S,'MAIN DATA, Orders'!$Y:$Y,$A53,'MAIN DATA, Orders'!$D:$D,"United Kingdom",'MAIN DATA, Orders'!$I:$I,"Development - Tank")/1000000000)</f>
        <v>0</v>
      </c>
      <c r="U53" s="15">
        <f>(SUMIFS('MAIN DATA, Orders'!$S:$S,'MAIN DATA, Orders'!$Y:$Y,$A53,'MAIN DATA, Orders'!$D:$D,"United Kingdom",'MAIN DATA, Orders'!$I:$I,"Maintenance")/1000000000)</f>
        <v>0</v>
      </c>
      <c r="V53" s="15">
        <f>(SUMIFS('MAIN DATA, Orders'!$S:$S,'MAIN DATA, Orders'!$Y:$Y,$A53,'MAIN DATA, Orders'!$D:$D,"United Kingdom",'MAIN DATA, Orders'!$I:$I,"Development - Maintenance")/1000000000)</f>
        <v>0</v>
      </c>
      <c r="W53" s="15">
        <f>(SUMIFS('MAIN DATA, Orders'!$S:$S,'MAIN DATA, Orders'!$Y:$Y,$A53,'MAIN DATA, Orders'!$D:$D,"United Kingdom",'MAIN DATA, Orders'!$I:$I,"Mine")/1000000000)</f>
        <v>0</v>
      </c>
      <c r="X53" s="15">
        <f>(SUMIFS('MAIN DATA, Orders'!$S:$S,'MAIN DATA, Orders'!$Y:$Y,$A53,'MAIN DATA, Orders'!$D:$D,"United Kingdom",'MAIN DATA, Orders'!$I:$I,"Development - Mine")/1000000000)</f>
        <v>0</v>
      </c>
      <c r="Y53" s="15">
        <f>(SUMIFS('MAIN DATA, Orders'!$S:$S,'MAIN DATA, Orders'!$Y:$Y,$A53,'MAIN DATA, Orders'!$D:$D,"United Kingdom",'MAIN DATA, Orders'!$J:$J,"6")/1000000000)</f>
        <v>0</v>
      </c>
      <c r="Z53" s="15" cm="1">
        <f t="array" ref="Z53">SUM(SUMIFS('MAIN DATA, Orders'!$S:$S,'MAIN DATA, Orders'!$Y:$Y,$A53,'MAIN DATA, Orders'!$D:$D,"United Kingdom",'MAIN DATA, Orders'!$I:$I,{"Development - Missile (Land)","Development - Missile (Naval)","Development - Missile (Air)"})/1000000000)</f>
        <v>0</v>
      </c>
      <c r="AA53" s="15">
        <f>(SUMIFS('MAIN DATA, Orders'!$S:$S,'MAIN DATA, Orders'!$Y:$Y,$A53,'MAIN DATA, Orders'!$D:$D,"United Kingdom",'MAIN DATA, Orders'!$I:$I,"Modernisation")/1000000000)</f>
        <v>1.7000000000000001E-2</v>
      </c>
      <c r="AB53" s="15">
        <f>(SUMIFS('MAIN DATA, Orders'!$S:$S,'MAIN DATA, Orders'!$Y:$Y,$A53,'MAIN DATA, Orders'!$D:$D,"United Kingdom",'MAIN DATA, Orders'!$I:$I,"Development - Modernisation")/1000000000)</f>
        <v>0</v>
      </c>
      <c r="AC53" s="15">
        <f>(SUMIFS('MAIN DATA, Orders'!$S:$S,'MAIN DATA, Orders'!$Y:$Y,$A53,'MAIN DATA, Orders'!$D:$D,"United Kingdom",'MAIN DATA, Orders'!$I:$I,"Naval")/1000000000)</f>
        <v>0</v>
      </c>
      <c r="AD53" s="15">
        <f>(SUMIFS('MAIN DATA, Orders'!$S:$S,'MAIN DATA, Orders'!$Y:$Y,$A53,'MAIN DATA, Orders'!$D:$D,"United Kingdom",'MAIN DATA, Orders'!$I:$I,"Development - Naval")/1000000000)</f>
        <v>0</v>
      </c>
      <c r="AE53" s="15">
        <f>(SUMIFS('MAIN DATA, Orders'!$S:$S,'MAIN DATA, Orders'!$Y:$Y,$A53,'MAIN DATA, Orders'!$D:$D,"United Kingdom",'MAIN DATA, Orders'!$I:$I,"Other")/1000000000)</f>
        <v>0</v>
      </c>
      <c r="AF53" s="15">
        <f>(SUMIFS('MAIN DATA, Orders'!$S:$S,'MAIN DATA, Orders'!$Y:$Y,$A53,'MAIN DATA, Orders'!$D:$D,"United Kingdom",'MAIN DATA, Orders'!$I:$I,"Development - Other")/1000000000)</f>
        <v>0</v>
      </c>
      <c r="AG53" s="15"/>
      <c r="AH53" s="15" cm="1">
        <f t="array" ref="AH53">SUM(SUMIFS('MAIN DATA, Orders'!$S:$S,'MAIN DATA, Orders'!$Y:$Y,$A53,'MAIN DATA, Orders'!$D:$D,"United Kingdom",'MAIN DATA, Orders'!$I:$I,{"Missile (Land)","Development - Missile (Land)"})/1000000000)</f>
        <v>0</v>
      </c>
      <c r="AI53" s="15" cm="1">
        <f t="array" ref="AI53">SUM(SUMIFS('MAIN DATA, Orders'!$S:$S,'MAIN DATA, Orders'!$D:$D,"United Kingdom",'MAIN DATA, Orders'!$I:$I,{"Missile (Air)","Development - Missile (Air)"},'MAIN DATA, Orders'!$Y:$Y,$A53)/1000000000)</f>
        <v>0</v>
      </c>
      <c r="AJ53" s="15" cm="1">
        <f t="array" ref="AJ53">SUM(SUMIFS('MAIN DATA, Orders'!$S:$S,'MAIN DATA, Orders'!$Y:$Y,$A53,'MAIN DATA, Orders'!$D:$D,"United Kingdom",'MAIN DATA, Orders'!$I:$I,{"Missile (Naval)","Development - Missile (Naval)"})/1000000000)</f>
        <v>0</v>
      </c>
    </row>
    <row r="54" spans="1:36" x14ac:dyDescent="0.35">
      <c r="A54" s="20">
        <v>202312</v>
      </c>
      <c r="B54" s="17">
        <v>45261</v>
      </c>
      <c r="C54" s="15">
        <f>(SUMIFS('MAIN DATA, Orders'!$S:$S,'MAIN DATA, Orders'!$Y:$Y,$A54,'MAIN DATA, Orders'!$D:$D,"United Kingdom",'MAIN DATA, Orders'!$I:$I,"Air defence system")/1000000000)</f>
        <v>0</v>
      </c>
      <c r="D54" s="15">
        <f>(SUMIFS('MAIN DATA, Orders'!$S:$S,'MAIN DATA, Orders'!$Y:$Y,$A54,'MAIN DATA, Orders'!$D:$D,"United Kingdom",'MAIN DATA, Orders'!$I:$I,"Development - Air defence system")/1000000000)</f>
        <v>0</v>
      </c>
      <c r="E54" s="15">
        <f>(SUMIFS('MAIN DATA, Orders'!$S:$S,'MAIN DATA, Orders'!$Y:$Y,$A54,'MAIN DATA, Orders'!$D:$D,"United Kingdom",'MAIN DATA, Orders'!$I:$I,"Aircraft")/1000000000)</f>
        <v>0</v>
      </c>
      <c r="F54" s="15">
        <f>(SUMIFS('MAIN DATA, Orders'!$S:$S,'MAIN DATA, Orders'!$Y:$Y,$A54,'MAIN DATA, Orders'!$D:$D,"United Kingdom",'MAIN DATA, Orders'!$I:$I,"Development - Aircraft")/1000000000)</f>
        <v>0</v>
      </c>
      <c r="G54" s="15">
        <f>(SUMIFS('MAIN DATA, Orders'!$S:$S,'MAIN DATA, Orders'!$Y:$Y,$A54,'MAIN DATA, Orders'!$D:$D,"United Kingdom",'MAIN DATA, Orders'!$I:$I,"Ammunition")/1000000000)</f>
        <v>0</v>
      </c>
      <c r="H54" s="15">
        <f>(SUMIFS('MAIN DATA, Orders'!$S:$S,'MAIN DATA, Orders'!$Y:$Y,$A54,'MAIN DATA, Orders'!$D:$D,"United Kingdom",'MAIN DATA, Orders'!$I:$I,"Development - Ammunition")/1000000000)</f>
        <v>0</v>
      </c>
      <c r="I54" s="15">
        <f>(SUMIFS('MAIN DATA, Orders'!$S:$S,'MAIN DATA, Orders'!$Y:$Y,$A54,'MAIN DATA, Orders'!$D:$D,"United Kingdom",'MAIN DATA, Orders'!$I:$I,"Armoured vehicle")/1000000000)</f>
        <v>0</v>
      </c>
      <c r="J54" s="15">
        <f>(SUMIFS('MAIN DATA, Orders'!$S:$S,'MAIN DATA, Orders'!$Y:$Y,$A54,'MAIN DATA, Orders'!$D:$D,"United Kingdom",'MAIN DATA, Orders'!$I:$I,"Development - Armoured vehicle")/1000000000)</f>
        <v>0</v>
      </c>
      <c r="K54" s="15">
        <f>(SUMIFS('MAIN DATA, Orders'!$S:$S,'MAIN DATA, Orders'!$Y:$Y,$A54,'MAIN DATA, Orders'!$D:$D,"United Kingdom",'MAIN DATA, Orders'!$I:$I,"Artillery")/1000000000)</f>
        <v>0</v>
      </c>
      <c r="L54" s="15">
        <f>(SUMIFS('MAIN DATA, Orders'!$S:$S,'MAIN DATA, Orders'!$Y:$Y,$A54,'MAIN DATA, Orders'!$D:$D,"United Kingdom",'MAIN DATA, Orders'!$I:$I,"Development - Artillery")/1000000000)</f>
        <v>0</v>
      </c>
      <c r="M54" s="15">
        <f>(SUMIFS('MAIN DATA, Orders'!$S:$S,'MAIN DATA, Orders'!$Y:$Y,$A54,'MAIN DATA, Orders'!$D:$D,"United Kingdom",'MAIN DATA, Orders'!$I:$I,"Drone")/1000000000)</f>
        <v>0</v>
      </c>
      <c r="N54" s="15">
        <f>(SUMIFS('MAIN DATA, Orders'!$S:$S,'MAIN DATA, Orders'!$Y:$Y,$A54,'MAIN DATA, Orders'!$D:$D,"United Kingdom",'MAIN DATA, Orders'!$I:$I,"Development - Drone")/1000000000)</f>
        <v>0</v>
      </c>
      <c r="O54" s="15">
        <f>(SUMIFS('MAIN DATA, Orders'!$S:$S,'MAIN DATA, Orders'!$Y:$Y,$A54,'MAIN DATA, Orders'!$D:$D,"United Kingdom",'MAIN DATA, Orders'!$I:$I,"Helicopter")/1000000000)</f>
        <v>0</v>
      </c>
      <c r="P54" s="15">
        <f>(SUMIFS('MAIN DATA, Orders'!$S:$S,'MAIN DATA, Orders'!$Y:$Y,$A54,'MAIN DATA, Orders'!$D:$D,"United Kingdom",'MAIN DATA, Orders'!$I:$I,"Development - Helicopter")/1000000000)</f>
        <v>0</v>
      </c>
      <c r="Q54" s="15">
        <f>(SUMIFS('MAIN DATA, Orders'!$S:$S,'MAIN DATA, Orders'!$Y:$Y,$A54,'MAIN DATA, Orders'!$D:$D,"United Kingdom",'MAIN DATA, Orders'!$I:$I,"Infantry")/1000000000)</f>
        <v>0</v>
      </c>
      <c r="R54" s="15">
        <f>(SUMIFS('MAIN DATA, Orders'!$S:$S,'MAIN DATA, Orders'!$Y:$Y,$A54,'MAIN DATA, Orders'!$D:$D,"United Kingdom",'MAIN DATA, Orders'!$I:$I,"Development - Infantry")/1000000000)</f>
        <v>0</v>
      </c>
      <c r="S54" s="15">
        <f>(SUMIFS('MAIN DATA, Orders'!$S:$S,'MAIN DATA, Orders'!$Y:$Y,$A54,'MAIN DATA, Orders'!$D:$D,"United Kingdom",'MAIN DATA, Orders'!$I:$I,"Tank")/1000000000)</f>
        <v>0</v>
      </c>
      <c r="T54" s="15">
        <f>(SUMIFS('MAIN DATA, Orders'!$S:$S,'MAIN DATA, Orders'!$Y:$Y,$A54,'MAIN DATA, Orders'!$D:$D,"United Kingdom",'MAIN DATA, Orders'!$I:$I,"Development - Tank")/1000000000)</f>
        <v>0</v>
      </c>
      <c r="U54" s="15">
        <f>(SUMIFS('MAIN DATA, Orders'!$S:$S,'MAIN DATA, Orders'!$Y:$Y,$A54,'MAIN DATA, Orders'!$D:$D,"United Kingdom",'MAIN DATA, Orders'!$I:$I,"Maintenance")/1000000000)</f>
        <v>0</v>
      </c>
      <c r="V54" s="15">
        <f>(SUMIFS('MAIN DATA, Orders'!$S:$S,'MAIN DATA, Orders'!$Y:$Y,$A54,'MAIN DATA, Orders'!$D:$D,"United Kingdom",'MAIN DATA, Orders'!$I:$I,"Development - Maintenance")/1000000000)</f>
        <v>0</v>
      </c>
      <c r="W54" s="15">
        <f>(SUMIFS('MAIN DATA, Orders'!$S:$S,'MAIN DATA, Orders'!$Y:$Y,$A54,'MAIN DATA, Orders'!$D:$D,"United Kingdom",'MAIN DATA, Orders'!$I:$I,"Mine")/1000000000)</f>
        <v>0</v>
      </c>
      <c r="X54" s="15">
        <f>(SUMIFS('MAIN DATA, Orders'!$S:$S,'MAIN DATA, Orders'!$Y:$Y,$A54,'MAIN DATA, Orders'!$D:$D,"United Kingdom",'MAIN DATA, Orders'!$I:$I,"Development - Mine")/1000000000)</f>
        <v>0</v>
      </c>
      <c r="Y54" s="15">
        <f>(SUMIFS('MAIN DATA, Orders'!$S:$S,'MAIN DATA, Orders'!$Y:$Y,$A54,'MAIN DATA, Orders'!$D:$D,"United Kingdom",'MAIN DATA, Orders'!$J:$J,"6")/1000000000)</f>
        <v>0</v>
      </c>
      <c r="Z54" s="15" cm="1">
        <f t="array" ref="Z54">SUM(SUMIFS('MAIN DATA, Orders'!$S:$S,'MAIN DATA, Orders'!$Y:$Y,$A54,'MAIN DATA, Orders'!$D:$D,"United Kingdom",'MAIN DATA, Orders'!$I:$I,{"Development - Missile (Land)","Development - Missile (Naval)","Development - Missile (Air)"})/1000000000)</f>
        <v>0</v>
      </c>
      <c r="AA54" s="15">
        <f>(SUMIFS('MAIN DATA, Orders'!$S:$S,'MAIN DATA, Orders'!$Y:$Y,$A54,'MAIN DATA, Orders'!$D:$D,"United Kingdom",'MAIN DATA, Orders'!$I:$I,"Modernisation")/1000000000)</f>
        <v>0</v>
      </c>
      <c r="AB54" s="15">
        <f>(SUMIFS('MAIN DATA, Orders'!$S:$S,'MAIN DATA, Orders'!$Y:$Y,$A54,'MAIN DATA, Orders'!$D:$D,"United Kingdom",'MAIN DATA, Orders'!$I:$I,"Development - Modernisation")/1000000000)</f>
        <v>0</v>
      </c>
      <c r="AC54" s="15">
        <f>(SUMIFS('MAIN DATA, Orders'!$S:$S,'MAIN DATA, Orders'!$Y:$Y,$A54,'MAIN DATA, Orders'!$D:$D,"United Kingdom",'MAIN DATA, Orders'!$I:$I,"Naval")/1000000000)</f>
        <v>0</v>
      </c>
      <c r="AD54" s="15">
        <f>(SUMIFS('MAIN DATA, Orders'!$S:$S,'MAIN DATA, Orders'!$Y:$Y,$A54,'MAIN DATA, Orders'!$D:$D,"United Kingdom",'MAIN DATA, Orders'!$I:$I,"Development - Naval")/1000000000)</f>
        <v>0</v>
      </c>
      <c r="AE54" s="15">
        <f>(SUMIFS('MAIN DATA, Orders'!$S:$S,'MAIN DATA, Orders'!$Y:$Y,$A54,'MAIN DATA, Orders'!$D:$D,"United Kingdom",'MAIN DATA, Orders'!$I:$I,"Other")/1000000000)</f>
        <v>0.05</v>
      </c>
      <c r="AF54" s="15">
        <f>(SUMIFS('MAIN DATA, Orders'!$S:$S,'MAIN DATA, Orders'!$Y:$Y,$A54,'MAIN DATA, Orders'!$D:$D,"United Kingdom",'MAIN DATA, Orders'!$I:$I,"Development - Other")/1000000000)</f>
        <v>0</v>
      </c>
      <c r="AG54" s="15"/>
      <c r="AH54" s="15" cm="1">
        <f t="array" ref="AH54">SUM(SUMIFS('MAIN DATA, Orders'!$S:$S,'MAIN DATA, Orders'!$Y:$Y,$A54,'MAIN DATA, Orders'!$D:$D,"United Kingdom",'MAIN DATA, Orders'!$I:$I,{"Missile (Land)","Development - Missile (Land)"})/1000000000)</f>
        <v>0</v>
      </c>
      <c r="AI54" s="15" cm="1">
        <f t="array" ref="AI54">SUM(SUMIFS('MAIN DATA, Orders'!$S:$S,'MAIN DATA, Orders'!$D:$D,"United Kingdom",'MAIN DATA, Orders'!$I:$I,{"Missile (Air)","Development - Missile (Air)"},'MAIN DATA, Orders'!$Y:$Y,$A54)/1000000000)</f>
        <v>0</v>
      </c>
      <c r="AJ54" s="15" cm="1">
        <f t="array" ref="AJ54">SUM(SUMIFS('MAIN DATA, Orders'!$S:$S,'MAIN DATA, Orders'!$Y:$Y,$A54,'MAIN DATA, Orders'!$D:$D,"United Kingdom",'MAIN DATA, Orders'!$I:$I,{"Missile (Naval)","Development - Missile (Naval)"})/1000000000)</f>
        <v>0</v>
      </c>
    </row>
    <row r="55" spans="1:36" x14ac:dyDescent="0.35">
      <c r="A55" s="20">
        <v>202401</v>
      </c>
      <c r="B55" s="17">
        <v>45292</v>
      </c>
      <c r="C55" s="15">
        <f>(SUMIFS('MAIN DATA, Orders'!$S:$S,'MAIN DATA, Orders'!$Y:$Y,$A55,'MAIN DATA, Orders'!$D:$D,"United Kingdom",'MAIN DATA, Orders'!$I:$I,"Air defence system")/1000000000)</f>
        <v>0</v>
      </c>
      <c r="D55" s="15">
        <f>(SUMIFS('MAIN DATA, Orders'!$S:$S,'MAIN DATA, Orders'!$Y:$Y,$A55,'MAIN DATA, Orders'!$D:$D,"United Kingdom",'MAIN DATA, Orders'!$I:$I,"Development - Air defence system")/1000000000)</f>
        <v>0</v>
      </c>
      <c r="E55" s="15">
        <f>(SUMIFS('MAIN DATA, Orders'!$S:$S,'MAIN DATA, Orders'!$Y:$Y,$A55,'MAIN DATA, Orders'!$D:$D,"United Kingdom",'MAIN DATA, Orders'!$I:$I,"Aircraft")/1000000000)</f>
        <v>0</v>
      </c>
      <c r="F55" s="15">
        <f>(SUMIFS('MAIN DATA, Orders'!$S:$S,'MAIN DATA, Orders'!$Y:$Y,$A55,'MAIN DATA, Orders'!$D:$D,"United Kingdom",'MAIN DATA, Orders'!$I:$I,"Development - Aircraft")/1000000000)</f>
        <v>0</v>
      </c>
      <c r="G55" s="15">
        <f>(SUMIFS('MAIN DATA, Orders'!$S:$S,'MAIN DATA, Orders'!$Y:$Y,$A55,'MAIN DATA, Orders'!$D:$D,"United Kingdom",'MAIN DATA, Orders'!$I:$I,"Ammunition")/1000000000)</f>
        <v>0</v>
      </c>
      <c r="H55" s="15">
        <f>(SUMIFS('MAIN DATA, Orders'!$S:$S,'MAIN DATA, Orders'!$Y:$Y,$A55,'MAIN DATA, Orders'!$D:$D,"United Kingdom",'MAIN DATA, Orders'!$I:$I,"Development - Ammunition")/1000000000)</f>
        <v>0</v>
      </c>
      <c r="I55" s="15">
        <f>(SUMIFS('MAIN DATA, Orders'!$S:$S,'MAIN DATA, Orders'!$Y:$Y,$A55,'MAIN DATA, Orders'!$D:$D,"United Kingdom",'MAIN DATA, Orders'!$I:$I,"Armoured vehicle")/1000000000)</f>
        <v>0</v>
      </c>
      <c r="J55" s="15">
        <f>(SUMIFS('MAIN DATA, Orders'!$S:$S,'MAIN DATA, Orders'!$Y:$Y,$A55,'MAIN DATA, Orders'!$D:$D,"United Kingdom",'MAIN DATA, Orders'!$I:$I,"Development - Armoured vehicle")/1000000000)</f>
        <v>0</v>
      </c>
      <c r="K55" s="15">
        <f>(SUMIFS('MAIN DATA, Orders'!$S:$S,'MAIN DATA, Orders'!$Y:$Y,$A55,'MAIN DATA, Orders'!$D:$D,"United Kingdom",'MAIN DATA, Orders'!$I:$I,"Artillery")/1000000000)</f>
        <v>0</v>
      </c>
      <c r="L55" s="15">
        <f>(SUMIFS('MAIN DATA, Orders'!$S:$S,'MAIN DATA, Orders'!$Y:$Y,$A55,'MAIN DATA, Orders'!$D:$D,"United Kingdom",'MAIN DATA, Orders'!$I:$I,"Development - Artillery")/1000000000)</f>
        <v>0</v>
      </c>
      <c r="M55" s="15">
        <f>(SUMIFS('MAIN DATA, Orders'!$S:$S,'MAIN DATA, Orders'!$Y:$Y,$A55,'MAIN DATA, Orders'!$D:$D,"United Kingdom",'MAIN DATA, Orders'!$I:$I,"Drone")/1000000000)</f>
        <v>0</v>
      </c>
      <c r="N55" s="15">
        <f>(SUMIFS('MAIN DATA, Orders'!$S:$S,'MAIN DATA, Orders'!$Y:$Y,$A55,'MAIN DATA, Orders'!$D:$D,"United Kingdom",'MAIN DATA, Orders'!$I:$I,"Development - Drone")/1000000000)</f>
        <v>0</v>
      </c>
      <c r="O55" s="15">
        <f>(SUMIFS('MAIN DATA, Orders'!$S:$S,'MAIN DATA, Orders'!$Y:$Y,$A55,'MAIN DATA, Orders'!$D:$D,"United Kingdom",'MAIN DATA, Orders'!$I:$I,"Helicopter")/1000000000)</f>
        <v>0</v>
      </c>
      <c r="P55" s="15">
        <f>(SUMIFS('MAIN DATA, Orders'!$S:$S,'MAIN DATA, Orders'!$Y:$Y,$A55,'MAIN DATA, Orders'!$D:$D,"United Kingdom",'MAIN DATA, Orders'!$I:$I,"Development - Helicopter")/1000000000)</f>
        <v>0</v>
      </c>
      <c r="Q55" s="15">
        <f>(SUMIFS('MAIN DATA, Orders'!$S:$S,'MAIN DATA, Orders'!$Y:$Y,$A55,'MAIN DATA, Orders'!$D:$D,"United Kingdom",'MAIN DATA, Orders'!$I:$I,"Infantry")/1000000000)</f>
        <v>0</v>
      </c>
      <c r="R55" s="15">
        <f>(SUMIFS('MAIN DATA, Orders'!$S:$S,'MAIN DATA, Orders'!$Y:$Y,$A55,'MAIN DATA, Orders'!$D:$D,"United Kingdom",'MAIN DATA, Orders'!$I:$I,"Development - Infantry")/1000000000)</f>
        <v>0</v>
      </c>
      <c r="S55" s="15">
        <f>(SUMIFS('MAIN DATA, Orders'!$S:$S,'MAIN DATA, Orders'!$Y:$Y,$A55,'MAIN DATA, Orders'!$D:$D,"United Kingdom",'MAIN DATA, Orders'!$I:$I,"Tank")/1000000000)</f>
        <v>0</v>
      </c>
      <c r="T55" s="15">
        <f>(SUMIFS('MAIN DATA, Orders'!$S:$S,'MAIN DATA, Orders'!$Y:$Y,$A55,'MAIN DATA, Orders'!$D:$D,"United Kingdom",'MAIN DATA, Orders'!$I:$I,"Development - Tank")/1000000000)</f>
        <v>0</v>
      </c>
      <c r="U55" s="15">
        <f>(SUMIFS('MAIN DATA, Orders'!$S:$S,'MAIN DATA, Orders'!$Y:$Y,$A55,'MAIN DATA, Orders'!$D:$D,"United Kingdom",'MAIN DATA, Orders'!$I:$I,"Maintenance")/1000000000)</f>
        <v>0</v>
      </c>
      <c r="V55" s="15">
        <f>(SUMIFS('MAIN DATA, Orders'!$S:$S,'MAIN DATA, Orders'!$Y:$Y,$A55,'MAIN DATA, Orders'!$D:$D,"United Kingdom",'MAIN DATA, Orders'!$I:$I,"Development - Maintenance")/1000000000)</f>
        <v>0</v>
      </c>
      <c r="W55" s="15">
        <f>(SUMIFS('MAIN DATA, Orders'!$S:$S,'MAIN DATA, Orders'!$Y:$Y,$A55,'MAIN DATA, Orders'!$D:$D,"United Kingdom",'MAIN DATA, Orders'!$I:$I,"Mine")/1000000000)</f>
        <v>0</v>
      </c>
      <c r="X55" s="15">
        <f>(SUMIFS('MAIN DATA, Orders'!$S:$S,'MAIN DATA, Orders'!$Y:$Y,$A55,'MAIN DATA, Orders'!$D:$D,"United Kingdom",'MAIN DATA, Orders'!$I:$I,"Development - Mine")/1000000000)</f>
        <v>0</v>
      </c>
      <c r="Y55" s="15">
        <f>(SUMIFS('MAIN DATA, Orders'!$S:$S,'MAIN DATA, Orders'!$Y:$Y,$A55,'MAIN DATA, Orders'!$D:$D,"United Kingdom",'MAIN DATA, Orders'!$J:$J,"6")/1000000000)</f>
        <v>0.40500000000000003</v>
      </c>
      <c r="Z55" s="15" cm="1">
        <f t="array" ref="Z55">SUM(SUMIFS('MAIN DATA, Orders'!$S:$S,'MAIN DATA, Orders'!$Y:$Y,$A55,'MAIN DATA, Orders'!$D:$D,"United Kingdom",'MAIN DATA, Orders'!$I:$I,{"Development - Missile (Land)","Development - Missile (Naval)","Development - Missile (Air)"})/1000000000)</f>
        <v>0</v>
      </c>
      <c r="AA55" s="15">
        <f>(SUMIFS('MAIN DATA, Orders'!$S:$S,'MAIN DATA, Orders'!$Y:$Y,$A55,'MAIN DATA, Orders'!$D:$D,"United Kingdom",'MAIN DATA, Orders'!$I:$I,"Modernisation")/1000000000)</f>
        <v>0.15</v>
      </c>
      <c r="AB55" s="15">
        <f>(SUMIFS('MAIN DATA, Orders'!$S:$S,'MAIN DATA, Orders'!$Y:$Y,$A55,'MAIN DATA, Orders'!$D:$D,"United Kingdom",'MAIN DATA, Orders'!$I:$I,"Development - Modernisation")/1000000000)</f>
        <v>0</v>
      </c>
      <c r="AC55" s="15">
        <f>(SUMIFS('MAIN DATA, Orders'!$S:$S,'MAIN DATA, Orders'!$Y:$Y,$A55,'MAIN DATA, Orders'!$D:$D,"United Kingdom",'MAIN DATA, Orders'!$I:$I,"Naval")/1000000000)</f>
        <v>0</v>
      </c>
      <c r="AD55" s="15">
        <f>(SUMIFS('MAIN DATA, Orders'!$S:$S,'MAIN DATA, Orders'!$Y:$Y,$A55,'MAIN DATA, Orders'!$D:$D,"United Kingdom",'MAIN DATA, Orders'!$I:$I,"Development - Naval")/1000000000)</f>
        <v>0</v>
      </c>
      <c r="AE55" s="15">
        <f>(SUMIFS('MAIN DATA, Orders'!$S:$S,'MAIN DATA, Orders'!$Y:$Y,$A55,'MAIN DATA, Orders'!$D:$D,"United Kingdom",'MAIN DATA, Orders'!$I:$I,"Other")/1000000000)</f>
        <v>0.15</v>
      </c>
      <c r="AF55" s="15">
        <f>(SUMIFS('MAIN DATA, Orders'!$S:$S,'MAIN DATA, Orders'!$Y:$Y,$A55,'MAIN DATA, Orders'!$D:$D,"United Kingdom",'MAIN DATA, Orders'!$I:$I,"Development - Other")/1000000000)</f>
        <v>0</v>
      </c>
      <c r="AG55" s="15"/>
      <c r="AH55" s="15" cm="1">
        <f t="array" ref="AH55">SUM(SUMIFS('MAIN DATA, Orders'!$S:$S,'MAIN DATA, Orders'!$Y:$Y,$A55,'MAIN DATA, Orders'!$D:$D,"United Kingdom",'MAIN DATA, Orders'!$I:$I,{"Missile (Land)","Development - Missile (Land)"})/1000000000)</f>
        <v>0</v>
      </c>
      <c r="AI55" s="15" cm="1">
        <f t="array" ref="AI55">SUM(SUMIFS('MAIN DATA, Orders'!$S:$S,'MAIN DATA, Orders'!$D:$D,"United Kingdom",'MAIN DATA, Orders'!$I:$I,{"Missile (Air)","Development - Missile (Air)"},'MAIN DATA, Orders'!$Y:$Y,$A55)/1000000000)</f>
        <v>0</v>
      </c>
      <c r="AJ55" s="15" cm="1">
        <f t="array" ref="AJ55">SUM(SUMIFS('MAIN DATA, Orders'!$S:$S,'MAIN DATA, Orders'!$Y:$Y,$A55,'MAIN DATA, Orders'!$D:$D,"United Kingdom",'MAIN DATA, Orders'!$I:$I,{"Missile (Naval)","Development - Missile (Naval)"})/1000000000)</f>
        <v>0.40500000000000003</v>
      </c>
    </row>
    <row r="56" spans="1:36" x14ac:dyDescent="0.35">
      <c r="A56" s="20">
        <v>202402</v>
      </c>
      <c r="B56" s="17">
        <v>45323</v>
      </c>
      <c r="C56" s="15">
        <f>(SUMIFS('MAIN DATA, Orders'!$S:$S,'MAIN DATA, Orders'!$Y:$Y,$A56,'MAIN DATA, Orders'!$D:$D,"United Kingdom",'MAIN DATA, Orders'!$I:$I,"Air defence system")/1000000000)</f>
        <v>0</v>
      </c>
      <c r="D56" s="15">
        <f>(SUMIFS('MAIN DATA, Orders'!$S:$S,'MAIN DATA, Orders'!$Y:$Y,$A56,'MAIN DATA, Orders'!$D:$D,"United Kingdom",'MAIN DATA, Orders'!$I:$I,"Development - Air defence system")/1000000000)</f>
        <v>0</v>
      </c>
      <c r="E56" s="15">
        <f>(SUMIFS('MAIN DATA, Orders'!$S:$S,'MAIN DATA, Orders'!$Y:$Y,$A56,'MAIN DATA, Orders'!$D:$D,"United Kingdom",'MAIN DATA, Orders'!$I:$I,"Aircraft")/1000000000)</f>
        <v>0</v>
      </c>
      <c r="F56" s="15">
        <f>(SUMIFS('MAIN DATA, Orders'!$S:$S,'MAIN DATA, Orders'!$Y:$Y,$A56,'MAIN DATA, Orders'!$D:$D,"United Kingdom",'MAIN DATA, Orders'!$I:$I,"Development - Aircraft")/1000000000)</f>
        <v>0</v>
      </c>
      <c r="G56" s="15">
        <f>(SUMIFS('MAIN DATA, Orders'!$S:$S,'MAIN DATA, Orders'!$Y:$Y,$A56,'MAIN DATA, Orders'!$D:$D,"United Kingdom",'MAIN DATA, Orders'!$I:$I,"Ammunition")/1000000000)</f>
        <v>0.245</v>
      </c>
      <c r="H56" s="15">
        <f>(SUMIFS('MAIN DATA, Orders'!$S:$S,'MAIN DATA, Orders'!$Y:$Y,$A56,'MAIN DATA, Orders'!$D:$D,"United Kingdom",'MAIN DATA, Orders'!$I:$I,"Development - Ammunition")/1000000000)</f>
        <v>0</v>
      </c>
      <c r="I56" s="15">
        <f>(SUMIFS('MAIN DATA, Orders'!$S:$S,'MAIN DATA, Orders'!$Y:$Y,$A56,'MAIN DATA, Orders'!$D:$D,"United Kingdom",'MAIN DATA, Orders'!$I:$I,"Armoured vehicle")/1000000000)</f>
        <v>0.28199999999999997</v>
      </c>
      <c r="J56" s="15">
        <f>(SUMIFS('MAIN DATA, Orders'!$S:$S,'MAIN DATA, Orders'!$Y:$Y,$A56,'MAIN DATA, Orders'!$D:$D,"United Kingdom",'MAIN DATA, Orders'!$I:$I,"Development - Armoured vehicle")/1000000000)</f>
        <v>0</v>
      </c>
      <c r="K56" s="15">
        <f>(SUMIFS('MAIN DATA, Orders'!$S:$S,'MAIN DATA, Orders'!$Y:$Y,$A56,'MAIN DATA, Orders'!$D:$D,"United Kingdom",'MAIN DATA, Orders'!$I:$I,"Artillery")/1000000000)</f>
        <v>0</v>
      </c>
      <c r="L56" s="15">
        <f>(SUMIFS('MAIN DATA, Orders'!$S:$S,'MAIN DATA, Orders'!$Y:$Y,$A56,'MAIN DATA, Orders'!$D:$D,"United Kingdom",'MAIN DATA, Orders'!$I:$I,"Development - Artillery")/1000000000)</f>
        <v>0</v>
      </c>
      <c r="M56" s="15">
        <f>(SUMIFS('MAIN DATA, Orders'!$S:$S,'MAIN DATA, Orders'!$Y:$Y,$A56,'MAIN DATA, Orders'!$D:$D,"United Kingdom",'MAIN DATA, Orders'!$I:$I,"Drone")/1000000000)</f>
        <v>0</v>
      </c>
      <c r="N56" s="15">
        <f>(SUMIFS('MAIN DATA, Orders'!$S:$S,'MAIN DATA, Orders'!$Y:$Y,$A56,'MAIN DATA, Orders'!$D:$D,"United Kingdom",'MAIN DATA, Orders'!$I:$I,"Development - Drone")/1000000000)</f>
        <v>0</v>
      </c>
      <c r="O56" s="15">
        <f>(SUMIFS('MAIN DATA, Orders'!$S:$S,'MAIN DATA, Orders'!$Y:$Y,$A56,'MAIN DATA, Orders'!$D:$D,"United Kingdom",'MAIN DATA, Orders'!$I:$I,"Helicopter")/1000000000)</f>
        <v>0</v>
      </c>
      <c r="P56" s="15">
        <f>(SUMIFS('MAIN DATA, Orders'!$S:$S,'MAIN DATA, Orders'!$Y:$Y,$A56,'MAIN DATA, Orders'!$D:$D,"United Kingdom",'MAIN DATA, Orders'!$I:$I,"Development - Helicopter")/1000000000)</f>
        <v>0</v>
      </c>
      <c r="Q56" s="15">
        <f>(SUMIFS('MAIN DATA, Orders'!$S:$S,'MAIN DATA, Orders'!$Y:$Y,$A56,'MAIN DATA, Orders'!$D:$D,"United Kingdom",'MAIN DATA, Orders'!$I:$I,"Infantry")/1000000000)</f>
        <v>0</v>
      </c>
      <c r="R56" s="15">
        <f>(SUMIFS('MAIN DATA, Orders'!$S:$S,'MAIN DATA, Orders'!$Y:$Y,$A56,'MAIN DATA, Orders'!$D:$D,"United Kingdom",'MAIN DATA, Orders'!$I:$I,"Development - Infantry")/1000000000)</f>
        <v>0</v>
      </c>
      <c r="S56" s="15">
        <f>(SUMIFS('MAIN DATA, Orders'!$S:$S,'MAIN DATA, Orders'!$Y:$Y,$A56,'MAIN DATA, Orders'!$D:$D,"United Kingdom",'MAIN DATA, Orders'!$I:$I,"Tank")/1000000000)</f>
        <v>0</v>
      </c>
      <c r="T56" s="15">
        <f>(SUMIFS('MAIN DATA, Orders'!$S:$S,'MAIN DATA, Orders'!$Y:$Y,$A56,'MAIN DATA, Orders'!$D:$D,"United Kingdom",'MAIN DATA, Orders'!$I:$I,"Development - Tank")/1000000000)</f>
        <v>0</v>
      </c>
      <c r="U56" s="15">
        <f>(SUMIFS('MAIN DATA, Orders'!$S:$S,'MAIN DATA, Orders'!$Y:$Y,$A56,'MAIN DATA, Orders'!$D:$D,"United Kingdom",'MAIN DATA, Orders'!$I:$I,"Maintenance")/1000000000)</f>
        <v>0</v>
      </c>
      <c r="V56" s="15">
        <f>(SUMIFS('MAIN DATA, Orders'!$S:$S,'MAIN DATA, Orders'!$Y:$Y,$A56,'MAIN DATA, Orders'!$D:$D,"United Kingdom",'MAIN DATA, Orders'!$I:$I,"Development - Maintenance")/1000000000)</f>
        <v>0</v>
      </c>
      <c r="W56" s="15">
        <f>(SUMIFS('MAIN DATA, Orders'!$S:$S,'MAIN DATA, Orders'!$Y:$Y,$A56,'MAIN DATA, Orders'!$D:$D,"United Kingdom",'MAIN DATA, Orders'!$I:$I,"Mine")/1000000000)</f>
        <v>0</v>
      </c>
      <c r="X56" s="15">
        <f>(SUMIFS('MAIN DATA, Orders'!$S:$S,'MAIN DATA, Orders'!$Y:$Y,$A56,'MAIN DATA, Orders'!$D:$D,"United Kingdom",'MAIN DATA, Orders'!$I:$I,"Development - Mine")/1000000000)</f>
        <v>0</v>
      </c>
      <c r="Y56" s="15">
        <f>(SUMIFS('MAIN DATA, Orders'!$S:$S,'MAIN DATA, Orders'!$Y:$Y,$A56,'MAIN DATA, Orders'!$D:$D,"United Kingdom",'MAIN DATA, Orders'!$J:$J,"6")/1000000000)</f>
        <v>0</v>
      </c>
      <c r="Z56" s="15" cm="1">
        <f t="array" ref="Z56">SUM(SUMIFS('MAIN DATA, Orders'!$S:$S,'MAIN DATA, Orders'!$Y:$Y,$A56,'MAIN DATA, Orders'!$D:$D,"United Kingdom",'MAIN DATA, Orders'!$I:$I,{"Development - Missile (Land)","Development - Missile (Naval)","Development - Missile (Air)"})/1000000000)</f>
        <v>0</v>
      </c>
      <c r="AA56" s="15">
        <f>(SUMIFS('MAIN DATA, Orders'!$S:$S,'MAIN DATA, Orders'!$Y:$Y,$A56,'MAIN DATA, Orders'!$D:$D,"United Kingdom",'MAIN DATA, Orders'!$I:$I,"Modernisation")/1000000000)</f>
        <v>0</v>
      </c>
      <c r="AB56" s="15">
        <f>(SUMIFS('MAIN DATA, Orders'!$S:$S,'MAIN DATA, Orders'!$Y:$Y,$A56,'MAIN DATA, Orders'!$D:$D,"United Kingdom",'MAIN DATA, Orders'!$I:$I,"Development - Modernisation")/1000000000)</f>
        <v>4.0000000000000001E-3</v>
      </c>
      <c r="AC56" s="15">
        <f>(SUMIFS('MAIN DATA, Orders'!$S:$S,'MAIN DATA, Orders'!$Y:$Y,$A56,'MAIN DATA, Orders'!$D:$D,"United Kingdom",'MAIN DATA, Orders'!$I:$I,"Naval")/1000000000)</f>
        <v>1.85</v>
      </c>
      <c r="AD56" s="15">
        <f>(SUMIFS('MAIN DATA, Orders'!$S:$S,'MAIN DATA, Orders'!$Y:$Y,$A56,'MAIN DATA, Orders'!$D:$D,"United Kingdom",'MAIN DATA, Orders'!$I:$I,"Development - Naval")/1000000000)</f>
        <v>0</v>
      </c>
      <c r="AE56" s="15">
        <f>(SUMIFS('MAIN DATA, Orders'!$S:$S,'MAIN DATA, Orders'!$Y:$Y,$A56,'MAIN DATA, Orders'!$D:$D,"United Kingdom",'MAIN DATA, Orders'!$I:$I,"Other")/1000000000)</f>
        <v>0</v>
      </c>
      <c r="AF56" s="15">
        <f>(SUMIFS('MAIN DATA, Orders'!$S:$S,'MAIN DATA, Orders'!$Y:$Y,$A56,'MAIN DATA, Orders'!$D:$D,"United Kingdom",'MAIN DATA, Orders'!$I:$I,"Development - Other")/1000000000)</f>
        <v>0</v>
      </c>
      <c r="AG56" s="15"/>
      <c r="AH56" s="15" cm="1">
        <f t="array" ref="AH56">SUM(SUMIFS('MAIN DATA, Orders'!$S:$S,'MAIN DATA, Orders'!$Y:$Y,$A56,'MAIN DATA, Orders'!$D:$D,"United Kingdom",'MAIN DATA, Orders'!$I:$I,{"Missile (Land)","Development - Missile (Land)"})/1000000000)</f>
        <v>0</v>
      </c>
      <c r="AI56" s="15" cm="1">
        <f t="array" ref="AI56">SUM(SUMIFS('MAIN DATA, Orders'!$S:$S,'MAIN DATA, Orders'!$D:$D,"United Kingdom",'MAIN DATA, Orders'!$I:$I,{"Missile (Air)","Development - Missile (Air)"},'MAIN DATA, Orders'!$Y:$Y,$A56)/1000000000)</f>
        <v>0</v>
      </c>
      <c r="AJ56" s="15" cm="1">
        <f t="array" ref="AJ56">SUM(SUMIFS('MAIN DATA, Orders'!$S:$S,'MAIN DATA, Orders'!$Y:$Y,$A56,'MAIN DATA, Orders'!$D:$D,"United Kingdom",'MAIN DATA, Orders'!$I:$I,{"Missile (Naval)","Development - Missile (Naval)"})/1000000000)</f>
        <v>0</v>
      </c>
    </row>
    <row r="57" spans="1:36" x14ac:dyDescent="0.35">
      <c r="A57" s="20">
        <v>202403</v>
      </c>
      <c r="B57" s="17">
        <v>45352</v>
      </c>
      <c r="C57" s="15">
        <f>(SUMIFS('MAIN DATA, Orders'!$S:$S,'MAIN DATA, Orders'!$Y:$Y,$A57,'MAIN DATA, Orders'!$D:$D,"United Kingdom",'MAIN DATA, Orders'!$I:$I,"Air defence system")/1000000000)</f>
        <v>0</v>
      </c>
      <c r="D57" s="15">
        <f>(SUMIFS('MAIN DATA, Orders'!$S:$S,'MAIN DATA, Orders'!$Y:$Y,$A57,'MAIN DATA, Orders'!$D:$D,"United Kingdom",'MAIN DATA, Orders'!$I:$I,"Development - Air defence system")/1000000000)</f>
        <v>0</v>
      </c>
      <c r="E57" s="15">
        <f>(SUMIFS('MAIN DATA, Orders'!$S:$S,'MAIN DATA, Orders'!$Y:$Y,$A57,'MAIN DATA, Orders'!$D:$D,"United Kingdom",'MAIN DATA, Orders'!$I:$I,"Aircraft")/1000000000)</f>
        <v>0</v>
      </c>
      <c r="F57" s="15">
        <f>(SUMIFS('MAIN DATA, Orders'!$S:$S,'MAIN DATA, Orders'!$Y:$Y,$A57,'MAIN DATA, Orders'!$D:$D,"United Kingdom",'MAIN DATA, Orders'!$I:$I,"Development - Aircraft")/1000000000)</f>
        <v>0</v>
      </c>
      <c r="G57" s="15">
        <f>(SUMIFS('MAIN DATA, Orders'!$S:$S,'MAIN DATA, Orders'!$Y:$Y,$A57,'MAIN DATA, Orders'!$D:$D,"United Kingdom",'MAIN DATA, Orders'!$I:$I,"Ammunition")/1000000000)</f>
        <v>0</v>
      </c>
      <c r="H57" s="15">
        <f>(SUMIFS('MAIN DATA, Orders'!$S:$S,'MAIN DATA, Orders'!$Y:$Y,$A57,'MAIN DATA, Orders'!$D:$D,"United Kingdom",'MAIN DATA, Orders'!$I:$I,"Development - Ammunition")/1000000000)</f>
        <v>0</v>
      </c>
      <c r="I57" s="15">
        <f>(SUMIFS('MAIN DATA, Orders'!$S:$S,'MAIN DATA, Orders'!$Y:$Y,$A57,'MAIN DATA, Orders'!$D:$D,"United Kingdom",'MAIN DATA, Orders'!$I:$I,"Armoured vehicle")/1000000000)</f>
        <v>0</v>
      </c>
      <c r="J57" s="15">
        <f>(SUMIFS('MAIN DATA, Orders'!$S:$S,'MAIN DATA, Orders'!$Y:$Y,$A57,'MAIN DATA, Orders'!$D:$D,"United Kingdom",'MAIN DATA, Orders'!$I:$I,"Development - Armoured vehicle")/1000000000)</f>
        <v>0</v>
      </c>
      <c r="K57" s="15">
        <f>(SUMIFS('MAIN DATA, Orders'!$S:$S,'MAIN DATA, Orders'!$Y:$Y,$A57,'MAIN DATA, Orders'!$D:$D,"United Kingdom",'MAIN DATA, Orders'!$I:$I,"Artillery")/1000000000)</f>
        <v>0</v>
      </c>
      <c r="L57" s="15">
        <f>(SUMIFS('MAIN DATA, Orders'!$S:$S,'MAIN DATA, Orders'!$Y:$Y,$A57,'MAIN DATA, Orders'!$D:$D,"United Kingdom",'MAIN DATA, Orders'!$I:$I,"Development - Artillery")/1000000000)</f>
        <v>0</v>
      </c>
      <c r="M57" s="15">
        <f>(SUMIFS('MAIN DATA, Orders'!$S:$S,'MAIN DATA, Orders'!$Y:$Y,$A57,'MAIN DATA, Orders'!$D:$D,"United Kingdom",'MAIN DATA, Orders'!$I:$I,"Drone")/1000000000)</f>
        <v>0.125</v>
      </c>
      <c r="N57" s="15">
        <f>(SUMIFS('MAIN DATA, Orders'!$S:$S,'MAIN DATA, Orders'!$Y:$Y,$A57,'MAIN DATA, Orders'!$D:$D,"United Kingdom",'MAIN DATA, Orders'!$I:$I,"Development - Drone")/1000000000)</f>
        <v>0</v>
      </c>
      <c r="O57" s="15">
        <f>(SUMIFS('MAIN DATA, Orders'!$S:$S,'MAIN DATA, Orders'!$Y:$Y,$A57,'MAIN DATA, Orders'!$D:$D,"United Kingdom",'MAIN DATA, Orders'!$I:$I,"Helicopter")/1000000000)</f>
        <v>2</v>
      </c>
      <c r="P57" s="15">
        <f>(SUMIFS('MAIN DATA, Orders'!$S:$S,'MAIN DATA, Orders'!$Y:$Y,$A57,'MAIN DATA, Orders'!$D:$D,"United Kingdom",'MAIN DATA, Orders'!$I:$I,"Development - Helicopter")/1000000000)</f>
        <v>0</v>
      </c>
      <c r="Q57" s="15">
        <f>(SUMIFS('MAIN DATA, Orders'!$S:$S,'MAIN DATA, Orders'!$Y:$Y,$A57,'MAIN DATA, Orders'!$D:$D,"United Kingdom",'MAIN DATA, Orders'!$I:$I,"Infantry")/1000000000)</f>
        <v>0</v>
      </c>
      <c r="R57" s="15">
        <f>(SUMIFS('MAIN DATA, Orders'!$S:$S,'MAIN DATA, Orders'!$Y:$Y,$A57,'MAIN DATA, Orders'!$D:$D,"United Kingdom",'MAIN DATA, Orders'!$I:$I,"Development - Infantry")/1000000000)</f>
        <v>0</v>
      </c>
      <c r="S57" s="15">
        <f>(SUMIFS('MAIN DATA, Orders'!$S:$S,'MAIN DATA, Orders'!$Y:$Y,$A57,'MAIN DATA, Orders'!$D:$D,"United Kingdom",'MAIN DATA, Orders'!$I:$I,"Tank")/1000000000)</f>
        <v>0</v>
      </c>
      <c r="T57" s="15">
        <f>(SUMIFS('MAIN DATA, Orders'!$S:$S,'MAIN DATA, Orders'!$Y:$Y,$A57,'MAIN DATA, Orders'!$D:$D,"United Kingdom",'MAIN DATA, Orders'!$I:$I,"Development - Tank")/1000000000)</f>
        <v>0</v>
      </c>
      <c r="U57" s="15">
        <f>(SUMIFS('MAIN DATA, Orders'!$S:$S,'MAIN DATA, Orders'!$Y:$Y,$A57,'MAIN DATA, Orders'!$D:$D,"United Kingdom",'MAIN DATA, Orders'!$I:$I,"Maintenance")/1000000000)</f>
        <v>0.24099999999999999</v>
      </c>
      <c r="V57" s="15">
        <f>(SUMIFS('MAIN DATA, Orders'!$S:$S,'MAIN DATA, Orders'!$Y:$Y,$A57,'MAIN DATA, Orders'!$D:$D,"United Kingdom",'MAIN DATA, Orders'!$I:$I,"Development - Maintenance")/1000000000)</f>
        <v>0</v>
      </c>
      <c r="W57" s="15">
        <f>(SUMIFS('MAIN DATA, Orders'!$S:$S,'MAIN DATA, Orders'!$Y:$Y,$A57,'MAIN DATA, Orders'!$D:$D,"United Kingdom",'MAIN DATA, Orders'!$I:$I,"Mine")/1000000000)</f>
        <v>0</v>
      </c>
      <c r="X57" s="15">
        <f>(SUMIFS('MAIN DATA, Orders'!$S:$S,'MAIN DATA, Orders'!$Y:$Y,$A57,'MAIN DATA, Orders'!$D:$D,"United Kingdom",'MAIN DATA, Orders'!$I:$I,"Development - Mine")/1000000000)</f>
        <v>0</v>
      </c>
      <c r="Y57" s="15">
        <f>(SUMIFS('MAIN DATA, Orders'!$S:$S,'MAIN DATA, Orders'!$Y:$Y,$A57,'MAIN DATA, Orders'!$D:$D,"United Kingdom",'MAIN DATA, Orders'!$J:$J,"6")/1000000000)</f>
        <v>0</v>
      </c>
      <c r="Z57" s="15" cm="1">
        <f t="array" ref="Z57">SUM(SUMIFS('MAIN DATA, Orders'!$S:$S,'MAIN DATA, Orders'!$Y:$Y,$A57,'MAIN DATA, Orders'!$D:$D,"United Kingdom",'MAIN DATA, Orders'!$I:$I,{"Development - Missile (Land)","Development - Missile (Naval)","Development - Missile (Air)"})/1000000000)</f>
        <v>0</v>
      </c>
      <c r="AA57" s="15">
        <f>(SUMIFS('MAIN DATA, Orders'!$S:$S,'MAIN DATA, Orders'!$Y:$Y,$A57,'MAIN DATA, Orders'!$D:$D,"United Kingdom",'MAIN DATA, Orders'!$I:$I,"Modernisation")/1000000000)</f>
        <v>0</v>
      </c>
      <c r="AB57" s="15">
        <f>(SUMIFS('MAIN DATA, Orders'!$S:$S,'MAIN DATA, Orders'!$Y:$Y,$A57,'MAIN DATA, Orders'!$D:$D,"United Kingdom",'MAIN DATA, Orders'!$I:$I,"Development - Modernisation")/1000000000)</f>
        <v>0</v>
      </c>
      <c r="AC57" s="15">
        <f>(SUMIFS('MAIN DATA, Orders'!$S:$S,'MAIN DATA, Orders'!$Y:$Y,$A57,'MAIN DATA, Orders'!$D:$D,"United Kingdom",'MAIN DATA, Orders'!$I:$I,"Naval")/1000000000)</f>
        <v>0.13500000000000001</v>
      </c>
      <c r="AD57" s="15">
        <f>(SUMIFS('MAIN DATA, Orders'!$S:$S,'MAIN DATA, Orders'!$Y:$Y,$A57,'MAIN DATA, Orders'!$D:$D,"United Kingdom",'MAIN DATA, Orders'!$I:$I,"Development - Naval")/1000000000)</f>
        <v>0</v>
      </c>
      <c r="AE57" s="15">
        <f>(SUMIFS('MAIN DATA, Orders'!$S:$S,'MAIN DATA, Orders'!$Y:$Y,$A57,'MAIN DATA, Orders'!$D:$D,"United Kingdom",'MAIN DATA, Orders'!$I:$I,"Other")/1000000000)</f>
        <v>8.1999999999999998E-4</v>
      </c>
      <c r="AF57" s="15">
        <f>(SUMIFS('MAIN DATA, Orders'!$S:$S,'MAIN DATA, Orders'!$Y:$Y,$A57,'MAIN DATA, Orders'!$D:$D,"United Kingdom",'MAIN DATA, Orders'!$I:$I,"Development - Other")/1000000000)</f>
        <v>0</v>
      </c>
      <c r="AG57" s="15"/>
      <c r="AH57" s="15" cm="1">
        <f t="array" ref="AH57">SUM(SUMIFS('MAIN DATA, Orders'!$S:$S,'MAIN DATA, Orders'!$Y:$Y,$A57,'MAIN DATA, Orders'!$D:$D,"United Kingdom",'MAIN DATA, Orders'!$I:$I,{"Missile (Land)","Development - Missile (Land)"})/1000000000)</f>
        <v>0</v>
      </c>
      <c r="AI57" s="15" cm="1">
        <f t="array" ref="AI57">SUM(SUMIFS('MAIN DATA, Orders'!$S:$S,'MAIN DATA, Orders'!$D:$D,"United Kingdom",'MAIN DATA, Orders'!$I:$I,{"Missile (Air)","Development - Missile (Air)"},'MAIN DATA, Orders'!$Y:$Y,$A57)/1000000000)</f>
        <v>0</v>
      </c>
      <c r="AJ57" s="15" cm="1">
        <f t="array" ref="AJ57">SUM(SUMIFS('MAIN DATA, Orders'!$S:$S,'MAIN DATA, Orders'!$Y:$Y,$A57,'MAIN DATA, Orders'!$D:$D,"United Kingdom",'MAIN DATA, Orders'!$I:$I,{"Missile (Naval)","Development - Missile (Naval)"})/1000000000)</f>
        <v>0</v>
      </c>
    </row>
    <row r="58" spans="1:36" x14ac:dyDescent="0.35">
      <c r="A58" s="20">
        <v>202404</v>
      </c>
      <c r="B58" s="17">
        <v>45383</v>
      </c>
      <c r="C58" s="15">
        <f>(SUMIFS('MAIN DATA, Orders'!$S:$S,'MAIN DATA, Orders'!$Y:$Y,$A58,'MAIN DATA, Orders'!$D:$D,"United Kingdom",'MAIN DATA, Orders'!$I:$I,"Air defence system")/1000000000)</f>
        <v>0</v>
      </c>
      <c r="D58" s="15">
        <f>(SUMIFS('MAIN DATA, Orders'!$S:$S,'MAIN DATA, Orders'!$Y:$Y,$A58,'MAIN DATA, Orders'!$D:$D,"United Kingdom",'MAIN DATA, Orders'!$I:$I,"Development - Air defence system")/1000000000)</f>
        <v>0</v>
      </c>
      <c r="E58" s="15">
        <f>(SUMIFS('MAIN DATA, Orders'!$S:$S,'MAIN DATA, Orders'!$Y:$Y,$A58,'MAIN DATA, Orders'!$D:$D,"United Kingdom",'MAIN DATA, Orders'!$I:$I,"Aircraft")/1000000000)</f>
        <v>0</v>
      </c>
      <c r="F58" s="15">
        <f>(SUMIFS('MAIN DATA, Orders'!$S:$S,'MAIN DATA, Orders'!$Y:$Y,$A58,'MAIN DATA, Orders'!$D:$D,"United Kingdom",'MAIN DATA, Orders'!$I:$I,"Development - Aircraft")/1000000000)</f>
        <v>0</v>
      </c>
      <c r="G58" s="15">
        <f>(SUMIFS('MAIN DATA, Orders'!$S:$S,'MAIN DATA, Orders'!$Y:$Y,$A58,'MAIN DATA, Orders'!$D:$D,"United Kingdom",'MAIN DATA, Orders'!$I:$I,"Ammunition")/1000000000)</f>
        <v>0</v>
      </c>
      <c r="H58" s="15">
        <f>(SUMIFS('MAIN DATA, Orders'!$S:$S,'MAIN DATA, Orders'!$Y:$Y,$A58,'MAIN DATA, Orders'!$D:$D,"United Kingdom",'MAIN DATA, Orders'!$I:$I,"Development - Ammunition")/1000000000)</f>
        <v>0</v>
      </c>
      <c r="I58" s="15">
        <f>(SUMIFS('MAIN DATA, Orders'!$S:$S,'MAIN DATA, Orders'!$Y:$Y,$A58,'MAIN DATA, Orders'!$D:$D,"United Kingdom",'MAIN DATA, Orders'!$I:$I,"Armoured vehicle")/1000000000)</f>
        <v>0</v>
      </c>
      <c r="J58" s="15">
        <f>(SUMIFS('MAIN DATA, Orders'!$S:$S,'MAIN DATA, Orders'!$Y:$Y,$A58,'MAIN DATA, Orders'!$D:$D,"United Kingdom",'MAIN DATA, Orders'!$I:$I,"Development - Armoured vehicle")/1000000000)</f>
        <v>0</v>
      </c>
      <c r="K58" s="15">
        <f>(SUMIFS('MAIN DATA, Orders'!$S:$S,'MAIN DATA, Orders'!$Y:$Y,$A58,'MAIN DATA, Orders'!$D:$D,"United Kingdom",'MAIN DATA, Orders'!$I:$I,"Artillery")/1000000000)</f>
        <v>0</v>
      </c>
      <c r="L58" s="15">
        <f>(SUMIFS('MAIN DATA, Orders'!$S:$S,'MAIN DATA, Orders'!$Y:$Y,$A58,'MAIN DATA, Orders'!$D:$D,"United Kingdom",'MAIN DATA, Orders'!$I:$I,"Development - Artillery")/1000000000)</f>
        <v>0</v>
      </c>
      <c r="M58" s="15">
        <f>(SUMIFS('MAIN DATA, Orders'!$S:$S,'MAIN DATA, Orders'!$Y:$Y,$A58,'MAIN DATA, Orders'!$D:$D,"United Kingdom",'MAIN DATA, Orders'!$I:$I,"Drone")/1000000000)</f>
        <v>0</v>
      </c>
      <c r="N58" s="15">
        <f>(SUMIFS('MAIN DATA, Orders'!$S:$S,'MAIN DATA, Orders'!$Y:$Y,$A58,'MAIN DATA, Orders'!$D:$D,"United Kingdom",'MAIN DATA, Orders'!$I:$I,"Development - Drone")/1000000000)</f>
        <v>0</v>
      </c>
      <c r="O58" s="15">
        <f>(SUMIFS('MAIN DATA, Orders'!$S:$S,'MAIN DATA, Orders'!$Y:$Y,$A58,'MAIN DATA, Orders'!$D:$D,"United Kingdom",'MAIN DATA, Orders'!$I:$I,"Helicopter")/1000000000)</f>
        <v>0.122</v>
      </c>
      <c r="P58" s="15">
        <f>(SUMIFS('MAIN DATA, Orders'!$S:$S,'MAIN DATA, Orders'!$Y:$Y,$A58,'MAIN DATA, Orders'!$D:$D,"United Kingdom",'MAIN DATA, Orders'!$I:$I,"Development - Helicopter")/1000000000)</f>
        <v>0</v>
      </c>
      <c r="Q58" s="15">
        <f>(SUMIFS('MAIN DATA, Orders'!$S:$S,'MAIN DATA, Orders'!$Y:$Y,$A58,'MAIN DATA, Orders'!$D:$D,"United Kingdom",'MAIN DATA, Orders'!$I:$I,"Infantry")/1000000000)</f>
        <v>0</v>
      </c>
      <c r="R58" s="15">
        <f>(SUMIFS('MAIN DATA, Orders'!$S:$S,'MAIN DATA, Orders'!$Y:$Y,$A58,'MAIN DATA, Orders'!$D:$D,"United Kingdom",'MAIN DATA, Orders'!$I:$I,"Development - Infantry")/1000000000)</f>
        <v>0</v>
      </c>
      <c r="S58" s="15">
        <f>(SUMIFS('MAIN DATA, Orders'!$S:$S,'MAIN DATA, Orders'!$Y:$Y,$A58,'MAIN DATA, Orders'!$D:$D,"United Kingdom",'MAIN DATA, Orders'!$I:$I,"Tank")/1000000000)</f>
        <v>0</v>
      </c>
      <c r="T58" s="15">
        <f>(SUMIFS('MAIN DATA, Orders'!$S:$S,'MAIN DATA, Orders'!$Y:$Y,$A58,'MAIN DATA, Orders'!$D:$D,"United Kingdom",'MAIN DATA, Orders'!$I:$I,"Development - Tank")/1000000000)</f>
        <v>0</v>
      </c>
      <c r="U58" s="15">
        <f>(SUMIFS('MAIN DATA, Orders'!$S:$S,'MAIN DATA, Orders'!$Y:$Y,$A58,'MAIN DATA, Orders'!$D:$D,"United Kingdom",'MAIN DATA, Orders'!$I:$I,"Maintenance")/1000000000)</f>
        <v>0</v>
      </c>
      <c r="V58" s="15">
        <f>(SUMIFS('MAIN DATA, Orders'!$S:$S,'MAIN DATA, Orders'!$Y:$Y,$A58,'MAIN DATA, Orders'!$D:$D,"United Kingdom",'MAIN DATA, Orders'!$I:$I,"Development - Maintenance")/1000000000)</f>
        <v>0</v>
      </c>
      <c r="W58" s="15">
        <f>(SUMIFS('MAIN DATA, Orders'!$S:$S,'MAIN DATA, Orders'!$Y:$Y,$A58,'MAIN DATA, Orders'!$D:$D,"United Kingdom",'MAIN DATA, Orders'!$I:$I,"Mine")/1000000000)</f>
        <v>0</v>
      </c>
      <c r="X58" s="15">
        <f>(SUMIFS('MAIN DATA, Orders'!$S:$S,'MAIN DATA, Orders'!$Y:$Y,$A58,'MAIN DATA, Orders'!$D:$D,"United Kingdom",'MAIN DATA, Orders'!$I:$I,"Development - Mine")/1000000000)</f>
        <v>0</v>
      </c>
      <c r="Y58" s="15">
        <f>(SUMIFS('MAIN DATA, Orders'!$S:$S,'MAIN DATA, Orders'!$Y:$Y,$A58,'MAIN DATA, Orders'!$D:$D,"United Kingdom",'MAIN DATA, Orders'!$J:$J,"6")/1000000000)</f>
        <v>0</v>
      </c>
      <c r="Z58" s="15" cm="1">
        <f t="array" ref="Z58">SUM(SUMIFS('MAIN DATA, Orders'!$S:$S,'MAIN DATA, Orders'!$Y:$Y,$A58,'MAIN DATA, Orders'!$D:$D,"United Kingdom",'MAIN DATA, Orders'!$I:$I,{"Development - Missile (Land)","Development - Missile (Naval)","Development - Missile (Air)"})/1000000000)</f>
        <v>0</v>
      </c>
      <c r="AA58" s="15">
        <f>(SUMIFS('MAIN DATA, Orders'!$S:$S,'MAIN DATA, Orders'!$Y:$Y,$A58,'MAIN DATA, Orders'!$D:$D,"United Kingdom",'MAIN DATA, Orders'!$I:$I,"Modernisation")/1000000000)</f>
        <v>0</v>
      </c>
      <c r="AB58" s="15">
        <f>(SUMIFS('MAIN DATA, Orders'!$S:$S,'MAIN DATA, Orders'!$Y:$Y,$A58,'MAIN DATA, Orders'!$D:$D,"United Kingdom",'MAIN DATA, Orders'!$I:$I,"Development - Modernisation")/1000000000)</f>
        <v>0</v>
      </c>
      <c r="AC58" s="15">
        <f>(SUMIFS('MAIN DATA, Orders'!$S:$S,'MAIN DATA, Orders'!$Y:$Y,$A58,'MAIN DATA, Orders'!$D:$D,"United Kingdom",'MAIN DATA, Orders'!$I:$I,"Naval")/1000000000)</f>
        <v>0</v>
      </c>
      <c r="AD58" s="15">
        <f>(SUMIFS('MAIN DATA, Orders'!$S:$S,'MAIN DATA, Orders'!$Y:$Y,$A58,'MAIN DATA, Orders'!$D:$D,"United Kingdom",'MAIN DATA, Orders'!$I:$I,"Development - Naval")/1000000000)</f>
        <v>0</v>
      </c>
      <c r="AE58" s="15">
        <f>(SUMIFS('MAIN DATA, Orders'!$S:$S,'MAIN DATA, Orders'!$Y:$Y,$A58,'MAIN DATA, Orders'!$D:$D,"United Kingdom",'MAIN DATA, Orders'!$I:$I,"Other")/1000000000)</f>
        <v>0.09</v>
      </c>
      <c r="AF58" s="15">
        <f>(SUMIFS('MAIN DATA, Orders'!$S:$S,'MAIN DATA, Orders'!$Y:$Y,$A58,'MAIN DATA, Orders'!$D:$D,"United Kingdom",'MAIN DATA, Orders'!$I:$I,"Development - Other")/1000000000)</f>
        <v>0</v>
      </c>
      <c r="AG58" s="15"/>
      <c r="AH58" s="15" cm="1">
        <f t="array" ref="AH58">SUM(SUMIFS('MAIN DATA, Orders'!$S:$S,'MAIN DATA, Orders'!$Y:$Y,$A58,'MAIN DATA, Orders'!$D:$D,"United Kingdom",'MAIN DATA, Orders'!$I:$I,{"Missile (Land)","Development - Missile (Land)"})/1000000000)</f>
        <v>0</v>
      </c>
      <c r="AI58" s="15" cm="1">
        <f t="array" ref="AI58">SUM(SUMIFS('MAIN DATA, Orders'!$S:$S,'MAIN DATA, Orders'!$D:$D,"United Kingdom",'MAIN DATA, Orders'!$I:$I,{"Missile (Air)","Development - Missile (Air)"},'MAIN DATA, Orders'!$Y:$Y,$A58)/1000000000)</f>
        <v>0</v>
      </c>
      <c r="AJ58" s="15" cm="1">
        <f t="array" ref="AJ58">SUM(SUMIFS('MAIN DATA, Orders'!$S:$S,'MAIN DATA, Orders'!$Y:$Y,$A58,'MAIN DATA, Orders'!$D:$D,"United Kingdom",'MAIN DATA, Orders'!$I:$I,{"Missile (Naval)","Development - Missile (Naval)"})/1000000000)</f>
        <v>0</v>
      </c>
    </row>
    <row r="59" spans="1:36" x14ac:dyDescent="0.35">
      <c r="A59" s="20">
        <v>202405</v>
      </c>
      <c r="B59" s="17">
        <v>45413</v>
      </c>
      <c r="C59" s="15">
        <f>(SUMIFS('MAIN DATA, Orders'!$S:$S,'MAIN DATA, Orders'!$Y:$Y,$A59,'MAIN DATA, Orders'!$D:$D,"United Kingdom",'MAIN DATA, Orders'!$I:$I,"Air defence system")/1000000000)</f>
        <v>0</v>
      </c>
      <c r="D59" s="15">
        <f>(SUMIFS('MAIN DATA, Orders'!$S:$S,'MAIN DATA, Orders'!$Y:$Y,$A59,'MAIN DATA, Orders'!$D:$D,"United Kingdom",'MAIN DATA, Orders'!$I:$I,"Development - Air defence system")/1000000000)</f>
        <v>0</v>
      </c>
      <c r="E59" s="15">
        <f>(SUMIFS('MAIN DATA, Orders'!$S:$S,'MAIN DATA, Orders'!$Y:$Y,$A59,'MAIN DATA, Orders'!$D:$D,"United Kingdom",'MAIN DATA, Orders'!$I:$I,"Aircraft")/1000000000)</f>
        <v>0</v>
      </c>
      <c r="F59" s="15">
        <f>(SUMIFS('MAIN DATA, Orders'!$S:$S,'MAIN DATA, Orders'!$Y:$Y,$A59,'MAIN DATA, Orders'!$D:$D,"United Kingdom",'MAIN DATA, Orders'!$I:$I,"Development - Aircraft")/1000000000)</f>
        <v>0</v>
      </c>
      <c r="G59" s="15">
        <f>(SUMIFS('MAIN DATA, Orders'!$S:$S,'MAIN DATA, Orders'!$Y:$Y,$A59,'MAIN DATA, Orders'!$D:$D,"United Kingdom",'MAIN DATA, Orders'!$I:$I,"Ammunition")/1000000000)</f>
        <v>0</v>
      </c>
      <c r="H59" s="15">
        <f>(SUMIFS('MAIN DATA, Orders'!$S:$S,'MAIN DATA, Orders'!$Y:$Y,$A59,'MAIN DATA, Orders'!$D:$D,"United Kingdom",'MAIN DATA, Orders'!$I:$I,"Development - Ammunition")/1000000000)</f>
        <v>0</v>
      </c>
      <c r="I59" s="15">
        <f>(SUMIFS('MAIN DATA, Orders'!$S:$S,'MAIN DATA, Orders'!$Y:$Y,$A59,'MAIN DATA, Orders'!$D:$D,"United Kingdom",'MAIN DATA, Orders'!$I:$I,"Armoured vehicle")/1000000000)</f>
        <v>0</v>
      </c>
      <c r="J59" s="15">
        <f>(SUMIFS('MAIN DATA, Orders'!$S:$S,'MAIN DATA, Orders'!$Y:$Y,$A59,'MAIN DATA, Orders'!$D:$D,"United Kingdom",'MAIN DATA, Orders'!$I:$I,"Development - Armoured vehicle")/1000000000)</f>
        <v>0</v>
      </c>
      <c r="K59" s="15">
        <f>(SUMIFS('MAIN DATA, Orders'!$S:$S,'MAIN DATA, Orders'!$Y:$Y,$A59,'MAIN DATA, Orders'!$D:$D,"United Kingdom",'MAIN DATA, Orders'!$I:$I,"Artillery")/1000000000)</f>
        <v>0</v>
      </c>
      <c r="L59" s="15">
        <f>(SUMIFS('MAIN DATA, Orders'!$S:$S,'MAIN DATA, Orders'!$Y:$Y,$A59,'MAIN DATA, Orders'!$D:$D,"United Kingdom",'MAIN DATA, Orders'!$I:$I,"Development - Artillery")/1000000000)</f>
        <v>0</v>
      </c>
      <c r="M59" s="15">
        <f>(SUMIFS('MAIN DATA, Orders'!$S:$S,'MAIN DATA, Orders'!$Y:$Y,$A59,'MAIN DATA, Orders'!$D:$D,"United Kingdom",'MAIN DATA, Orders'!$I:$I,"Drone")/1000000000)</f>
        <v>2.1000000000000001E-2</v>
      </c>
      <c r="N59" s="15">
        <f>(SUMIFS('MAIN DATA, Orders'!$S:$S,'MAIN DATA, Orders'!$Y:$Y,$A59,'MAIN DATA, Orders'!$D:$D,"United Kingdom",'MAIN DATA, Orders'!$I:$I,"Development - Drone")/1000000000)</f>
        <v>0</v>
      </c>
      <c r="O59" s="15">
        <f>(SUMIFS('MAIN DATA, Orders'!$S:$S,'MAIN DATA, Orders'!$Y:$Y,$A59,'MAIN DATA, Orders'!$D:$D,"United Kingdom",'MAIN DATA, Orders'!$I:$I,"Helicopter")/1000000000)</f>
        <v>0</v>
      </c>
      <c r="P59" s="15">
        <f>(SUMIFS('MAIN DATA, Orders'!$S:$S,'MAIN DATA, Orders'!$Y:$Y,$A59,'MAIN DATA, Orders'!$D:$D,"United Kingdom",'MAIN DATA, Orders'!$I:$I,"Development - Helicopter")/1000000000)</f>
        <v>0</v>
      </c>
      <c r="Q59" s="15">
        <f>(SUMIFS('MAIN DATA, Orders'!$S:$S,'MAIN DATA, Orders'!$Y:$Y,$A59,'MAIN DATA, Orders'!$D:$D,"United Kingdom",'MAIN DATA, Orders'!$I:$I,"Infantry")/1000000000)</f>
        <v>0</v>
      </c>
      <c r="R59" s="15">
        <f>(SUMIFS('MAIN DATA, Orders'!$S:$S,'MAIN DATA, Orders'!$Y:$Y,$A59,'MAIN DATA, Orders'!$D:$D,"United Kingdom",'MAIN DATA, Orders'!$I:$I,"Development - Infantry")/1000000000)</f>
        <v>0</v>
      </c>
      <c r="S59" s="15">
        <f>(SUMIFS('MAIN DATA, Orders'!$S:$S,'MAIN DATA, Orders'!$Y:$Y,$A59,'MAIN DATA, Orders'!$D:$D,"United Kingdom",'MAIN DATA, Orders'!$I:$I,"Tank")/1000000000)</f>
        <v>0</v>
      </c>
      <c r="T59" s="15">
        <f>(SUMIFS('MAIN DATA, Orders'!$S:$S,'MAIN DATA, Orders'!$Y:$Y,$A59,'MAIN DATA, Orders'!$D:$D,"United Kingdom",'MAIN DATA, Orders'!$I:$I,"Development - Tank")/1000000000)</f>
        <v>0</v>
      </c>
      <c r="U59" s="15">
        <f>(SUMIFS('MAIN DATA, Orders'!$S:$S,'MAIN DATA, Orders'!$Y:$Y,$A59,'MAIN DATA, Orders'!$D:$D,"United Kingdom",'MAIN DATA, Orders'!$I:$I,"Maintenance")/1000000000)</f>
        <v>0</v>
      </c>
      <c r="V59" s="15">
        <f>(SUMIFS('MAIN DATA, Orders'!$S:$S,'MAIN DATA, Orders'!$Y:$Y,$A59,'MAIN DATA, Orders'!$D:$D,"United Kingdom",'MAIN DATA, Orders'!$I:$I,"Development - Maintenance")/1000000000)</f>
        <v>0</v>
      </c>
      <c r="W59" s="15">
        <f>(SUMIFS('MAIN DATA, Orders'!$S:$S,'MAIN DATA, Orders'!$Y:$Y,$A59,'MAIN DATA, Orders'!$D:$D,"United Kingdom",'MAIN DATA, Orders'!$I:$I,"Mine")/1000000000)</f>
        <v>0</v>
      </c>
      <c r="X59" s="15">
        <f>(SUMIFS('MAIN DATA, Orders'!$S:$S,'MAIN DATA, Orders'!$Y:$Y,$A59,'MAIN DATA, Orders'!$D:$D,"United Kingdom",'MAIN DATA, Orders'!$I:$I,"Development - Mine")/1000000000)</f>
        <v>0</v>
      </c>
      <c r="Y59" s="15">
        <f>(SUMIFS('MAIN DATA, Orders'!$S:$S,'MAIN DATA, Orders'!$Y:$Y,$A59,'MAIN DATA, Orders'!$D:$D,"United Kingdom",'MAIN DATA, Orders'!$J:$J,"6")/1000000000)</f>
        <v>0</v>
      </c>
      <c r="Z59" s="15" cm="1">
        <f t="array" ref="Z59">SUM(SUMIFS('MAIN DATA, Orders'!$S:$S,'MAIN DATA, Orders'!$Y:$Y,$A59,'MAIN DATA, Orders'!$D:$D,"United Kingdom",'MAIN DATA, Orders'!$I:$I,{"Development - Missile (Land)","Development - Missile (Naval)","Development - Missile (Air)"})/1000000000)</f>
        <v>0</v>
      </c>
      <c r="AA59" s="15">
        <f>(SUMIFS('MAIN DATA, Orders'!$S:$S,'MAIN DATA, Orders'!$Y:$Y,$A59,'MAIN DATA, Orders'!$D:$D,"United Kingdom",'MAIN DATA, Orders'!$I:$I,"Modernisation")/1000000000)</f>
        <v>0</v>
      </c>
      <c r="AB59" s="15">
        <f>(SUMIFS('MAIN DATA, Orders'!$S:$S,'MAIN DATA, Orders'!$Y:$Y,$A59,'MAIN DATA, Orders'!$D:$D,"United Kingdom",'MAIN DATA, Orders'!$I:$I,"Development - Modernisation")/1000000000)</f>
        <v>0</v>
      </c>
      <c r="AC59" s="15">
        <f>(SUMIFS('MAIN DATA, Orders'!$S:$S,'MAIN DATA, Orders'!$Y:$Y,$A59,'MAIN DATA, Orders'!$D:$D,"United Kingdom",'MAIN DATA, Orders'!$I:$I,"Naval")/1000000000)</f>
        <v>0</v>
      </c>
      <c r="AD59" s="15">
        <f>(SUMIFS('MAIN DATA, Orders'!$S:$S,'MAIN DATA, Orders'!$Y:$Y,$A59,'MAIN DATA, Orders'!$D:$D,"United Kingdom",'MAIN DATA, Orders'!$I:$I,"Development - Naval")/1000000000)</f>
        <v>0</v>
      </c>
      <c r="AE59" s="15">
        <f>(SUMIFS('MAIN DATA, Orders'!$S:$S,'MAIN DATA, Orders'!$Y:$Y,$A59,'MAIN DATA, Orders'!$D:$D,"United Kingdom",'MAIN DATA, Orders'!$I:$I,"Other")/1000000000)</f>
        <v>0</v>
      </c>
      <c r="AF59" s="15">
        <f>(SUMIFS('MAIN DATA, Orders'!$S:$S,'MAIN DATA, Orders'!$Y:$Y,$A59,'MAIN DATA, Orders'!$D:$D,"United Kingdom",'MAIN DATA, Orders'!$I:$I,"Development - Other")/1000000000)</f>
        <v>0</v>
      </c>
      <c r="AG59" s="15"/>
      <c r="AH59" s="15" cm="1">
        <f t="array" ref="AH59">SUM(SUMIFS('MAIN DATA, Orders'!$S:$S,'MAIN DATA, Orders'!$Y:$Y,$A59,'MAIN DATA, Orders'!$D:$D,"United Kingdom",'MAIN DATA, Orders'!$I:$I,{"Missile (Land)","Development - Missile (Land)"})/1000000000)</f>
        <v>0</v>
      </c>
      <c r="AI59" s="15" cm="1">
        <f t="array" ref="AI59">SUM(SUMIFS('MAIN DATA, Orders'!$S:$S,'MAIN DATA, Orders'!$D:$D,"United Kingdom",'MAIN DATA, Orders'!$I:$I,{"Missile (Air)","Development - Missile (Air)"},'MAIN DATA, Orders'!$Y:$Y,$A59)/1000000000)</f>
        <v>0</v>
      </c>
      <c r="AJ59" s="15" cm="1">
        <f t="array" ref="AJ59">SUM(SUMIFS('MAIN DATA, Orders'!$S:$S,'MAIN DATA, Orders'!$Y:$Y,$A59,'MAIN DATA, Orders'!$D:$D,"United Kingdom",'MAIN DATA, Orders'!$I:$I,{"Missile (Naval)","Development - Missile (Naval)"})/1000000000)</f>
        <v>0</v>
      </c>
    </row>
    <row r="60" spans="1:36" x14ac:dyDescent="0.35">
      <c r="A60" s="20">
        <v>202406</v>
      </c>
      <c r="B60" s="17">
        <v>45444</v>
      </c>
      <c r="C60" s="15">
        <f>(SUMIFS('MAIN DATA, Orders'!$S:$S,'MAIN DATA, Orders'!$Y:$Y,$A60,'MAIN DATA, Orders'!$D:$D,"United Kingdom",'MAIN DATA, Orders'!$I:$I,"Air defence system")/1000000000)</f>
        <v>0</v>
      </c>
      <c r="D60" s="15">
        <f>(SUMIFS('MAIN DATA, Orders'!$S:$S,'MAIN DATA, Orders'!$Y:$Y,$A60,'MAIN DATA, Orders'!$D:$D,"United Kingdom",'MAIN DATA, Orders'!$I:$I,"Development - Air defence system")/1000000000)</f>
        <v>0</v>
      </c>
      <c r="E60" s="15">
        <f>(SUMIFS('MAIN DATA, Orders'!$S:$S,'MAIN DATA, Orders'!$Y:$Y,$A60,'MAIN DATA, Orders'!$D:$D,"United Kingdom",'MAIN DATA, Orders'!$I:$I,"Aircraft")/1000000000)</f>
        <v>0</v>
      </c>
      <c r="F60" s="15">
        <f>(SUMIFS('MAIN DATA, Orders'!$S:$S,'MAIN DATA, Orders'!$Y:$Y,$A60,'MAIN DATA, Orders'!$D:$D,"United Kingdom",'MAIN DATA, Orders'!$I:$I,"Development - Aircraft")/1000000000)</f>
        <v>0</v>
      </c>
      <c r="G60" s="15">
        <f>(SUMIFS('MAIN DATA, Orders'!$S:$S,'MAIN DATA, Orders'!$Y:$Y,$A60,'MAIN DATA, Orders'!$D:$D,"United Kingdom",'MAIN DATA, Orders'!$I:$I,"Ammunition")/1000000000)</f>
        <v>0</v>
      </c>
      <c r="H60" s="15">
        <f>(SUMIFS('MAIN DATA, Orders'!$S:$S,'MAIN DATA, Orders'!$Y:$Y,$A60,'MAIN DATA, Orders'!$D:$D,"United Kingdom",'MAIN DATA, Orders'!$I:$I,"Development - Ammunition")/1000000000)</f>
        <v>0</v>
      </c>
      <c r="I60" s="15">
        <f>(SUMIFS('MAIN DATA, Orders'!$S:$S,'MAIN DATA, Orders'!$Y:$Y,$A60,'MAIN DATA, Orders'!$D:$D,"United Kingdom",'MAIN DATA, Orders'!$I:$I,"Armoured vehicle")/1000000000)</f>
        <v>0</v>
      </c>
      <c r="J60" s="15">
        <f>(SUMIFS('MAIN DATA, Orders'!$S:$S,'MAIN DATA, Orders'!$Y:$Y,$A60,'MAIN DATA, Orders'!$D:$D,"United Kingdom",'MAIN DATA, Orders'!$I:$I,"Development - Armoured vehicle")/1000000000)</f>
        <v>0</v>
      </c>
      <c r="K60" s="15">
        <f>(SUMIFS('MAIN DATA, Orders'!$S:$S,'MAIN DATA, Orders'!$Y:$Y,$A60,'MAIN DATA, Orders'!$D:$D,"United Kingdom",'MAIN DATA, Orders'!$I:$I,"Artillery")/1000000000)</f>
        <v>0</v>
      </c>
      <c r="L60" s="15">
        <f>(SUMIFS('MAIN DATA, Orders'!$S:$S,'MAIN DATA, Orders'!$Y:$Y,$A60,'MAIN DATA, Orders'!$D:$D,"United Kingdom",'MAIN DATA, Orders'!$I:$I,"Development - Artillery")/1000000000)</f>
        <v>0</v>
      </c>
      <c r="M60" s="15">
        <f>(SUMIFS('MAIN DATA, Orders'!$S:$S,'MAIN DATA, Orders'!$Y:$Y,$A60,'MAIN DATA, Orders'!$D:$D,"United Kingdom",'MAIN DATA, Orders'!$I:$I,"Drone")/1000000000)</f>
        <v>0</v>
      </c>
      <c r="N60" s="15">
        <f>(SUMIFS('MAIN DATA, Orders'!$S:$S,'MAIN DATA, Orders'!$Y:$Y,$A60,'MAIN DATA, Orders'!$D:$D,"United Kingdom",'MAIN DATA, Orders'!$I:$I,"Development - Drone")/1000000000)</f>
        <v>0</v>
      </c>
      <c r="O60" s="15">
        <f>(SUMIFS('MAIN DATA, Orders'!$S:$S,'MAIN DATA, Orders'!$Y:$Y,$A60,'MAIN DATA, Orders'!$D:$D,"United Kingdom",'MAIN DATA, Orders'!$I:$I,"Helicopter")/1000000000)</f>
        <v>0</v>
      </c>
      <c r="P60" s="15">
        <f>(SUMIFS('MAIN DATA, Orders'!$S:$S,'MAIN DATA, Orders'!$Y:$Y,$A60,'MAIN DATA, Orders'!$D:$D,"United Kingdom",'MAIN DATA, Orders'!$I:$I,"Development - Helicopter")/1000000000)</f>
        <v>0</v>
      </c>
      <c r="Q60" s="15">
        <f>(SUMIFS('MAIN DATA, Orders'!$S:$S,'MAIN DATA, Orders'!$Y:$Y,$A60,'MAIN DATA, Orders'!$D:$D,"United Kingdom",'MAIN DATA, Orders'!$I:$I,"Infantry")/1000000000)</f>
        <v>0</v>
      </c>
      <c r="R60" s="15">
        <f>(SUMIFS('MAIN DATA, Orders'!$S:$S,'MAIN DATA, Orders'!$Y:$Y,$A60,'MAIN DATA, Orders'!$D:$D,"United Kingdom",'MAIN DATA, Orders'!$I:$I,"Development - Infantry")/1000000000)</f>
        <v>0</v>
      </c>
      <c r="S60" s="15">
        <f>(SUMIFS('MAIN DATA, Orders'!$S:$S,'MAIN DATA, Orders'!$Y:$Y,$A60,'MAIN DATA, Orders'!$D:$D,"United Kingdom",'MAIN DATA, Orders'!$I:$I,"Tank")/1000000000)</f>
        <v>0</v>
      </c>
      <c r="T60" s="15">
        <f>(SUMIFS('MAIN DATA, Orders'!$S:$S,'MAIN DATA, Orders'!$Y:$Y,$A60,'MAIN DATA, Orders'!$D:$D,"United Kingdom",'MAIN DATA, Orders'!$I:$I,"Development - Tank")/1000000000)</f>
        <v>0</v>
      </c>
      <c r="U60" s="15">
        <f>(SUMIFS('MAIN DATA, Orders'!$S:$S,'MAIN DATA, Orders'!$Y:$Y,$A60,'MAIN DATA, Orders'!$D:$D,"United Kingdom",'MAIN DATA, Orders'!$I:$I,"Maintenance")/1000000000)</f>
        <v>0</v>
      </c>
      <c r="V60" s="15">
        <f>(SUMIFS('MAIN DATA, Orders'!$S:$S,'MAIN DATA, Orders'!$Y:$Y,$A60,'MAIN DATA, Orders'!$D:$D,"United Kingdom",'MAIN DATA, Orders'!$I:$I,"Development - Maintenance")/1000000000)</f>
        <v>0</v>
      </c>
      <c r="W60" s="15">
        <f>(SUMIFS('MAIN DATA, Orders'!$S:$S,'MAIN DATA, Orders'!$Y:$Y,$A60,'MAIN DATA, Orders'!$D:$D,"United Kingdom",'MAIN DATA, Orders'!$I:$I,"Mine")/1000000000)</f>
        <v>0</v>
      </c>
      <c r="X60" s="15">
        <f>(SUMIFS('MAIN DATA, Orders'!$S:$S,'MAIN DATA, Orders'!$Y:$Y,$A60,'MAIN DATA, Orders'!$D:$D,"United Kingdom",'MAIN DATA, Orders'!$I:$I,"Development - Mine")/1000000000)</f>
        <v>0</v>
      </c>
      <c r="Y60" s="15">
        <f>(SUMIFS('MAIN DATA, Orders'!$S:$S,'MAIN DATA, Orders'!$Y:$Y,$A60,'MAIN DATA, Orders'!$D:$D,"United Kingdom",'MAIN DATA, Orders'!$J:$J,"6")/1000000000)</f>
        <v>0</v>
      </c>
      <c r="Z60" s="15" cm="1">
        <f t="array" ref="Z60">SUM(SUMIFS('MAIN DATA, Orders'!$S:$S,'MAIN DATA, Orders'!$Y:$Y,$A60,'MAIN DATA, Orders'!$D:$D,"United Kingdom",'MAIN DATA, Orders'!$I:$I,{"Development - Missile (Land)","Development - Missile (Naval)","Development - Missile (Air)"})/1000000000)</f>
        <v>0</v>
      </c>
      <c r="AA60" s="15">
        <f>(SUMIFS('MAIN DATA, Orders'!$S:$S,'MAIN DATA, Orders'!$Y:$Y,$A60,'MAIN DATA, Orders'!$D:$D,"United Kingdom",'MAIN DATA, Orders'!$I:$I,"Modernisation")/1000000000)</f>
        <v>0</v>
      </c>
      <c r="AB60" s="15">
        <f>(SUMIFS('MAIN DATA, Orders'!$S:$S,'MAIN DATA, Orders'!$Y:$Y,$A60,'MAIN DATA, Orders'!$D:$D,"United Kingdom",'MAIN DATA, Orders'!$I:$I,"Development - Modernisation")/1000000000)</f>
        <v>0</v>
      </c>
      <c r="AC60" s="15">
        <f>(SUMIFS('MAIN DATA, Orders'!$S:$S,'MAIN DATA, Orders'!$Y:$Y,$A60,'MAIN DATA, Orders'!$D:$D,"United Kingdom",'MAIN DATA, Orders'!$I:$I,"Naval")/1000000000)</f>
        <v>0</v>
      </c>
      <c r="AD60" s="15">
        <f>(SUMIFS('MAIN DATA, Orders'!$S:$S,'MAIN DATA, Orders'!$Y:$Y,$A60,'MAIN DATA, Orders'!$D:$D,"United Kingdom",'MAIN DATA, Orders'!$I:$I,"Development - Naval")/1000000000)</f>
        <v>0</v>
      </c>
      <c r="AE60" s="15">
        <f>(SUMIFS('MAIN DATA, Orders'!$S:$S,'MAIN DATA, Orders'!$Y:$Y,$A60,'MAIN DATA, Orders'!$D:$D,"United Kingdom",'MAIN DATA, Orders'!$I:$I,"Other")/1000000000)</f>
        <v>0</v>
      </c>
      <c r="AF60" s="15">
        <f>(SUMIFS('MAIN DATA, Orders'!$S:$S,'MAIN DATA, Orders'!$Y:$Y,$A60,'MAIN DATA, Orders'!$D:$D,"United Kingdom",'MAIN DATA, Orders'!$I:$I,"Development - Other")/1000000000)</f>
        <v>0</v>
      </c>
      <c r="AG60" s="15"/>
      <c r="AH60" s="15" cm="1">
        <f t="array" ref="AH60">SUM(SUMIFS('MAIN DATA, Orders'!$S:$S,'MAIN DATA, Orders'!$Y:$Y,$A60,'MAIN DATA, Orders'!$D:$D,"United Kingdom",'MAIN DATA, Orders'!$I:$I,{"Missile (Land)","Development - Missile (Land)"})/1000000000)</f>
        <v>0</v>
      </c>
      <c r="AI60" s="15" cm="1">
        <f t="array" ref="AI60">SUM(SUMIFS('MAIN DATA, Orders'!$S:$S,'MAIN DATA, Orders'!$D:$D,"United Kingdom",'MAIN DATA, Orders'!$I:$I,{"Missile (Air)","Development - Missile (Air)"},'MAIN DATA, Orders'!$Y:$Y,$A60)/1000000000)</f>
        <v>0</v>
      </c>
      <c r="AJ60" s="15" cm="1">
        <f t="array" ref="AJ60">SUM(SUMIFS('MAIN DATA, Orders'!$S:$S,'MAIN DATA, Orders'!$Y:$Y,$A60,'MAIN DATA, Orders'!$D:$D,"United Kingdom",'MAIN DATA, Orders'!$I:$I,{"Missile (Naval)","Development - Missile (Naval)"})/1000000000)</f>
        <v>0</v>
      </c>
    </row>
    <row r="61" spans="1:36" x14ac:dyDescent="0.35">
      <c r="A61" s="20">
        <v>202407</v>
      </c>
      <c r="B61" s="17">
        <v>45474</v>
      </c>
      <c r="C61" s="15">
        <f>(SUMIFS('MAIN DATA, Orders'!$S:$S,'MAIN DATA, Orders'!$Y:$Y,$A61,'MAIN DATA, Orders'!$D:$D,"United Kingdom",'MAIN DATA, Orders'!$I:$I,"Air defence system")/1000000000)</f>
        <v>0</v>
      </c>
      <c r="D61" s="15">
        <f>(SUMIFS('MAIN DATA, Orders'!$S:$S,'MAIN DATA, Orders'!$Y:$Y,$A61,'MAIN DATA, Orders'!$D:$D,"United Kingdom",'MAIN DATA, Orders'!$I:$I,"Development - Air defence system")/1000000000)</f>
        <v>0</v>
      </c>
      <c r="E61" s="15">
        <f>(SUMIFS('MAIN DATA, Orders'!$S:$S,'MAIN DATA, Orders'!$Y:$Y,$A61,'MAIN DATA, Orders'!$D:$D,"United Kingdom",'MAIN DATA, Orders'!$I:$I,"Aircraft")/1000000000)</f>
        <v>0</v>
      </c>
      <c r="F61" s="15">
        <f>(SUMIFS('MAIN DATA, Orders'!$S:$S,'MAIN DATA, Orders'!$Y:$Y,$A61,'MAIN DATA, Orders'!$D:$D,"United Kingdom",'MAIN DATA, Orders'!$I:$I,"Development - Aircraft")/1000000000)</f>
        <v>0</v>
      </c>
      <c r="G61" s="15">
        <f>(SUMIFS('MAIN DATA, Orders'!$S:$S,'MAIN DATA, Orders'!$Y:$Y,$A61,'MAIN DATA, Orders'!$D:$D,"United Kingdom",'MAIN DATA, Orders'!$I:$I,"Ammunition")/1000000000)</f>
        <v>0</v>
      </c>
      <c r="H61" s="15">
        <f>(SUMIFS('MAIN DATA, Orders'!$S:$S,'MAIN DATA, Orders'!$Y:$Y,$A61,'MAIN DATA, Orders'!$D:$D,"United Kingdom",'MAIN DATA, Orders'!$I:$I,"Development - Ammunition")/1000000000)</f>
        <v>0</v>
      </c>
      <c r="I61" s="15">
        <f>(SUMIFS('MAIN DATA, Orders'!$S:$S,'MAIN DATA, Orders'!$Y:$Y,$A61,'MAIN DATA, Orders'!$D:$D,"United Kingdom",'MAIN DATA, Orders'!$I:$I,"Armoured vehicle")/1000000000)</f>
        <v>0</v>
      </c>
      <c r="J61" s="15">
        <f>(SUMIFS('MAIN DATA, Orders'!$S:$S,'MAIN DATA, Orders'!$Y:$Y,$A61,'MAIN DATA, Orders'!$D:$D,"United Kingdom",'MAIN DATA, Orders'!$I:$I,"Development - Armoured vehicle")/1000000000)</f>
        <v>0</v>
      </c>
      <c r="K61" s="15">
        <f>(SUMIFS('MAIN DATA, Orders'!$S:$S,'MAIN DATA, Orders'!$Y:$Y,$A61,'MAIN DATA, Orders'!$D:$D,"United Kingdom",'MAIN DATA, Orders'!$I:$I,"Artillery")/1000000000)</f>
        <v>0</v>
      </c>
      <c r="L61" s="15">
        <f>(SUMIFS('MAIN DATA, Orders'!$S:$S,'MAIN DATA, Orders'!$Y:$Y,$A61,'MAIN DATA, Orders'!$D:$D,"United Kingdom",'MAIN DATA, Orders'!$I:$I,"Development - Artillery")/1000000000)</f>
        <v>0</v>
      </c>
      <c r="M61" s="15">
        <f>(SUMIFS('MAIN DATA, Orders'!$S:$S,'MAIN DATA, Orders'!$Y:$Y,$A61,'MAIN DATA, Orders'!$D:$D,"United Kingdom",'MAIN DATA, Orders'!$I:$I,"Drone")/1000000000)</f>
        <v>0</v>
      </c>
      <c r="N61" s="15">
        <f>(SUMIFS('MAIN DATA, Orders'!$S:$S,'MAIN DATA, Orders'!$Y:$Y,$A61,'MAIN DATA, Orders'!$D:$D,"United Kingdom",'MAIN DATA, Orders'!$I:$I,"Development - Drone")/1000000000)</f>
        <v>0</v>
      </c>
      <c r="O61" s="15">
        <f>(SUMIFS('MAIN DATA, Orders'!$S:$S,'MAIN DATA, Orders'!$Y:$Y,$A61,'MAIN DATA, Orders'!$D:$D,"United Kingdom",'MAIN DATA, Orders'!$I:$I,"Helicopter")/1000000000)</f>
        <v>0</v>
      </c>
      <c r="P61" s="15">
        <f>(SUMIFS('MAIN DATA, Orders'!$S:$S,'MAIN DATA, Orders'!$Y:$Y,$A61,'MAIN DATA, Orders'!$D:$D,"United Kingdom",'MAIN DATA, Orders'!$I:$I,"Development - Helicopter")/1000000000)</f>
        <v>0</v>
      </c>
      <c r="Q61" s="15">
        <f>(SUMIFS('MAIN DATA, Orders'!$S:$S,'MAIN DATA, Orders'!$Y:$Y,$A61,'MAIN DATA, Orders'!$D:$D,"United Kingdom",'MAIN DATA, Orders'!$I:$I,"Infantry")/1000000000)</f>
        <v>0</v>
      </c>
      <c r="R61" s="15">
        <f>(SUMIFS('MAIN DATA, Orders'!$S:$S,'MAIN DATA, Orders'!$Y:$Y,$A61,'MAIN DATA, Orders'!$D:$D,"United Kingdom",'MAIN DATA, Orders'!$I:$I,"Development - Infantry")/1000000000)</f>
        <v>0</v>
      </c>
      <c r="S61" s="15">
        <f>(SUMIFS('MAIN DATA, Orders'!$S:$S,'MAIN DATA, Orders'!$Y:$Y,$A61,'MAIN DATA, Orders'!$D:$D,"United Kingdom",'MAIN DATA, Orders'!$I:$I,"Tank")/1000000000)</f>
        <v>0</v>
      </c>
      <c r="T61" s="15">
        <f>(SUMIFS('MAIN DATA, Orders'!$S:$S,'MAIN DATA, Orders'!$Y:$Y,$A61,'MAIN DATA, Orders'!$D:$D,"United Kingdom",'MAIN DATA, Orders'!$I:$I,"Development - Tank")/1000000000)</f>
        <v>0</v>
      </c>
      <c r="U61" s="15">
        <f>(SUMIFS('MAIN DATA, Orders'!$S:$S,'MAIN DATA, Orders'!$Y:$Y,$A61,'MAIN DATA, Orders'!$D:$D,"United Kingdom",'MAIN DATA, Orders'!$I:$I,"Maintenance")/1000000000)</f>
        <v>0</v>
      </c>
      <c r="V61" s="15">
        <f>(SUMIFS('MAIN DATA, Orders'!$S:$S,'MAIN DATA, Orders'!$Y:$Y,$A61,'MAIN DATA, Orders'!$D:$D,"United Kingdom",'MAIN DATA, Orders'!$I:$I,"Development - Maintenance")/1000000000)</f>
        <v>0</v>
      </c>
      <c r="W61" s="15">
        <f>(SUMIFS('MAIN DATA, Orders'!$S:$S,'MAIN DATA, Orders'!$Y:$Y,$A61,'MAIN DATA, Orders'!$D:$D,"United Kingdom",'MAIN DATA, Orders'!$I:$I,"Mine")/1000000000)</f>
        <v>0</v>
      </c>
      <c r="X61" s="15">
        <f>(SUMIFS('MAIN DATA, Orders'!$S:$S,'MAIN DATA, Orders'!$Y:$Y,$A61,'MAIN DATA, Orders'!$D:$D,"United Kingdom",'MAIN DATA, Orders'!$I:$I,"Development - Mine")/1000000000)</f>
        <v>0</v>
      </c>
      <c r="Y61" s="15">
        <f>(SUMIFS('MAIN DATA, Orders'!$S:$S,'MAIN DATA, Orders'!$Y:$Y,$A61,'MAIN DATA, Orders'!$D:$D,"United Kingdom",'MAIN DATA, Orders'!$J:$J,"6")/1000000000)</f>
        <v>0.17599999999999999</v>
      </c>
      <c r="Z61" s="15" cm="1">
        <f t="array" ref="Z61">SUM(SUMIFS('MAIN DATA, Orders'!$S:$S,'MAIN DATA, Orders'!$Y:$Y,$A61,'MAIN DATA, Orders'!$D:$D,"United Kingdom",'MAIN DATA, Orders'!$I:$I,{"Development - Missile (Land)","Development - Missile (Naval)","Development - Missile (Air)"})/1000000000)</f>
        <v>0</v>
      </c>
      <c r="AA61" s="15">
        <f>(SUMIFS('MAIN DATA, Orders'!$S:$S,'MAIN DATA, Orders'!$Y:$Y,$A61,'MAIN DATA, Orders'!$D:$D,"United Kingdom",'MAIN DATA, Orders'!$I:$I,"Modernisation")/1000000000)</f>
        <v>0</v>
      </c>
      <c r="AB61" s="15">
        <f>(SUMIFS('MAIN DATA, Orders'!$S:$S,'MAIN DATA, Orders'!$Y:$Y,$A61,'MAIN DATA, Orders'!$D:$D,"United Kingdom",'MAIN DATA, Orders'!$I:$I,"Development - Modernisation")/1000000000)</f>
        <v>0</v>
      </c>
      <c r="AC61" s="15">
        <f>(SUMIFS('MAIN DATA, Orders'!$S:$S,'MAIN DATA, Orders'!$Y:$Y,$A61,'MAIN DATA, Orders'!$D:$D,"United Kingdom",'MAIN DATA, Orders'!$I:$I,"Naval")/1000000000)</f>
        <v>0</v>
      </c>
      <c r="AD61" s="15">
        <f>(SUMIFS('MAIN DATA, Orders'!$S:$S,'MAIN DATA, Orders'!$Y:$Y,$A61,'MAIN DATA, Orders'!$D:$D,"United Kingdom",'MAIN DATA, Orders'!$I:$I,"Development - Naval")/1000000000)</f>
        <v>0</v>
      </c>
      <c r="AE61" s="15">
        <f>(SUMIFS('MAIN DATA, Orders'!$S:$S,'MAIN DATA, Orders'!$Y:$Y,$A61,'MAIN DATA, Orders'!$D:$D,"United Kingdom",'MAIN DATA, Orders'!$I:$I,"Other")/1000000000)</f>
        <v>6.5</v>
      </c>
      <c r="AF61" s="15">
        <f>(SUMIFS('MAIN DATA, Orders'!$S:$S,'MAIN DATA, Orders'!$Y:$Y,$A61,'MAIN DATA, Orders'!$D:$D,"United Kingdom",'MAIN DATA, Orders'!$I:$I,"Development - Other")/1000000000)</f>
        <v>0</v>
      </c>
      <c r="AG61" s="15"/>
      <c r="AH61" s="15" cm="1">
        <f t="array" ref="AH61">SUM(SUMIFS('MAIN DATA, Orders'!$S:$S,'MAIN DATA, Orders'!$Y:$Y,$A61,'MAIN DATA, Orders'!$D:$D,"United Kingdom",'MAIN DATA, Orders'!$I:$I,{"Missile (Land)","Development - Missile (Land)"})/1000000000)</f>
        <v>0.17599999999999999</v>
      </c>
      <c r="AI61" s="15" cm="1">
        <f t="array" ref="AI61">SUM(SUMIFS('MAIN DATA, Orders'!$S:$S,'MAIN DATA, Orders'!$D:$D,"United Kingdom",'MAIN DATA, Orders'!$I:$I,{"Missile (Air)","Development - Missile (Air)"},'MAIN DATA, Orders'!$Y:$Y,$A61)/1000000000)</f>
        <v>0</v>
      </c>
      <c r="AJ61" s="15" cm="1">
        <f t="array" ref="AJ61">SUM(SUMIFS('MAIN DATA, Orders'!$S:$S,'MAIN DATA, Orders'!$Y:$Y,$A61,'MAIN DATA, Orders'!$D:$D,"United Kingdom",'MAIN DATA, Orders'!$I:$I,{"Missile (Naval)","Development - Missile (Naval)"})/1000000000)</f>
        <v>0</v>
      </c>
    </row>
    <row r="62" spans="1:36" x14ac:dyDescent="0.35">
      <c r="A62" s="20">
        <v>202408</v>
      </c>
      <c r="B62" s="17">
        <v>45505</v>
      </c>
      <c r="C62" s="15">
        <f>(SUMIFS('MAIN DATA, Orders'!$S:$S,'MAIN DATA, Orders'!$Y:$Y,$A62,'MAIN DATA, Orders'!$D:$D,"United Kingdom",'MAIN DATA, Orders'!$I:$I,"Air defence system")/1000000000)</f>
        <v>0</v>
      </c>
      <c r="D62" s="15">
        <f>(SUMIFS('MAIN DATA, Orders'!$S:$S,'MAIN DATA, Orders'!$Y:$Y,$A62,'MAIN DATA, Orders'!$D:$D,"United Kingdom",'MAIN DATA, Orders'!$I:$I,"Development - Air defence system")/1000000000)</f>
        <v>0</v>
      </c>
      <c r="E62" s="15">
        <f>(SUMIFS('MAIN DATA, Orders'!$S:$S,'MAIN DATA, Orders'!$Y:$Y,$A62,'MAIN DATA, Orders'!$D:$D,"United Kingdom",'MAIN DATA, Orders'!$I:$I,"Aircraft")/1000000000)</f>
        <v>0</v>
      </c>
      <c r="F62" s="15">
        <f>(SUMIFS('MAIN DATA, Orders'!$S:$S,'MAIN DATA, Orders'!$Y:$Y,$A62,'MAIN DATA, Orders'!$D:$D,"United Kingdom",'MAIN DATA, Orders'!$I:$I,"Development - Aircraft")/1000000000)</f>
        <v>0</v>
      </c>
      <c r="G62" s="15">
        <f>(SUMIFS('MAIN DATA, Orders'!$S:$S,'MAIN DATA, Orders'!$Y:$Y,$A62,'MAIN DATA, Orders'!$D:$D,"United Kingdom",'MAIN DATA, Orders'!$I:$I,"Ammunition")/1000000000)</f>
        <v>0</v>
      </c>
      <c r="H62" s="15">
        <f>(SUMIFS('MAIN DATA, Orders'!$S:$S,'MAIN DATA, Orders'!$Y:$Y,$A62,'MAIN DATA, Orders'!$D:$D,"United Kingdom",'MAIN DATA, Orders'!$I:$I,"Development - Ammunition")/1000000000)</f>
        <v>0</v>
      </c>
      <c r="I62" s="15">
        <f>(SUMIFS('MAIN DATA, Orders'!$S:$S,'MAIN DATA, Orders'!$Y:$Y,$A62,'MAIN DATA, Orders'!$D:$D,"United Kingdom",'MAIN DATA, Orders'!$I:$I,"Armoured vehicle")/1000000000)</f>
        <v>0</v>
      </c>
      <c r="J62" s="15">
        <f>(SUMIFS('MAIN DATA, Orders'!$S:$S,'MAIN DATA, Orders'!$Y:$Y,$A62,'MAIN DATA, Orders'!$D:$D,"United Kingdom",'MAIN DATA, Orders'!$I:$I,"Development - Armoured vehicle")/1000000000)</f>
        <v>0</v>
      </c>
      <c r="K62" s="15">
        <f>(SUMIFS('MAIN DATA, Orders'!$S:$S,'MAIN DATA, Orders'!$Y:$Y,$A62,'MAIN DATA, Orders'!$D:$D,"United Kingdom",'MAIN DATA, Orders'!$I:$I,"Artillery")/1000000000)</f>
        <v>0</v>
      </c>
      <c r="L62" s="15">
        <f>(SUMIFS('MAIN DATA, Orders'!$S:$S,'MAIN DATA, Orders'!$Y:$Y,$A62,'MAIN DATA, Orders'!$D:$D,"United Kingdom",'MAIN DATA, Orders'!$I:$I,"Development - Artillery")/1000000000)</f>
        <v>0</v>
      </c>
      <c r="M62" s="15">
        <f>(SUMIFS('MAIN DATA, Orders'!$S:$S,'MAIN DATA, Orders'!$Y:$Y,$A62,'MAIN DATA, Orders'!$D:$D,"United Kingdom",'MAIN DATA, Orders'!$I:$I,"Drone")/1000000000)</f>
        <v>0</v>
      </c>
      <c r="N62" s="15">
        <f>(SUMIFS('MAIN DATA, Orders'!$S:$S,'MAIN DATA, Orders'!$Y:$Y,$A62,'MAIN DATA, Orders'!$D:$D,"United Kingdom",'MAIN DATA, Orders'!$I:$I,"Development - Drone")/1000000000)</f>
        <v>0</v>
      </c>
      <c r="O62" s="15">
        <f>(SUMIFS('MAIN DATA, Orders'!$S:$S,'MAIN DATA, Orders'!$Y:$Y,$A62,'MAIN DATA, Orders'!$D:$D,"United Kingdom",'MAIN DATA, Orders'!$I:$I,"Helicopter")/1000000000)</f>
        <v>0</v>
      </c>
      <c r="P62" s="15">
        <f>(SUMIFS('MAIN DATA, Orders'!$S:$S,'MAIN DATA, Orders'!$Y:$Y,$A62,'MAIN DATA, Orders'!$D:$D,"United Kingdom",'MAIN DATA, Orders'!$I:$I,"Development - Helicopter")/1000000000)</f>
        <v>0</v>
      </c>
      <c r="Q62" s="15">
        <f>(SUMIFS('MAIN DATA, Orders'!$S:$S,'MAIN DATA, Orders'!$Y:$Y,$A62,'MAIN DATA, Orders'!$D:$D,"United Kingdom",'MAIN DATA, Orders'!$I:$I,"Infantry")/1000000000)</f>
        <v>0</v>
      </c>
      <c r="R62" s="15">
        <f>(SUMIFS('MAIN DATA, Orders'!$S:$S,'MAIN DATA, Orders'!$Y:$Y,$A62,'MAIN DATA, Orders'!$D:$D,"United Kingdom",'MAIN DATA, Orders'!$I:$I,"Development - Infantry")/1000000000)</f>
        <v>0</v>
      </c>
      <c r="S62" s="15">
        <f>(SUMIFS('MAIN DATA, Orders'!$S:$S,'MAIN DATA, Orders'!$Y:$Y,$A62,'MAIN DATA, Orders'!$D:$D,"United Kingdom",'MAIN DATA, Orders'!$I:$I,"Tank")/1000000000)</f>
        <v>0</v>
      </c>
      <c r="T62" s="15">
        <f>(SUMIFS('MAIN DATA, Orders'!$S:$S,'MAIN DATA, Orders'!$Y:$Y,$A62,'MAIN DATA, Orders'!$D:$D,"United Kingdom",'MAIN DATA, Orders'!$I:$I,"Development - Tank")/1000000000)</f>
        <v>0</v>
      </c>
      <c r="U62" s="15">
        <f>(SUMIFS('MAIN DATA, Orders'!$S:$S,'MAIN DATA, Orders'!$Y:$Y,$A62,'MAIN DATA, Orders'!$D:$D,"United Kingdom",'MAIN DATA, Orders'!$I:$I,"Maintenance")/1000000000)</f>
        <v>0</v>
      </c>
      <c r="V62" s="15">
        <f>(SUMIFS('MAIN DATA, Orders'!$S:$S,'MAIN DATA, Orders'!$Y:$Y,$A62,'MAIN DATA, Orders'!$D:$D,"United Kingdom",'MAIN DATA, Orders'!$I:$I,"Development - Maintenance")/1000000000)</f>
        <v>0</v>
      </c>
      <c r="W62" s="15">
        <f>(SUMIFS('MAIN DATA, Orders'!$S:$S,'MAIN DATA, Orders'!$Y:$Y,$A62,'MAIN DATA, Orders'!$D:$D,"United Kingdom",'MAIN DATA, Orders'!$I:$I,"Mine")/1000000000)</f>
        <v>0</v>
      </c>
      <c r="X62" s="15">
        <f>(SUMIFS('MAIN DATA, Orders'!$S:$S,'MAIN DATA, Orders'!$Y:$Y,$A62,'MAIN DATA, Orders'!$D:$D,"United Kingdom",'MAIN DATA, Orders'!$I:$I,"Development - Mine")/1000000000)</f>
        <v>0</v>
      </c>
      <c r="Y62" s="15">
        <f>(SUMIFS('MAIN DATA, Orders'!$S:$S,'MAIN DATA, Orders'!$Y:$Y,$A62,'MAIN DATA, Orders'!$D:$D,"United Kingdom",'MAIN DATA, Orders'!$J:$J,"6")/1000000000)</f>
        <v>0</v>
      </c>
      <c r="Z62" s="15" cm="1">
        <f t="array" ref="Z62">SUM(SUMIFS('MAIN DATA, Orders'!$S:$S,'MAIN DATA, Orders'!$Y:$Y,$A62,'MAIN DATA, Orders'!$D:$D,"United Kingdom",'MAIN DATA, Orders'!$I:$I,{"Development - Missile (Land)","Development - Missile (Naval)","Development - Missile (Air)"})/1000000000)</f>
        <v>0</v>
      </c>
      <c r="AA62" s="15">
        <f>(SUMIFS('MAIN DATA, Orders'!$S:$S,'MAIN DATA, Orders'!$Y:$Y,$A62,'MAIN DATA, Orders'!$D:$D,"United Kingdom",'MAIN DATA, Orders'!$I:$I,"Modernisation")/1000000000)</f>
        <v>0</v>
      </c>
      <c r="AB62" s="15">
        <f>(SUMIFS('MAIN DATA, Orders'!$S:$S,'MAIN DATA, Orders'!$Y:$Y,$A62,'MAIN DATA, Orders'!$D:$D,"United Kingdom",'MAIN DATA, Orders'!$I:$I,"Development - Modernisation")/1000000000)</f>
        <v>0.02</v>
      </c>
      <c r="AC62" s="15">
        <f>(SUMIFS('MAIN DATA, Orders'!$S:$S,'MAIN DATA, Orders'!$Y:$Y,$A62,'MAIN DATA, Orders'!$D:$D,"United Kingdom",'MAIN DATA, Orders'!$I:$I,"Naval")/1000000000)</f>
        <v>0</v>
      </c>
      <c r="AD62" s="15">
        <f>(SUMIFS('MAIN DATA, Orders'!$S:$S,'MAIN DATA, Orders'!$Y:$Y,$A62,'MAIN DATA, Orders'!$D:$D,"United Kingdom",'MAIN DATA, Orders'!$I:$I,"Development - Naval")/1000000000)</f>
        <v>0</v>
      </c>
      <c r="AE62" s="15">
        <f>(SUMIFS('MAIN DATA, Orders'!$S:$S,'MAIN DATA, Orders'!$Y:$Y,$A62,'MAIN DATA, Orders'!$D:$D,"United Kingdom",'MAIN DATA, Orders'!$I:$I,"Other")/1000000000)</f>
        <v>0</v>
      </c>
      <c r="AF62" s="15">
        <f>(SUMIFS('MAIN DATA, Orders'!$S:$S,'MAIN DATA, Orders'!$Y:$Y,$A62,'MAIN DATA, Orders'!$D:$D,"United Kingdom",'MAIN DATA, Orders'!$I:$I,"Development - Other")/1000000000)</f>
        <v>0</v>
      </c>
      <c r="AG62" s="15"/>
      <c r="AH62" s="15" cm="1">
        <f t="array" ref="AH62">SUM(SUMIFS('MAIN DATA, Orders'!$S:$S,'MAIN DATA, Orders'!$Y:$Y,$A62,'MAIN DATA, Orders'!$D:$D,"United Kingdom",'MAIN DATA, Orders'!$I:$I,{"Missile (Land)","Development - Missile (Land)"})/1000000000)</f>
        <v>0</v>
      </c>
      <c r="AI62" s="15" cm="1">
        <f t="array" ref="AI62">SUM(SUMIFS('MAIN DATA, Orders'!$S:$S,'MAIN DATA, Orders'!$D:$D,"United Kingdom",'MAIN DATA, Orders'!$I:$I,{"Missile (Air)","Development - Missile (Air)"},'MAIN DATA, Orders'!$Y:$Y,$A62)/1000000000)</f>
        <v>0</v>
      </c>
      <c r="AJ62" s="15" cm="1">
        <f t="array" ref="AJ62">SUM(SUMIFS('MAIN DATA, Orders'!$S:$S,'MAIN DATA, Orders'!$Y:$Y,$A62,'MAIN DATA, Orders'!$D:$D,"United Kingdom",'MAIN DATA, Orders'!$I:$I,{"Missile (Naval)","Development - Missile (Naval)"})/1000000000)</f>
        <v>0</v>
      </c>
    </row>
    <row r="63" spans="1:36" x14ac:dyDescent="0.35">
      <c r="A63" s="20">
        <v>202409</v>
      </c>
      <c r="B63" s="17">
        <v>45536</v>
      </c>
      <c r="C63" s="15">
        <f>(SUMIFS('MAIN DATA, Orders'!$S:$S,'MAIN DATA, Orders'!$Y:$Y,$A63,'MAIN DATA, Orders'!$D:$D,"United Kingdom",'MAIN DATA, Orders'!$I:$I,"Air defence system")/1000000000)</f>
        <v>0</v>
      </c>
      <c r="D63" s="15">
        <f>(SUMIFS('MAIN DATA, Orders'!$S:$S,'MAIN DATA, Orders'!$Y:$Y,$A63,'MAIN DATA, Orders'!$D:$D,"United Kingdom",'MAIN DATA, Orders'!$I:$I,"Development - Air defence system")/1000000000)</f>
        <v>0</v>
      </c>
      <c r="E63" s="15">
        <f>(SUMIFS('MAIN DATA, Orders'!$S:$S,'MAIN DATA, Orders'!$Y:$Y,$A63,'MAIN DATA, Orders'!$D:$D,"United Kingdom",'MAIN DATA, Orders'!$I:$I,"Aircraft")/1000000000)</f>
        <v>0</v>
      </c>
      <c r="F63" s="15">
        <f>(SUMIFS('MAIN DATA, Orders'!$S:$S,'MAIN DATA, Orders'!$Y:$Y,$A63,'MAIN DATA, Orders'!$D:$D,"United Kingdom",'MAIN DATA, Orders'!$I:$I,"Development - Aircraft")/1000000000)</f>
        <v>0</v>
      </c>
      <c r="G63" s="15">
        <f>(SUMIFS('MAIN DATA, Orders'!$S:$S,'MAIN DATA, Orders'!$Y:$Y,$A63,'MAIN DATA, Orders'!$D:$D,"United Kingdom",'MAIN DATA, Orders'!$I:$I,"Ammunition")/1000000000)</f>
        <v>0</v>
      </c>
      <c r="H63" s="15">
        <f>(SUMIFS('MAIN DATA, Orders'!$S:$S,'MAIN DATA, Orders'!$Y:$Y,$A63,'MAIN DATA, Orders'!$D:$D,"United Kingdom",'MAIN DATA, Orders'!$I:$I,"Development - Ammunition")/1000000000)</f>
        <v>0</v>
      </c>
      <c r="I63" s="15">
        <f>(SUMIFS('MAIN DATA, Orders'!$S:$S,'MAIN DATA, Orders'!$Y:$Y,$A63,'MAIN DATA, Orders'!$D:$D,"United Kingdom",'MAIN DATA, Orders'!$I:$I,"Armoured vehicle")/1000000000)</f>
        <v>0</v>
      </c>
      <c r="J63" s="15">
        <f>(SUMIFS('MAIN DATA, Orders'!$S:$S,'MAIN DATA, Orders'!$Y:$Y,$A63,'MAIN DATA, Orders'!$D:$D,"United Kingdom",'MAIN DATA, Orders'!$I:$I,"Development - Armoured vehicle")/1000000000)</f>
        <v>0</v>
      </c>
      <c r="K63" s="15">
        <f>(SUMIFS('MAIN DATA, Orders'!$S:$S,'MAIN DATA, Orders'!$Y:$Y,$A63,'MAIN DATA, Orders'!$D:$D,"United Kingdom",'MAIN DATA, Orders'!$I:$I,"Artillery")/1000000000)</f>
        <v>0</v>
      </c>
      <c r="L63" s="15">
        <f>(SUMIFS('MAIN DATA, Orders'!$S:$S,'MAIN DATA, Orders'!$Y:$Y,$A63,'MAIN DATA, Orders'!$D:$D,"United Kingdom",'MAIN DATA, Orders'!$I:$I,"Development - Artillery")/1000000000)</f>
        <v>0</v>
      </c>
      <c r="M63" s="15">
        <f>(SUMIFS('MAIN DATA, Orders'!$S:$S,'MAIN DATA, Orders'!$Y:$Y,$A63,'MAIN DATA, Orders'!$D:$D,"United Kingdom",'MAIN DATA, Orders'!$I:$I,"Drone")/1000000000)</f>
        <v>0</v>
      </c>
      <c r="N63" s="15">
        <f>(SUMIFS('MAIN DATA, Orders'!$S:$S,'MAIN DATA, Orders'!$Y:$Y,$A63,'MAIN DATA, Orders'!$D:$D,"United Kingdom",'MAIN DATA, Orders'!$I:$I,"Development - Drone")/1000000000)</f>
        <v>0</v>
      </c>
      <c r="O63" s="15">
        <f>(SUMIFS('MAIN DATA, Orders'!$S:$S,'MAIN DATA, Orders'!$Y:$Y,$A63,'MAIN DATA, Orders'!$D:$D,"United Kingdom",'MAIN DATA, Orders'!$I:$I,"Helicopter")/1000000000)</f>
        <v>0</v>
      </c>
      <c r="P63" s="15">
        <f>(SUMIFS('MAIN DATA, Orders'!$S:$S,'MAIN DATA, Orders'!$Y:$Y,$A63,'MAIN DATA, Orders'!$D:$D,"United Kingdom",'MAIN DATA, Orders'!$I:$I,"Development - Helicopter")/1000000000)</f>
        <v>0</v>
      </c>
      <c r="Q63" s="15">
        <f>(SUMIFS('MAIN DATA, Orders'!$S:$S,'MAIN DATA, Orders'!$Y:$Y,$A63,'MAIN DATA, Orders'!$D:$D,"United Kingdom",'MAIN DATA, Orders'!$I:$I,"Infantry")/1000000000)</f>
        <v>0</v>
      </c>
      <c r="R63" s="15">
        <f>(SUMIFS('MAIN DATA, Orders'!$S:$S,'MAIN DATA, Orders'!$Y:$Y,$A63,'MAIN DATA, Orders'!$D:$D,"United Kingdom",'MAIN DATA, Orders'!$I:$I,"Development - Infantry")/1000000000)</f>
        <v>0</v>
      </c>
      <c r="S63" s="15">
        <f>(SUMIFS('MAIN DATA, Orders'!$S:$S,'MAIN DATA, Orders'!$Y:$Y,$A63,'MAIN DATA, Orders'!$D:$D,"United Kingdom",'MAIN DATA, Orders'!$I:$I,"Tank")/1000000000)</f>
        <v>0</v>
      </c>
      <c r="T63" s="15">
        <f>(SUMIFS('MAIN DATA, Orders'!$S:$S,'MAIN DATA, Orders'!$Y:$Y,$A63,'MAIN DATA, Orders'!$D:$D,"United Kingdom",'MAIN DATA, Orders'!$I:$I,"Development - Tank")/1000000000)</f>
        <v>0</v>
      </c>
      <c r="U63" s="15">
        <f>(SUMIFS('MAIN DATA, Orders'!$S:$S,'MAIN DATA, Orders'!$Y:$Y,$A63,'MAIN DATA, Orders'!$D:$D,"United Kingdom",'MAIN DATA, Orders'!$I:$I,"Maintenance")/1000000000)</f>
        <v>7.0999999999999994E-2</v>
      </c>
      <c r="V63" s="15">
        <f>(SUMIFS('MAIN DATA, Orders'!$S:$S,'MAIN DATA, Orders'!$Y:$Y,$A63,'MAIN DATA, Orders'!$D:$D,"United Kingdom",'MAIN DATA, Orders'!$I:$I,"Development - Maintenance")/1000000000)</f>
        <v>0</v>
      </c>
      <c r="W63" s="15">
        <f>(SUMIFS('MAIN DATA, Orders'!$S:$S,'MAIN DATA, Orders'!$Y:$Y,$A63,'MAIN DATA, Orders'!$D:$D,"United Kingdom",'MAIN DATA, Orders'!$I:$I,"Mine")/1000000000)</f>
        <v>0</v>
      </c>
      <c r="X63" s="15">
        <f>(SUMIFS('MAIN DATA, Orders'!$S:$S,'MAIN DATA, Orders'!$Y:$Y,$A63,'MAIN DATA, Orders'!$D:$D,"United Kingdom",'MAIN DATA, Orders'!$I:$I,"Development - Mine")/1000000000)</f>
        <v>0</v>
      </c>
      <c r="Y63" s="15">
        <f>(SUMIFS('MAIN DATA, Orders'!$S:$S,'MAIN DATA, Orders'!$Y:$Y,$A63,'MAIN DATA, Orders'!$D:$D,"United Kingdom",'MAIN DATA, Orders'!$J:$J,"6")/1000000000)</f>
        <v>0.16200000000000001</v>
      </c>
      <c r="Z63" s="15" cm="1">
        <f t="array" ref="Z63">SUM(SUMIFS('MAIN DATA, Orders'!$S:$S,'MAIN DATA, Orders'!$Y:$Y,$A63,'MAIN DATA, Orders'!$D:$D,"United Kingdom",'MAIN DATA, Orders'!$I:$I,{"Development - Missile (Land)","Development - Missile (Naval)","Development - Missile (Air)"})/1000000000)</f>
        <v>0</v>
      </c>
      <c r="AA63" s="15">
        <f>(SUMIFS('MAIN DATA, Orders'!$S:$S,'MAIN DATA, Orders'!$Y:$Y,$A63,'MAIN DATA, Orders'!$D:$D,"United Kingdom",'MAIN DATA, Orders'!$I:$I,"Modernisation")/1000000000)</f>
        <v>0</v>
      </c>
      <c r="AB63" s="15">
        <f>(SUMIFS('MAIN DATA, Orders'!$S:$S,'MAIN DATA, Orders'!$Y:$Y,$A63,'MAIN DATA, Orders'!$D:$D,"United Kingdom",'MAIN DATA, Orders'!$I:$I,"Development - Modernisation")/1000000000)</f>
        <v>0</v>
      </c>
      <c r="AC63" s="15">
        <f>(SUMIFS('MAIN DATA, Orders'!$S:$S,'MAIN DATA, Orders'!$Y:$Y,$A63,'MAIN DATA, Orders'!$D:$D,"United Kingdom",'MAIN DATA, Orders'!$I:$I,"Naval")/1000000000)</f>
        <v>0.06</v>
      </c>
      <c r="AD63" s="15">
        <f>(SUMIFS('MAIN DATA, Orders'!$S:$S,'MAIN DATA, Orders'!$Y:$Y,$A63,'MAIN DATA, Orders'!$D:$D,"United Kingdom",'MAIN DATA, Orders'!$I:$I,"Development - Naval")/1000000000)</f>
        <v>0</v>
      </c>
      <c r="AE63" s="15">
        <f>(SUMIFS('MAIN DATA, Orders'!$S:$S,'MAIN DATA, Orders'!$Y:$Y,$A63,'MAIN DATA, Orders'!$D:$D,"United Kingdom",'MAIN DATA, Orders'!$I:$I,"Other")/1000000000)</f>
        <v>0</v>
      </c>
      <c r="AF63" s="15">
        <f>(SUMIFS('MAIN DATA, Orders'!$S:$S,'MAIN DATA, Orders'!$Y:$Y,$A63,'MAIN DATA, Orders'!$D:$D,"United Kingdom",'MAIN DATA, Orders'!$I:$I,"Development - Other")/1000000000)</f>
        <v>0</v>
      </c>
      <c r="AG63" s="15"/>
      <c r="AH63" s="15" cm="1">
        <f t="array" ref="AH63">SUM(SUMIFS('MAIN DATA, Orders'!$S:$S,'MAIN DATA, Orders'!$Y:$Y,$A63,'MAIN DATA, Orders'!$D:$D,"United Kingdom",'MAIN DATA, Orders'!$I:$I,{"Missile (Land)","Development - Missile (Land)"})/1000000000)</f>
        <v>0.16200000000000001</v>
      </c>
      <c r="AI63" s="15" cm="1">
        <f t="array" ref="AI63">SUM(SUMIFS('MAIN DATA, Orders'!$S:$S,'MAIN DATA, Orders'!$D:$D,"United Kingdom",'MAIN DATA, Orders'!$I:$I,{"Missile (Air)","Development - Missile (Air)"},'MAIN DATA, Orders'!$Y:$Y,$A63)/1000000000)</f>
        <v>0</v>
      </c>
      <c r="AJ63" s="15" cm="1">
        <f t="array" ref="AJ63">SUM(SUMIFS('MAIN DATA, Orders'!$S:$S,'MAIN DATA, Orders'!$Y:$Y,$A63,'MAIN DATA, Orders'!$D:$D,"United Kingdom",'MAIN DATA, Orders'!$I:$I,{"Missile (Naval)","Development - Missile (Naval)"})/1000000000)</f>
        <v>0</v>
      </c>
    </row>
    <row r="64" spans="1:36" x14ac:dyDescent="0.35">
      <c r="A64" s="20">
        <v>202410</v>
      </c>
      <c r="B64" s="17">
        <v>45566</v>
      </c>
      <c r="C64" s="15">
        <f>(SUMIFS('MAIN DATA, Orders'!$S:$S,'MAIN DATA, Orders'!$Y:$Y,$A64,'MAIN DATA, Orders'!$D:$D,"United Kingdom",'MAIN DATA, Orders'!$I:$I,"Air defence system")/1000000000)</f>
        <v>0</v>
      </c>
      <c r="D64" s="15">
        <f>(SUMIFS('MAIN DATA, Orders'!$S:$S,'MAIN DATA, Orders'!$Y:$Y,$A64,'MAIN DATA, Orders'!$D:$D,"United Kingdom",'MAIN DATA, Orders'!$I:$I,"Development - Air defence system")/1000000000)</f>
        <v>0</v>
      </c>
      <c r="E64" s="15">
        <f>(SUMIFS('MAIN DATA, Orders'!$S:$S,'MAIN DATA, Orders'!$Y:$Y,$A64,'MAIN DATA, Orders'!$D:$D,"United Kingdom",'MAIN DATA, Orders'!$I:$I,"Aircraft")/1000000000)</f>
        <v>0</v>
      </c>
      <c r="F64" s="15">
        <f>(SUMIFS('MAIN DATA, Orders'!$S:$S,'MAIN DATA, Orders'!$Y:$Y,$A64,'MAIN DATA, Orders'!$D:$D,"United Kingdom",'MAIN DATA, Orders'!$I:$I,"Development - Aircraft")/1000000000)</f>
        <v>0</v>
      </c>
      <c r="G64" s="15">
        <f>(SUMIFS('MAIN DATA, Orders'!$S:$S,'MAIN DATA, Orders'!$Y:$Y,$A64,'MAIN DATA, Orders'!$D:$D,"United Kingdom",'MAIN DATA, Orders'!$I:$I,"Ammunition")/1000000000)</f>
        <v>0</v>
      </c>
      <c r="H64" s="15">
        <f>(SUMIFS('MAIN DATA, Orders'!$S:$S,'MAIN DATA, Orders'!$Y:$Y,$A64,'MAIN DATA, Orders'!$D:$D,"United Kingdom",'MAIN DATA, Orders'!$I:$I,"Development - Ammunition")/1000000000)</f>
        <v>0</v>
      </c>
      <c r="I64" s="15">
        <f>(SUMIFS('MAIN DATA, Orders'!$S:$S,'MAIN DATA, Orders'!$Y:$Y,$A64,'MAIN DATA, Orders'!$D:$D,"United Kingdom",'MAIN DATA, Orders'!$I:$I,"Armoured vehicle")/1000000000)</f>
        <v>0</v>
      </c>
      <c r="J64" s="15">
        <f>(SUMIFS('MAIN DATA, Orders'!$S:$S,'MAIN DATA, Orders'!$Y:$Y,$A64,'MAIN DATA, Orders'!$D:$D,"United Kingdom",'MAIN DATA, Orders'!$I:$I,"Development - Armoured vehicle")/1000000000)</f>
        <v>0</v>
      </c>
      <c r="K64" s="15">
        <f>(SUMIFS('MAIN DATA, Orders'!$S:$S,'MAIN DATA, Orders'!$Y:$Y,$A64,'MAIN DATA, Orders'!$D:$D,"United Kingdom",'MAIN DATA, Orders'!$I:$I,"Artillery")/1000000000)</f>
        <v>0</v>
      </c>
      <c r="L64" s="15">
        <f>(SUMIFS('MAIN DATA, Orders'!$S:$S,'MAIN DATA, Orders'!$Y:$Y,$A64,'MAIN DATA, Orders'!$D:$D,"United Kingdom",'MAIN DATA, Orders'!$I:$I,"Development - Artillery")/1000000000)</f>
        <v>0</v>
      </c>
      <c r="M64" s="15">
        <f>(SUMIFS('MAIN DATA, Orders'!$S:$S,'MAIN DATA, Orders'!$Y:$Y,$A64,'MAIN DATA, Orders'!$D:$D,"United Kingdom",'MAIN DATA, Orders'!$I:$I,"Drone")/1000000000)</f>
        <v>0</v>
      </c>
      <c r="N64" s="15">
        <f>(SUMIFS('MAIN DATA, Orders'!$S:$S,'MAIN DATA, Orders'!$Y:$Y,$A64,'MAIN DATA, Orders'!$D:$D,"United Kingdom",'MAIN DATA, Orders'!$I:$I,"Development - Drone")/1000000000)</f>
        <v>0</v>
      </c>
      <c r="O64" s="15">
        <f>(SUMIFS('MAIN DATA, Orders'!$S:$S,'MAIN DATA, Orders'!$Y:$Y,$A64,'MAIN DATA, Orders'!$D:$D,"United Kingdom",'MAIN DATA, Orders'!$I:$I,"Helicopter")/1000000000)</f>
        <v>0</v>
      </c>
      <c r="P64" s="15">
        <f>(SUMIFS('MAIN DATA, Orders'!$S:$S,'MAIN DATA, Orders'!$Y:$Y,$A64,'MAIN DATA, Orders'!$D:$D,"United Kingdom",'MAIN DATA, Orders'!$I:$I,"Development - Helicopter")/1000000000)</f>
        <v>0</v>
      </c>
      <c r="Q64" s="15">
        <f>(SUMIFS('MAIN DATA, Orders'!$S:$S,'MAIN DATA, Orders'!$Y:$Y,$A64,'MAIN DATA, Orders'!$D:$D,"United Kingdom",'MAIN DATA, Orders'!$I:$I,"Infantry")/1000000000)</f>
        <v>0</v>
      </c>
      <c r="R64" s="15">
        <f>(SUMIFS('MAIN DATA, Orders'!$S:$S,'MAIN DATA, Orders'!$Y:$Y,$A64,'MAIN DATA, Orders'!$D:$D,"United Kingdom",'MAIN DATA, Orders'!$I:$I,"Development - Infantry")/1000000000)</f>
        <v>0</v>
      </c>
      <c r="S64" s="15">
        <f>(SUMIFS('MAIN DATA, Orders'!$S:$S,'MAIN DATA, Orders'!$Y:$Y,$A64,'MAIN DATA, Orders'!$D:$D,"United Kingdom",'MAIN DATA, Orders'!$I:$I,"Tank")/1000000000)</f>
        <v>0</v>
      </c>
      <c r="T64" s="15">
        <f>(SUMIFS('MAIN DATA, Orders'!$S:$S,'MAIN DATA, Orders'!$Y:$Y,$A64,'MAIN DATA, Orders'!$D:$D,"United Kingdom",'MAIN DATA, Orders'!$I:$I,"Development - Tank")/1000000000)</f>
        <v>0</v>
      </c>
      <c r="U64" s="15">
        <f>(SUMIFS('MAIN DATA, Orders'!$S:$S,'MAIN DATA, Orders'!$Y:$Y,$A64,'MAIN DATA, Orders'!$D:$D,"United Kingdom",'MAIN DATA, Orders'!$I:$I,"Maintenance")/1000000000)</f>
        <v>0</v>
      </c>
      <c r="V64" s="15">
        <f>(SUMIFS('MAIN DATA, Orders'!$S:$S,'MAIN DATA, Orders'!$Y:$Y,$A64,'MAIN DATA, Orders'!$D:$D,"United Kingdom",'MAIN DATA, Orders'!$I:$I,"Development - Maintenance")/1000000000)</f>
        <v>0</v>
      </c>
      <c r="W64" s="15">
        <f>(SUMIFS('MAIN DATA, Orders'!$S:$S,'MAIN DATA, Orders'!$Y:$Y,$A64,'MAIN DATA, Orders'!$D:$D,"United Kingdom",'MAIN DATA, Orders'!$I:$I,"Mine")/1000000000)</f>
        <v>0</v>
      </c>
      <c r="X64" s="15">
        <f>(SUMIFS('MAIN DATA, Orders'!$S:$S,'MAIN DATA, Orders'!$Y:$Y,$A64,'MAIN DATA, Orders'!$D:$D,"United Kingdom",'MAIN DATA, Orders'!$I:$I,"Development - Mine")/1000000000)</f>
        <v>0</v>
      </c>
      <c r="Y64" s="15">
        <f>(SUMIFS('MAIN DATA, Orders'!$S:$S,'MAIN DATA, Orders'!$Y:$Y,$A64,'MAIN DATA, Orders'!$D:$D,"United Kingdom",'MAIN DATA, Orders'!$J:$J,"6")/1000000000)</f>
        <v>0</v>
      </c>
      <c r="Z64" s="15" cm="1">
        <f t="array" ref="Z64">SUM(SUMIFS('MAIN DATA, Orders'!$S:$S,'MAIN DATA, Orders'!$Y:$Y,$A64,'MAIN DATA, Orders'!$D:$D,"United Kingdom",'MAIN DATA, Orders'!$I:$I,{"Development - Missile (Land)","Development - Missile (Naval)","Development - Missile (Air)"})/1000000000)</f>
        <v>0</v>
      </c>
      <c r="AA64" s="15">
        <f>(SUMIFS('MAIN DATA, Orders'!$S:$S,'MAIN DATA, Orders'!$Y:$Y,$A64,'MAIN DATA, Orders'!$D:$D,"United Kingdom",'MAIN DATA, Orders'!$I:$I,"Modernisation")/1000000000)</f>
        <v>0</v>
      </c>
      <c r="AB64" s="15">
        <f>(SUMIFS('MAIN DATA, Orders'!$S:$S,'MAIN DATA, Orders'!$Y:$Y,$A64,'MAIN DATA, Orders'!$D:$D,"United Kingdom",'MAIN DATA, Orders'!$I:$I,"Development - Modernisation")/1000000000)</f>
        <v>0</v>
      </c>
      <c r="AC64" s="15">
        <f>(SUMIFS('MAIN DATA, Orders'!$S:$S,'MAIN DATA, Orders'!$Y:$Y,$A64,'MAIN DATA, Orders'!$D:$D,"United Kingdom",'MAIN DATA, Orders'!$I:$I,"Naval")/1000000000)</f>
        <v>0</v>
      </c>
      <c r="AD64" s="15">
        <f>(SUMIFS('MAIN DATA, Orders'!$S:$S,'MAIN DATA, Orders'!$Y:$Y,$A64,'MAIN DATA, Orders'!$D:$D,"United Kingdom",'MAIN DATA, Orders'!$I:$I,"Development - Naval")/1000000000)</f>
        <v>0</v>
      </c>
      <c r="AE64" s="15">
        <f>(SUMIFS('MAIN DATA, Orders'!$S:$S,'MAIN DATA, Orders'!$Y:$Y,$A64,'MAIN DATA, Orders'!$D:$D,"United Kingdom",'MAIN DATA, Orders'!$I:$I,"Other")/1000000000)</f>
        <v>0</v>
      </c>
      <c r="AF64" s="15">
        <f>(SUMIFS('MAIN DATA, Orders'!$S:$S,'MAIN DATA, Orders'!$Y:$Y,$A64,'MAIN DATA, Orders'!$D:$D,"United Kingdom",'MAIN DATA, Orders'!$I:$I,"Development - Other")/1000000000)</f>
        <v>0</v>
      </c>
      <c r="AG64" s="15"/>
      <c r="AH64" s="15" cm="1">
        <f t="array" ref="AH64">SUM(SUMIFS('MAIN DATA, Orders'!$S:$S,'MAIN DATA, Orders'!$Y:$Y,$A64,'MAIN DATA, Orders'!$D:$D,"United Kingdom",'MAIN DATA, Orders'!$I:$I,{"Missile (Land)","Development - Missile (Land)"})/1000000000)</f>
        <v>0</v>
      </c>
      <c r="AI64" s="15" cm="1">
        <f t="array" ref="AI64">SUM(SUMIFS('MAIN DATA, Orders'!$S:$S,'MAIN DATA, Orders'!$D:$D,"United Kingdom",'MAIN DATA, Orders'!$I:$I,{"Missile (Air)","Development - Missile (Air)"},'MAIN DATA, Orders'!$Y:$Y,$A64)/1000000000)</f>
        <v>0</v>
      </c>
      <c r="AJ64" s="15" cm="1">
        <f t="array" ref="AJ64">SUM(SUMIFS('MAIN DATA, Orders'!$S:$S,'MAIN DATA, Orders'!$Y:$Y,$A64,'MAIN DATA, Orders'!$D:$D,"United Kingdom",'MAIN DATA, Orders'!$I:$I,{"Missile (Naval)","Development - Missile (Naval)"})/1000000000)</f>
        <v>0</v>
      </c>
    </row>
    <row r="65" spans="1:36" x14ac:dyDescent="0.35">
      <c r="A65" s="20">
        <v>202411</v>
      </c>
      <c r="B65" s="17">
        <v>45597</v>
      </c>
      <c r="C65" s="15">
        <f>(SUMIFS('MAIN DATA, Orders'!$S:$S,'MAIN DATA, Orders'!$Y:$Y,$A65,'MAIN DATA, Orders'!$D:$D,"United Kingdom",'MAIN DATA, Orders'!$I:$I,"Air defence system")/1000000000)</f>
        <v>0</v>
      </c>
      <c r="D65" s="15">
        <f>(SUMIFS('MAIN DATA, Orders'!$S:$S,'MAIN DATA, Orders'!$Y:$Y,$A65,'MAIN DATA, Orders'!$D:$D,"United Kingdom",'MAIN DATA, Orders'!$I:$I,"Development - Air defence system")/1000000000)</f>
        <v>0</v>
      </c>
      <c r="E65" s="15">
        <f>(SUMIFS('MAIN DATA, Orders'!$S:$S,'MAIN DATA, Orders'!$Y:$Y,$A65,'MAIN DATA, Orders'!$D:$D,"United Kingdom",'MAIN DATA, Orders'!$I:$I,"Aircraft")/1000000000)</f>
        <v>0</v>
      </c>
      <c r="F65" s="15">
        <f>(SUMIFS('MAIN DATA, Orders'!$S:$S,'MAIN DATA, Orders'!$Y:$Y,$A65,'MAIN DATA, Orders'!$D:$D,"United Kingdom",'MAIN DATA, Orders'!$I:$I,"Development - Aircraft")/1000000000)</f>
        <v>0</v>
      </c>
      <c r="G65" s="15">
        <f>(SUMIFS('MAIN DATA, Orders'!$S:$S,'MAIN DATA, Orders'!$Y:$Y,$A65,'MAIN DATA, Orders'!$D:$D,"United Kingdom",'MAIN DATA, Orders'!$I:$I,"Ammunition")/1000000000)</f>
        <v>0</v>
      </c>
      <c r="H65" s="15">
        <f>(SUMIFS('MAIN DATA, Orders'!$S:$S,'MAIN DATA, Orders'!$Y:$Y,$A65,'MAIN DATA, Orders'!$D:$D,"United Kingdom",'MAIN DATA, Orders'!$I:$I,"Development - Ammunition")/1000000000)</f>
        <v>0</v>
      </c>
      <c r="I65" s="15">
        <f>(SUMIFS('MAIN DATA, Orders'!$S:$S,'MAIN DATA, Orders'!$Y:$Y,$A65,'MAIN DATA, Orders'!$D:$D,"United Kingdom",'MAIN DATA, Orders'!$I:$I,"Armoured vehicle")/1000000000)</f>
        <v>0</v>
      </c>
      <c r="J65" s="15">
        <f>(SUMIFS('MAIN DATA, Orders'!$S:$S,'MAIN DATA, Orders'!$Y:$Y,$A65,'MAIN DATA, Orders'!$D:$D,"United Kingdom",'MAIN DATA, Orders'!$I:$I,"Development - Armoured vehicle")/1000000000)</f>
        <v>0</v>
      </c>
      <c r="K65" s="15">
        <f>(SUMIFS('MAIN DATA, Orders'!$S:$S,'MAIN DATA, Orders'!$Y:$Y,$A65,'MAIN DATA, Orders'!$D:$D,"United Kingdom",'MAIN DATA, Orders'!$I:$I,"Artillery")/1000000000)</f>
        <v>0</v>
      </c>
      <c r="L65" s="15">
        <f>(SUMIFS('MAIN DATA, Orders'!$S:$S,'MAIN DATA, Orders'!$Y:$Y,$A65,'MAIN DATA, Orders'!$D:$D,"United Kingdom",'MAIN DATA, Orders'!$I:$I,"Development - Artillery")/1000000000)</f>
        <v>0</v>
      </c>
      <c r="M65" s="15">
        <f>(SUMIFS('MAIN DATA, Orders'!$S:$S,'MAIN DATA, Orders'!$Y:$Y,$A65,'MAIN DATA, Orders'!$D:$D,"United Kingdom",'MAIN DATA, Orders'!$I:$I,"Drone")/1000000000)</f>
        <v>0</v>
      </c>
      <c r="N65" s="15">
        <f>(SUMIFS('MAIN DATA, Orders'!$S:$S,'MAIN DATA, Orders'!$Y:$Y,$A65,'MAIN DATA, Orders'!$D:$D,"United Kingdom",'MAIN DATA, Orders'!$I:$I,"Development - Drone")/1000000000)</f>
        <v>0</v>
      </c>
      <c r="O65" s="15">
        <f>(SUMIFS('MAIN DATA, Orders'!$S:$S,'MAIN DATA, Orders'!$Y:$Y,$A65,'MAIN DATA, Orders'!$D:$D,"United Kingdom",'MAIN DATA, Orders'!$I:$I,"Helicopter")/1000000000)</f>
        <v>0</v>
      </c>
      <c r="P65" s="15">
        <f>(SUMIFS('MAIN DATA, Orders'!$S:$S,'MAIN DATA, Orders'!$Y:$Y,$A65,'MAIN DATA, Orders'!$D:$D,"United Kingdom",'MAIN DATA, Orders'!$I:$I,"Development - Helicopter")/1000000000)</f>
        <v>0</v>
      </c>
      <c r="Q65" s="15">
        <f>(SUMIFS('MAIN DATA, Orders'!$S:$S,'MAIN DATA, Orders'!$Y:$Y,$A65,'MAIN DATA, Orders'!$D:$D,"United Kingdom",'MAIN DATA, Orders'!$I:$I,"Infantry")/1000000000)</f>
        <v>0</v>
      </c>
      <c r="R65" s="15">
        <f>(SUMIFS('MAIN DATA, Orders'!$S:$S,'MAIN DATA, Orders'!$Y:$Y,$A65,'MAIN DATA, Orders'!$D:$D,"United Kingdom",'MAIN DATA, Orders'!$I:$I,"Development - Infantry")/1000000000)</f>
        <v>0</v>
      </c>
      <c r="S65" s="15">
        <f>(SUMIFS('MAIN DATA, Orders'!$S:$S,'MAIN DATA, Orders'!$Y:$Y,$A65,'MAIN DATA, Orders'!$D:$D,"United Kingdom",'MAIN DATA, Orders'!$I:$I,"Tank")/1000000000)</f>
        <v>0</v>
      </c>
      <c r="T65" s="15">
        <f>(SUMIFS('MAIN DATA, Orders'!$S:$S,'MAIN DATA, Orders'!$Y:$Y,$A65,'MAIN DATA, Orders'!$D:$D,"United Kingdom",'MAIN DATA, Orders'!$I:$I,"Development - Tank")/1000000000)</f>
        <v>0</v>
      </c>
      <c r="U65" s="15">
        <f>(SUMIFS('MAIN DATA, Orders'!$S:$S,'MAIN DATA, Orders'!$Y:$Y,$A65,'MAIN DATA, Orders'!$D:$D,"United Kingdom",'MAIN DATA, Orders'!$I:$I,"Maintenance")/1000000000)</f>
        <v>0</v>
      </c>
      <c r="V65" s="15">
        <f>(SUMIFS('MAIN DATA, Orders'!$S:$S,'MAIN DATA, Orders'!$Y:$Y,$A65,'MAIN DATA, Orders'!$D:$D,"United Kingdom",'MAIN DATA, Orders'!$I:$I,"Development - Maintenance")/1000000000)</f>
        <v>0</v>
      </c>
      <c r="W65" s="15">
        <f>(SUMIFS('MAIN DATA, Orders'!$S:$S,'MAIN DATA, Orders'!$Y:$Y,$A65,'MAIN DATA, Orders'!$D:$D,"United Kingdom",'MAIN DATA, Orders'!$I:$I,"Mine")/1000000000)</f>
        <v>0</v>
      </c>
      <c r="X65" s="15">
        <f>(SUMIFS('MAIN DATA, Orders'!$S:$S,'MAIN DATA, Orders'!$Y:$Y,$A65,'MAIN DATA, Orders'!$D:$D,"United Kingdom",'MAIN DATA, Orders'!$I:$I,"Development - Mine")/1000000000)</f>
        <v>0</v>
      </c>
      <c r="Y65" s="15">
        <f>(SUMIFS('MAIN DATA, Orders'!$S:$S,'MAIN DATA, Orders'!$Y:$Y,$A65,'MAIN DATA, Orders'!$D:$D,"United Kingdom",'MAIN DATA, Orders'!$J:$J,"6")/1000000000)</f>
        <v>0</v>
      </c>
      <c r="Z65" s="15" cm="1">
        <f t="array" ref="Z65">SUM(SUMIFS('MAIN DATA, Orders'!$S:$S,'MAIN DATA, Orders'!$Y:$Y,$A65,'MAIN DATA, Orders'!$D:$D,"United Kingdom",'MAIN DATA, Orders'!$I:$I,{"Development - Missile (Land)","Development - Missile (Naval)","Development - Missile (Air)"})/1000000000)</f>
        <v>0</v>
      </c>
      <c r="AA65" s="15">
        <f>(SUMIFS('MAIN DATA, Orders'!$S:$S,'MAIN DATA, Orders'!$Y:$Y,$A65,'MAIN DATA, Orders'!$D:$D,"United Kingdom",'MAIN DATA, Orders'!$I:$I,"Modernisation")/1000000000)</f>
        <v>0.04</v>
      </c>
      <c r="AB65" s="15">
        <f>(SUMIFS('MAIN DATA, Orders'!$S:$S,'MAIN DATA, Orders'!$Y:$Y,$A65,'MAIN DATA, Orders'!$D:$D,"United Kingdom",'MAIN DATA, Orders'!$I:$I,"Development - Modernisation")/1000000000)</f>
        <v>0</v>
      </c>
      <c r="AC65" s="15">
        <f>(SUMIFS('MAIN DATA, Orders'!$S:$S,'MAIN DATA, Orders'!$Y:$Y,$A65,'MAIN DATA, Orders'!$D:$D,"United Kingdom",'MAIN DATA, Orders'!$I:$I,"Naval")/1000000000)</f>
        <v>0</v>
      </c>
      <c r="AD65" s="15">
        <f>(SUMIFS('MAIN DATA, Orders'!$S:$S,'MAIN DATA, Orders'!$Y:$Y,$A65,'MAIN DATA, Orders'!$D:$D,"United Kingdom",'MAIN DATA, Orders'!$I:$I,"Development - Naval")/1000000000)</f>
        <v>0</v>
      </c>
      <c r="AE65" s="15">
        <f>(SUMIFS('MAIN DATA, Orders'!$S:$S,'MAIN DATA, Orders'!$Y:$Y,$A65,'MAIN DATA, Orders'!$D:$D,"United Kingdom",'MAIN DATA, Orders'!$I:$I,"Other")/1000000000)</f>
        <v>0</v>
      </c>
      <c r="AF65" s="15">
        <f>(SUMIFS('MAIN DATA, Orders'!$S:$S,'MAIN DATA, Orders'!$Y:$Y,$A65,'MAIN DATA, Orders'!$D:$D,"United Kingdom",'MAIN DATA, Orders'!$I:$I,"Development - Other")/1000000000)</f>
        <v>0</v>
      </c>
      <c r="AG65" s="15"/>
      <c r="AH65" s="15" cm="1">
        <f t="array" ref="AH65">SUM(SUMIFS('MAIN DATA, Orders'!$S:$S,'MAIN DATA, Orders'!$Y:$Y,$A65,'MAIN DATA, Orders'!$D:$D,"United Kingdom",'MAIN DATA, Orders'!$I:$I,{"Missile (Land)","Development - Missile (Land)"})/1000000000)</f>
        <v>0</v>
      </c>
      <c r="AI65" s="15" cm="1">
        <f t="array" ref="AI65">SUM(SUMIFS('MAIN DATA, Orders'!$S:$S,'MAIN DATA, Orders'!$D:$D,"United Kingdom",'MAIN DATA, Orders'!$I:$I,{"Missile (Air)","Development - Missile (Air)"},'MAIN DATA, Orders'!$Y:$Y,$A65)/1000000000)</f>
        <v>0</v>
      </c>
      <c r="AJ65" s="15" cm="1">
        <f t="array" ref="AJ65">SUM(SUMIFS('MAIN DATA, Orders'!$S:$S,'MAIN DATA, Orders'!$Y:$Y,$A65,'MAIN DATA, Orders'!$D:$D,"United Kingdom",'MAIN DATA, Orders'!$I:$I,{"Missile (Naval)","Development - Missile (Naval)"})/1000000000)</f>
        <v>0</v>
      </c>
    </row>
    <row r="66" spans="1:36" x14ac:dyDescent="0.35">
      <c r="A66" s="20">
        <v>202412</v>
      </c>
      <c r="B66" s="17">
        <v>45627</v>
      </c>
      <c r="C66" s="15">
        <f>(SUMIFS('MAIN DATA, Orders'!$S:$S,'MAIN DATA, Orders'!$Y:$Y,$A66,'MAIN DATA, Orders'!$D:$D,"United Kingdom",'MAIN DATA, Orders'!$I:$I,"Air defence system")/1000000000)</f>
        <v>0</v>
      </c>
      <c r="D66" s="15">
        <f>(SUMIFS('MAIN DATA, Orders'!$S:$S,'MAIN DATA, Orders'!$Y:$Y,$A66,'MAIN DATA, Orders'!$D:$D,"United Kingdom",'MAIN DATA, Orders'!$I:$I,"Development - Air defence system")/1000000000)</f>
        <v>0</v>
      </c>
      <c r="E66" s="15">
        <f>(SUMIFS('MAIN DATA, Orders'!$S:$S,'MAIN DATA, Orders'!$Y:$Y,$A66,'MAIN DATA, Orders'!$D:$D,"United Kingdom",'MAIN DATA, Orders'!$I:$I,"Aircraft")/1000000000)</f>
        <v>0</v>
      </c>
      <c r="F66" s="15">
        <f>(SUMIFS('MAIN DATA, Orders'!$S:$S,'MAIN DATA, Orders'!$Y:$Y,$A66,'MAIN DATA, Orders'!$D:$D,"United Kingdom",'MAIN DATA, Orders'!$I:$I,"Development - Aircraft")/1000000000)</f>
        <v>0</v>
      </c>
      <c r="G66" s="15">
        <f>(SUMIFS('MAIN DATA, Orders'!$S:$S,'MAIN DATA, Orders'!$Y:$Y,$A66,'MAIN DATA, Orders'!$D:$D,"United Kingdom",'MAIN DATA, Orders'!$I:$I,"Ammunition")/1000000000)</f>
        <v>0</v>
      </c>
      <c r="H66" s="15">
        <f>(SUMIFS('MAIN DATA, Orders'!$S:$S,'MAIN DATA, Orders'!$Y:$Y,$A66,'MAIN DATA, Orders'!$D:$D,"United Kingdom",'MAIN DATA, Orders'!$I:$I,"Development - Ammunition")/1000000000)</f>
        <v>0</v>
      </c>
      <c r="I66" s="15">
        <f>(SUMIFS('MAIN DATA, Orders'!$S:$S,'MAIN DATA, Orders'!$Y:$Y,$A66,'MAIN DATA, Orders'!$D:$D,"United Kingdom",'MAIN DATA, Orders'!$I:$I,"Armoured vehicle")/1000000000)</f>
        <v>0</v>
      </c>
      <c r="J66" s="15">
        <f>(SUMIFS('MAIN DATA, Orders'!$S:$S,'MAIN DATA, Orders'!$Y:$Y,$A66,'MAIN DATA, Orders'!$D:$D,"United Kingdom",'MAIN DATA, Orders'!$I:$I,"Development - Armoured vehicle")/1000000000)</f>
        <v>0</v>
      </c>
      <c r="K66" s="15">
        <f>(SUMIFS('MAIN DATA, Orders'!$S:$S,'MAIN DATA, Orders'!$Y:$Y,$A66,'MAIN DATA, Orders'!$D:$D,"United Kingdom",'MAIN DATA, Orders'!$I:$I,"Artillery")/1000000000)</f>
        <v>0</v>
      </c>
      <c r="L66" s="15">
        <f>(SUMIFS('MAIN DATA, Orders'!$S:$S,'MAIN DATA, Orders'!$Y:$Y,$A66,'MAIN DATA, Orders'!$D:$D,"United Kingdom",'MAIN DATA, Orders'!$I:$I,"Development - Artillery")/1000000000)</f>
        <v>0</v>
      </c>
      <c r="M66" s="15">
        <f>(SUMIFS('MAIN DATA, Orders'!$S:$S,'MAIN DATA, Orders'!$Y:$Y,$A66,'MAIN DATA, Orders'!$D:$D,"United Kingdom",'MAIN DATA, Orders'!$I:$I,"Drone")/1000000000)</f>
        <v>0</v>
      </c>
      <c r="N66" s="15">
        <f>(SUMIFS('MAIN DATA, Orders'!$S:$S,'MAIN DATA, Orders'!$Y:$Y,$A66,'MAIN DATA, Orders'!$D:$D,"United Kingdom",'MAIN DATA, Orders'!$I:$I,"Development - Drone")/1000000000)</f>
        <v>0</v>
      </c>
      <c r="O66" s="15">
        <f>(SUMIFS('MAIN DATA, Orders'!$S:$S,'MAIN DATA, Orders'!$Y:$Y,$A66,'MAIN DATA, Orders'!$D:$D,"United Kingdom",'MAIN DATA, Orders'!$I:$I,"Helicopter")/1000000000)</f>
        <v>0</v>
      </c>
      <c r="P66" s="15">
        <f>(SUMIFS('MAIN DATA, Orders'!$S:$S,'MAIN DATA, Orders'!$Y:$Y,$A66,'MAIN DATA, Orders'!$D:$D,"United Kingdom",'MAIN DATA, Orders'!$I:$I,"Development - Helicopter")/1000000000)</f>
        <v>0</v>
      </c>
      <c r="Q66" s="15">
        <f>(SUMIFS('MAIN DATA, Orders'!$S:$S,'MAIN DATA, Orders'!$Y:$Y,$A66,'MAIN DATA, Orders'!$D:$D,"United Kingdom",'MAIN DATA, Orders'!$I:$I,"Infantry")/1000000000)</f>
        <v>0</v>
      </c>
      <c r="R66" s="15">
        <f>(SUMIFS('MAIN DATA, Orders'!$S:$S,'MAIN DATA, Orders'!$Y:$Y,$A66,'MAIN DATA, Orders'!$D:$D,"United Kingdom",'MAIN DATA, Orders'!$I:$I,"Development - Infantry")/1000000000)</f>
        <v>0</v>
      </c>
      <c r="S66" s="15">
        <f>(SUMIFS('MAIN DATA, Orders'!$S:$S,'MAIN DATA, Orders'!$Y:$Y,$A66,'MAIN DATA, Orders'!$D:$D,"United Kingdom",'MAIN DATA, Orders'!$I:$I,"Tank")/1000000000)</f>
        <v>0</v>
      </c>
      <c r="T66" s="15">
        <f>(SUMIFS('MAIN DATA, Orders'!$S:$S,'MAIN DATA, Orders'!$Y:$Y,$A66,'MAIN DATA, Orders'!$D:$D,"United Kingdom",'MAIN DATA, Orders'!$I:$I,"Development - Tank")/1000000000)</f>
        <v>0</v>
      </c>
      <c r="U66" s="15">
        <f>(SUMIFS('MAIN DATA, Orders'!$S:$S,'MAIN DATA, Orders'!$Y:$Y,$A66,'MAIN DATA, Orders'!$D:$D,"United Kingdom",'MAIN DATA, Orders'!$I:$I,"Maintenance")/1000000000)</f>
        <v>0</v>
      </c>
      <c r="V66" s="15">
        <f>(SUMIFS('MAIN DATA, Orders'!$S:$S,'MAIN DATA, Orders'!$Y:$Y,$A66,'MAIN DATA, Orders'!$D:$D,"United Kingdom",'MAIN DATA, Orders'!$I:$I,"Development - Maintenance")/1000000000)</f>
        <v>0</v>
      </c>
      <c r="W66" s="15">
        <f>(SUMIFS('MAIN DATA, Orders'!$S:$S,'MAIN DATA, Orders'!$Y:$Y,$A66,'MAIN DATA, Orders'!$D:$D,"United Kingdom",'MAIN DATA, Orders'!$I:$I,"Mine")/1000000000)</f>
        <v>0</v>
      </c>
      <c r="X66" s="15">
        <f>(SUMIFS('MAIN DATA, Orders'!$S:$S,'MAIN DATA, Orders'!$Y:$Y,$A66,'MAIN DATA, Orders'!$D:$D,"United Kingdom",'MAIN DATA, Orders'!$I:$I,"Development - Mine")/1000000000)</f>
        <v>0</v>
      </c>
      <c r="Y66" s="15">
        <f>(SUMIFS('MAIN DATA, Orders'!$S:$S,'MAIN DATA, Orders'!$Y:$Y,$A66,'MAIN DATA, Orders'!$D:$D,"United Kingdom",'MAIN DATA, Orders'!$J:$J,"6")/1000000000)</f>
        <v>0</v>
      </c>
      <c r="Z66" s="15" cm="1">
        <f t="array" ref="Z66">SUM(SUMIFS('MAIN DATA, Orders'!$S:$S,'MAIN DATA, Orders'!$Y:$Y,$A66,'MAIN DATA, Orders'!$D:$D,"United Kingdom",'MAIN DATA, Orders'!$I:$I,{"Development - Missile (Land)","Development - Missile (Naval)","Development - Missile (Air)"})/1000000000)</f>
        <v>0</v>
      </c>
      <c r="AA66" s="15">
        <f>(SUMIFS('MAIN DATA, Orders'!$S:$S,'MAIN DATA, Orders'!$Y:$Y,$A66,'MAIN DATA, Orders'!$D:$D,"United Kingdom",'MAIN DATA, Orders'!$I:$I,"Modernisation")/1000000000)</f>
        <v>0</v>
      </c>
      <c r="AB66" s="15">
        <f>(SUMIFS('MAIN DATA, Orders'!$S:$S,'MAIN DATA, Orders'!$Y:$Y,$A66,'MAIN DATA, Orders'!$D:$D,"United Kingdom",'MAIN DATA, Orders'!$I:$I,"Development - Modernisation")/1000000000)</f>
        <v>0</v>
      </c>
      <c r="AC66" s="15">
        <f>(SUMIFS('MAIN DATA, Orders'!$S:$S,'MAIN DATA, Orders'!$Y:$Y,$A66,'MAIN DATA, Orders'!$D:$D,"United Kingdom",'MAIN DATA, Orders'!$I:$I,"Naval")/1000000000)</f>
        <v>0.47599999999999998</v>
      </c>
      <c r="AD66" s="15">
        <f>(SUMIFS('MAIN DATA, Orders'!$S:$S,'MAIN DATA, Orders'!$Y:$Y,$A66,'MAIN DATA, Orders'!$D:$D,"United Kingdom",'MAIN DATA, Orders'!$I:$I,"Development - Naval")/1000000000)</f>
        <v>0</v>
      </c>
      <c r="AE66" s="15">
        <f>(SUMIFS('MAIN DATA, Orders'!$S:$S,'MAIN DATA, Orders'!$Y:$Y,$A66,'MAIN DATA, Orders'!$D:$D,"United Kingdom",'MAIN DATA, Orders'!$I:$I,"Other")/1000000000)</f>
        <v>3.9E-2</v>
      </c>
      <c r="AF66" s="15">
        <f>(SUMIFS('MAIN DATA, Orders'!$S:$S,'MAIN DATA, Orders'!$Y:$Y,$A66,'MAIN DATA, Orders'!$D:$D,"United Kingdom",'MAIN DATA, Orders'!$I:$I,"Development - Other")/1000000000)</f>
        <v>0</v>
      </c>
      <c r="AG66" s="15"/>
      <c r="AH66" s="15" cm="1">
        <f t="array" ref="AH66">SUM(SUMIFS('MAIN DATA, Orders'!$S:$S,'MAIN DATA, Orders'!$Y:$Y,$A66,'MAIN DATA, Orders'!$D:$D,"United Kingdom",'MAIN DATA, Orders'!$I:$I,{"Missile (Land)","Development - Missile (Land)"})/1000000000)</f>
        <v>0</v>
      </c>
      <c r="AI66" s="15" cm="1">
        <f t="array" ref="AI66">SUM(SUMIFS('MAIN DATA, Orders'!$S:$S,'MAIN DATA, Orders'!$D:$D,"United Kingdom",'MAIN DATA, Orders'!$I:$I,{"Missile (Air)","Development - Missile (Air)"},'MAIN DATA, Orders'!$Y:$Y,$A66)/1000000000)</f>
        <v>0</v>
      </c>
      <c r="AJ66" s="15" cm="1">
        <f t="array" ref="AJ66">SUM(SUMIFS('MAIN DATA, Orders'!$S:$S,'MAIN DATA, Orders'!$Y:$Y,$A66,'MAIN DATA, Orders'!$D:$D,"United Kingdom",'MAIN DATA, Orders'!$I:$I,{"Missile (Naval)","Development - Missile (Naval)"})/1000000000)</f>
        <v>0</v>
      </c>
    </row>
    <row r="67" spans="1:36" x14ac:dyDescent="0.35">
      <c r="A67" s="20">
        <v>202501</v>
      </c>
      <c r="B67" s="17">
        <v>45658</v>
      </c>
      <c r="C67" s="15">
        <f>(SUMIFS('MAIN DATA, Orders'!$S:$S,'MAIN DATA, Orders'!$Y:$Y,$A67,'MAIN DATA, Orders'!$D:$D,"United Kingdom",'MAIN DATA, Orders'!$I:$I,"Air defence system")/1000000000)</f>
        <v>0</v>
      </c>
      <c r="D67" s="15">
        <f>(SUMIFS('MAIN DATA, Orders'!$S:$S,'MAIN DATA, Orders'!$Y:$Y,$A67,'MAIN DATA, Orders'!$D:$D,"United Kingdom",'MAIN DATA, Orders'!$I:$I,"Development - Air defence system")/1000000000)</f>
        <v>0</v>
      </c>
      <c r="E67" s="15">
        <f>(SUMIFS('MAIN DATA, Orders'!$S:$S,'MAIN DATA, Orders'!$Y:$Y,$A67,'MAIN DATA, Orders'!$D:$D,"United Kingdom",'MAIN DATA, Orders'!$I:$I,"Aircraft")/1000000000)</f>
        <v>0</v>
      </c>
      <c r="F67" s="15">
        <f>(SUMIFS('MAIN DATA, Orders'!$S:$S,'MAIN DATA, Orders'!$Y:$Y,$A67,'MAIN DATA, Orders'!$D:$D,"United Kingdom",'MAIN DATA, Orders'!$I:$I,"Development - Aircraft")/1000000000)</f>
        <v>0</v>
      </c>
      <c r="G67" s="15">
        <f>(SUMIFS('MAIN DATA, Orders'!$S:$S,'MAIN DATA, Orders'!$Y:$Y,$A67,'MAIN DATA, Orders'!$D:$D,"United Kingdom",'MAIN DATA, Orders'!$I:$I,"Ammunition")/1000000000)</f>
        <v>0</v>
      </c>
      <c r="H67" s="15">
        <f>(SUMIFS('MAIN DATA, Orders'!$S:$S,'MAIN DATA, Orders'!$Y:$Y,$A67,'MAIN DATA, Orders'!$D:$D,"United Kingdom",'MAIN DATA, Orders'!$I:$I,"Development - Ammunition")/1000000000)</f>
        <v>0</v>
      </c>
      <c r="I67" s="15">
        <f>(SUMIFS('MAIN DATA, Orders'!$S:$S,'MAIN DATA, Orders'!$Y:$Y,$A67,'MAIN DATA, Orders'!$D:$D,"United Kingdom",'MAIN DATA, Orders'!$I:$I,"Armoured vehicle")/1000000000)</f>
        <v>0</v>
      </c>
      <c r="J67" s="15">
        <f>(SUMIFS('MAIN DATA, Orders'!$S:$S,'MAIN DATA, Orders'!$Y:$Y,$A67,'MAIN DATA, Orders'!$D:$D,"United Kingdom",'MAIN DATA, Orders'!$I:$I,"Development - Armoured vehicle")/1000000000)</f>
        <v>0</v>
      </c>
      <c r="K67" s="15">
        <f>(SUMIFS('MAIN DATA, Orders'!$S:$S,'MAIN DATA, Orders'!$Y:$Y,$A67,'MAIN DATA, Orders'!$D:$D,"United Kingdom",'MAIN DATA, Orders'!$I:$I,"Artillery")/1000000000)</f>
        <v>6.0999999999999999E-2</v>
      </c>
      <c r="L67" s="15">
        <f>(SUMIFS('MAIN DATA, Orders'!$S:$S,'MAIN DATA, Orders'!$Y:$Y,$A67,'MAIN DATA, Orders'!$D:$D,"United Kingdom",'MAIN DATA, Orders'!$I:$I,"Development - Artillery")/1000000000)</f>
        <v>0</v>
      </c>
      <c r="M67" s="15">
        <f>(SUMIFS('MAIN DATA, Orders'!$S:$S,'MAIN DATA, Orders'!$Y:$Y,$A67,'MAIN DATA, Orders'!$D:$D,"United Kingdom",'MAIN DATA, Orders'!$I:$I,"Drone")/1000000000)</f>
        <v>0</v>
      </c>
      <c r="N67" s="15">
        <f>(SUMIFS('MAIN DATA, Orders'!$S:$S,'MAIN DATA, Orders'!$Y:$Y,$A67,'MAIN DATA, Orders'!$D:$D,"United Kingdom",'MAIN DATA, Orders'!$I:$I,"Development - Drone")/1000000000)</f>
        <v>0</v>
      </c>
      <c r="O67" s="15">
        <f>(SUMIFS('MAIN DATA, Orders'!$S:$S,'MAIN DATA, Orders'!$Y:$Y,$A67,'MAIN DATA, Orders'!$D:$D,"United Kingdom",'MAIN DATA, Orders'!$I:$I,"Helicopter")/1000000000)</f>
        <v>0</v>
      </c>
      <c r="P67" s="15">
        <f>(SUMIFS('MAIN DATA, Orders'!$S:$S,'MAIN DATA, Orders'!$Y:$Y,$A67,'MAIN DATA, Orders'!$D:$D,"United Kingdom",'MAIN DATA, Orders'!$I:$I,"Development - Helicopter")/1000000000)</f>
        <v>0</v>
      </c>
      <c r="Q67" s="15">
        <f>(SUMIFS('MAIN DATA, Orders'!$S:$S,'MAIN DATA, Orders'!$Y:$Y,$A67,'MAIN DATA, Orders'!$D:$D,"United Kingdom",'MAIN DATA, Orders'!$I:$I,"Infantry")/1000000000)</f>
        <v>0</v>
      </c>
      <c r="R67" s="15">
        <f>(SUMIFS('MAIN DATA, Orders'!$S:$S,'MAIN DATA, Orders'!$Y:$Y,$A67,'MAIN DATA, Orders'!$D:$D,"United Kingdom",'MAIN DATA, Orders'!$I:$I,"Development - Infantry")/1000000000)</f>
        <v>0</v>
      </c>
      <c r="S67" s="15">
        <f>(SUMIFS('MAIN DATA, Orders'!$S:$S,'MAIN DATA, Orders'!$Y:$Y,$A67,'MAIN DATA, Orders'!$D:$D,"United Kingdom",'MAIN DATA, Orders'!$I:$I,"Tank")/1000000000)</f>
        <v>0</v>
      </c>
      <c r="T67" s="15">
        <f>(SUMIFS('MAIN DATA, Orders'!$S:$S,'MAIN DATA, Orders'!$Y:$Y,$A67,'MAIN DATA, Orders'!$D:$D,"United Kingdom",'MAIN DATA, Orders'!$I:$I,"Development - Tank")/1000000000)</f>
        <v>0</v>
      </c>
      <c r="U67" s="15">
        <f>(SUMIFS('MAIN DATA, Orders'!$S:$S,'MAIN DATA, Orders'!$Y:$Y,$A67,'MAIN DATA, Orders'!$D:$D,"United Kingdom",'MAIN DATA, Orders'!$I:$I,"Maintenance")/1000000000)</f>
        <v>0</v>
      </c>
      <c r="V67" s="15">
        <f>(SUMIFS('MAIN DATA, Orders'!$S:$S,'MAIN DATA, Orders'!$Y:$Y,$A67,'MAIN DATA, Orders'!$D:$D,"United Kingdom",'MAIN DATA, Orders'!$I:$I,"Development - Maintenance")/1000000000)</f>
        <v>0</v>
      </c>
      <c r="W67" s="15">
        <f>(SUMIFS('MAIN DATA, Orders'!$S:$S,'MAIN DATA, Orders'!$Y:$Y,$A67,'MAIN DATA, Orders'!$D:$D,"United Kingdom",'MAIN DATA, Orders'!$I:$I,"Mine")/1000000000)</f>
        <v>0</v>
      </c>
      <c r="X67" s="15">
        <f>(SUMIFS('MAIN DATA, Orders'!$S:$S,'MAIN DATA, Orders'!$Y:$Y,$A67,'MAIN DATA, Orders'!$D:$D,"United Kingdom",'MAIN DATA, Orders'!$I:$I,"Development - Mine")/1000000000)</f>
        <v>0</v>
      </c>
      <c r="Y67" s="15">
        <f>(SUMIFS('MAIN DATA, Orders'!$S:$S,'MAIN DATA, Orders'!$Y:$Y,$A67,'MAIN DATA, Orders'!$D:$D,"United Kingdom",'MAIN DATA, Orders'!$J:$J,"6")/1000000000)</f>
        <v>0</v>
      </c>
      <c r="Z67" s="15" cm="1">
        <f t="array" ref="Z67">SUM(SUMIFS('MAIN DATA, Orders'!$S:$S,'MAIN DATA, Orders'!$Y:$Y,$A67,'MAIN DATA, Orders'!$D:$D,"United Kingdom",'MAIN DATA, Orders'!$I:$I,{"Development - Missile (Land)","Development - Missile (Naval)","Development - Missile (Air)"})/1000000000)</f>
        <v>0</v>
      </c>
      <c r="AA67" s="15">
        <f>(SUMIFS('MAIN DATA, Orders'!$S:$S,'MAIN DATA, Orders'!$Y:$Y,$A67,'MAIN DATA, Orders'!$D:$D,"United Kingdom",'MAIN DATA, Orders'!$I:$I,"Modernisation")/1000000000)</f>
        <v>0</v>
      </c>
      <c r="AB67" s="15">
        <f>(SUMIFS('MAIN DATA, Orders'!$S:$S,'MAIN DATA, Orders'!$Y:$Y,$A67,'MAIN DATA, Orders'!$D:$D,"United Kingdom",'MAIN DATA, Orders'!$I:$I,"Development - Modernisation")/1000000000)</f>
        <v>0</v>
      </c>
      <c r="AC67" s="15">
        <f>(SUMIFS('MAIN DATA, Orders'!$S:$S,'MAIN DATA, Orders'!$Y:$Y,$A67,'MAIN DATA, Orders'!$D:$D,"United Kingdom",'MAIN DATA, Orders'!$I:$I,"Naval")/1000000000)</f>
        <v>9.2850000000000001</v>
      </c>
      <c r="AD67" s="15">
        <f>(SUMIFS('MAIN DATA, Orders'!$S:$S,'MAIN DATA, Orders'!$Y:$Y,$A67,'MAIN DATA, Orders'!$D:$D,"United Kingdom",'MAIN DATA, Orders'!$I:$I,"Development - Naval")/1000000000)</f>
        <v>0</v>
      </c>
      <c r="AE67" s="15">
        <f>(SUMIFS('MAIN DATA, Orders'!$S:$S,'MAIN DATA, Orders'!$Y:$Y,$A67,'MAIN DATA, Orders'!$D:$D,"United Kingdom",'MAIN DATA, Orders'!$I:$I,"Other")/1000000000)</f>
        <v>0</v>
      </c>
      <c r="AF67" s="15">
        <f>(SUMIFS('MAIN DATA, Orders'!$S:$S,'MAIN DATA, Orders'!$Y:$Y,$A67,'MAIN DATA, Orders'!$D:$D,"United Kingdom",'MAIN DATA, Orders'!$I:$I,"Development - Other")/1000000000)</f>
        <v>0</v>
      </c>
      <c r="AG67" s="15"/>
      <c r="AH67" s="15" cm="1">
        <f t="array" ref="AH67">SUM(SUMIFS('MAIN DATA, Orders'!$S:$S,'MAIN DATA, Orders'!$Y:$Y,$A67,'MAIN DATA, Orders'!$D:$D,"United Kingdom",'MAIN DATA, Orders'!$I:$I,{"Missile (Land)","Development - Missile (Land)"})/1000000000)</f>
        <v>0</v>
      </c>
      <c r="AI67" s="15" cm="1">
        <f t="array" ref="AI67">SUM(SUMIFS('MAIN DATA, Orders'!$S:$S,'MAIN DATA, Orders'!$D:$D,"United Kingdom",'MAIN DATA, Orders'!$I:$I,{"Missile (Air)","Development - Missile (Air)"},'MAIN DATA, Orders'!$Y:$Y,$A67)/1000000000)</f>
        <v>0</v>
      </c>
      <c r="AJ67" s="15" cm="1">
        <f t="array" ref="AJ67">SUM(SUMIFS('MAIN DATA, Orders'!$S:$S,'MAIN DATA, Orders'!$Y:$Y,$A67,'MAIN DATA, Orders'!$D:$D,"United Kingdom",'MAIN DATA, Orders'!$I:$I,{"Missile (Naval)","Development - Missile (Naval)"})/1000000000)</f>
        <v>0</v>
      </c>
    </row>
    <row r="68" spans="1:36" x14ac:dyDescent="0.35">
      <c r="A68" s="20">
        <v>202502</v>
      </c>
      <c r="B68" s="17">
        <v>45689</v>
      </c>
      <c r="C68" s="15">
        <f>(SUMIFS('MAIN DATA, Orders'!$S:$S,'MAIN DATA, Orders'!$Y:$Y,$A68,'MAIN DATA, Orders'!$D:$D,"United Kingdom",'MAIN DATA, Orders'!$I:$I,"Air defence system")/1000000000)</f>
        <v>0</v>
      </c>
      <c r="D68" s="15">
        <f>(SUMIFS('MAIN DATA, Orders'!$S:$S,'MAIN DATA, Orders'!$Y:$Y,$A68,'MAIN DATA, Orders'!$D:$D,"United Kingdom",'MAIN DATA, Orders'!$I:$I,"Development - Air defence system")/1000000000)</f>
        <v>0</v>
      </c>
      <c r="E68" s="15">
        <f>(SUMIFS('MAIN DATA, Orders'!$S:$S,'MAIN DATA, Orders'!$Y:$Y,$A68,'MAIN DATA, Orders'!$D:$D,"United Kingdom",'MAIN DATA, Orders'!$I:$I,"Aircraft")/1000000000)</f>
        <v>0</v>
      </c>
      <c r="F68" s="15">
        <f>(SUMIFS('MAIN DATA, Orders'!$S:$S,'MAIN DATA, Orders'!$Y:$Y,$A68,'MAIN DATA, Orders'!$D:$D,"United Kingdom",'MAIN DATA, Orders'!$I:$I,"Development - Aircraft")/1000000000)</f>
        <v>0</v>
      </c>
      <c r="G68" s="15">
        <f>(SUMIFS('MAIN DATA, Orders'!$S:$S,'MAIN DATA, Orders'!$Y:$Y,$A68,'MAIN DATA, Orders'!$D:$D,"United Kingdom",'MAIN DATA, Orders'!$I:$I,"Ammunition")/1000000000)</f>
        <v>0</v>
      </c>
      <c r="H68" s="15">
        <f>(SUMIFS('MAIN DATA, Orders'!$S:$S,'MAIN DATA, Orders'!$Y:$Y,$A68,'MAIN DATA, Orders'!$D:$D,"United Kingdom",'MAIN DATA, Orders'!$I:$I,"Development - Ammunition")/1000000000)</f>
        <v>0</v>
      </c>
      <c r="I68" s="15">
        <f>(SUMIFS('MAIN DATA, Orders'!$S:$S,'MAIN DATA, Orders'!$Y:$Y,$A68,'MAIN DATA, Orders'!$D:$D,"United Kingdom",'MAIN DATA, Orders'!$I:$I,"Armoured vehicle")/1000000000)</f>
        <v>0</v>
      </c>
      <c r="J68" s="15">
        <f>(SUMIFS('MAIN DATA, Orders'!$S:$S,'MAIN DATA, Orders'!$Y:$Y,$A68,'MAIN DATA, Orders'!$D:$D,"United Kingdom",'MAIN DATA, Orders'!$I:$I,"Development - Armoured vehicle")/1000000000)</f>
        <v>0</v>
      </c>
      <c r="K68" s="15">
        <f>(SUMIFS('MAIN DATA, Orders'!$S:$S,'MAIN DATA, Orders'!$Y:$Y,$A68,'MAIN DATA, Orders'!$D:$D,"United Kingdom",'MAIN DATA, Orders'!$I:$I,"Artillery")/1000000000)</f>
        <v>0</v>
      </c>
      <c r="L68" s="15">
        <f>(SUMIFS('MAIN DATA, Orders'!$S:$S,'MAIN DATA, Orders'!$Y:$Y,$A68,'MAIN DATA, Orders'!$D:$D,"United Kingdom",'MAIN DATA, Orders'!$I:$I,"Development - Artillery")/1000000000)</f>
        <v>0</v>
      </c>
      <c r="M68" s="15">
        <f>(SUMIFS('MAIN DATA, Orders'!$S:$S,'MAIN DATA, Orders'!$Y:$Y,$A68,'MAIN DATA, Orders'!$D:$D,"United Kingdom",'MAIN DATA, Orders'!$I:$I,"Drone")/1000000000)</f>
        <v>0</v>
      </c>
      <c r="N68" s="15">
        <f>(SUMIFS('MAIN DATA, Orders'!$S:$S,'MAIN DATA, Orders'!$Y:$Y,$A68,'MAIN DATA, Orders'!$D:$D,"United Kingdom",'MAIN DATA, Orders'!$I:$I,"Development - Drone")/1000000000)</f>
        <v>0</v>
      </c>
      <c r="O68" s="15">
        <f>(SUMIFS('MAIN DATA, Orders'!$S:$S,'MAIN DATA, Orders'!$Y:$Y,$A68,'MAIN DATA, Orders'!$D:$D,"United Kingdom",'MAIN DATA, Orders'!$I:$I,"Helicopter")/1000000000)</f>
        <v>0</v>
      </c>
      <c r="P68" s="15">
        <f>(SUMIFS('MAIN DATA, Orders'!$S:$S,'MAIN DATA, Orders'!$Y:$Y,$A68,'MAIN DATA, Orders'!$D:$D,"United Kingdom",'MAIN DATA, Orders'!$I:$I,"Development - Helicopter")/1000000000)</f>
        <v>0</v>
      </c>
      <c r="Q68" s="15">
        <f>(SUMIFS('MAIN DATA, Orders'!$S:$S,'MAIN DATA, Orders'!$Y:$Y,$A68,'MAIN DATA, Orders'!$D:$D,"United Kingdom",'MAIN DATA, Orders'!$I:$I,"Infantry")/1000000000)</f>
        <v>0</v>
      </c>
      <c r="R68" s="15">
        <f>(SUMIFS('MAIN DATA, Orders'!$S:$S,'MAIN DATA, Orders'!$Y:$Y,$A68,'MAIN DATA, Orders'!$D:$D,"United Kingdom",'MAIN DATA, Orders'!$I:$I,"Development - Infantry")/1000000000)</f>
        <v>0</v>
      </c>
      <c r="S68" s="15">
        <f>(SUMIFS('MAIN DATA, Orders'!$S:$S,'MAIN DATA, Orders'!$Y:$Y,$A68,'MAIN DATA, Orders'!$D:$D,"United Kingdom",'MAIN DATA, Orders'!$I:$I,"Tank")/1000000000)</f>
        <v>0</v>
      </c>
      <c r="T68" s="15">
        <f>(SUMIFS('MAIN DATA, Orders'!$S:$S,'MAIN DATA, Orders'!$Y:$Y,$A68,'MAIN DATA, Orders'!$D:$D,"United Kingdom",'MAIN DATA, Orders'!$I:$I,"Development - Tank")/1000000000)</f>
        <v>0</v>
      </c>
      <c r="U68" s="15">
        <f>(SUMIFS('MAIN DATA, Orders'!$S:$S,'MAIN DATA, Orders'!$Y:$Y,$A68,'MAIN DATA, Orders'!$D:$D,"United Kingdom",'MAIN DATA, Orders'!$I:$I,"Maintenance")/1000000000)</f>
        <v>0</v>
      </c>
      <c r="V68" s="15">
        <f>(SUMIFS('MAIN DATA, Orders'!$S:$S,'MAIN DATA, Orders'!$Y:$Y,$A68,'MAIN DATA, Orders'!$D:$D,"United Kingdom",'MAIN DATA, Orders'!$I:$I,"Development - Maintenance")/1000000000)</f>
        <v>0</v>
      </c>
      <c r="W68" s="15">
        <f>(SUMIFS('MAIN DATA, Orders'!$S:$S,'MAIN DATA, Orders'!$Y:$Y,$A68,'MAIN DATA, Orders'!$D:$D,"United Kingdom",'MAIN DATA, Orders'!$I:$I,"Mine")/1000000000)</f>
        <v>0</v>
      </c>
      <c r="X68" s="15">
        <f>(SUMIFS('MAIN DATA, Orders'!$S:$S,'MAIN DATA, Orders'!$Y:$Y,$A68,'MAIN DATA, Orders'!$D:$D,"United Kingdom",'MAIN DATA, Orders'!$I:$I,"Development - Mine")/1000000000)</f>
        <v>0</v>
      </c>
      <c r="Y68" s="15">
        <f>(SUMIFS('MAIN DATA, Orders'!$S:$S,'MAIN DATA, Orders'!$Y:$Y,$A68,'MAIN DATA, Orders'!$D:$D,"United Kingdom",'MAIN DATA, Orders'!$J:$J,"6")/1000000000)</f>
        <v>0</v>
      </c>
      <c r="Z68" s="15" cm="1">
        <f t="array" ref="Z68">SUM(SUMIFS('MAIN DATA, Orders'!$S:$S,'MAIN DATA, Orders'!$Y:$Y,$A68,'MAIN DATA, Orders'!$D:$D,"United Kingdom",'MAIN DATA, Orders'!$I:$I,{"Development - Missile (Land)","Development - Missile (Naval)","Development - Missile (Air)"})/1000000000)</f>
        <v>0</v>
      </c>
      <c r="AA68" s="15">
        <f>(SUMIFS('MAIN DATA, Orders'!$S:$S,'MAIN DATA, Orders'!$Y:$Y,$A68,'MAIN DATA, Orders'!$D:$D,"United Kingdom",'MAIN DATA, Orders'!$I:$I,"Modernisation")/1000000000)</f>
        <v>0.127</v>
      </c>
      <c r="AB68" s="15">
        <f>(SUMIFS('MAIN DATA, Orders'!$S:$S,'MAIN DATA, Orders'!$Y:$Y,$A68,'MAIN DATA, Orders'!$D:$D,"United Kingdom",'MAIN DATA, Orders'!$I:$I,"Development - Modernisation")/1000000000)</f>
        <v>0</v>
      </c>
      <c r="AC68" s="15">
        <f>(SUMIFS('MAIN DATA, Orders'!$S:$S,'MAIN DATA, Orders'!$Y:$Y,$A68,'MAIN DATA, Orders'!$D:$D,"United Kingdom",'MAIN DATA, Orders'!$I:$I,"Naval")/1000000000)</f>
        <v>0.25</v>
      </c>
      <c r="AD68" s="15">
        <f>(SUMIFS('MAIN DATA, Orders'!$S:$S,'MAIN DATA, Orders'!$Y:$Y,$A68,'MAIN DATA, Orders'!$D:$D,"United Kingdom",'MAIN DATA, Orders'!$I:$I,"Development - Naval")/1000000000)</f>
        <v>0</v>
      </c>
      <c r="AE68" s="15">
        <f>(SUMIFS('MAIN DATA, Orders'!$S:$S,'MAIN DATA, Orders'!$Y:$Y,$A68,'MAIN DATA, Orders'!$D:$D,"United Kingdom",'MAIN DATA, Orders'!$I:$I,"Other")/1000000000)</f>
        <v>0.15</v>
      </c>
      <c r="AF68" s="15">
        <f>(SUMIFS('MAIN DATA, Orders'!$S:$S,'MAIN DATA, Orders'!$Y:$Y,$A68,'MAIN DATA, Orders'!$D:$D,"United Kingdom",'MAIN DATA, Orders'!$I:$I,"Development - Other")/1000000000)</f>
        <v>0</v>
      </c>
      <c r="AG68" s="15"/>
      <c r="AH68" s="15" cm="1">
        <f t="array" ref="AH68">SUM(SUMIFS('MAIN DATA, Orders'!$S:$S,'MAIN DATA, Orders'!$Y:$Y,$A68,'MAIN DATA, Orders'!$D:$D,"United Kingdom",'MAIN DATA, Orders'!$I:$I,{"Missile (Land)","Development - Missile (Land)"})/1000000000)</f>
        <v>0</v>
      </c>
      <c r="AI68" s="15" cm="1">
        <f t="array" ref="AI68">SUM(SUMIFS('MAIN DATA, Orders'!$S:$S,'MAIN DATA, Orders'!$D:$D,"United Kingdom",'MAIN DATA, Orders'!$I:$I,{"Missile (Air)","Development - Missile (Air)"},'MAIN DATA, Orders'!$Y:$Y,$A68)/1000000000)</f>
        <v>0</v>
      </c>
      <c r="AJ68" s="15" cm="1">
        <f t="array" ref="AJ68">SUM(SUMIFS('MAIN DATA, Orders'!$S:$S,'MAIN DATA, Orders'!$Y:$Y,$A68,'MAIN DATA, Orders'!$D:$D,"United Kingdom",'MAIN DATA, Orders'!$I:$I,{"Missile (Naval)","Development - Missile (Naval)"})/1000000000)</f>
        <v>0</v>
      </c>
    </row>
    <row r="69" spans="1:36" x14ac:dyDescent="0.35">
      <c r="A69" s="20">
        <v>202503</v>
      </c>
      <c r="B69" s="17">
        <v>45717</v>
      </c>
      <c r="C69" s="15">
        <f>(SUMIFS('MAIN DATA, Orders'!$S:$S,'MAIN DATA, Orders'!$Y:$Y,$A69,'MAIN DATA, Orders'!$D:$D,"United Kingdom",'MAIN DATA, Orders'!$I:$I,"Air defence system")/1000000000)</f>
        <v>0</v>
      </c>
      <c r="D69" s="15">
        <f>(SUMIFS('MAIN DATA, Orders'!$S:$S,'MAIN DATA, Orders'!$Y:$Y,$A69,'MAIN DATA, Orders'!$D:$D,"United Kingdom",'MAIN DATA, Orders'!$I:$I,"Development - Air defence system")/1000000000)</f>
        <v>0</v>
      </c>
      <c r="E69" s="15">
        <f>(SUMIFS('MAIN DATA, Orders'!$S:$S,'MAIN DATA, Orders'!$Y:$Y,$A69,'MAIN DATA, Orders'!$D:$D,"United Kingdom",'MAIN DATA, Orders'!$I:$I,"Aircraft")/1000000000)</f>
        <v>0</v>
      </c>
      <c r="F69" s="15">
        <f>(SUMIFS('MAIN DATA, Orders'!$S:$S,'MAIN DATA, Orders'!$Y:$Y,$A69,'MAIN DATA, Orders'!$D:$D,"United Kingdom",'MAIN DATA, Orders'!$I:$I,"Development - Aircraft")/1000000000)</f>
        <v>0</v>
      </c>
      <c r="G69" s="15">
        <f>(SUMIFS('MAIN DATA, Orders'!$S:$S,'MAIN DATA, Orders'!$Y:$Y,$A69,'MAIN DATA, Orders'!$D:$D,"United Kingdom",'MAIN DATA, Orders'!$I:$I,"Ammunition")/1000000000)</f>
        <v>0</v>
      </c>
      <c r="H69" s="15">
        <f>(SUMIFS('MAIN DATA, Orders'!$S:$S,'MAIN DATA, Orders'!$Y:$Y,$A69,'MAIN DATA, Orders'!$D:$D,"United Kingdom",'MAIN DATA, Orders'!$I:$I,"Development - Ammunition")/1000000000)</f>
        <v>0</v>
      </c>
      <c r="I69" s="15">
        <f>(SUMIFS('MAIN DATA, Orders'!$S:$S,'MAIN DATA, Orders'!$Y:$Y,$A69,'MAIN DATA, Orders'!$D:$D,"United Kingdom",'MAIN DATA, Orders'!$I:$I,"Armoured vehicle")/1000000000)</f>
        <v>0</v>
      </c>
      <c r="J69" s="15">
        <f>(SUMIFS('MAIN DATA, Orders'!$S:$S,'MAIN DATA, Orders'!$Y:$Y,$A69,'MAIN DATA, Orders'!$D:$D,"United Kingdom",'MAIN DATA, Orders'!$I:$I,"Development - Armoured vehicle")/1000000000)</f>
        <v>0</v>
      </c>
      <c r="K69" s="15">
        <f>(SUMIFS('MAIN DATA, Orders'!$S:$S,'MAIN DATA, Orders'!$Y:$Y,$A69,'MAIN DATA, Orders'!$D:$D,"United Kingdom",'MAIN DATA, Orders'!$I:$I,"Artillery")/1000000000)</f>
        <v>0</v>
      </c>
      <c r="L69" s="15">
        <f>(SUMIFS('MAIN DATA, Orders'!$S:$S,'MAIN DATA, Orders'!$Y:$Y,$A69,'MAIN DATA, Orders'!$D:$D,"United Kingdom",'MAIN DATA, Orders'!$I:$I,"Development - Artillery")/1000000000)</f>
        <v>0</v>
      </c>
      <c r="M69" s="15">
        <f>(SUMIFS('MAIN DATA, Orders'!$S:$S,'MAIN DATA, Orders'!$Y:$Y,$A69,'MAIN DATA, Orders'!$D:$D,"United Kingdom",'MAIN DATA, Orders'!$I:$I,"Drone")/1000000000)</f>
        <v>0</v>
      </c>
      <c r="N69" s="15">
        <f>(SUMIFS('MAIN DATA, Orders'!$S:$S,'MAIN DATA, Orders'!$Y:$Y,$A69,'MAIN DATA, Orders'!$D:$D,"United Kingdom",'MAIN DATA, Orders'!$I:$I,"Development - Drone")/1000000000)</f>
        <v>0</v>
      </c>
      <c r="O69" s="15">
        <f>(SUMIFS('MAIN DATA, Orders'!$S:$S,'MAIN DATA, Orders'!$Y:$Y,$A69,'MAIN DATA, Orders'!$D:$D,"United Kingdom",'MAIN DATA, Orders'!$I:$I,"Helicopter")/1000000000)</f>
        <v>0</v>
      </c>
      <c r="P69" s="15">
        <f>(SUMIFS('MAIN DATA, Orders'!$S:$S,'MAIN DATA, Orders'!$Y:$Y,$A69,'MAIN DATA, Orders'!$D:$D,"United Kingdom",'MAIN DATA, Orders'!$I:$I,"Development - Helicopter")/1000000000)</f>
        <v>0</v>
      </c>
      <c r="Q69" s="15">
        <f>(SUMIFS('MAIN DATA, Orders'!$S:$S,'MAIN DATA, Orders'!$Y:$Y,$A69,'MAIN DATA, Orders'!$D:$D,"United Kingdom",'MAIN DATA, Orders'!$I:$I,"Infantry")/1000000000)</f>
        <v>0</v>
      </c>
      <c r="R69" s="15">
        <f>(SUMIFS('MAIN DATA, Orders'!$S:$S,'MAIN DATA, Orders'!$Y:$Y,$A69,'MAIN DATA, Orders'!$D:$D,"United Kingdom",'MAIN DATA, Orders'!$I:$I,"Development - Infantry")/1000000000)</f>
        <v>0</v>
      </c>
      <c r="S69" s="15">
        <f>(SUMIFS('MAIN DATA, Orders'!$S:$S,'MAIN DATA, Orders'!$Y:$Y,$A69,'MAIN DATA, Orders'!$D:$D,"United Kingdom",'MAIN DATA, Orders'!$I:$I,"Tank")/1000000000)</f>
        <v>0</v>
      </c>
      <c r="T69" s="15">
        <f>(SUMIFS('MAIN DATA, Orders'!$S:$S,'MAIN DATA, Orders'!$Y:$Y,$A69,'MAIN DATA, Orders'!$D:$D,"United Kingdom",'MAIN DATA, Orders'!$I:$I,"Development - Tank")/1000000000)</f>
        <v>0</v>
      </c>
      <c r="U69" s="15">
        <f>(SUMIFS('MAIN DATA, Orders'!$S:$S,'MAIN DATA, Orders'!$Y:$Y,$A69,'MAIN DATA, Orders'!$D:$D,"United Kingdom",'MAIN DATA, Orders'!$I:$I,"Maintenance")/1000000000)</f>
        <v>1.6</v>
      </c>
      <c r="V69" s="15">
        <f>(SUMIFS('MAIN DATA, Orders'!$S:$S,'MAIN DATA, Orders'!$Y:$Y,$A69,'MAIN DATA, Orders'!$D:$D,"United Kingdom",'MAIN DATA, Orders'!$I:$I,"Development - Maintenance")/1000000000)</f>
        <v>0</v>
      </c>
      <c r="W69" s="15">
        <f>(SUMIFS('MAIN DATA, Orders'!$S:$S,'MAIN DATA, Orders'!$Y:$Y,$A69,'MAIN DATA, Orders'!$D:$D,"United Kingdom",'MAIN DATA, Orders'!$I:$I,"Mine")/1000000000)</f>
        <v>0</v>
      </c>
      <c r="X69" s="15">
        <f>(SUMIFS('MAIN DATA, Orders'!$S:$S,'MAIN DATA, Orders'!$Y:$Y,$A69,'MAIN DATA, Orders'!$D:$D,"United Kingdom",'MAIN DATA, Orders'!$I:$I,"Development - Mine")/1000000000)</f>
        <v>0</v>
      </c>
      <c r="Y69" s="15">
        <f>(SUMIFS('MAIN DATA, Orders'!$S:$S,'MAIN DATA, Orders'!$Y:$Y,$A69,'MAIN DATA, Orders'!$D:$D,"United Kingdom",'MAIN DATA, Orders'!$J:$J,"6")/1000000000)</f>
        <v>1.1599999999999999</v>
      </c>
      <c r="Z69" s="15" cm="1">
        <f t="array" ref="Z69">SUM(SUMIFS('MAIN DATA, Orders'!$S:$S,'MAIN DATA, Orders'!$Y:$Y,$A69,'MAIN DATA, Orders'!$D:$D,"United Kingdom",'MAIN DATA, Orders'!$I:$I,{"Development - Missile (Land)","Development - Missile (Naval)","Development - Missile (Air)"})/1000000000)</f>
        <v>0</v>
      </c>
      <c r="AA69" s="15">
        <f>(SUMIFS('MAIN DATA, Orders'!$S:$S,'MAIN DATA, Orders'!$Y:$Y,$A69,'MAIN DATA, Orders'!$D:$D,"United Kingdom",'MAIN DATA, Orders'!$I:$I,"Modernisation")/1000000000)</f>
        <v>6.5000000000000002E-2</v>
      </c>
      <c r="AB69" s="15">
        <f>(SUMIFS('MAIN DATA, Orders'!$S:$S,'MAIN DATA, Orders'!$Y:$Y,$A69,'MAIN DATA, Orders'!$D:$D,"United Kingdom",'MAIN DATA, Orders'!$I:$I,"Development - Modernisation")/1000000000)</f>
        <v>0</v>
      </c>
      <c r="AC69" s="15">
        <f>(SUMIFS('MAIN DATA, Orders'!$S:$S,'MAIN DATA, Orders'!$Y:$Y,$A69,'MAIN DATA, Orders'!$D:$D,"United Kingdom",'MAIN DATA, Orders'!$I:$I,"Naval")/1000000000)</f>
        <v>0</v>
      </c>
      <c r="AD69" s="15">
        <f>(SUMIFS('MAIN DATA, Orders'!$S:$S,'MAIN DATA, Orders'!$Y:$Y,$A69,'MAIN DATA, Orders'!$D:$D,"United Kingdom",'MAIN DATA, Orders'!$I:$I,"Development - Naval")/1000000000)</f>
        <v>0</v>
      </c>
      <c r="AE69" s="15">
        <f>(SUMIFS('MAIN DATA, Orders'!$S:$S,'MAIN DATA, Orders'!$Y:$Y,$A69,'MAIN DATA, Orders'!$D:$D,"United Kingdom",'MAIN DATA, Orders'!$I:$I,"Other")/1000000000)</f>
        <v>0</v>
      </c>
      <c r="AF69" s="15">
        <f>(SUMIFS('MAIN DATA, Orders'!$S:$S,'MAIN DATA, Orders'!$Y:$Y,$A69,'MAIN DATA, Orders'!$D:$D,"United Kingdom",'MAIN DATA, Orders'!$I:$I,"Development - Other")/1000000000)</f>
        <v>0</v>
      </c>
      <c r="AG69" s="15"/>
      <c r="AH69" s="15" cm="1">
        <f t="array" ref="AH69">SUM(SUMIFS('MAIN DATA, Orders'!$S:$S,'MAIN DATA, Orders'!$Y:$Y,$A69,'MAIN DATA, Orders'!$D:$D,"United Kingdom",'MAIN DATA, Orders'!$I:$I,{"Missile (Land)","Development - Missile (Land)"})/1000000000)</f>
        <v>1.1599999999999999</v>
      </c>
      <c r="AI69" s="15" cm="1">
        <f t="array" ref="AI69">SUM(SUMIFS('MAIN DATA, Orders'!$S:$S,'MAIN DATA, Orders'!$D:$D,"United Kingdom",'MAIN DATA, Orders'!$I:$I,{"Missile (Air)","Development - Missile (Air)"},'MAIN DATA, Orders'!$Y:$Y,$A69)/1000000000)</f>
        <v>0</v>
      </c>
      <c r="AJ69" s="15" cm="1">
        <f t="array" ref="AJ69">SUM(SUMIFS('MAIN DATA, Orders'!$S:$S,'MAIN DATA, Orders'!$Y:$Y,$A69,'MAIN DATA, Orders'!$D:$D,"United Kingdom",'MAIN DATA, Orders'!$I:$I,{"Missile (Naval)","Development - Missile (Naval)"})/1000000000)</f>
        <v>0</v>
      </c>
    </row>
    <row r="70" spans="1:36" x14ac:dyDescent="0.35">
      <c r="A70" s="20">
        <v>202504</v>
      </c>
      <c r="B70" s="17">
        <v>45748</v>
      </c>
      <c r="C70" s="15">
        <f>(SUMIFS('MAIN DATA, Orders'!$S:$S,'MAIN DATA, Orders'!$Y:$Y,$A70,'MAIN DATA, Orders'!$D:$D,"United Kingdom",'MAIN DATA, Orders'!$I:$I,"Air defence system")/1000000000)</f>
        <v>0</v>
      </c>
      <c r="D70" s="15">
        <f>(SUMIFS('MAIN DATA, Orders'!$S:$S,'MAIN DATA, Orders'!$Y:$Y,$A70,'MAIN DATA, Orders'!$D:$D,"United Kingdom",'MAIN DATA, Orders'!$I:$I,"Development - Air defence system")/1000000000)</f>
        <v>0.25</v>
      </c>
      <c r="E70" s="15">
        <f>(SUMIFS('MAIN DATA, Orders'!$S:$S,'MAIN DATA, Orders'!$Y:$Y,$A70,'MAIN DATA, Orders'!$D:$D,"United Kingdom",'MAIN DATA, Orders'!$I:$I,"Aircraft")/1000000000)</f>
        <v>0</v>
      </c>
      <c r="F70" s="15">
        <f>(SUMIFS('MAIN DATA, Orders'!$S:$S,'MAIN DATA, Orders'!$Y:$Y,$A70,'MAIN DATA, Orders'!$D:$D,"United Kingdom",'MAIN DATA, Orders'!$I:$I,"Development - Aircraft")/1000000000)</f>
        <v>0</v>
      </c>
      <c r="G70" s="15">
        <f>(SUMIFS('MAIN DATA, Orders'!$S:$S,'MAIN DATA, Orders'!$Y:$Y,$A70,'MAIN DATA, Orders'!$D:$D,"United Kingdom",'MAIN DATA, Orders'!$I:$I,"Ammunition")/1000000000)</f>
        <v>0</v>
      </c>
      <c r="H70" s="15">
        <f>(SUMIFS('MAIN DATA, Orders'!$S:$S,'MAIN DATA, Orders'!$Y:$Y,$A70,'MAIN DATA, Orders'!$D:$D,"United Kingdom",'MAIN DATA, Orders'!$I:$I,"Development - Ammunition")/1000000000)</f>
        <v>0</v>
      </c>
      <c r="I70" s="15">
        <f>(SUMIFS('MAIN DATA, Orders'!$S:$S,'MAIN DATA, Orders'!$Y:$Y,$A70,'MAIN DATA, Orders'!$D:$D,"United Kingdom",'MAIN DATA, Orders'!$I:$I,"Armoured vehicle")/1000000000)</f>
        <v>0</v>
      </c>
      <c r="J70" s="15">
        <f>(SUMIFS('MAIN DATA, Orders'!$S:$S,'MAIN DATA, Orders'!$Y:$Y,$A70,'MAIN DATA, Orders'!$D:$D,"United Kingdom",'MAIN DATA, Orders'!$I:$I,"Development - Armoured vehicle")/1000000000)</f>
        <v>0</v>
      </c>
      <c r="K70" s="15">
        <f>(SUMIFS('MAIN DATA, Orders'!$S:$S,'MAIN DATA, Orders'!$Y:$Y,$A70,'MAIN DATA, Orders'!$D:$D,"United Kingdom",'MAIN DATA, Orders'!$I:$I,"Artillery")/1000000000)</f>
        <v>0</v>
      </c>
      <c r="L70" s="15">
        <f>(SUMIFS('MAIN DATA, Orders'!$S:$S,'MAIN DATA, Orders'!$Y:$Y,$A70,'MAIN DATA, Orders'!$D:$D,"United Kingdom",'MAIN DATA, Orders'!$I:$I,"Development - Artillery")/1000000000)</f>
        <v>0</v>
      </c>
      <c r="M70" s="15">
        <f>(SUMIFS('MAIN DATA, Orders'!$S:$S,'MAIN DATA, Orders'!$Y:$Y,$A70,'MAIN DATA, Orders'!$D:$D,"United Kingdom",'MAIN DATA, Orders'!$I:$I,"Drone")/1000000000)</f>
        <v>0</v>
      </c>
      <c r="N70" s="15">
        <f>(SUMIFS('MAIN DATA, Orders'!$S:$S,'MAIN DATA, Orders'!$Y:$Y,$A70,'MAIN DATA, Orders'!$D:$D,"United Kingdom",'MAIN DATA, Orders'!$I:$I,"Development - Drone")/1000000000)</f>
        <v>0</v>
      </c>
      <c r="O70" s="15">
        <f>(SUMIFS('MAIN DATA, Orders'!$S:$S,'MAIN DATA, Orders'!$Y:$Y,$A70,'MAIN DATA, Orders'!$D:$D,"United Kingdom",'MAIN DATA, Orders'!$I:$I,"Helicopter")/1000000000)</f>
        <v>0</v>
      </c>
      <c r="P70" s="15">
        <f>(SUMIFS('MAIN DATA, Orders'!$S:$S,'MAIN DATA, Orders'!$Y:$Y,$A70,'MAIN DATA, Orders'!$D:$D,"United Kingdom",'MAIN DATA, Orders'!$I:$I,"Development - Helicopter")/1000000000)</f>
        <v>0</v>
      </c>
      <c r="Q70" s="15">
        <f>(SUMIFS('MAIN DATA, Orders'!$S:$S,'MAIN DATA, Orders'!$Y:$Y,$A70,'MAIN DATA, Orders'!$D:$D,"United Kingdom",'MAIN DATA, Orders'!$I:$I,"Infantry")/1000000000)</f>
        <v>0</v>
      </c>
      <c r="R70" s="15">
        <f>(SUMIFS('MAIN DATA, Orders'!$S:$S,'MAIN DATA, Orders'!$Y:$Y,$A70,'MAIN DATA, Orders'!$D:$D,"United Kingdom",'MAIN DATA, Orders'!$I:$I,"Development - Infantry")/1000000000)</f>
        <v>0</v>
      </c>
      <c r="S70" s="15">
        <f>(SUMIFS('MAIN DATA, Orders'!$S:$S,'MAIN DATA, Orders'!$Y:$Y,$A70,'MAIN DATA, Orders'!$D:$D,"United Kingdom",'MAIN DATA, Orders'!$I:$I,"Tank")/1000000000)</f>
        <v>0</v>
      </c>
      <c r="T70" s="15">
        <f>(SUMIFS('MAIN DATA, Orders'!$S:$S,'MAIN DATA, Orders'!$Y:$Y,$A70,'MAIN DATA, Orders'!$D:$D,"United Kingdom",'MAIN DATA, Orders'!$I:$I,"Development - Tank")/1000000000)</f>
        <v>0</v>
      </c>
      <c r="U70" s="15">
        <f>(SUMIFS('MAIN DATA, Orders'!$S:$S,'MAIN DATA, Orders'!$Y:$Y,$A70,'MAIN DATA, Orders'!$D:$D,"United Kingdom",'MAIN DATA, Orders'!$I:$I,"Maintenance")/1000000000)</f>
        <v>0.32500000000000001</v>
      </c>
      <c r="V70" s="15">
        <f>(SUMIFS('MAIN DATA, Orders'!$S:$S,'MAIN DATA, Orders'!$Y:$Y,$A70,'MAIN DATA, Orders'!$D:$D,"United Kingdom",'MAIN DATA, Orders'!$I:$I,"Development - Maintenance")/1000000000)</f>
        <v>0</v>
      </c>
      <c r="W70" s="15">
        <f>(SUMIFS('MAIN DATA, Orders'!$S:$S,'MAIN DATA, Orders'!$Y:$Y,$A70,'MAIN DATA, Orders'!$D:$D,"United Kingdom",'MAIN DATA, Orders'!$I:$I,"Mine")/1000000000)</f>
        <v>0</v>
      </c>
      <c r="X70" s="15">
        <f>(SUMIFS('MAIN DATA, Orders'!$S:$S,'MAIN DATA, Orders'!$Y:$Y,$A70,'MAIN DATA, Orders'!$D:$D,"United Kingdom",'MAIN DATA, Orders'!$I:$I,"Development - Mine")/1000000000)</f>
        <v>0</v>
      </c>
      <c r="Y70" s="15">
        <f>(SUMIFS('MAIN DATA, Orders'!$S:$S,'MAIN DATA, Orders'!$Y:$Y,$A70,'MAIN DATA, Orders'!$D:$D,"United Kingdom",'MAIN DATA, Orders'!$J:$J,"6")/1000000000)</f>
        <v>0</v>
      </c>
      <c r="Z70" s="15" cm="1">
        <f t="array" ref="Z70">SUM(SUMIFS('MAIN DATA, Orders'!$S:$S,'MAIN DATA, Orders'!$Y:$Y,$A70,'MAIN DATA, Orders'!$D:$D,"United Kingdom",'MAIN DATA, Orders'!$I:$I,{"Development - Missile (Land)","Development - Missile (Naval)","Development - Missile (Air)"})/1000000000)</f>
        <v>0</v>
      </c>
      <c r="AA70" s="15">
        <f>(SUMIFS('MAIN DATA, Orders'!$S:$S,'MAIN DATA, Orders'!$Y:$Y,$A70,'MAIN DATA, Orders'!$D:$D,"United Kingdom",'MAIN DATA, Orders'!$I:$I,"Modernisation")/1000000000)</f>
        <v>0</v>
      </c>
      <c r="AB70" s="15">
        <f>(SUMIFS('MAIN DATA, Orders'!$S:$S,'MAIN DATA, Orders'!$Y:$Y,$A70,'MAIN DATA, Orders'!$D:$D,"United Kingdom",'MAIN DATA, Orders'!$I:$I,"Development - Modernisation")/1000000000)</f>
        <v>0</v>
      </c>
      <c r="AC70" s="15">
        <f>(SUMIFS('MAIN DATA, Orders'!$S:$S,'MAIN DATA, Orders'!$Y:$Y,$A70,'MAIN DATA, Orders'!$D:$D,"United Kingdom",'MAIN DATA, Orders'!$I:$I,"Naval")/1000000000)</f>
        <v>0</v>
      </c>
      <c r="AD70" s="15">
        <f>(SUMIFS('MAIN DATA, Orders'!$S:$S,'MAIN DATA, Orders'!$Y:$Y,$A70,'MAIN DATA, Orders'!$D:$D,"United Kingdom",'MAIN DATA, Orders'!$I:$I,"Development - Naval")/1000000000)</f>
        <v>0</v>
      </c>
      <c r="AE70" s="15">
        <f>(SUMIFS('MAIN DATA, Orders'!$S:$S,'MAIN DATA, Orders'!$Y:$Y,$A70,'MAIN DATA, Orders'!$D:$D,"United Kingdom",'MAIN DATA, Orders'!$I:$I,"Other")/1000000000)</f>
        <v>0.19</v>
      </c>
      <c r="AF70" s="15">
        <f>(SUMIFS('MAIN DATA, Orders'!$S:$S,'MAIN DATA, Orders'!$Y:$Y,$A70,'MAIN DATA, Orders'!$D:$D,"United Kingdom",'MAIN DATA, Orders'!$I:$I,"Development - Other")/1000000000)</f>
        <v>0</v>
      </c>
      <c r="AG70" s="15"/>
      <c r="AH70" s="15" cm="1">
        <f t="array" ref="AH70">SUM(SUMIFS('MAIN DATA, Orders'!$S:$S,'MAIN DATA, Orders'!$Y:$Y,$A70,'MAIN DATA, Orders'!$D:$D,"United Kingdom",'MAIN DATA, Orders'!$I:$I,{"Missile (Land)","Development - Missile (Land)"})/1000000000)</f>
        <v>0</v>
      </c>
      <c r="AI70" s="15" cm="1">
        <f t="array" ref="AI70">SUM(SUMIFS('MAIN DATA, Orders'!$S:$S,'MAIN DATA, Orders'!$D:$D,"United Kingdom",'MAIN DATA, Orders'!$I:$I,{"Missile (Air)","Development - Missile (Air)"},'MAIN DATA, Orders'!$Y:$Y,$A70)/1000000000)</f>
        <v>0</v>
      </c>
      <c r="AJ70" s="15" cm="1">
        <f t="array" ref="AJ70">SUM(SUMIFS('MAIN DATA, Orders'!$S:$S,'MAIN DATA, Orders'!$Y:$Y,$A70,'MAIN DATA, Orders'!$D:$D,"United Kingdom",'MAIN DATA, Orders'!$I:$I,{"Missile (Naval)","Development - Missile (Naval)"})/1000000000)</f>
        <v>0</v>
      </c>
    </row>
    <row r="71" spans="1:36" x14ac:dyDescent="0.35">
      <c r="A71" s="20">
        <v>202505</v>
      </c>
      <c r="B71" s="17">
        <v>45778</v>
      </c>
      <c r="C71" s="15">
        <f>(SUMIFS('MAIN DATA, Orders'!$S:$S,'MAIN DATA, Orders'!$Y:$Y,$A71,'MAIN DATA, Orders'!$D:$D,"United Kingdom",'MAIN DATA, Orders'!$I:$I,"Air defence system")/1000000000)</f>
        <v>0</v>
      </c>
      <c r="D71" s="15">
        <f>(SUMIFS('MAIN DATA, Orders'!$S:$S,'MAIN DATA, Orders'!$Y:$Y,$A71,'MAIN DATA, Orders'!$D:$D,"United Kingdom",'MAIN DATA, Orders'!$I:$I,"Development - Air defence system")/1000000000)</f>
        <v>0</v>
      </c>
      <c r="E71" s="15">
        <f>(SUMIFS('MAIN DATA, Orders'!$S:$S,'MAIN DATA, Orders'!$Y:$Y,$A71,'MAIN DATA, Orders'!$D:$D,"United Kingdom",'MAIN DATA, Orders'!$I:$I,"Aircraft")/1000000000)</f>
        <v>0</v>
      </c>
      <c r="F71" s="15">
        <f>(SUMIFS('MAIN DATA, Orders'!$S:$S,'MAIN DATA, Orders'!$Y:$Y,$A71,'MAIN DATA, Orders'!$D:$D,"United Kingdom",'MAIN DATA, Orders'!$I:$I,"Development - Aircraft")/1000000000)</f>
        <v>0</v>
      </c>
      <c r="G71" s="15">
        <f>(SUMIFS('MAIN DATA, Orders'!$S:$S,'MAIN DATA, Orders'!$Y:$Y,$A71,'MAIN DATA, Orders'!$D:$D,"United Kingdom",'MAIN DATA, Orders'!$I:$I,"Ammunition")/1000000000)</f>
        <v>0</v>
      </c>
      <c r="H71" s="15">
        <f>(SUMIFS('MAIN DATA, Orders'!$S:$S,'MAIN DATA, Orders'!$Y:$Y,$A71,'MAIN DATA, Orders'!$D:$D,"United Kingdom",'MAIN DATA, Orders'!$I:$I,"Development - Ammunition")/1000000000)</f>
        <v>0</v>
      </c>
      <c r="I71" s="15">
        <f>(SUMIFS('MAIN DATA, Orders'!$S:$S,'MAIN DATA, Orders'!$Y:$Y,$A71,'MAIN DATA, Orders'!$D:$D,"United Kingdom",'MAIN DATA, Orders'!$I:$I,"Armoured vehicle")/1000000000)</f>
        <v>0</v>
      </c>
      <c r="J71" s="15">
        <f>(SUMIFS('MAIN DATA, Orders'!$S:$S,'MAIN DATA, Orders'!$Y:$Y,$A71,'MAIN DATA, Orders'!$D:$D,"United Kingdom",'MAIN DATA, Orders'!$I:$I,"Development - Armoured vehicle")/1000000000)</f>
        <v>0</v>
      </c>
      <c r="K71" s="15">
        <f>(SUMIFS('MAIN DATA, Orders'!$S:$S,'MAIN DATA, Orders'!$Y:$Y,$A71,'MAIN DATA, Orders'!$D:$D,"United Kingdom",'MAIN DATA, Orders'!$I:$I,"Artillery")/1000000000)</f>
        <v>0</v>
      </c>
      <c r="L71" s="15">
        <f>(SUMIFS('MAIN DATA, Orders'!$S:$S,'MAIN DATA, Orders'!$Y:$Y,$A71,'MAIN DATA, Orders'!$D:$D,"United Kingdom",'MAIN DATA, Orders'!$I:$I,"Development - Artillery")/1000000000)</f>
        <v>0</v>
      </c>
      <c r="M71" s="15">
        <f>(SUMIFS('MAIN DATA, Orders'!$S:$S,'MAIN DATA, Orders'!$Y:$Y,$A71,'MAIN DATA, Orders'!$D:$D,"United Kingdom",'MAIN DATA, Orders'!$I:$I,"Drone")/1000000000)</f>
        <v>1.9E-2</v>
      </c>
      <c r="N71" s="15">
        <f>(SUMIFS('MAIN DATA, Orders'!$S:$S,'MAIN DATA, Orders'!$Y:$Y,$A71,'MAIN DATA, Orders'!$D:$D,"United Kingdom",'MAIN DATA, Orders'!$I:$I,"Development - Drone")/1000000000)</f>
        <v>0</v>
      </c>
      <c r="O71" s="15">
        <f>(SUMIFS('MAIN DATA, Orders'!$S:$S,'MAIN DATA, Orders'!$Y:$Y,$A71,'MAIN DATA, Orders'!$D:$D,"United Kingdom",'MAIN DATA, Orders'!$I:$I,"Helicopter")/1000000000)</f>
        <v>0</v>
      </c>
      <c r="P71" s="15">
        <f>(SUMIFS('MAIN DATA, Orders'!$S:$S,'MAIN DATA, Orders'!$Y:$Y,$A71,'MAIN DATA, Orders'!$D:$D,"United Kingdom",'MAIN DATA, Orders'!$I:$I,"Development - Helicopter")/1000000000)</f>
        <v>0</v>
      </c>
      <c r="Q71" s="15">
        <f>(SUMIFS('MAIN DATA, Orders'!$S:$S,'MAIN DATA, Orders'!$Y:$Y,$A71,'MAIN DATA, Orders'!$D:$D,"United Kingdom",'MAIN DATA, Orders'!$I:$I,"Infantry")/1000000000)</f>
        <v>0</v>
      </c>
      <c r="R71" s="15">
        <f>(SUMIFS('MAIN DATA, Orders'!$S:$S,'MAIN DATA, Orders'!$Y:$Y,$A71,'MAIN DATA, Orders'!$D:$D,"United Kingdom",'MAIN DATA, Orders'!$I:$I,"Development - Infantry")/1000000000)</f>
        <v>0</v>
      </c>
      <c r="S71" s="15">
        <f>(SUMIFS('MAIN DATA, Orders'!$S:$S,'MAIN DATA, Orders'!$Y:$Y,$A71,'MAIN DATA, Orders'!$D:$D,"United Kingdom",'MAIN DATA, Orders'!$I:$I,"Tank")/1000000000)</f>
        <v>0</v>
      </c>
      <c r="T71" s="15">
        <f>(SUMIFS('MAIN DATA, Orders'!$S:$S,'MAIN DATA, Orders'!$Y:$Y,$A71,'MAIN DATA, Orders'!$D:$D,"United Kingdom",'MAIN DATA, Orders'!$I:$I,"Development - Tank")/1000000000)</f>
        <v>0</v>
      </c>
      <c r="U71" s="15">
        <f>(SUMIFS('MAIN DATA, Orders'!$S:$S,'MAIN DATA, Orders'!$Y:$Y,$A71,'MAIN DATA, Orders'!$D:$D,"United Kingdom",'MAIN DATA, Orders'!$I:$I,"Maintenance")/1000000000)</f>
        <v>0.56299999999999994</v>
      </c>
      <c r="V71" s="15">
        <f>(SUMIFS('MAIN DATA, Orders'!$S:$S,'MAIN DATA, Orders'!$Y:$Y,$A71,'MAIN DATA, Orders'!$D:$D,"United Kingdom",'MAIN DATA, Orders'!$I:$I,"Development - Maintenance")/1000000000)</f>
        <v>0</v>
      </c>
      <c r="W71" s="15">
        <f>(SUMIFS('MAIN DATA, Orders'!$S:$S,'MAIN DATA, Orders'!$Y:$Y,$A71,'MAIN DATA, Orders'!$D:$D,"United Kingdom",'MAIN DATA, Orders'!$I:$I,"Mine")/1000000000)</f>
        <v>0</v>
      </c>
      <c r="X71" s="15">
        <f>(SUMIFS('MAIN DATA, Orders'!$S:$S,'MAIN DATA, Orders'!$Y:$Y,$A71,'MAIN DATA, Orders'!$D:$D,"United Kingdom",'MAIN DATA, Orders'!$I:$I,"Development - Mine")/1000000000)</f>
        <v>0</v>
      </c>
      <c r="Y71" s="15">
        <f>(SUMIFS('MAIN DATA, Orders'!$S:$S,'MAIN DATA, Orders'!$Y:$Y,$A71,'MAIN DATA, Orders'!$D:$D,"United Kingdom",'MAIN DATA, Orders'!$J:$J,"6")/1000000000)</f>
        <v>0</v>
      </c>
      <c r="Z71" s="15" cm="1">
        <f t="array" ref="Z71">SUM(SUMIFS('MAIN DATA, Orders'!$S:$S,'MAIN DATA, Orders'!$Y:$Y,$A71,'MAIN DATA, Orders'!$D:$D,"United Kingdom",'MAIN DATA, Orders'!$I:$I,{"Development - Missile (Land)","Development - Missile (Naval)","Development - Missile (Air)"})/1000000000)</f>
        <v>0</v>
      </c>
      <c r="AA71" s="15">
        <f>(SUMIFS('MAIN DATA, Orders'!$S:$S,'MAIN DATA, Orders'!$Y:$Y,$A71,'MAIN DATA, Orders'!$D:$D,"United Kingdom",'MAIN DATA, Orders'!$I:$I,"Modernisation")/1000000000)</f>
        <v>2.5</v>
      </c>
      <c r="AB71" s="15">
        <f>(SUMIFS('MAIN DATA, Orders'!$S:$S,'MAIN DATA, Orders'!$Y:$Y,$A71,'MAIN DATA, Orders'!$D:$D,"United Kingdom",'MAIN DATA, Orders'!$I:$I,"Development - Modernisation")/1000000000)</f>
        <v>0</v>
      </c>
      <c r="AC71" s="15">
        <f>(SUMIFS('MAIN DATA, Orders'!$S:$S,'MAIN DATA, Orders'!$Y:$Y,$A71,'MAIN DATA, Orders'!$D:$D,"United Kingdom",'MAIN DATA, Orders'!$I:$I,"Naval")/1000000000)</f>
        <v>0</v>
      </c>
      <c r="AD71" s="15">
        <f>(SUMIFS('MAIN DATA, Orders'!$S:$S,'MAIN DATA, Orders'!$Y:$Y,$A71,'MAIN DATA, Orders'!$D:$D,"United Kingdom",'MAIN DATA, Orders'!$I:$I,"Development - Naval")/1000000000)</f>
        <v>2.9999999999999997E-4</v>
      </c>
      <c r="AE71" s="15">
        <f>(SUMIFS('MAIN DATA, Orders'!$S:$S,'MAIN DATA, Orders'!$Y:$Y,$A71,'MAIN DATA, Orders'!$D:$D,"United Kingdom",'MAIN DATA, Orders'!$I:$I,"Other")/1000000000)</f>
        <v>0.3</v>
      </c>
      <c r="AF71" s="15">
        <f>(SUMIFS('MAIN DATA, Orders'!$S:$S,'MAIN DATA, Orders'!$Y:$Y,$A71,'MAIN DATA, Orders'!$D:$D,"United Kingdom",'MAIN DATA, Orders'!$I:$I,"Development - Other")/1000000000)</f>
        <v>0</v>
      </c>
      <c r="AG71" s="15"/>
      <c r="AH71" s="15" cm="1">
        <f t="array" ref="AH71">SUM(SUMIFS('MAIN DATA, Orders'!$S:$S,'MAIN DATA, Orders'!$Y:$Y,$A71,'MAIN DATA, Orders'!$D:$D,"United Kingdom",'MAIN DATA, Orders'!$I:$I,{"Missile (Land)","Development - Missile (Land)"})/1000000000)</f>
        <v>0</v>
      </c>
      <c r="AI71" s="15" cm="1">
        <f t="array" ref="AI71">SUM(SUMIFS('MAIN DATA, Orders'!$S:$S,'MAIN DATA, Orders'!$D:$D,"United Kingdom",'MAIN DATA, Orders'!$I:$I,{"Missile (Air)","Development - Missile (Air)"},'MAIN DATA, Orders'!$Y:$Y,$A71)/1000000000)</f>
        <v>0</v>
      </c>
      <c r="AJ71" s="15" cm="1">
        <f t="array" ref="AJ71">SUM(SUMIFS('MAIN DATA, Orders'!$S:$S,'MAIN DATA, Orders'!$Y:$Y,$A71,'MAIN DATA, Orders'!$D:$D,"United Kingdom",'MAIN DATA, Orders'!$I:$I,{"Missile (Naval)","Development - Missile (Naval)"})/1000000000)</f>
        <v>0</v>
      </c>
    </row>
    <row r="72" spans="1:36" x14ac:dyDescent="0.35">
      <c r="A72" s="20">
        <v>202506</v>
      </c>
      <c r="B72" s="17">
        <v>45809</v>
      </c>
      <c r="C72" s="15">
        <f>(SUMIFS('MAIN DATA, Orders'!$S:$S,'MAIN DATA, Orders'!$Y:$Y,$A72,'MAIN DATA, Orders'!$D:$D,"United Kingdom",'MAIN DATA, Orders'!$I:$I,"Air defence system")/1000000000)</f>
        <v>0</v>
      </c>
      <c r="D72" s="15">
        <f>(SUMIFS('MAIN DATA, Orders'!$S:$S,'MAIN DATA, Orders'!$Y:$Y,$A72,'MAIN DATA, Orders'!$D:$D,"United Kingdom",'MAIN DATA, Orders'!$I:$I,"Development - Air defence system")/1000000000)</f>
        <v>0</v>
      </c>
      <c r="E72" s="15">
        <f>(SUMIFS('MAIN DATA, Orders'!$S:$S,'MAIN DATA, Orders'!$Y:$Y,$A72,'MAIN DATA, Orders'!$D:$D,"United Kingdom",'MAIN DATA, Orders'!$I:$I,"Aircraft")/1000000000)</f>
        <v>1.1646000000000001</v>
      </c>
      <c r="F72" s="15">
        <f>(SUMIFS('MAIN DATA, Orders'!$S:$S,'MAIN DATA, Orders'!$Y:$Y,$A72,'MAIN DATA, Orders'!$D:$D,"United Kingdom",'MAIN DATA, Orders'!$I:$I,"Development - Aircraft")/1000000000)</f>
        <v>0</v>
      </c>
      <c r="G72" s="15">
        <f>(SUMIFS('MAIN DATA, Orders'!$S:$S,'MAIN DATA, Orders'!$Y:$Y,$A72,'MAIN DATA, Orders'!$D:$D,"United Kingdom",'MAIN DATA, Orders'!$I:$I,"Ammunition")/1000000000)</f>
        <v>0</v>
      </c>
      <c r="H72" s="15">
        <f>(SUMIFS('MAIN DATA, Orders'!$S:$S,'MAIN DATA, Orders'!$Y:$Y,$A72,'MAIN DATA, Orders'!$D:$D,"United Kingdom",'MAIN DATA, Orders'!$I:$I,"Development - Ammunition")/1000000000)</f>
        <v>0</v>
      </c>
      <c r="I72" s="15">
        <f>(SUMIFS('MAIN DATA, Orders'!$S:$S,'MAIN DATA, Orders'!$Y:$Y,$A72,'MAIN DATA, Orders'!$D:$D,"United Kingdom",'MAIN DATA, Orders'!$I:$I,"Armoured vehicle")/1000000000)</f>
        <v>0</v>
      </c>
      <c r="J72" s="15">
        <f>(SUMIFS('MAIN DATA, Orders'!$S:$S,'MAIN DATA, Orders'!$Y:$Y,$A72,'MAIN DATA, Orders'!$D:$D,"United Kingdom",'MAIN DATA, Orders'!$I:$I,"Development - Armoured vehicle")/1000000000)</f>
        <v>0</v>
      </c>
      <c r="K72" s="15">
        <f>(SUMIFS('MAIN DATA, Orders'!$S:$S,'MAIN DATA, Orders'!$Y:$Y,$A72,'MAIN DATA, Orders'!$D:$D,"United Kingdom",'MAIN DATA, Orders'!$I:$I,"Artillery")/1000000000)</f>
        <v>0</v>
      </c>
      <c r="L72" s="15">
        <f>(SUMIFS('MAIN DATA, Orders'!$S:$S,'MAIN DATA, Orders'!$Y:$Y,$A72,'MAIN DATA, Orders'!$D:$D,"United Kingdom",'MAIN DATA, Orders'!$I:$I,"Development - Artillery")/1000000000)</f>
        <v>0</v>
      </c>
      <c r="M72" s="15">
        <f>(SUMIFS('MAIN DATA, Orders'!$S:$S,'MAIN DATA, Orders'!$Y:$Y,$A72,'MAIN DATA, Orders'!$D:$D,"United Kingdom",'MAIN DATA, Orders'!$I:$I,"Drone")/1000000000)</f>
        <v>0.35</v>
      </c>
      <c r="N72" s="15">
        <f>(SUMIFS('MAIN DATA, Orders'!$S:$S,'MAIN DATA, Orders'!$Y:$Y,$A72,'MAIN DATA, Orders'!$D:$D,"United Kingdom",'MAIN DATA, Orders'!$I:$I,"Development - Drone")/1000000000)</f>
        <v>0</v>
      </c>
      <c r="O72" s="15">
        <f>(SUMIFS('MAIN DATA, Orders'!$S:$S,'MAIN DATA, Orders'!$Y:$Y,$A72,'MAIN DATA, Orders'!$D:$D,"United Kingdom",'MAIN DATA, Orders'!$I:$I,"Helicopter")/1000000000)</f>
        <v>0</v>
      </c>
      <c r="P72" s="15">
        <f>(SUMIFS('MAIN DATA, Orders'!$S:$S,'MAIN DATA, Orders'!$Y:$Y,$A72,'MAIN DATA, Orders'!$D:$D,"United Kingdom",'MAIN DATA, Orders'!$I:$I,"Development - Helicopter")/1000000000)</f>
        <v>0</v>
      </c>
      <c r="Q72" s="15">
        <f>(SUMIFS('MAIN DATA, Orders'!$S:$S,'MAIN DATA, Orders'!$Y:$Y,$A72,'MAIN DATA, Orders'!$D:$D,"United Kingdom",'MAIN DATA, Orders'!$I:$I,"Infantry")/1000000000)</f>
        <v>0</v>
      </c>
      <c r="R72" s="15">
        <f>(SUMIFS('MAIN DATA, Orders'!$S:$S,'MAIN DATA, Orders'!$Y:$Y,$A72,'MAIN DATA, Orders'!$D:$D,"United Kingdom",'MAIN DATA, Orders'!$I:$I,"Development - Infantry")/1000000000)</f>
        <v>0</v>
      </c>
      <c r="S72" s="15">
        <f>(SUMIFS('MAIN DATA, Orders'!$S:$S,'MAIN DATA, Orders'!$Y:$Y,$A72,'MAIN DATA, Orders'!$D:$D,"United Kingdom",'MAIN DATA, Orders'!$I:$I,"Tank")/1000000000)</f>
        <v>0</v>
      </c>
      <c r="T72" s="15">
        <f>(SUMIFS('MAIN DATA, Orders'!$S:$S,'MAIN DATA, Orders'!$Y:$Y,$A72,'MAIN DATA, Orders'!$D:$D,"United Kingdom",'MAIN DATA, Orders'!$I:$I,"Development - Tank")/1000000000)</f>
        <v>0</v>
      </c>
      <c r="U72" s="15">
        <f>(SUMIFS('MAIN DATA, Orders'!$S:$S,'MAIN DATA, Orders'!$Y:$Y,$A72,'MAIN DATA, Orders'!$D:$D,"United Kingdom",'MAIN DATA, Orders'!$I:$I,"Maintenance")/1000000000)</f>
        <v>0</v>
      </c>
      <c r="V72" s="15">
        <f>(SUMIFS('MAIN DATA, Orders'!$S:$S,'MAIN DATA, Orders'!$Y:$Y,$A72,'MAIN DATA, Orders'!$D:$D,"United Kingdom",'MAIN DATA, Orders'!$I:$I,"Development - Maintenance")/1000000000)</f>
        <v>0</v>
      </c>
      <c r="W72" s="15">
        <f>(SUMIFS('MAIN DATA, Orders'!$S:$S,'MAIN DATA, Orders'!$Y:$Y,$A72,'MAIN DATA, Orders'!$D:$D,"United Kingdom",'MAIN DATA, Orders'!$I:$I,"Mine")/1000000000)</f>
        <v>0</v>
      </c>
      <c r="X72" s="15">
        <f>(SUMIFS('MAIN DATA, Orders'!$S:$S,'MAIN DATA, Orders'!$Y:$Y,$A72,'MAIN DATA, Orders'!$D:$D,"United Kingdom",'MAIN DATA, Orders'!$I:$I,"Development - Mine")/1000000000)</f>
        <v>0</v>
      </c>
      <c r="Y72" s="15">
        <f>(SUMIFS('MAIN DATA, Orders'!$S:$S,'MAIN DATA, Orders'!$Y:$Y,$A72,'MAIN DATA, Orders'!$D:$D,"United Kingdom",'MAIN DATA, Orders'!$J:$J,"6")/1000000000)</f>
        <v>7.0000000000000007E-2</v>
      </c>
      <c r="Z72" s="15" cm="1">
        <f t="array" ref="Z72">SUM(SUMIFS('MAIN DATA, Orders'!$S:$S,'MAIN DATA, Orders'!$Y:$Y,$A72,'MAIN DATA, Orders'!$D:$D,"United Kingdom",'MAIN DATA, Orders'!$I:$I,{"Development - Missile (Land)","Development - Missile (Naval)","Development - Missile (Air)"})/1000000000)</f>
        <v>0</v>
      </c>
      <c r="AA72" s="15">
        <f>(SUMIFS('MAIN DATA, Orders'!$S:$S,'MAIN DATA, Orders'!$Y:$Y,$A72,'MAIN DATA, Orders'!$D:$D,"United Kingdom",'MAIN DATA, Orders'!$I:$I,"Modernisation")/1000000000)</f>
        <v>5.1500000000000001E-3</v>
      </c>
      <c r="AB72" s="15">
        <f>(SUMIFS('MAIN DATA, Orders'!$S:$S,'MAIN DATA, Orders'!$Y:$Y,$A72,'MAIN DATA, Orders'!$D:$D,"United Kingdom",'MAIN DATA, Orders'!$I:$I,"Development - Modernisation")/1000000000)</f>
        <v>0</v>
      </c>
      <c r="AC72" s="15">
        <f>(SUMIFS('MAIN DATA, Orders'!$S:$S,'MAIN DATA, Orders'!$Y:$Y,$A72,'MAIN DATA, Orders'!$D:$D,"United Kingdom",'MAIN DATA, Orders'!$I:$I,"Naval")/1000000000)</f>
        <v>0</v>
      </c>
      <c r="AD72" s="15">
        <f>(SUMIFS('MAIN DATA, Orders'!$S:$S,'MAIN DATA, Orders'!$Y:$Y,$A72,'MAIN DATA, Orders'!$D:$D,"United Kingdom",'MAIN DATA, Orders'!$I:$I,"Development - Naval")/1000000000)</f>
        <v>0</v>
      </c>
      <c r="AE72" s="15">
        <f>(SUMIFS('MAIN DATA, Orders'!$S:$S,'MAIN DATA, Orders'!$Y:$Y,$A72,'MAIN DATA, Orders'!$D:$D,"United Kingdom",'MAIN DATA, Orders'!$I:$I,"Other")/1000000000)</f>
        <v>1.7470000000000001</v>
      </c>
      <c r="AF72" s="15">
        <f>(SUMIFS('MAIN DATA, Orders'!$S:$S,'MAIN DATA, Orders'!$Y:$Y,$A72,'MAIN DATA, Orders'!$D:$D,"United Kingdom",'MAIN DATA, Orders'!$I:$I,"Development - Other")/1000000000)</f>
        <v>0</v>
      </c>
      <c r="AG72" s="15"/>
      <c r="AH72" s="15" cm="1">
        <f t="array" ref="AH72">SUM(SUMIFS('MAIN DATA, Orders'!$S:$S,'MAIN DATA, Orders'!$Y:$Y,$A72,'MAIN DATA, Orders'!$D:$D,"United Kingdom",'MAIN DATA, Orders'!$I:$I,{"Missile (Land)","Development - Missile (Land)"})/1000000000)</f>
        <v>7.0000000000000007E-2</v>
      </c>
      <c r="AI72" s="15" cm="1">
        <f t="array" ref="AI72">SUM(SUMIFS('MAIN DATA, Orders'!$S:$S,'MAIN DATA, Orders'!$D:$D,"United Kingdom",'MAIN DATA, Orders'!$I:$I,{"Missile (Air)","Development - Missile (Air)"},'MAIN DATA, Orders'!$Y:$Y,$A72)/1000000000)</f>
        <v>0</v>
      </c>
      <c r="AJ72" s="15" cm="1">
        <f t="array" ref="AJ72">SUM(SUMIFS('MAIN DATA, Orders'!$S:$S,'MAIN DATA, Orders'!$Y:$Y,$A72,'MAIN DATA, Orders'!$D:$D,"United Kingdom",'MAIN DATA, Orders'!$I:$I,{"Missile (Naval)","Development - Missile (Naval)"})/1000000000)</f>
        <v>0</v>
      </c>
    </row>
    <row r="73" spans="1:36" x14ac:dyDescent="0.35">
      <c r="A73" s="20">
        <v>202507</v>
      </c>
      <c r="B73" s="17">
        <v>45839</v>
      </c>
      <c r="C73" s="15">
        <f>(SUMIFS('MAIN DATA, Orders'!$S:$S,'MAIN DATA, Orders'!$Y:$Y,$A73,'MAIN DATA, Orders'!$D:$D,"United Kingdom",'MAIN DATA, Orders'!$I:$I,"Air defence system")/1000000000)</f>
        <v>0</v>
      </c>
      <c r="D73" s="15">
        <f>(SUMIFS('MAIN DATA, Orders'!$S:$S,'MAIN DATA, Orders'!$Y:$Y,$A73,'MAIN DATA, Orders'!$D:$D,"United Kingdom",'MAIN DATA, Orders'!$I:$I,"Development - Air defence system")/1000000000)</f>
        <v>0</v>
      </c>
      <c r="E73" s="15">
        <f>(SUMIFS('MAIN DATA, Orders'!$S:$S,'MAIN DATA, Orders'!$Y:$Y,$A73,'MAIN DATA, Orders'!$D:$D,"United Kingdom",'MAIN DATA, Orders'!$I:$I,"Aircraft")/1000000000)</f>
        <v>0</v>
      </c>
      <c r="F73" s="15">
        <f>(SUMIFS('MAIN DATA, Orders'!$S:$S,'MAIN DATA, Orders'!$Y:$Y,$A73,'MAIN DATA, Orders'!$D:$D,"United Kingdom",'MAIN DATA, Orders'!$I:$I,"Development - Aircraft")/1000000000)</f>
        <v>0</v>
      </c>
      <c r="G73" s="15">
        <f>(SUMIFS('MAIN DATA, Orders'!$S:$S,'MAIN DATA, Orders'!$Y:$Y,$A73,'MAIN DATA, Orders'!$D:$D,"United Kingdom",'MAIN DATA, Orders'!$I:$I,"Ammunition")/1000000000)</f>
        <v>0</v>
      </c>
      <c r="H73" s="15">
        <f>(SUMIFS('MAIN DATA, Orders'!$S:$S,'MAIN DATA, Orders'!$Y:$Y,$A73,'MAIN DATA, Orders'!$D:$D,"United Kingdom",'MAIN DATA, Orders'!$I:$I,"Development - Ammunition")/1000000000)</f>
        <v>0</v>
      </c>
      <c r="I73" s="15">
        <f>(SUMIFS('MAIN DATA, Orders'!$S:$S,'MAIN DATA, Orders'!$Y:$Y,$A73,'MAIN DATA, Orders'!$D:$D,"United Kingdom",'MAIN DATA, Orders'!$I:$I,"Armoured vehicle")/1000000000)</f>
        <v>0</v>
      </c>
      <c r="J73" s="15">
        <f>(SUMIFS('MAIN DATA, Orders'!$S:$S,'MAIN DATA, Orders'!$Y:$Y,$A73,'MAIN DATA, Orders'!$D:$D,"United Kingdom",'MAIN DATA, Orders'!$I:$I,"Development - Armoured vehicle")/1000000000)</f>
        <v>0</v>
      </c>
      <c r="K73" s="15">
        <f>(SUMIFS('MAIN DATA, Orders'!$S:$S,'MAIN DATA, Orders'!$Y:$Y,$A73,'MAIN DATA, Orders'!$D:$D,"United Kingdom",'MAIN DATA, Orders'!$I:$I,"Artillery")/1000000000)</f>
        <v>0</v>
      </c>
      <c r="L73" s="15">
        <f>(SUMIFS('MAIN DATA, Orders'!$S:$S,'MAIN DATA, Orders'!$Y:$Y,$A73,'MAIN DATA, Orders'!$D:$D,"United Kingdom",'MAIN DATA, Orders'!$I:$I,"Development - Artillery")/1000000000)</f>
        <v>0</v>
      </c>
      <c r="M73" s="15">
        <f>(SUMIFS('MAIN DATA, Orders'!$S:$S,'MAIN DATA, Orders'!$Y:$Y,$A73,'MAIN DATA, Orders'!$D:$D,"United Kingdom",'MAIN DATA, Orders'!$I:$I,"Drone")/1000000000)</f>
        <v>0</v>
      </c>
      <c r="N73" s="15">
        <f>(SUMIFS('MAIN DATA, Orders'!$S:$S,'MAIN DATA, Orders'!$Y:$Y,$A73,'MAIN DATA, Orders'!$D:$D,"United Kingdom",'MAIN DATA, Orders'!$I:$I,"Development - Drone")/1000000000)</f>
        <v>0</v>
      </c>
      <c r="O73" s="15">
        <f>(SUMIFS('MAIN DATA, Orders'!$S:$S,'MAIN DATA, Orders'!$Y:$Y,$A73,'MAIN DATA, Orders'!$D:$D,"United Kingdom",'MAIN DATA, Orders'!$I:$I,"Helicopter")/1000000000)</f>
        <v>0</v>
      </c>
      <c r="P73" s="15">
        <f>(SUMIFS('MAIN DATA, Orders'!$S:$S,'MAIN DATA, Orders'!$Y:$Y,$A73,'MAIN DATA, Orders'!$D:$D,"United Kingdom",'MAIN DATA, Orders'!$I:$I,"Development - Helicopter")/1000000000)</f>
        <v>0</v>
      </c>
      <c r="Q73" s="15">
        <f>(SUMIFS('MAIN DATA, Orders'!$S:$S,'MAIN DATA, Orders'!$Y:$Y,$A73,'MAIN DATA, Orders'!$D:$D,"United Kingdom",'MAIN DATA, Orders'!$I:$I,"Infantry")/1000000000)</f>
        <v>0</v>
      </c>
      <c r="R73" s="15">
        <f>(SUMIFS('MAIN DATA, Orders'!$S:$S,'MAIN DATA, Orders'!$Y:$Y,$A73,'MAIN DATA, Orders'!$D:$D,"United Kingdom",'MAIN DATA, Orders'!$I:$I,"Development - Infantry")/1000000000)</f>
        <v>0</v>
      </c>
      <c r="S73" s="15">
        <f>(SUMIFS('MAIN DATA, Orders'!$S:$S,'MAIN DATA, Orders'!$Y:$Y,$A73,'MAIN DATA, Orders'!$D:$D,"United Kingdom",'MAIN DATA, Orders'!$I:$I,"Tank")/1000000000)</f>
        <v>0</v>
      </c>
      <c r="T73" s="15">
        <f>(SUMIFS('MAIN DATA, Orders'!$S:$S,'MAIN DATA, Orders'!$Y:$Y,$A73,'MAIN DATA, Orders'!$D:$D,"United Kingdom",'MAIN DATA, Orders'!$I:$I,"Development - Tank")/1000000000)</f>
        <v>0</v>
      </c>
      <c r="U73" s="15">
        <f>(SUMIFS('MAIN DATA, Orders'!$S:$S,'MAIN DATA, Orders'!$Y:$Y,$A73,'MAIN DATA, Orders'!$D:$D,"United Kingdom",'MAIN DATA, Orders'!$I:$I,"Maintenance")/1000000000)</f>
        <v>0</v>
      </c>
      <c r="V73" s="15">
        <f>(SUMIFS('MAIN DATA, Orders'!$S:$S,'MAIN DATA, Orders'!$Y:$Y,$A73,'MAIN DATA, Orders'!$D:$D,"United Kingdom",'MAIN DATA, Orders'!$I:$I,"Development - Maintenance")/1000000000)</f>
        <v>0</v>
      </c>
      <c r="W73" s="15">
        <f>(SUMIFS('MAIN DATA, Orders'!$S:$S,'MAIN DATA, Orders'!$Y:$Y,$A73,'MAIN DATA, Orders'!$D:$D,"United Kingdom",'MAIN DATA, Orders'!$I:$I,"Mine")/1000000000)</f>
        <v>0</v>
      </c>
      <c r="X73" s="15">
        <f>(SUMIFS('MAIN DATA, Orders'!$S:$S,'MAIN DATA, Orders'!$Y:$Y,$A73,'MAIN DATA, Orders'!$D:$D,"United Kingdom",'MAIN DATA, Orders'!$I:$I,"Development - Mine")/1000000000)</f>
        <v>0</v>
      </c>
      <c r="Y73" s="15">
        <f>(SUMIFS('MAIN DATA, Orders'!$S:$S,'MAIN DATA, Orders'!$Y:$Y,$A73,'MAIN DATA, Orders'!$D:$D,"United Kingdom",'MAIN DATA, Orders'!$J:$J,"6")/1000000000)</f>
        <v>0</v>
      </c>
      <c r="Z73" s="15" cm="1">
        <f t="array" ref="Z73">SUM(SUMIFS('MAIN DATA, Orders'!$S:$S,'MAIN DATA, Orders'!$Y:$Y,$A73,'MAIN DATA, Orders'!$D:$D,"United Kingdom",'MAIN DATA, Orders'!$I:$I,{"Development - Missile (Land)","Development - Missile (Naval)","Development - Missile (Air)"})/1000000000)</f>
        <v>0</v>
      </c>
      <c r="AA73" s="15">
        <f>(SUMIFS('MAIN DATA, Orders'!$S:$S,'MAIN DATA, Orders'!$Y:$Y,$A73,'MAIN DATA, Orders'!$D:$D,"United Kingdom",'MAIN DATA, Orders'!$I:$I,"Modernisation")/1000000000)</f>
        <v>0.247</v>
      </c>
      <c r="AB73" s="15">
        <f>(SUMIFS('MAIN DATA, Orders'!$S:$S,'MAIN DATA, Orders'!$Y:$Y,$A73,'MAIN DATA, Orders'!$D:$D,"United Kingdom",'MAIN DATA, Orders'!$I:$I,"Development - Modernisation")/1000000000)</f>
        <v>0</v>
      </c>
      <c r="AC73" s="15">
        <f>(SUMIFS('MAIN DATA, Orders'!$S:$S,'MAIN DATA, Orders'!$Y:$Y,$A73,'MAIN DATA, Orders'!$D:$D,"United Kingdom",'MAIN DATA, Orders'!$I:$I,"Naval")/1000000000)</f>
        <v>0</v>
      </c>
      <c r="AD73" s="15">
        <f>(SUMIFS('MAIN DATA, Orders'!$S:$S,'MAIN DATA, Orders'!$Y:$Y,$A73,'MAIN DATA, Orders'!$D:$D,"United Kingdom",'MAIN DATA, Orders'!$I:$I,"Development - Naval")/1000000000)</f>
        <v>0</v>
      </c>
      <c r="AE73" s="15">
        <f>(SUMIFS('MAIN DATA, Orders'!$S:$S,'MAIN DATA, Orders'!$Y:$Y,$A73,'MAIN DATA, Orders'!$D:$D,"United Kingdom",'MAIN DATA, Orders'!$I:$I,"Other")/1000000000)</f>
        <v>0</v>
      </c>
      <c r="AF73" s="15">
        <f>(SUMIFS('MAIN DATA, Orders'!$S:$S,'MAIN DATA, Orders'!$Y:$Y,$A73,'MAIN DATA, Orders'!$D:$D,"United Kingdom",'MAIN DATA, Orders'!$I:$I,"Development - Other")/1000000000)</f>
        <v>0</v>
      </c>
      <c r="AG73" s="15"/>
      <c r="AH73" s="15" cm="1">
        <f t="array" ref="AH73">SUM(SUMIFS('MAIN DATA, Orders'!$S:$S,'MAIN DATA, Orders'!$Y:$Y,$A73,'MAIN DATA, Orders'!$D:$D,"United Kingdom",'MAIN DATA, Orders'!$I:$I,{"Missile (Land)","Development - Missile (Land)"})/1000000000)</f>
        <v>0</v>
      </c>
      <c r="AI73" s="15" cm="1">
        <f t="array" ref="AI73">SUM(SUMIFS('MAIN DATA, Orders'!$S:$S,'MAIN DATA, Orders'!$D:$D,"United Kingdom",'MAIN DATA, Orders'!$I:$I,{"Missile (Air)","Development - Missile (Air)"},'MAIN DATA, Orders'!$Y:$Y,$A73)/1000000000)</f>
        <v>0</v>
      </c>
      <c r="AJ73" s="15" cm="1">
        <f t="array" ref="AJ73">SUM(SUMIFS('MAIN DATA, Orders'!$S:$S,'MAIN DATA, Orders'!$Y:$Y,$A73,'MAIN DATA, Orders'!$D:$D,"United Kingdom",'MAIN DATA, Orders'!$I:$I,{"Missile (Naval)","Development - Missile (Naval)"})/1000000000)</f>
        <v>0</v>
      </c>
    </row>
    <row r="74" spans="1:36" x14ac:dyDescent="0.35">
      <c r="A74" s="20">
        <v>202508</v>
      </c>
      <c r="B74" s="17">
        <v>45870</v>
      </c>
      <c r="C74" s="15">
        <f>(SUMIFS('MAIN DATA, Orders'!$S:$S,'MAIN DATA, Orders'!$Y:$Y,$A74,'MAIN DATA, Orders'!$D:$D,"United Kingdom",'MAIN DATA, Orders'!$I:$I,"Air defence system")/1000000000)</f>
        <v>0.11799999999999999</v>
      </c>
      <c r="D74" s="15">
        <f>(SUMIFS('MAIN DATA, Orders'!$S:$S,'MAIN DATA, Orders'!$Y:$Y,$A74,'MAIN DATA, Orders'!$D:$D,"United Kingdom",'MAIN DATA, Orders'!$I:$I,"Development - Air defence system")/1000000000)</f>
        <v>0</v>
      </c>
      <c r="E74" s="15">
        <f>(SUMIFS('MAIN DATA, Orders'!$S:$S,'MAIN DATA, Orders'!$Y:$Y,$A74,'MAIN DATA, Orders'!$D:$D,"United Kingdom",'MAIN DATA, Orders'!$I:$I,"Aircraft")/1000000000)</f>
        <v>0</v>
      </c>
      <c r="F74" s="15">
        <f>(SUMIFS('MAIN DATA, Orders'!$S:$S,'MAIN DATA, Orders'!$Y:$Y,$A74,'MAIN DATA, Orders'!$D:$D,"United Kingdom",'MAIN DATA, Orders'!$I:$I,"Development - Aircraft")/1000000000)</f>
        <v>0</v>
      </c>
      <c r="G74" s="15">
        <f>(SUMIFS('MAIN DATA, Orders'!$S:$S,'MAIN DATA, Orders'!$Y:$Y,$A74,'MAIN DATA, Orders'!$D:$D,"United Kingdom",'MAIN DATA, Orders'!$I:$I,"Ammunition")/1000000000)</f>
        <v>0</v>
      </c>
      <c r="H74" s="15">
        <f>(SUMIFS('MAIN DATA, Orders'!$S:$S,'MAIN DATA, Orders'!$Y:$Y,$A74,'MAIN DATA, Orders'!$D:$D,"United Kingdom",'MAIN DATA, Orders'!$I:$I,"Development - Ammunition")/1000000000)</f>
        <v>0</v>
      </c>
      <c r="I74" s="15">
        <f>(SUMIFS('MAIN DATA, Orders'!$S:$S,'MAIN DATA, Orders'!$Y:$Y,$A74,'MAIN DATA, Orders'!$D:$D,"United Kingdom",'MAIN DATA, Orders'!$I:$I,"Armoured vehicle")/1000000000)</f>
        <v>0</v>
      </c>
      <c r="J74" s="15">
        <f>(SUMIFS('MAIN DATA, Orders'!$S:$S,'MAIN DATA, Orders'!$Y:$Y,$A74,'MAIN DATA, Orders'!$D:$D,"United Kingdom",'MAIN DATA, Orders'!$I:$I,"Development - Armoured vehicle")/1000000000)</f>
        <v>0</v>
      </c>
      <c r="K74" s="15">
        <f>(SUMIFS('MAIN DATA, Orders'!$S:$S,'MAIN DATA, Orders'!$Y:$Y,$A74,'MAIN DATA, Orders'!$D:$D,"United Kingdom",'MAIN DATA, Orders'!$I:$I,"Artillery")/1000000000)</f>
        <v>0</v>
      </c>
      <c r="L74" s="15">
        <f>(SUMIFS('MAIN DATA, Orders'!$S:$S,'MAIN DATA, Orders'!$Y:$Y,$A74,'MAIN DATA, Orders'!$D:$D,"United Kingdom",'MAIN DATA, Orders'!$I:$I,"Development - Artillery")/1000000000)</f>
        <v>0</v>
      </c>
      <c r="M74" s="15">
        <f>(SUMIFS('MAIN DATA, Orders'!$S:$S,'MAIN DATA, Orders'!$Y:$Y,$A74,'MAIN DATA, Orders'!$D:$D,"United Kingdom",'MAIN DATA, Orders'!$I:$I,"Drone")/1000000000)</f>
        <v>0</v>
      </c>
      <c r="N74" s="15">
        <f>(SUMIFS('MAIN DATA, Orders'!$S:$S,'MAIN DATA, Orders'!$Y:$Y,$A74,'MAIN DATA, Orders'!$D:$D,"United Kingdom",'MAIN DATA, Orders'!$I:$I,"Development - Drone")/1000000000)</f>
        <v>0</v>
      </c>
      <c r="O74" s="15">
        <f>(SUMIFS('MAIN DATA, Orders'!$S:$S,'MAIN DATA, Orders'!$Y:$Y,$A74,'MAIN DATA, Orders'!$D:$D,"United Kingdom",'MAIN DATA, Orders'!$I:$I,"Helicopter")/1000000000)</f>
        <v>0</v>
      </c>
      <c r="P74" s="15">
        <f>(SUMIFS('MAIN DATA, Orders'!$S:$S,'MAIN DATA, Orders'!$Y:$Y,$A74,'MAIN DATA, Orders'!$D:$D,"United Kingdom",'MAIN DATA, Orders'!$I:$I,"Development - Helicopter")/1000000000)</f>
        <v>0</v>
      </c>
      <c r="Q74" s="15">
        <f>(SUMIFS('MAIN DATA, Orders'!$S:$S,'MAIN DATA, Orders'!$Y:$Y,$A74,'MAIN DATA, Orders'!$D:$D,"United Kingdom",'MAIN DATA, Orders'!$I:$I,"Infantry")/1000000000)</f>
        <v>0</v>
      </c>
      <c r="R74" s="15">
        <f>(SUMIFS('MAIN DATA, Orders'!$S:$S,'MAIN DATA, Orders'!$Y:$Y,$A74,'MAIN DATA, Orders'!$D:$D,"United Kingdom",'MAIN DATA, Orders'!$I:$I,"Development - Infantry")/1000000000)</f>
        <v>0</v>
      </c>
      <c r="S74" s="15">
        <f>(SUMIFS('MAIN DATA, Orders'!$S:$S,'MAIN DATA, Orders'!$Y:$Y,$A74,'MAIN DATA, Orders'!$D:$D,"United Kingdom",'MAIN DATA, Orders'!$I:$I,"Tank")/1000000000)</f>
        <v>0</v>
      </c>
      <c r="T74" s="15">
        <f>(SUMIFS('MAIN DATA, Orders'!$S:$S,'MAIN DATA, Orders'!$Y:$Y,$A74,'MAIN DATA, Orders'!$D:$D,"United Kingdom",'MAIN DATA, Orders'!$I:$I,"Development - Tank")/1000000000)</f>
        <v>0</v>
      </c>
      <c r="U74" s="15">
        <f>(SUMIFS('MAIN DATA, Orders'!$S:$S,'MAIN DATA, Orders'!$Y:$Y,$A74,'MAIN DATA, Orders'!$D:$D,"United Kingdom",'MAIN DATA, Orders'!$I:$I,"Maintenance")/1000000000)</f>
        <v>0.125</v>
      </c>
      <c r="V74" s="15">
        <f>(SUMIFS('MAIN DATA, Orders'!$S:$S,'MAIN DATA, Orders'!$Y:$Y,$A74,'MAIN DATA, Orders'!$D:$D,"United Kingdom",'MAIN DATA, Orders'!$I:$I,"Development - Maintenance")/1000000000)</f>
        <v>0</v>
      </c>
      <c r="W74" s="15">
        <f>(SUMIFS('MAIN DATA, Orders'!$S:$S,'MAIN DATA, Orders'!$Y:$Y,$A74,'MAIN DATA, Orders'!$D:$D,"United Kingdom",'MAIN DATA, Orders'!$I:$I,"Mine")/1000000000)</f>
        <v>0</v>
      </c>
      <c r="X74" s="15">
        <f>(SUMIFS('MAIN DATA, Orders'!$S:$S,'MAIN DATA, Orders'!$Y:$Y,$A74,'MAIN DATA, Orders'!$D:$D,"United Kingdom",'MAIN DATA, Orders'!$I:$I,"Development - Mine")/1000000000)</f>
        <v>0</v>
      </c>
      <c r="Y74" s="15">
        <f>(SUMIFS('MAIN DATA, Orders'!$S:$S,'MAIN DATA, Orders'!$Y:$Y,$A74,'MAIN DATA, Orders'!$D:$D,"United Kingdom",'MAIN DATA, Orders'!$J:$J,"6")/1000000000)</f>
        <v>0</v>
      </c>
      <c r="Z74" s="15" cm="1">
        <f t="array" ref="Z74">SUM(SUMIFS('MAIN DATA, Orders'!$S:$S,'MAIN DATA, Orders'!$Y:$Y,$A74,'MAIN DATA, Orders'!$D:$D,"United Kingdom",'MAIN DATA, Orders'!$I:$I,{"Development - Missile (Land)","Development - Missile (Naval)","Development - Missile (Air)"})/1000000000)</f>
        <v>0</v>
      </c>
      <c r="AA74" s="15">
        <f>(SUMIFS('MAIN DATA, Orders'!$S:$S,'MAIN DATA, Orders'!$Y:$Y,$A74,'MAIN DATA, Orders'!$D:$D,"United Kingdom",'MAIN DATA, Orders'!$I:$I,"Modernisation")/1000000000)</f>
        <v>0</v>
      </c>
      <c r="AB74" s="15">
        <f>(SUMIFS('MAIN DATA, Orders'!$S:$S,'MAIN DATA, Orders'!$Y:$Y,$A74,'MAIN DATA, Orders'!$D:$D,"United Kingdom",'MAIN DATA, Orders'!$I:$I,"Development - Modernisation")/1000000000)</f>
        <v>0</v>
      </c>
      <c r="AC74" s="15">
        <f>(SUMIFS('MAIN DATA, Orders'!$S:$S,'MAIN DATA, Orders'!$Y:$Y,$A74,'MAIN DATA, Orders'!$D:$D,"United Kingdom",'MAIN DATA, Orders'!$I:$I,"Naval")/1000000000)</f>
        <v>4.1000000000000002E-2</v>
      </c>
      <c r="AD74" s="15">
        <f>(SUMIFS('MAIN DATA, Orders'!$S:$S,'MAIN DATA, Orders'!$Y:$Y,$A74,'MAIN DATA, Orders'!$D:$D,"United Kingdom",'MAIN DATA, Orders'!$I:$I,"Development - Naval")/1000000000)</f>
        <v>0</v>
      </c>
      <c r="AE74" s="15">
        <f>(SUMIFS('MAIN DATA, Orders'!$S:$S,'MAIN DATA, Orders'!$Y:$Y,$A74,'MAIN DATA, Orders'!$D:$D,"United Kingdom",'MAIN DATA, Orders'!$I:$I,"Other")/1000000000)</f>
        <v>7.0000000000000007E-2</v>
      </c>
      <c r="AF74" s="15">
        <f>(SUMIFS('MAIN DATA, Orders'!$S:$S,'MAIN DATA, Orders'!$Y:$Y,$A74,'MAIN DATA, Orders'!$D:$D,"United Kingdom",'MAIN DATA, Orders'!$I:$I,"Development - Other")/1000000000)</f>
        <v>0</v>
      </c>
      <c r="AG74" s="15"/>
      <c r="AH74" s="15" cm="1">
        <f t="array" ref="AH74">SUM(SUMIFS('MAIN DATA, Orders'!$S:$S,'MAIN DATA, Orders'!$Y:$Y,$A74,'MAIN DATA, Orders'!$D:$D,"United Kingdom",'MAIN DATA, Orders'!$I:$I,{"Missile (Land)","Development - Missile (Land)"})/1000000000)</f>
        <v>0</v>
      </c>
      <c r="AI74" s="15" cm="1">
        <f t="array" ref="AI74">SUM(SUMIFS('MAIN DATA, Orders'!$S:$S,'MAIN DATA, Orders'!$D:$D,"United Kingdom",'MAIN DATA, Orders'!$I:$I,{"Missile (Air)","Development - Missile (Air)"},'MAIN DATA, Orders'!$Y:$Y,$A74)/1000000000)</f>
        <v>0</v>
      </c>
      <c r="AJ74" s="15" cm="1">
        <f t="array" ref="AJ74">SUM(SUMIFS('MAIN DATA, Orders'!$S:$S,'MAIN DATA, Orders'!$Y:$Y,$A74,'MAIN DATA, Orders'!$D:$D,"United Kingdom",'MAIN DATA, Orders'!$I:$I,{"Missile (Naval)","Development - Missile (Naval)"})/1000000000)</f>
        <v>0</v>
      </c>
    </row>
    <row r="75" spans="1:36" x14ac:dyDescent="0.35">
      <c r="A75" s="20">
        <v>202509</v>
      </c>
      <c r="B75" s="17">
        <v>45901</v>
      </c>
      <c r="C75" s="15">
        <f>(SUMIFS('MAIN DATA, Orders'!$S:$S,'MAIN DATA, Orders'!$Y:$Y,$A75,'MAIN DATA, Orders'!$D:$D,"United Kingdom",'MAIN DATA, Orders'!$I:$I,"Air defence system")/1000000000)</f>
        <v>0</v>
      </c>
      <c r="D75" s="15">
        <f>(SUMIFS('MAIN DATA, Orders'!$S:$S,'MAIN DATA, Orders'!$Y:$Y,$A75,'MAIN DATA, Orders'!$D:$D,"United Kingdom",'MAIN DATA, Orders'!$I:$I,"Development - Air defence system")/1000000000)</f>
        <v>0</v>
      </c>
      <c r="E75" s="15">
        <f>(SUMIFS('MAIN DATA, Orders'!$S:$S,'MAIN DATA, Orders'!$Y:$Y,$A75,'MAIN DATA, Orders'!$D:$D,"United Kingdom",'MAIN DATA, Orders'!$I:$I,"Aircraft")/1000000000)</f>
        <v>0</v>
      </c>
      <c r="F75" s="15">
        <f>(SUMIFS('MAIN DATA, Orders'!$S:$S,'MAIN DATA, Orders'!$Y:$Y,$A75,'MAIN DATA, Orders'!$D:$D,"United Kingdom",'MAIN DATA, Orders'!$I:$I,"Development - Aircraft")/1000000000)</f>
        <v>0</v>
      </c>
      <c r="G75" s="15">
        <f>(SUMIFS('MAIN DATA, Orders'!$S:$S,'MAIN DATA, Orders'!$Y:$Y,$A75,'MAIN DATA, Orders'!$D:$D,"United Kingdom",'MAIN DATA, Orders'!$I:$I,"Ammunition")/1000000000)</f>
        <v>0</v>
      </c>
      <c r="H75" s="15">
        <f>(SUMIFS('MAIN DATA, Orders'!$S:$S,'MAIN DATA, Orders'!$Y:$Y,$A75,'MAIN DATA, Orders'!$D:$D,"United Kingdom",'MAIN DATA, Orders'!$I:$I,"Development - Ammunition")/1000000000)</f>
        <v>0</v>
      </c>
      <c r="I75" s="15">
        <f>(SUMIFS('MAIN DATA, Orders'!$S:$S,'MAIN DATA, Orders'!$Y:$Y,$A75,'MAIN DATA, Orders'!$D:$D,"United Kingdom",'MAIN DATA, Orders'!$I:$I,"Armoured vehicle")/1000000000)</f>
        <v>0</v>
      </c>
      <c r="J75" s="15">
        <f>(SUMIFS('MAIN DATA, Orders'!$S:$S,'MAIN DATA, Orders'!$Y:$Y,$A75,'MAIN DATA, Orders'!$D:$D,"United Kingdom",'MAIN DATA, Orders'!$I:$I,"Development - Armoured vehicle")/1000000000)</f>
        <v>0</v>
      </c>
      <c r="K75" s="15">
        <f>(SUMIFS('MAIN DATA, Orders'!$S:$S,'MAIN DATA, Orders'!$Y:$Y,$A75,'MAIN DATA, Orders'!$D:$D,"United Kingdom",'MAIN DATA, Orders'!$I:$I,"Artillery")/1000000000)</f>
        <v>0</v>
      </c>
      <c r="L75" s="15">
        <f>(SUMIFS('MAIN DATA, Orders'!$S:$S,'MAIN DATA, Orders'!$Y:$Y,$A75,'MAIN DATA, Orders'!$D:$D,"United Kingdom",'MAIN DATA, Orders'!$I:$I,"Development - Artillery")/1000000000)</f>
        <v>0</v>
      </c>
      <c r="M75" s="15">
        <f>(SUMIFS('MAIN DATA, Orders'!$S:$S,'MAIN DATA, Orders'!$Y:$Y,$A75,'MAIN DATA, Orders'!$D:$D,"United Kingdom",'MAIN DATA, Orders'!$I:$I,"Drone")/1000000000)</f>
        <v>0</v>
      </c>
      <c r="N75" s="15">
        <f>(SUMIFS('MAIN DATA, Orders'!$S:$S,'MAIN DATA, Orders'!$Y:$Y,$A75,'MAIN DATA, Orders'!$D:$D,"United Kingdom",'MAIN DATA, Orders'!$I:$I,"Development - Drone")/1000000000)</f>
        <v>0</v>
      </c>
      <c r="O75" s="15">
        <f>(SUMIFS('MAIN DATA, Orders'!$S:$S,'MAIN DATA, Orders'!$Y:$Y,$A75,'MAIN DATA, Orders'!$D:$D,"United Kingdom",'MAIN DATA, Orders'!$I:$I,"Helicopter")/1000000000)</f>
        <v>0</v>
      </c>
      <c r="P75" s="15">
        <f>(SUMIFS('MAIN DATA, Orders'!$S:$S,'MAIN DATA, Orders'!$Y:$Y,$A75,'MAIN DATA, Orders'!$D:$D,"United Kingdom",'MAIN DATA, Orders'!$I:$I,"Development - Helicopter")/1000000000)</f>
        <v>0</v>
      </c>
      <c r="Q75" s="15">
        <f>(SUMIFS('MAIN DATA, Orders'!$S:$S,'MAIN DATA, Orders'!$Y:$Y,$A75,'MAIN DATA, Orders'!$D:$D,"United Kingdom",'MAIN DATA, Orders'!$I:$I,"Infantry")/1000000000)</f>
        <v>0.02</v>
      </c>
      <c r="R75" s="15">
        <f>(SUMIFS('MAIN DATA, Orders'!$S:$S,'MAIN DATA, Orders'!$Y:$Y,$A75,'MAIN DATA, Orders'!$D:$D,"United Kingdom",'MAIN DATA, Orders'!$I:$I,"Development - Infantry")/1000000000)</f>
        <v>0</v>
      </c>
      <c r="S75" s="15">
        <f>(SUMIFS('MAIN DATA, Orders'!$S:$S,'MAIN DATA, Orders'!$Y:$Y,$A75,'MAIN DATA, Orders'!$D:$D,"United Kingdom",'MAIN DATA, Orders'!$I:$I,"Tank")/1000000000)</f>
        <v>0</v>
      </c>
      <c r="T75" s="15">
        <f>(SUMIFS('MAIN DATA, Orders'!$S:$S,'MAIN DATA, Orders'!$Y:$Y,$A75,'MAIN DATA, Orders'!$D:$D,"United Kingdom",'MAIN DATA, Orders'!$I:$I,"Development - Tank")/1000000000)</f>
        <v>0</v>
      </c>
      <c r="U75" s="15">
        <f>(SUMIFS('MAIN DATA, Orders'!$S:$S,'MAIN DATA, Orders'!$Y:$Y,$A75,'MAIN DATA, Orders'!$D:$D,"United Kingdom",'MAIN DATA, Orders'!$I:$I,"Maintenance")/1000000000)</f>
        <v>0</v>
      </c>
      <c r="V75" s="15">
        <f>(SUMIFS('MAIN DATA, Orders'!$S:$S,'MAIN DATA, Orders'!$Y:$Y,$A75,'MAIN DATA, Orders'!$D:$D,"United Kingdom",'MAIN DATA, Orders'!$I:$I,"Development - Maintenance")/1000000000)</f>
        <v>0</v>
      </c>
      <c r="W75" s="15">
        <f>(SUMIFS('MAIN DATA, Orders'!$S:$S,'MAIN DATA, Orders'!$Y:$Y,$A75,'MAIN DATA, Orders'!$D:$D,"United Kingdom",'MAIN DATA, Orders'!$I:$I,"Mine")/1000000000)</f>
        <v>0</v>
      </c>
      <c r="X75" s="15">
        <f>(SUMIFS('MAIN DATA, Orders'!$S:$S,'MAIN DATA, Orders'!$Y:$Y,$A75,'MAIN DATA, Orders'!$D:$D,"United Kingdom",'MAIN DATA, Orders'!$I:$I,"Development - Mine")/1000000000)</f>
        <v>0</v>
      </c>
      <c r="Y75" s="15">
        <f>(SUMIFS('MAIN DATA, Orders'!$S:$S,'MAIN DATA, Orders'!$Y:$Y,$A75,'MAIN DATA, Orders'!$D:$D,"United Kingdom",'MAIN DATA, Orders'!$J:$J,"6")/1000000000)</f>
        <v>0</v>
      </c>
      <c r="Z75" s="15" cm="1">
        <f t="array" ref="Z75">SUM(SUMIFS('MAIN DATA, Orders'!$S:$S,'MAIN DATA, Orders'!$Y:$Y,$A75,'MAIN DATA, Orders'!$D:$D,"United Kingdom",'MAIN DATA, Orders'!$I:$I,{"Development - Missile (Land)","Development - Missile (Naval)","Development - Missile (Air)"})/1000000000)</f>
        <v>0</v>
      </c>
      <c r="AA75" s="15">
        <f>(SUMIFS('MAIN DATA, Orders'!$S:$S,'MAIN DATA, Orders'!$Y:$Y,$A75,'MAIN DATA, Orders'!$D:$D,"United Kingdom",'MAIN DATA, Orders'!$I:$I,"Modernisation")/1000000000)</f>
        <v>0.4</v>
      </c>
      <c r="AB75" s="15">
        <f>(SUMIFS('MAIN DATA, Orders'!$S:$S,'MAIN DATA, Orders'!$Y:$Y,$A75,'MAIN DATA, Orders'!$D:$D,"United Kingdom",'MAIN DATA, Orders'!$I:$I,"Development - Modernisation")/1000000000)</f>
        <v>0</v>
      </c>
      <c r="AC75" s="15">
        <f>(SUMIFS('MAIN DATA, Orders'!$S:$S,'MAIN DATA, Orders'!$Y:$Y,$A75,'MAIN DATA, Orders'!$D:$D,"United Kingdom",'MAIN DATA, Orders'!$I:$I,"Naval")/1000000000)</f>
        <v>0</v>
      </c>
      <c r="AD75" s="15">
        <f>(SUMIFS('MAIN DATA, Orders'!$S:$S,'MAIN DATA, Orders'!$Y:$Y,$A75,'MAIN DATA, Orders'!$D:$D,"United Kingdom",'MAIN DATA, Orders'!$I:$I,"Development - Naval")/1000000000)</f>
        <v>0</v>
      </c>
      <c r="AE75" s="15">
        <f>(SUMIFS('MAIN DATA, Orders'!$S:$S,'MAIN DATA, Orders'!$Y:$Y,$A75,'MAIN DATA, Orders'!$D:$D,"United Kingdom",'MAIN DATA, Orders'!$I:$I,"Other")/1000000000)</f>
        <v>0.10199999999999999</v>
      </c>
      <c r="AF75" s="15">
        <f>(SUMIFS('MAIN DATA, Orders'!$S:$S,'MAIN DATA, Orders'!$Y:$Y,$A75,'MAIN DATA, Orders'!$D:$D,"United Kingdom",'MAIN DATA, Orders'!$I:$I,"Development - Other")/1000000000)</f>
        <v>0</v>
      </c>
      <c r="AG75" s="15"/>
      <c r="AH75" s="15" cm="1">
        <f t="array" ref="AH75">SUM(SUMIFS('MAIN DATA, Orders'!$S:$S,'MAIN DATA, Orders'!$Y:$Y,$A75,'MAIN DATA, Orders'!$D:$D,"United Kingdom",'MAIN DATA, Orders'!$I:$I,{"Missile (Land)","Development - Missile (Land)"})/1000000000)</f>
        <v>0</v>
      </c>
      <c r="AI75" s="15" cm="1">
        <f t="array" ref="AI75">SUM(SUMIFS('MAIN DATA, Orders'!$S:$S,'MAIN DATA, Orders'!$D:$D,"United Kingdom",'MAIN DATA, Orders'!$I:$I,{"Missile (Air)","Development - Missile (Air)"},'MAIN DATA, Orders'!$Y:$Y,$A75)/1000000000)</f>
        <v>0</v>
      </c>
      <c r="AJ75" s="15" cm="1">
        <f t="array" ref="AJ75">SUM(SUMIFS('MAIN DATA, Orders'!$S:$S,'MAIN DATA, Orders'!$Y:$Y,$A75,'MAIN DATA, Orders'!$D:$D,"United Kingdom",'MAIN DATA, Orders'!$I:$I,{"Missile (Naval)","Development - Missile (Naval)"})/1000000000)</f>
        <v>0</v>
      </c>
    </row>
    <row r="76" spans="1:36" x14ac:dyDescent="0.35">
      <c r="A76" s="20">
        <v>202510</v>
      </c>
      <c r="B76" s="17">
        <v>45931</v>
      </c>
      <c r="C76" s="15">
        <f>(SUMIFS('MAIN DATA, Orders'!$S:$S,'MAIN DATA, Orders'!$Y:$Y,$A76,'MAIN DATA, Orders'!$D:$D,"United Kingdom",'MAIN DATA, Orders'!$I:$I,"Air defence system")/1000000000)</f>
        <v>0</v>
      </c>
      <c r="D76" s="15">
        <f>(SUMIFS('MAIN DATA, Orders'!$S:$S,'MAIN DATA, Orders'!$Y:$Y,$A76,'MAIN DATA, Orders'!$D:$D,"United Kingdom",'MAIN DATA, Orders'!$I:$I,"Development - Air defence system")/1000000000)</f>
        <v>0</v>
      </c>
      <c r="E76" s="15">
        <f>(SUMIFS('MAIN DATA, Orders'!$S:$S,'MAIN DATA, Orders'!$Y:$Y,$A76,'MAIN DATA, Orders'!$D:$D,"United Kingdom",'MAIN DATA, Orders'!$I:$I,"Aircraft")/1000000000)</f>
        <v>0</v>
      </c>
      <c r="F76" s="15">
        <f>(SUMIFS('MAIN DATA, Orders'!$S:$S,'MAIN DATA, Orders'!$Y:$Y,$A76,'MAIN DATA, Orders'!$D:$D,"United Kingdom",'MAIN DATA, Orders'!$I:$I,"Development - Aircraft")/1000000000)</f>
        <v>0</v>
      </c>
      <c r="G76" s="15">
        <f>(SUMIFS('MAIN DATA, Orders'!$S:$S,'MAIN DATA, Orders'!$Y:$Y,$A76,'MAIN DATA, Orders'!$D:$D,"United Kingdom",'MAIN DATA, Orders'!$I:$I,"Ammunition")/1000000000)</f>
        <v>0</v>
      </c>
      <c r="H76" s="15">
        <f>(SUMIFS('MAIN DATA, Orders'!$S:$S,'MAIN DATA, Orders'!$Y:$Y,$A76,'MAIN DATA, Orders'!$D:$D,"United Kingdom",'MAIN DATA, Orders'!$I:$I,"Development - Ammunition")/1000000000)</f>
        <v>0</v>
      </c>
      <c r="I76" s="15">
        <f>(SUMIFS('MAIN DATA, Orders'!$S:$S,'MAIN DATA, Orders'!$Y:$Y,$A76,'MAIN DATA, Orders'!$D:$D,"United Kingdom",'MAIN DATA, Orders'!$I:$I,"Armoured vehicle")/1000000000)</f>
        <v>0</v>
      </c>
      <c r="J76" s="15">
        <f>(SUMIFS('MAIN DATA, Orders'!$S:$S,'MAIN DATA, Orders'!$Y:$Y,$A76,'MAIN DATA, Orders'!$D:$D,"United Kingdom",'MAIN DATA, Orders'!$I:$I,"Development - Armoured vehicle")/1000000000)</f>
        <v>0</v>
      </c>
      <c r="K76" s="15">
        <f>(SUMIFS('MAIN DATA, Orders'!$S:$S,'MAIN DATA, Orders'!$Y:$Y,$A76,'MAIN DATA, Orders'!$D:$D,"United Kingdom",'MAIN DATA, Orders'!$I:$I,"Artillery")/1000000000)</f>
        <v>0</v>
      </c>
      <c r="L76" s="15">
        <f>(SUMIFS('MAIN DATA, Orders'!$S:$S,'MAIN DATA, Orders'!$Y:$Y,$A76,'MAIN DATA, Orders'!$D:$D,"United Kingdom",'MAIN DATA, Orders'!$I:$I,"Development - Artillery")/1000000000)</f>
        <v>0</v>
      </c>
      <c r="M76" s="15">
        <f>(SUMIFS('MAIN DATA, Orders'!$S:$S,'MAIN DATA, Orders'!$Y:$Y,$A76,'MAIN DATA, Orders'!$D:$D,"United Kingdom",'MAIN DATA, Orders'!$I:$I,"Drone")/1000000000)</f>
        <v>0</v>
      </c>
      <c r="N76" s="15">
        <f>(SUMIFS('MAIN DATA, Orders'!$S:$S,'MAIN DATA, Orders'!$Y:$Y,$A76,'MAIN DATA, Orders'!$D:$D,"United Kingdom",'MAIN DATA, Orders'!$I:$I,"Development - Drone")/1000000000)</f>
        <v>0</v>
      </c>
      <c r="O76" s="15">
        <f>(SUMIFS('MAIN DATA, Orders'!$S:$S,'MAIN DATA, Orders'!$Y:$Y,$A76,'MAIN DATA, Orders'!$D:$D,"United Kingdom",'MAIN DATA, Orders'!$I:$I,"Helicopter")/1000000000)</f>
        <v>0</v>
      </c>
      <c r="P76" s="15">
        <f>(SUMIFS('MAIN DATA, Orders'!$S:$S,'MAIN DATA, Orders'!$Y:$Y,$A76,'MAIN DATA, Orders'!$D:$D,"United Kingdom",'MAIN DATA, Orders'!$I:$I,"Development - Helicopter")/1000000000)</f>
        <v>0</v>
      </c>
      <c r="Q76" s="15">
        <f>(SUMIFS('MAIN DATA, Orders'!$S:$S,'MAIN DATA, Orders'!$Y:$Y,$A76,'MAIN DATA, Orders'!$D:$D,"United Kingdom",'MAIN DATA, Orders'!$I:$I,"Infantry")/1000000000)</f>
        <v>0</v>
      </c>
      <c r="R76" s="15">
        <f>(SUMIFS('MAIN DATA, Orders'!$S:$S,'MAIN DATA, Orders'!$Y:$Y,$A76,'MAIN DATA, Orders'!$D:$D,"United Kingdom",'MAIN DATA, Orders'!$I:$I,"Development - Infantry")/1000000000)</f>
        <v>0</v>
      </c>
      <c r="S76" s="15">
        <f>(SUMIFS('MAIN DATA, Orders'!$S:$S,'MAIN DATA, Orders'!$Y:$Y,$A76,'MAIN DATA, Orders'!$D:$D,"United Kingdom",'MAIN DATA, Orders'!$I:$I,"Tank")/1000000000)</f>
        <v>0</v>
      </c>
      <c r="T76" s="15">
        <f>(SUMIFS('MAIN DATA, Orders'!$S:$S,'MAIN DATA, Orders'!$Y:$Y,$A76,'MAIN DATA, Orders'!$D:$D,"United Kingdom",'MAIN DATA, Orders'!$I:$I,"Development - Tank")/1000000000)</f>
        <v>0</v>
      </c>
      <c r="U76" s="15">
        <f>(SUMIFS('MAIN DATA, Orders'!$S:$S,'MAIN DATA, Orders'!$Y:$Y,$A76,'MAIN DATA, Orders'!$D:$D,"United Kingdom",'MAIN DATA, Orders'!$I:$I,"Maintenance")/1000000000)</f>
        <v>7.7999999999999996E-3</v>
      </c>
      <c r="V76" s="15">
        <f>(SUMIFS('MAIN DATA, Orders'!$S:$S,'MAIN DATA, Orders'!$Y:$Y,$A76,'MAIN DATA, Orders'!$D:$D,"United Kingdom",'MAIN DATA, Orders'!$I:$I,"Development - Maintenance")/1000000000)</f>
        <v>0</v>
      </c>
      <c r="W76" s="15">
        <f>(SUMIFS('MAIN DATA, Orders'!$S:$S,'MAIN DATA, Orders'!$Y:$Y,$A76,'MAIN DATA, Orders'!$D:$D,"United Kingdom",'MAIN DATA, Orders'!$I:$I,"Mine")/1000000000)</f>
        <v>0</v>
      </c>
      <c r="X76" s="15">
        <f>(SUMIFS('MAIN DATA, Orders'!$S:$S,'MAIN DATA, Orders'!$Y:$Y,$A76,'MAIN DATA, Orders'!$D:$D,"United Kingdom",'MAIN DATA, Orders'!$I:$I,"Development - Mine")/1000000000)</f>
        <v>0</v>
      </c>
      <c r="Y76" s="15">
        <f>(SUMIFS('MAIN DATA, Orders'!$S:$S,'MAIN DATA, Orders'!$Y:$Y,$A76,'MAIN DATA, Orders'!$D:$D,"United Kingdom",'MAIN DATA, Orders'!$J:$J,"6")/1000000000)</f>
        <v>0</v>
      </c>
      <c r="Z76" s="15" cm="1">
        <f t="array" ref="Z76">SUM(SUMIFS('MAIN DATA, Orders'!$S:$S,'MAIN DATA, Orders'!$Y:$Y,$A76,'MAIN DATA, Orders'!$D:$D,"United Kingdom",'MAIN DATA, Orders'!$I:$I,{"Development - Missile (Land)","Development - Missile (Naval)","Development - Missile (Air)"})/1000000000)</f>
        <v>0</v>
      </c>
      <c r="AA76" s="15">
        <f>(SUMIFS('MAIN DATA, Orders'!$S:$S,'MAIN DATA, Orders'!$Y:$Y,$A76,'MAIN DATA, Orders'!$D:$D,"United Kingdom",'MAIN DATA, Orders'!$I:$I,"Modernisation")/1000000000)</f>
        <v>0.32</v>
      </c>
      <c r="AB76" s="15">
        <f>(SUMIFS('MAIN DATA, Orders'!$S:$S,'MAIN DATA, Orders'!$Y:$Y,$A76,'MAIN DATA, Orders'!$D:$D,"United Kingdom",'MAIN DATA, Orders'!$I:$I,"Development - Modernisation")/1000000000)</f>
        <v>0</v>
      </c>
      <c r="AC76" s="15">
        <f>(SUMIFS('MAIN DATA, Orders'!$S:$S,'MAIN DATA, Orders'!$Y:$Y,$A76,'MAIN DATA, Orders'!$D:$D,"United Kingdom",'MAIN DATA, Orders'!$I:$I,"Naval")/1000000000)</f>
        <v>0</v>
      </c>
      <c r="AD76" s="15">
        <f>(SUMIFS('MAIN DATA, Orders'!$S:$S,'MAIN DATA, Orders'!$Y:$Y,$A76,'MAIN DATA, Orders'!$D:$D,"United Kingdom",'MAIN DATA, Orders'!$I:$I,"Development - Naval")/1000000000)</f>
        <v>0</v>
      </c>
      <c r="AE76" s="15">
        <f>(SUMIFS('MAIN DATA, Orders'!$S:$S,'MAIN DATA, Orders'!$Y:$Y,$A76,'MAIN DATA, Orders'!$D:$D,"United Kingdom",'MAIN DATA, Orders'!$I:$I,"Other")/1000000000)</f>
        <v>0.2</v>
      </c>
      <c r="AF76" s="15">
        <f>(SUMIFS('MAIN DATA, Orders'!$S:$S,'MAIN DATA, Orders'!$Y:$Y,$A76,'MAIN DATA, Orders'!$D:$D,"United Kingdom",'MAIN DATA, Orders'!$I:$I,"Development - Other")/1000000000)</f>
        <v>0</v>
      </c>
      <c r="AG76" s="15"/>
      <c r="AH76" s="15" cm="1">
        <f t="array" ref="AH76">SUM(SUMIFS('MAIN DATA, Orders'!$S:$S,'MAIN DATA, Orders'!$Y:$Y,$A76,'MAIN DATA, Orders'!$D:$D,"United Kingdom",'MAIN DATA, Orders'!$I:$I,{"Missile (Land)","Development - Missile (Land)"})/1000000000)</f>
        <v>0</v>
      </c>
      <c r="AI76" s="15" cm="1">
        <f t="array" ref="AI76">SUM(SUMIFS('MAIN DATA, Orders'!$S:$S,'MAIN DATA, Orders'!$D:$D,"United Kingdom",'MAIN DATA, Orders'!$I:$I,{"Missile (Air)","Development - Missile (Air)"},'MAIN DATA, Orders'!$Y:$Y,$A76)/1000000000)</f>
        <v>0</v>
      </c>
      <c r="AJ76" s="15" cm="1">
        <f t="array" ref="AJ76">SUM(SUMIFS('MAIN DATA, Orders'!$S:$S,'MAIN DATA, Orders'!$Y:$Y,$A76,'MAIN DATA, Orders'!$D:$D,"United Kingdom",'MAIN DATA, Orders'!$I:$I,{"Missile (Naval)","Development - Missile (Naval)"})/1000000000)</f>
        <v>0</v>
      </c>
    </row>
    <row r="77" spans="1:36" x14ac:dyDescent="0.35">
      <c r="A77" s="20">
        <v>202511</v>
      </c>
      <c r="B77" s="17">
        <v>45962</v>
      </c>
      <c r="C77" s="15">
        <f>(SUMIFS('MAIN DATA, Orders'!$S:$S,'MAIN DATA, Orders'!$Y:$Y,$A77,'MAIN DATA, Orders'!$D:$D,"United Kingdom",'MAIN DATA, Orders'!$I:$I,"Air defence system")/1000000000)</f>
        <v>0</v>
      </c>
      <c r="D77" s="15">
        <f>(SUMIFS('MAIN DATA, Orders'!$S:$S,'MAIN DATA, Orders'!$Y:$Y,$A77,'MAIN DATA, Orders'!$D:$D,"United Kingdom",'MAIN DATA, Orders'!$I:$I,"Development - Air defence system")/1000000000)</f>
        <v>0</v>
      </c>
      <c r="E77" s="15">
        <f>(SUMIFS('MAIN DATA, Orders'!$S:$S,'MAIN DATA, Orders'!$Y:$Y,$A77,'MAIN DATA, Orders'!$D:$D,"United Kingdom",'MAIN DATA, Orders'!$I:$I,"Aircraft")/1000000000)</f>
        <v>0</v>
      </c>
      <c r="F77" s="15">
        <f>(SUMIFS('MAIN DATA, Orders'!$S:$S,'MAIN DATA, Orders'!$Y:$Y,$A77,'MAIN DATA, Orders'!$D:$D,"United Kingdom",'MAIN DATA, Orders'!$I:$I,"Development - Aircraft")/1000000000)</f>
        <v>0</v>
      </c>
      <c r="G77" s="15">
        <f>(SUMIFS('MAIN DATA, Orders'!$S:$S,'MAIN DATA, Orders'!$Y:$Y,$A77,'MAIN DATA, Orders'!$D:$D,"United Kingdom",'MAIN DATA, Orders'!$I:$I,"Ammunition")/1000000000)</f>
        <v>0</v>
      </c>
      <c r="H77" s="15">
        <f>(SUMIFS('MAIN DATA, Orders'!$S:$S,'MAIN DATA, Orders'!$Y:$Y,$A77,'MAIN DATA, Orders'!$D:$D,"United Kingdom",'MAIN DATA, Orders'!$I:$I,"Development - Ammunition")/1000000000)</f>
        <v>0</v>
      </c>
      <c r="I77" s="15">
        <f>(SUMIFS('MAIN DATA, Orders'!$S:$S,'MAIN DATA, Orders'!$Y:$Y,$A77,'MAIN DATA, Orders'!$D:$D,"United Kingdom",'MAIN DATA, Orders'!$I:$I,"Armoured vehicle")/1000000000)</f>
        <v>0</v>
      </c>
      <c r="J77" s="15">
        <f>(SUMIFS('MAIN DATA, Orders'!$S:$S,'MAIN DATA, Orders'!$Y:$Y,$A77,'MAIN DATA, Orders'!$D:$D,"United Kingdom",'MAIN DATA, Orders'!$I:$I,"Development - Armoured vehicle")/1000000000)</f>
        <v>0</v>
      </c>
      <c r="K77" s="15">
        <f>(SUMIFS('MAIN DATA, Orders'!$S:$S,'MAIN DATA, Orders'!$Y:$Y,$A77,'MAIN DATA, Orders'!$D:$D,"United Kingdom",'MAIN DATA, Orders'!$I:$I,"Artillery")/1000000000)</f>
        <v>0</v>
      </c>
      <c r="L77" s="15">
        <f>(SUMIFS('MAIN DATA, Orders'!$S:$S,'MAIN DATA, Orders'!$Y:$Y,$A77,'MAIN DATA, Orders'!$D:$D,"United Kingdom",'MAIN DATA, Orders'!$I:$I,"Development - Artillery")/1000000000)</f>
        <v>0</v>
      </c>
      <c r="M77" s="15">
        <f>(SUMIFS('MAIN DATA, Orders'!$S:$S,'MAIN DATA, Orders'!$Y:$Y,$A77,'MAIN DATA, Orders'!$D:$D,"United Kingdom",'MAIN DATA, Orders'!$I:$I,"Drone")/1000000000)</f>
        <v>0</v>
      </c>
      <c r="N77" s="15">
        <f>(SUMIFS('MAIN DATA, Orders'!$S:$S,'MAIN DATA, Orders'!$Y:$Y,$A77,'MAIN DATA, Orders'!$D:$D,"United Kingdom",'MAIN DATA, Orders'!$I:$I,"Development - Drone")/1000000000)</f>
        <v>0</v>
      </c>
      <c r="O77" s="15">
        <f>(SUMIFS('MAIN DATA, Orders'!$S:$S,'MAIN DATA, Orders'!$Y:$Y,$A77,'MAIN DATA, Orders'!$D:$D,"United Kingdom",'MAIN DATA, Orders'!$I:$I,"Helicopter")/1000000000)</f>
        <v>0</v>
      </c>
      <c r="P77" s="15">
        <f>(SUMIFS('MAIN DATA, Orders'!$S:$S,'MAIN DATA, Orders'!$Y:$Y,$A77,'MAIN DATA, Orders'!$D:$D,"United Kingdom",'MAIN DATA, Orders'!$I:$I,"Development - Helicopter")/1000000000)</f>
        <v>0</v>
      </c>
      <c r="Q77" s="15">
        <f>(SUMIFS('MAIN DATA, Orders'!$S:$S,'MAIN DATA, Orders'!$Y:$Y,$A77,'MAIN DATA, Orders'!$D:$D,"United Kingdom",'MAIN DATA, Orders'!$I:$I,"Infantry")/1000000000)</f>
        <v>0</v>
      </c>
      <c r="R77" s="15">
        <f>(SUMIFS('MAIN DATA, Orders'!$S:$S,'MAIN DATA, Orders'!$Y:$Y,$A77,'MAIN DATA, Orders'!$D:$D,"United Kingdom",'MAIN DATA, Orders'!$I:$I,"Development - Infantry")/1000000000)</f>
        <v>0</v>
      </c>
      <c r="S77" s="15">
        <f>(SUMIFS('MAIN DATA, Orders'!$S:$S,'MAIN DATA, Orders'!$Y:$Y,$A77,'MAIN DATA, Orders'!$D:$D,"United Kingdom",'MAIN DATA, Orders'!$I:$I,"Tank")/1000000000)</f>
        <v>0</v>
      </c>
      <c r="T77" s="15">
        <f>(SUMIFS('MAIN DATA, Orders'!$S:$S,'MAIN DATA, Orders'!$Y:$Y,$A77,'MAIN DATA, Orders'!$D:$D,"United Kingdom",'MAIN DATA, Orders'!$I:$I,"Development - Tank")/1000000000)</f>
        <v>0</v>
      </c>
      <c r="U77" s="15">
        <f>(SUMIFS('MAIN DATA, Orders'!$S:$S,'MAIN DATA, Orders'!$Y:$Y,$A77,'MAIN DATA, Orders'!$D:$D,"United Kingdom",'MAIN DATA, Orders'!$I:$I,"Maintenance")/1000000000)</f>
        <v>0</v>
      </c>
      <c r="V77" s="15">
        <f>(SUMIFS('MAIN DATA, Orders'!$S:$S,'MAIN DATA, Orders'!$Y:$Y,$A77,'MAIN DATA, Orders'!$D:$D,"United Kingdom",'MAIN DATA, Orders'!$I:$I,"Development - Maintenance")/1000000000)</f>
        <v>0</v>
      </c>
      <c r="W77" s="15">
        <f>(SUMIFS('MAIN DATA, Orders'!$S:$S,'MAIN DATA, Orders'!$Y:$Y,$A77,'MAIN DATA, Orders'!$D:$D,"United Kingdom",'MAIN DATA, Orders'!$I:$I,"Mine")/1000000000)</f>
        <v>0</v>
      </c>
      <c r="X77" s="15">
        <f>(SUMIFS('MAIN DATA, Orders'!$S:$S,'MAIN DATA, Orders'!$Y:$Y,$A77,'MAIN DATA, Orders'!$D:$D,"United Kingdom",'MAIN DATA, Orders'!$I:$I,"Development - Mine")/1000000000)</f>
        <v>0</v>
      </c>
      <c r="Y77" s="15">
        <f>(SUMIFS('MAIN DATA, Orders'!$S:$S,'MAIN DATA, Orders'!$Y:$Y,$A77,'MAIN DATA, Orders'!$D:$D,"United Kingdom",'MAIN DATA, Orders'!$J:$J,"6")/1000000000)</f>
        <v>0</v>
      </c>
      <c r="Z77" s="15" cm="1">
        <f t="array" ref="Z77">SUM(SUMIFS('MAIN DATA, Orders'!$S:$S,'MAIN DATA, Orders'!$Y:$Y,$A77,'MAIN DATA, Orders'!$D:$D,"United Kingdom",'MAIN DATA, Orders'!$I:$I,{"Development - Missile (Land)","Development - Missile (Naval)","Development - Missile (Air)"})/1000000000)</f>
        <v>0</v>
      </c>
      <c r="AA77" s="15">
        <f>(SUMIFS('MAIN DATA, Orders'!$S:$S,'MAIN DATA, Orders'!$Y:$Y,$A77,'MAIN DATA, Orders'!$D:$D,"United Kingdom",'MAIN DATA, Orders'!$I:$I,"Modernisation")/1000000000)</f>
        <v>0</v>
      </c>
      <c r="AB77" s="15">
        <f>(SUMIFS('MAIN DATA, Orders'!$S:$S,'MAIN DATA, Orders'!$Y:$Y,$A77,'MAIN DATA, Orders'!$D:$D,"United Kingdom",'MAIN DATA, Orders'!$I:$I,"Development - Modernisation")/1000000000)</f>
        <v>0</v>
      </c>
      <c r="AC77" s="15">
        <f>(SUMIFS('MAIN DATA, Orders'!$S:$S,'MAIN DATA, Orders'!$Y:$Y,$A77,'MAIN DATA, Orders'!$D:$D,"United Kingdom",'MAIN DATA, Orders'!$I:$I,"Naval")/1000000000)</f>
        <v>0.316</v>
      </c>
      <c r="AD77" s="15">
        <f>(SUMIFS('MAIN DATA, Orders'!$S:$S,'MAIN DATA, Orders'!$Y:$Y,$A77,'MAIN DATA, Orders'!$D:$D,"United Kingdom",'MAIN DATA, Orders'!$I:$I,"Development - Naval")/1000000000)</f>
        <v>0</v>
      </c>
      <c r="AE77" s="15">
        <f>(SUMIFS('MAIN DATA, Orders'!$S:$S,'MAIN DATA, Orders'!$Y:$Y,$A77,'MAIN DATA, Orders'!$D:$D,"United Kingdom",'MAIN DATA, Orders'!$I:$I,"Other")/1000000000)</f>
        <v>0</v>
      </c>
      <c r="AF77" s="15">
        <f>(SUMIFS('MAIN DATA, Orders'!$S:$S,'MAIN DATA, Orders'!$Y:$Y,$A77,'MAIN DATA, Orders'!$D:$D,"United Kingdom",'MAIN DATA, Orders'!$I:$I,"Development - Other")/1000000000)</f>
        <v>0</v>
      </c>
      <c r="AG77" s="15"/>
      <c r="AH77" s="15" cm="1">
        <f t="array" ref="AH77">SUM(SUMIFS('MAIN DATA, Orders'!$S:$S,'MAIN DATA, Orders'!$Y:$Y,$A77,'MAIN DATA, Orders'!$D:$D,"United Kingdom",'MAIN DATA, Orders'!$I:$I,{"Missile (Land)","Development - Missile (Land)"})/1000000000)</f>
        <v>0</v>
      </c>
      <c r="AI77" s="15" cm="1">
        <f t="array" ref="AI77">SUM(SUMIFS('MAIN DATA, Orders'!$S:$S,'MAIN DATA, Orders'!$D:$D,"United Kingdom",'MAIN DATA, Orders'!$I:$I,{"Missile (Air)","Development - Missile (Air)"},'MAIN DATA, Orders'!$Y:$Y,$A77)/1000000000)</f>
        <v>0</v>
      </c>
      <c r="AJ77" s="15" cm="1">
        <f t="array" ref="AJ77">SUM(SUMIFS('MAIN DATA, Orders'!$S:$S,'MAIN DATA, Orders'!$Y:$Y,$A77,'MAIN DATA, Orders'!$D:$D,"United Kingdom",'MAIN DATA, Orders'!$I:$I,{"Missile (Naval)","Development - Missile (Naval)"})/1000000000)</f>
        <v>0</v>
      </c>
    </row>
    <row r="78" spans="1:36" x14ac:dyDescent="0.35">
      <c r="A78" s="20">
        <v>202512</v>
      </c>
      <c r="B78" s="17">
        <v>45992</v>
      </c>
      <c r="C78" s="15">
        <f>(SUMIFS('MAIN DATA, Orders'!$S:$S,'MAIN DATA, Orders'!$Y:$Y,$A78,'MAIN DATA, Orders'!$D:$D,"United Kingdom",'MAIN DATA, Orders'!$I:$I,"Air defence system")/1000000000)</f>
        <v>0</v>
      </c>
      <c r="D78" s="15">
        <f>(SUMIFS('MAIN DATA, Orders'!$S:$S,'MAIN DATA, Orders'!$Y:$Y,$A78,'MAIN DATA, Orders'!$D:$D,"United Kingdom",'MAIN DATA, Orders'!$I:$I,"Development - Air defence system")/1000000000)</f>
        <v>0.03</v>
      </c>
      <c r="E78" s="15">
        <f>(SUMIFS('MAIN DATA, Orders'!$S:$S,'MAIN DATA, Orders'!$Y:$Y,$A78,'MAIN DATA, Orders'!$D:$D,"United Kingdom",'MAIN DATA, Orders'!$I:$I,"Aircraft")/1000000000)</f>
        <v>0</v>
      </c>
      <c r="F78" s="15">
        <f>(SUMIFS('MAIN DATA, Orders'!$S:$S,'MAIN DATA, Orders'!$Y:$Y,$A78,'MAIN DATA, Orders'!$D:$D,"United Kingdom",'MAIN DATA, Orders'!$I:$I,"Development - Aircraft")/1000000000)</f>
        <v>0</v>
      </c>
      <c r="G78" s="15">
        <f>(SUMIFS('MAIN DATA, Orders'!$S:$S,'MAIN DATA, Orders'!$Y:$Y,$A78,'MAIN DATA, Orders'!$D:$D,"United Kingdom",'MAIN DATA, Orders'!$I:$I,"Ammunition")/1000000000)</f>
        <v>0</v>
      </c>
      <c r="H78" s="15">
        <f>(SUMIFS('MAIN DATA, Orders'!$S:$S,'MAIN DATA, Orders'!$Y:$Y,$A78,'MAIN DATA, Orders'!$D:$D,"United Kingdom",'MAIN DATA, Orders'!$I:$I,"Development - Ammunition")/1000000000)</f>
        <v>0</v>
      </c>
      <c r="I78" s="15">
        <f>(SUMIFS('MAIN DATA, Orders'!$S:$S,'MAIN DATA, Orders'!$Y:$Y,$A78,'MAIN DATA, Orders'!$D:$D,"United Kingdom",'MAIN DATA, Orders'!$I:$I,"Armoured vehicle")/1000000000)</f>
        <v>0</v>
      </c>
      <c r="J78" s="15">
        <f>(SUMIFS('MAIN DATA, Orders'!$S:$S,'MAIN DATA, Orders'!$Y:$Y,$A78,'MAIN DATA, Orders'!$D:$D,"United Kingdom",'MAIN DATA, Orders'!$I:$I,"Development - Armoured vehicle")/1000000000)</f>
        <v>0</v>
      </c>
      <c r="K78" s="15">
        <f>(SUMIFS('MAIN DATA, Orders'!$S:$S,'MAIN DATA, Orders'!$Y:$Y,$A78,'MAIN DATA, Orders'!$D:$D,"United Kingdom",'MAIN DATA, Orders'!$I:$I,"Artillery")/1000000000)</f>
        <v>5.1999999999999998E-2</v>
      </c>
      <c r="L78" s="15">
        <f>(SUMIFS('MAIN DATA, Orders'!$S:$S,'MAIN DATA, Orders'!$Y:$Y,$A78,'MAIN DATA, Orders'!$D:$D,"United Kingdom",'MAIN DATA, Orders'!$I:$I,"Development - Artillery")/1000000000)</f>
        <v>0</v>
      </c>
      <c r="M78" s="15">
        <f>(SUMIFS('MAIN DATA, Orders'!$S:$S,'MAIN DATA, Orders'!$Y:$Y,$A78,'MAIN DATA, Orders'!$D:$D,"United Kingdom",'MAIN DATA, Orders'!$I:$I,"Drone")/1000000000)</f>
        <v>0</v>
      </c>
      <c r="N78" s="15">
        <f>(SUMIFS('MAIN DATA, Orders'!$S:$S,'MAIN DATA, Orders'!$Y:$Y,$A78,'MAIN DATA, Orders'!$D:$D,"United Kingdom",'MAIN DATA, Orders'!$I:$I,"Development - Drone")/1000000000)</f>
        <v>0.112</v>
      </c>
      <c r="O78" s="15">
        <f>(SUMIFS('MAIN DATA, Orders'!$S:$S,'MAIN DATA, Orders'!$Y:$Y,$A78,'MAIN DATA, Orders'!$D:$D,"United Kingdom",'MAIN DATA, Orders'!$I:$I,"Helicopter")/1000000000)</f>
        <v>0</v>
      </c>
      <c r="P78" s="15">
        <f>(SUMIFS('MAIN DATA, Orders'!$S:$S,'MAIN DATA, Orders'!$Y:$Y,$A78,'MAIN DATA, Orders'!$D:$D,"United Kingdom",'MAIN DATA, Orders'!$I:$I,"Development - Helicopter")/1000000000)</f>
        <v>0</v>
      </c>
      <c r="Q78" s="15">
        <f>(SUMIFS('MAIN DATA, Orders'!$S:$S,'MAIN DATA, Orders'!$Y:$Y,$A78,'MAIN DATA, Orders'!$D:$D,"United Kingdom",'MAIN DATA, Orders'!$I:$I,"Infantry")/1000000000)</f>
        <v>0</v>
      </c>
      <c r="R78" s="15">
        <f>(SUMIFS('MAIN DATA, Orders'!$S:$S,'MAIN DATA, Orders'!$Y:$Y,$A78,'MAIN DATA, Orders'!$D:$D,"United Kingdom",'MAIN DATA, Orders'!$I:$I,"Development - Infantry")/1000000000)</f>
        <v>0</v>
      </c>
      <c r="S78" s="15">
        <f>(SUMIFS('MAIN DATA, Orders'!$S:$S,'MAIN DATA, Orders'!$Y:$Y,$A78,'MAIN DATA, Orders'!$D:$D,"United Kingdom",'MAIN DATA, Orders'!$I:$I,"Tank")/1000000000)</f>
        <v>0</v>
      </c>
      <c r="T78" s="15">
        <f>(SUMIFS('MAIN DATA, Orders'!$S:$S,'MAIN DATA, Orders'!$Y:$Y,$A78,'MAIN DATA, Orders'!$D:$D,"United Kingdom",'MAIN DATA, Orders'!$I:$I,"Development - Tank")/1000000000)</f>
        <v>0</v>
      </c>
      <c r="U78" s="15">
        <f>(SUMIFS('MAIN DATA, Orders'!$S:$S,'MAIN DATA, Orders'!$Y:$Y,$A78,'MAIN DATA, Orders'!$D:$D,"United Kingdom",'MAIN DATA, Orders'!$I:$I,"Maintenance")/1000000000)</f>
        <v>3.3599999999999998E-2</v>
      </c>
      <c r="V78" s="15">
        <f>(SUMIFS('MAIN DATA, Orders'!$S:$S,'MAIN DATA, Orders'!$Y:$Y,$A78,'MAIN DATA, Orders'!$D:$D,"United Kingdom",'MAIN DATA, Orders'!$I:$I,"Development - Maintenance")/1000000000)</f>
        <v>0</v>
      </c>
      <c r="W78" s="15">
        <f>(SUMIFS('MAIN DATA, Orders'!$S:$S,'MAIN DATA, Orders'!$Y:$Y,$A78,'MAIN DATA, Orders'!$D:$D,"United Kingdom",'MAIN DATA, Orders'!$I:$I,"Mine")/1000000000)</f>
        <v>0</v>
      </c>
      <c r="X78" s="15">
        <f>(SUMIFS('MAIN DATA, Orders'!$S:$S,'MAIN DATA, Orders'!$Y:$Y,$A78,'MAIN DATA, Orders'!$D:$D,"United Kingdom",'MAIN DATA, Orders'!$I:$I,"Development - Mine")/1000000000)</f>
        <v>0</v>
      </c>
      <c r="Y78" s="15">
        <f>(SUMIFS('MAIN DATA, Orders'!$S:$S,'MAIN DATA, Orders'!$Y:$Y,$A78,'MAIN DATA, Orders'!$D:$D,"United Kingdom",'MAIN DATA, Orders'!$J:$J,"6")/1000000000)</f>
        <v>0</v>
      </c>
      <c r="Z78" s="15" cm="1">
        <f t="array" ref="Z78">SUM(SUMIFS('MAIN DATA, Orders'!$S:$S,'MAIN DATA, Orders'!$Y:$Y,$A78,'MAIN DATA, Orders'!$D:$D,"United Kingdom",'MAIN DATA, Orders'!$I:$I,{"Development - Missile (Land)","Development - Missile (Naval)","Development - Missile (Air)"})/1000000000)</f>
        <v>0</v>
      </c>
      <c r="AA78" s="15">
        <f>(SUMIFS('MAIN DATA, Orders'!$S:$S,'MAIN DATA, Orders'!$Y:$Y,$A78,'MAIN DATA, Orders'!$D:$D,"United Kingdom",'MAIN DATA, Orders'!$I:$I,"Modernisation")/1000000000)</f>
        <v>0</v>
      </c>
      <c r="AB78" s="15">
        <f>(SUMIFS('MAIN DATA, Orders'!$S:$S,'MAIN DATA, Orders'!$Y:$Y,$A78,'MAIN DATA, Orders'!$D:$D,"United Kingdom",'MAIN DATA, Orders'!$I:$I,"Development - Modernisation")/1000000000)</f>
        <v>3.0999999999999999E-3</v>
      </c>
      <c r="AC78" s="15">
        <f>(SUMIFS('MAIN DATA, Orders'!$S:$S,'MAIN DATA, Orders'!$Y:$Y,$A78,'MAIN DATA, Orders'!$D:$D,"United Kingdom",'MAIN DATA, Orders'!$I:$I,"Naval")/1000000000)</f>
        <v>0.01</v>
      </c>
      <c r="AD78" s="15">
        <f>(SUMIFS('MAIN DATA, Orders'!$S:$S,'MAIN DATA, Orders'!$Y:$Y,$A78,'MAIN DATA, Orders'!$D:$D,"United Kingdom",'MAIN DATA, Orders'!$I:$I,"Development - Naval")/1000000000)</f>
        <v>0</v>
      </c>
      <c r="AE78" s="15">
        <f>(SUMIFS('MAIN DATA, Orders'!$S:$S,'MAIN DATA, Orders'!$Y:$Y,$A78,'MAIN DATA, Orders'!$D:$D,"United Kingdom",'MAIN DATA, Orders'!$I:$I,"Other")/1000000000)</f>
        <v>1.6899999999999998E-2</v>
      </c>
      <c r="AF78" s="15">
        <f>(SUMIFS('MAIN DATA, Orders'!$S:$S,'MAIN DATA, Orders'!$Y:$Y,$A78,'MAIN DATA, Orders'!$D:$D,"United Kingdom",'MAIN DATA, Orders'!$I:$I,"Development - Other")/1000000000)</f>
        <v>0</v>
      </c>
      <c r="AG78" s="15"/>
      <c r="AH78" s="15" cm="1">
        <f t="array" ref="AH78">SUM(SUMIFS('MAIN DATA, Orders'!$S:$S,'MAIN DATA, Orders'!$Y:$Y,$A78,'MAIN DATA, Orders'!$D:$D,"United Kingdom",'MAIN DATA, Orders'!$I:$I,{"Missile (Land)","Development - Missile (Land)"})/1000000000)</f>
        <v>0</v>
      </c>
      <c r="AI78" s="15" cm="1">
        <f t="array" ref="AI78">SUM(SUMIFS('MAIN DATA, Orders'!$S:$S,'MAIN DATA, Orders'!$D:$D,"United Kingdom",'MAIN DATA, Orders'!$I:$I,{"Missile (Air)","Development - Missile (Air)"},'MAIN DATA, Orders'!$Y:$Y,$A78)/1000000000)</f>
        <v>0</v>
      </c>
      <c r="AJ78" s="15" cm="1">
        <f t="array" ref="AJ78">SUM(SUMIFS('MAIN DATA, Orders'!$S:$S,'MAIN DATA, Orders'!$Y:$Y,$A78,'MAIN DATA, Orders'!$D:$D,"United Kingdom",'MAIN DATA, Orders'!$I:$I,{"Missile (Naval)","Development - Missile (Naval)"})/1000000000)</f>
        <v>0</v>
      </c>
    </row>
    <row r="79" spans="1:36" x14ac:dyDescent="0.35">
      <c r="A79" s="20">
        <v>202601</v>
      </c>
      <c r="B79" s="17">
        <v>46023</v>
      </c>
      <c r="C79" s="15">
        <f>(SUMIFS('MAIN DATA, Orders'!$S:$S,'MAIN DATA, Orders'!$Y:$Y,$A79,'MAIN DATA, Orders'!$D:$D,"United Kingdom",'MAIN DATA, Orders'!$I:$I,"Air defence system")/1000000000)</f>
        <v>0</v>
      </c>
      <c r="D79" s="15">
        <f>(SUMIFS('MAIN DATA, Orders'!$S:$S,'MAIN DATA, Orders'!$Y:$Y,$A79,'MAIN DATA, Orders'!$D:$D,"United Kingdom",'MAIN DATA, Orders'!$I:$I,"Development - Air defence system")/1000000000)</f>
        <v>0</v>
      </c>
      <c r="E79" s="15">
        <f>(SUMIFS('MAIN DATA, Orders'!$S:$S,'MAIN DATA, Orders'!$Y:$Y,$A79,'MAIN DATA, Orders'!$D:$D,"United Kingdom",'MAIN DATA, Orders'!$I:$I,"Aircraft")/1000000000)</f>
        <v>0.45350000000000001</v>
      </c>
      <c r="F79" s="15">
        <f>(SUMIFS('MAIN DATA, Orders'!$S:$S,'MAIN DATA, Orders'!$Y:$Y,$A79,'MAIN DATA, Orders'!$D:$D,"United Kingdom",'MAIN DATA, Orders'!$I:$I,"Development - Aircraft")/1000000000)</f>
        <v>0</v>
      </c>
      <c r="G79" s="15">
        <f>(SUMIFS('MAIN DATA, Orders'!$S:$S,'MAIN DATA, Orders'!$Y:$Y,$A79,'MAIN DATA, Orders'!$D:$D,"United Kingdom",'MAIN DATA, Orders'!$I:$I,"Ammunition")/1000000000)</f>
        <v>0</v>
      </c>
      <c r="H79" s="15">
        <f>(SUMIFS('MAIN DATA, Orders'!$S:$S,'MAIN DATA, Orders'!$Y:$Y,$A79,'MAIN DATA, Orders'!$D:$D,"United Kingdom",'MAIN DATA, Orders'!$I:$I,"Development - Ammunition")/1000000000)</f>
        <v>0</v>
      </c>
      <c r="I79" s="15">
        <f>(SUMIFS('MAIN DATA, Orders'!$S:$S,'MAIN DATA, Orders'!$Y:$Y,$A79,'MAIN DATA, Orders'!$D:$D,"United Kingdom",'MAIN DATA, Orders'!$I:$I,"Armoured vehicle")/1000000000)</f>
        <v>0</v>
      </c>
      <c r="J79" s="15">
        <f>(SUMIFS('MAIN DATA, Orders'!$S:$S,'MAIN DATA, Orders'!$Y:$Y,$A79,'MAIN DATA, Orders'!$D:$D,"United Kingdom",'MAIN DATA, Orders'!$I:$I,"Development - Armoured vehicle")/1000000000)</f>
        <v>0</v>
      </c>
      <c r="K79" s="15">
        <f>(SUMIFS('MAIN DATA, Orders'!$S:$S,'MAIN DATA, Orders'!$Y:$Y,$A79,'MAIN DATA, Orders'!$D:$D,"United Kingdom",'MAIN DATA, Orders'!$I:$I,"Artillery")/1000000000)</f>
        <v>0</v>
      </c>
      <c r="L79" s="15">
        <f>(SUMIFS('MAIN DATA, Orders'!$S:$S,'MAIN DATA, Orders'!$Y:$Y,$A79,'MAIN DATA, Orders'!$D:$D,"United Kingdom",'MAIN DATA, Orders'!$I:$I,"Development - Artillery")/1000000000)</f>
        <v>0</v>
      </c>
      <c r="M79" s="15">
        <f>(SUMIFS('MAIN DATA, Orders'!$S:$S,'MAIN DATA, Orders'!$Y:$Y,$A79,'MAIN DATA, Orders'!$D:$D,"United Kingdom",'MAIN DATA, Orders'!$I:$I,"Drone")/1000000000)</f>
        <v>0</v>
      </c>
      <c r="N79" s="15">
        <f>(SUMIFS('MAIN DATA, Orders'!$S:$S,'MAIN DATA, Orders'!$Y:$Y,$A79,'MAIN DATA, Orders'!$D:$D,"United Kingdom",'MAIN DATA, Orders'!$I:$I,"Development - Drone")/1000000000)</f>
        <v>0</v>
      </c>
      <c r="O79" s="15">
        <f>(SUMIFS('MAIN DATA, Orders'!$S:$S,'MAIN DATA, Orders'!$Y:$Y,$A79,'MAIN DATA, Orders'!$D:$D,"United Kingdom",'MAIN DATA, Orders'!$I:$I,"Helicopter")/1000000000)</f>
        <v>0</v>
      </c>
      <c r="P79" s="15">
        <f>(SUMIFS('MAIN DATA, Orders'!$S:$S,'MAIN DATA, Orders'!$Y:$Y,$A79,'MAIN DATA, Orders'!$D:$D,"United Kingdom",'MAIN DATA, Orders'!$I:$I,"Development - Helicopter")/1000000000)</f>
        <v>0</v>
      </c>
      <c r="Q79" s="15">
        <f>(SUMIFS('MAIN DATA, Orders'!$S:$S,'MAIN DATA, Orders'!$Y:$Y,$A79,'MAIN DATA, Orders'!$D:$D,"United Kingdom",'MAIN DATA, Orders'!$I:$I,"Infantry")/1000000000)</f>
        <v>0</v>
      </c>
      <c r="R79" s="15">
        <f>(SUMIFS('MAIN DATA, Orders'!$S:$S,'MAIN DATA, Orders'!$Y:$Y,$A79,'MAIN DATA, Orders'!$D:$D,"United Kingdom",'MAIN DATA, Orders'!$I:$I,"Development - Infantry")/1000000000)</f>
        <v>0</v>
      </c>
      <c r="S79" s="15">
        <f>(SUMIFS('MAIN DATA, Orders'!$S:$S,'MAIN DATA, Orders'!$Y:$Y,$A79,'MAIN DATA, Orders'!$D:$D,"United Kingdom",'MAIN DATA, Orders'!$I:$I,"Tank")/1000000000)</f>
        <v>0</v>
      </c>
      <c r="T79" s="15">
        <f>(SUMIFS('MAIN DATA, Orders'!$S:$S,'MAIN DATA, Orders'!$Y:$Y,$A79,'MAIN DATA, Orders'!$D:$D,"United Kingdom",'MAIN DATA, Orders'!$I:$I,"Development - Tank")/1000000000)</f>
        <v>0</v>
      </c>
      <c r="U79" s="15">
        <f>(SUMIFS('MAIN DATA, Orders'!$S:$S,'MAIN DATA, Orders'!$Y:$Y,$A79,'MAIN DATA, Orders'!$D:$D,"United Kingdom",'MAIN DATA, Orders'!$I:$I,"Maintenance")/1000000000)</f>
        <v>0.20499999999999999</v>
      </c>
      <c r="V79" s="15">
        <f>(SUMIFS('MAIN DATA, Orders'!$S:$S,'MAIN DATA, Orders'!$Y:$Y,$A79,'MAIN DATA, Orders'!$D:$D,"United Kingdom",'MAIN DATA, Orders'!$I:$I,"Development - Maintenance")/1000000000)</f>
        <v>0</v>
      </c>
      <c r="W79" s="15">
        <f>(SUMIFS('MAIN DATA, Orders'!$S:$S,'MAIN DATA, Orders'!$Y:$Y,$A79,'MAIN DATA, Orders'!$D:$D,"United Kingdom",'MAIN DATA, Orders'!$I:$I,"Mine")/1000000000)</f>
        <v>0</v>
      </c>
      <c r="X79" s="15">
        <f>(SUMIFS('MAIN DATA, Orders'!$S:$S,'MAIN DATA, Orders'!$Y:$Y,$A79,'MAIN DATA, Orders'!$D:$D,"United Kingdom",'MAIN DATA, Orders'!$I:$I,"Development - Mine")/1000000000)</f>
        <v>0</v>
      </c>
      <c r="Y79" s="15">
        <f>(SUMIFS('MAIN DATA, Orders'!$S:$S,'MAIN DATA, Orders'!$Y:$Y,$A79,'MAIN DATA, Orders'!$D:$D,"United Kingdom",'MAIN DATA, Orders'!$J:$J,"6")/1000000000)</f>
        <v>0</v>
      </c>
      <c r="Z79" s="15" cm="1">
        <f t="array" ref="Z79">SUM(SUMIFS('MAIN DATA, Orders'!$S:$S,'MAIN DATA, Orders'!$Y:$Y,$A79,'MAIN DATA, Orders'!$D:$D,"United Kingdom",'MAIN DATA, Orders'!$I:$I,{"Development - Missile (Land)","Development - Missile (Naval)","Development - Missile (Air)"})/1000000000)</f>
        <v>2.7E-2</v>
      </c>
      <c r="AA79" s="15">
        <f>(SUMIFS('MAIN DATA, Orders'!$S:$S,'MAIN DATA, Orders'!$Y:$Y,$A79,'MAIN DATA, Orders'!$D:$D,"United Kingdom",'MAIN DATA, Orders'!$I:$I,"Modernisation")/1000000000)</f>
        <v>1.03E-2</v>
      </c>
      <c r="AB79" s="15">
        <f>(SUMIFS('MAIN DATA, Orders'!$S:$S,'MAIN DATA, Orders'!$Y:$Y,$A79,'MAIN DATA, Orders'!$D:$D,"United Kingdom",'MAIN DATA, Orders'!$I:$I,"Development - Modernisation")/1000000000)</f>
        <v>0</v>
      </c>
      <c r="AC79" s="15">
        <f>(SUMIFS('MAIN DATA, Orders'!$S:$S,'MAIN DATA, Orders'!$Y:$Y,$A79,'MAIN DATA, Orders'!$D:$D,"United Kingdom",'MAIN DATA, Orders'!$I:$I,"Naval")/1000000000)</f>
        <v>0</v>
      </c>
      <c r="AD79" s="15">
        <f>(SUMIFS('MAIN DATA, Orders'!$S:$S,'MAIN DATA, Orders'!$Y:$Y,$A79,'MAIN DATA, Orders'!$D:$D,"United Kingdom",'MAIN DATA, Orders'!$I:$I,"Development - Naval")/1000000000)</f>
        <v>0</v>
      </c>
      <c r="AE79" s="15">
        <f>(SUMIFS('MAIN DATA, Orders'!$S:$S,'MAIN DATA, Orders'!$Y:$Y,$A79,'MAIN DATA, Orders'!$D:$D,"United Kingdom",'MAIN DATA, Orders'!$I:$I,"Other")/1000000000)</f>
        <v>0</v>
      </c>
      <c r="AF79" s="15">
        <f>(SUMIFS('MAIN DATA, Orders'!$S:$S,'MAIN DATA, Orders'!$Y:$Y,$A79,'MAIN DATA, Orders'!$D:$D,"United Kingdom",'MAIN DATA, Orders'!$I:$I,"Development - Other")/1000000000)</f>
        <v>0</v>
      </c>
      <c r="AG79" s="15"/>
      <c r="AH79" s="15" cm="1">
        <f t="array" ref="AH79">SUM(SUMIFS('MAIN DATA, Orders'!$S:$S,'MAIN DATA, Orders'!$Y:$Y,$A79,'MAIN DATA, Orders'!$D:$D,"United Kingdom",'MAIN DATA, Orders'!$I:$I,{"Missile (Land)","Development - Missile (Land)"})/1000000000)</f>
        <v>2.7E-2</v>
      </c>
      <c r="AI79" s="15" cm="1">
        <f t="array" ref="AI79">SUM(SUMIFS('MAIN DATA, Orders'!$S:$S,'MAIN DATA, Orders'!$D:$D,"United Kingdom",'MAIN DATA, Orders'!$I:$I,{"Missile (Air)","Development - Missile (Air)"},'MAIN DATA, Orders'!$Y:$Y,$A79)/1000000000)</f>
        <v>0</v>
      </c>
      <c r="AJ79" s="15" cm="1">
        <f t="array" ref="AJ79">SUM(SUMIFS('MAIN DATA, Orders'!$S:$S,'MAIN DATA, Orders'!$Y:$Y,$A79,'MAIN DATA, Orders'!$D:$D,"United Kingdom",'MAIN DATA, Orders'!$I:$I,{"Missile (Naval)","Development - Missile (Naval)"})/1000000000)</f>
        <v>0</v>
      </c>
    </row>
    <row r="80" spans="1:36" x14ac:dyDescent="0.35">
      <c r="A80" s="83"/>
      <c r="B80" s="9" t="s">
        <v>4219</v>
      </c>
      <c r="C80" s="18">
        <f t="shared" ref="C80:AI80" si="0">SUM(C7:C79)</f>
        <v>0.21639999999999998</v>
      </c>
      <c r="D80" s="18">
        <f t="shared" si="0"/>
        <v>0.28000000000000003</v>
      </c>
      <c r="E80" s="18">
        <f t="shared" si="0"/>
        <v>4.8631000000000002</v>
      </c>
      <c r="F80" s="18">
        <f t="shared" si="0"/>
        <v>1.0920000000000001</v>
      </c>
      <c r="G80" s="18">
        <f t="shared" si="0"/>
        <v>2.645</v>
      </c>
      <c r="H80" s="18">
        <f t="shared" si="0"/>
        <v>0</v>
      </c>
      <c r="I80" s="18">
        <f t="shared" si="0"/>
        <v>0.51200000000000001</v>
      </c>
      <c r="J80" s="18">
        <f t="shared" si="0"/>
        <v>1.4999999999999999E-2</v>
      </c>
      <c r="K80" s="18">
        <f t="shared" si="0"/>
        <v>0.11299999999999999</v>
      </c>
      <c r="L80" s="18">
        <f t="shared" si="0"/>
        <v>0</v>
      </c>
      <c r="M80" s="18">
        <f t="shared" si="0"/>
        <v>0.99640000000000006</v>
      </c>
      <c r="N80" s="18">
        <f t="shared" si="0"/>
        <v>0.20519999999999999</v>
      </c>
      <c r="O80" s="18">
        <f t="shared" si="0"/>
        <v>2.1219999999999999</v>
      </c>
      <c r="P80" s="18">
        <f t="shared" si="0"/>
        <v>0</v>
      </c>
      <c r="Q80" s="18">
        <f t="shared" si="0"/>
        <v>5.96E-2</v>
      </c>
      <c r="R80" s="18">
        <f t="shared" si="0"/>
        <v>0</v>
      </c>
      <c r="S80" s="18">
        <f t="shared" si="0"/>
        <v>0.82000000000000006</v>
      </c>
      <c r="T80" s="18">
        <f t="shared" si="0"/>
        <v>0</v>
      </c>
      <c r="U80" s="18">
        <f t="shared" si="0"/>
        <v>5.2000999999999999</v>
      </c>
      <c r="V80" s="18">
        <f t="shared" si="0"/>
        <v>0</v>
      </c>
      <c r="W80" s="18">
        <f t="shared" si="0"/>
        <v>0</v>
      </c>
      <c r="X80" s="18">
        <f t="shared" si="0"/>
        <v>0</v>
      </c>
      <c r="Y80" s="18">
        <f t="shared" si="0"/>
        <v>3.2669999999999999</v>
      </c>
      <c r="Z80" s="18">
        <f t="shared" si="0"/>
        <v>0.60050000000000003</v>
      </c>
      <c r="AA80" s="18">
        <f t="shared" si="0"/>
        <v>6.4464499999999996</v>
      </c>
      <c r="AB80" s="18">
        <f t="shared" si="0"/>
        <v>2.4906199999999998</v>
      </c>
      <c r="AC80" s="18">
        <f t="shared" si="0"/>
        <v>25.2439</v>
      </c>
      <c r="AD80" s="18">
        <f t="shared" si="0"/>
        <v>0.35474</v>
      </c>
      <c r="AE80" s="18">
        <f t="shared" si="0"/>
        <v>11.59979</v>
      </c>
      <c r="AF80" s="18">
        <f t="shared" si="0"/>
        <v>0</v>
      </c>
      <c r="AG80" s="18">
        <f t="shared" si="0"/>
        <v>0</v>
      </c>
      <c r="AH80" s="18">
        <f t="shared" si="0"/>
        <v>1.8239999999999998</v>
      </c>
      <c r="AI80" s="18">
        <f t="shared" si="0"/>
        <v>0.57350000000000001</v>
      </c>
      <c r="AJ80" s="18">
        <f>SUM(AJ7:AJ79)</f>
        <v>1.47</v>
      </c>
    </row>
  </sheetData>
  <mergeCells count="1">
    <mergeCell ref="B4:G4"/>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30128-A51A-4CFD-8AE7-18E9DAFB2CEC}">
  <sheetPr>
    <tabColor rgb="FFB5E6A2"/>
  </sheetPr>
  <dimension ref="B2:Q12"/>
  <sheetViews>
    <sheetView workbookViewId="0"/>
  </sheetViews>
  <sheetFormatPr baseColWidth="10" defaultColWidth="8.75" defaultRowHeight="15.5" x14ac:dyDescent="0.35"/>
  <cols>
    <col min="1" max="8" width="8.75" style="1"/>
    <col min="9" max="9" width="8.75" style="1" customWidth="1"/>
    <col min="10" max="16384" width="8.75" style="1"/>
  </cols>
  <sheetData>
    <row r="2" spans="2:17" ht="25.9" customHeight="1" x14ac:dyDescent="0.7">
      <c r="B2" s="238" t="s">
        <v>5658</v>
      </c>
      <c r="C2" s="238"/>
      <c r="D2" s="238"/>
      <c r="E2" s="238"/>
      <c r="F2" s="238"/>
      <c r="G2" s="238"/>
      <c r="H2" s="238"/>
      <c r="I2" s="238"/>
      <c r="J2" s="238"/>
      <c r="K2" s="238"/>
      <c r="L2" s="238"/>
      <c r="M2" s="238"/>
      <c r="N2" s="238"/>
      <c r="O2" s="238"/>
      <c r="P2" s="238"/>
      <c r="Q2" s="238"/>
    </row>
    <row r="3" spans="2:17" x14ac:dyDescent="0.35">
      <c r="N3"/>
      <c r="O3"/>
    </row>
    <row r="4" spans="2:17" ht="130.15" customHeight="1" x14ac:dyDescent="0.35">
      <c r="B4" s="232" t="s">
        <v>5659</v>
      </c>
      <c r="C4" s="232"/>
      <c r="D4" s="232"/>
      <c r="E4" s="232"/>
      <c r="F4" s="232"/>
      <c r="G4" s="232"/>
      <c r="H4" s="232"/>
      <c r="I4" s="232"/>
      <c r="J4" s="232"/>
      <c r="K4" s="232"/>
      <c r="L4" s="232"/>
    </row>
    <row r="6" spans="2:17" x14ac:dyDescent="0.35">
      <c r="B6" s="12"/>
      <c r="C6" s="239" t="s">
        <v>4219</v>
      </c>
      <c r="D6" s="239"/>
      <c r="E6" s="239" t="s">
        <v>5199</v>
      </c>
      <c r="F6" s="239"/>
      <c r="G6" s="239" t="s">
        <v>5200</v>
      </c>
      <c r="H6" s="239"/>
      <c r="I6" s="239" t="s">
        <v>5201</v>
      </c>
      <c r="J6" s="239"/>
      <c r="K6" s="239" t="s">
        <v>287</v>
      </c>
      <c r="L6" s="239"/>
    </row>
    <row r="7" spans="2:17" x14ac:dyDescent="0.35">
      <c r="B7" s="70"/>
      <c r="C7" s="71" t="s">
        <v>5216</v>
      </c>
      <c r="D7" s="71" t="s">
        <v>5204</v>
      </c>
      <c r="E7" s="71" t="s">
        <v>5216</v>
      </c>
      <c r="F7" s="71" t="s">
        <v>5204</v>
      </c>
      <c r="G7" s="71" t="s">
        <v>5216</v>
      </c>
      <c r="H7" s="71" t="s">
        <v>5204</v>
      </c>
      <c r="I7" s="71" t="s">
        <v>5216</v>
      </c>
      <c r="J7" s="71" t="s">
        <v>5204</v>
      </c>
      <c r="K7" s="71" t="s">
        <v>5216</v>
      </c>
      <c r="L7" s="71" t="s">
        <v>5204</v>
      </c>
    </row>
    <row r="8" spans="2:17" x14ac:dyDescent="0.35">
      <c r="B8" s="11" t="s">
        <v>5205</v>
      </c>
      <c r="C8" s="15">
        <f>(SUMIFS('MAIN DATA, Orders'!$U:$U,'MAIN DATA, Orders'!$D:$D,"Poland",'MAIN DATA, Orders'!$Y:$Y,"&lt;=202112")/1000000000)</f>
        <v>12.938863379836645</v>
      </c>
      <c r="D8" s="15">
        <f>(SUMIFS('MAIN DATA, Orders'!$U:$U,'MAIN DATA, Orders'!$D:$D,"Poland",'MAIN DATA, Orders'!$Y:$Y,"&gt;=202201")/1000000000)</f>
        <v>77.930126663911025</v>
      </c>
      <c r="E8" s="15" cm="1">
        <f t="array" ref="E8">SUM(SUMIFS('MAIN DATA, Orders'!$U:$U,'MAIN DATA, Orders'!$D:$D,"Poland",'MAIN DATA, Orders'!$I:$I,{"Aircraft","Development - Aircraft","Missile (Air)","Development - Missile (Air)"},'MAIN DATA, Orders'!$Y:$Y,"&lt;=202112")/1000000000)</f>
        <v>4.0273157065312555</v>
      </c>
      <c r="F8" s="15" cm="1">
        <f t="array" ref="F8">SUM(SUMIFS('MAIN DATA, Orders'!$U:$U,'MAIN DATA, Orders'!$D:$D,"Poland",'MAIN DATA, Orders'!$I:$I,{"Aircraft","Development - Aircraft","Missile (Air)","Development - Missile (Air)"},'MAIN DATA, Orders'!$Y:$Y,"&gt;=202201")/1000000000)</f>
        <v>6.9769020983956729</v>
      </c>
      <c r="G8" s="15" cm="1">
        <f t="array" ref="G8">SUM(SUMIFS('MAIN DATA, Orders'!$U:$U,'MAIN DATA, Orders'!$D:$D,"Poland",'MAIN DATA, Orders'!$I:$I,{"Naval","Development - Naval","Missile (Naval)","Development - Missile (Naval)"},'MAIN DATA, Orders'!$Y:$Y,"&lt;=202112")/1000000000)</f>
        <v>2.2284400180819159</v>
      </c>
      <c r="H8" s="15" cm="1">
        <f t="array" ref="H8">SUM(SUMIFS('MAIN DATA, Orders'!$U:$U,'MAIN DATA, Orders'!$D:$D,"Poland",'MAIN DATA, Orders'!$I:$I,{"Naval","Development - Naval","Missile (Naval)","Development - Missile (Naval)"},'MAIN DATA, Orders'!$Y:$Y,"&gt;=202201")/1000000000)</f>
        <v>4.6534887393381226</v>
      </c>
      <c r="I8" s="79" cm="1">
        <f t="array" ref="I8">SUM(SUMIFS('MAIN DATA, Orders'!$U:$U,'MAIN DATA, Orders'!$D:$D,"Poland",'MAIN DATA, Orders'!$I:$I,{"Air defence system","Development - Air defence system","Ammunition","Development - Ammunition","Armoured vehicle","Development - Artillery","Artillery""Development - Armoured vehicle","Drone","Development - Drone","Helicopter","Development - Helicopter","Infantry","Development - Infantry","Tank","Development - Tank","Mine","Development - Mine","Missile (Land)","Development - Missile (Land)"},'MAIN DATA, Orders'!$Y:$Y,"&lt;=202112")/1000000000)</f>
        <v>5.3015523765524213</v>
      </c>
      <c r="J8" s="79" cm="1">
        <f t="array" ref="J8">SUM(SUMIFS('MAIN DATA, Orders'!$U:$U,'MAIN DATA, Orders'!$D:$D,"Poland",'MAIN DATA, Orders'!$I:$I,{"Air defence system","Development - Air defence system","Ammunition","Development - Ammunition","Armoured vehicle","Development - Artillery","Artillery","Development - Armoured vehicle","Drone","Development - Drone","Helicopter","Development - Helicopter","Infantry","Development - Infantry","Tank","Development - Tank","Mine","Development - Mine","Missile (Land)","Development - Missile (Land)"},'MAIN DATA, Orders'!$Y:$Y,"&gt;=202201")/1000000000)</f>
        <v>58.815176125558807</v>
      </c>
      <c r="K8" s="15" cm="1">
        <f t="array" ref="K8">SUM(SUMIFS('MAIN DATA, Orders'!$U:$U,'MAIN DATA, Orders'!$D:$D,"Poland",'MAIN DATA, Orders'!$I:$I,{"Maintenance","Development - Maintenance","Modernisation","Development - Modernisation","Other","Development - Other"},'MAIN DATA, Orders'!$Y:$Y,"&lt;=202112")/1000000000)</f>
        <v>0.78939285050863905</v>
      </c>
      <c r="L8" s="15" cm="1">
        <f t="array" ref="L8">SUM(SUMIFS('MAIN DATA, Orders'!$U:$U,'MAIN DATA, Orders'!$D:$D,"Poland",'MAIN DATA, Orders'!$I:$I,{"Maintenance","Development - Maintenance","Modernisation","Development - Modernisation","Other","Development - Other"},'MAIN DATA, Orders'!$Y:$Y,"&gt;=202201")/1000000000)</f>
        <v>7.484559700618389</v>
      </c>
    </row>
    <row r="9" spans="2:17" x14ac:dyDescent="0.35">
      <c r="B9" s="62" t="s">
        <v>5206</v>
      </c>
      <c r="C9" s="63" t="s">
        <v>127</v>
      </c>
      <c r="D9" s="63" t="s">
        <v>127</v>
      </c>
      <c r="E9" s="137">
        <f>E8/C8</f>
        <v>0.31125730199819923</v>
      </c>
      <c r="F9" s="137">
        <f>F8/D8</f>
        <v>8.9527662754674234E-2</v>
      </c>
      <c r="G9" s="137">
        <f>G8/C8</f>
        <v>0.17222842166759553</v>
      </c>
      <c r="H9" s="137">
        <f>H8/D8</f>
        <v>5.9713604206075611E-2</v>
      </c>
      <c r="I9" s="137">
        <f>I8/C8</f>
        <v>0.40973864712213648</v>
      </c>
      <c r="J9" s="137">
        <f>J8/D8</f>
        <v>0.75471680392886831</v>
      </c>
      <c r="K9" s="137">
        <f>K8/C8</f>
        <v>6.1009443204941331E-2</v>
      </c>
      <c r="L9" s="137">
        <f>L8/D8</f>
        <v>9.6041929110381438E-2</v>
      </c>
    </row>
    <row r="12" spans="2:17" x14ac:dyDescent="0.35">
      <c r="E12" s="19"/>
      <c r="F12" s="19"/>
      <c r="G12" s="19"/>
      <c r="H12" s="19"/>
      <c r="I12" s="19"/>
      <c r="J12" s="19"/>
      <c r="K12" s="19"/>
      <c r="L12" s="19"/>
    </row>
  </sheetData>
  <mergeCells count="7">
    <mergeCell ref="B2:Q2"/>
    <mergeCell ref="B4:L4"/>
    <mergeCell ref="C6:D6"/>
    <mergeCell ref="E6:F6"/>
    <mergeCell ref="G6:H6"/>
    <mergeCell ref="I6:J6"/>
    <mergeCell ref="K6:L6"/>
  </mergeCell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5B1C8-C06C-469C-93D7-61CEB293ABF2}">
  <sheetPr>
    <tabColor rgb="FFB5E6A2"/>
  </sheetPr>
  <dimension ref="A2:H93"/>
  <sheetViews>
    <sheetView zoomScaleNormal="100" workbookViewId="0"/>
  </sheetViews>
  <sheetFormatPr baseColWidth="10" defaultColWidth="8.75" defaultRowHeight="15.5" x14ac:dyDescent="0.35"/>
  <cols>
    <col min="1" max="1" width="8.75" style="1"/>
    <col min="2" max="2" width="13.5" style="1" customWidth="1"/>
    <col min="3" max="3" width="16.75" style="1" bestFit="1" customWidth="1"/>
    <col min="4" max="4" width="34.75" style="1" bestFit="1" customWidth="1"/>
    <col min="5" max="5" width="30.75" style="1" customWidth="1"/>
    <col min="6" max="6" width="20.75" style="1" customWidth="1"/>
    <col min="7" max="16384" width="8.75" style="1"/>
  </cols>
  <sheetData>
    <row r="2" spans="1:8" ht="25.9" customHeight="1" x14ac:dyDescent="0.7">
      <c r="B2" s="16" t="s">
        <v>5660</v>
      </c>
    </row>
    <row r="3" spans="1:8" x14ac:dyDescent="0.35">
      <c r="G3"/>
      <c r="H3"/>
    </row>
    <row r="4" spans="1:8" ht="130.15" customHeight="1" x14ac:dyDescent="0.35">
      <c r="B4" s="232" t="s">
        <v>5635</v>
      </c>
      <c r="C4" s="232"/>
      <c r="D4" s="232"/>
      <c r="E4" s="232"/>
      <c r="F4" s="232"/>
    </row>
    <row r="6" spans="1:8" ht="21" customHeight="1" x14ac:dyDescent="0.35">
      <c r="B6" s="68" t="s">
        <v>4197</v>
      </c>
      <c r="C6" s="69" t="s">
        <v>5236</v>
      </c>
      <c r="D6" s="69" t="s">
        <v>5237</v>
      </c>
      <c r="E6" s="69" t="s">
        <v>5238</v>
      </c>
      <c r="F6" s="69" t="s">
        <v>5228</v>
      </c>
    </row>
    <row r="7" spans="1:8" x14ac:dyDescent="0.35">
      <c r="A7" s="215">
        <v>201901</v>
      </c>
      <c r="B7" s="17">
        <v>43466</v>
      </c>
      <c r="C7" s="15">
        <f>(SUMIFS('MAIN DATA, Orders'!$U:$U,'MAIN DATA, Orders'!$D:$D,"Poland",'MAIN DATA, Orders'!$Y:$Y,$A7,'MAIN DATA, Orders'!$AF:$AF,"0",'MAIN DATA, Orders'!$AH:$AH,"Poland")/1000000000)</f>
        <v>0</v>
      </c>
      <c r="D7" s="15">
        <f>(SUMIFS('MAIN DATA, Orders'!$U:$U,'MAIN DATA, Orders'!$D:$D,"Poland",'MAIN DATA, Orders'!$Y:$Y,$A7,'MAIN DATA, Orders'!$AF:$AF,"1")/1000000000)</f>
        <v>0.15901898734177214</v>
      </c>
      <c r="E7" s="15">
        <f>(SUMIFS('MAIN DATA, Orders'!$U:$U,'MAIN DATA, Orders'!$D:$D,"Poland",'MAIN DATA, Orders'!$Y:$Y,$A7,'MAIN DATA, Orders'!$AC:$AC,"1",'MAIN DATA, Orders'!$AF:$AF,"0",'MAIN DATA, Orders'!$AH:$AH,"&lt;&gt;Poland")/1000000000)</f>
        <v>0</v>
      </c>
      <c r="F7" s="15">
        <f>(SUMIFS('MAIN DATA, Orders'!$U:$U,'MAIN DATA, Orders'!$D:$D,"Poland",'MAIN DATA, Orders'!$Y:$Y,$A7,'MAIN DATA, Orders'!$AC:$AC,"0",'MAIN DATA, Orders'!$AF:$AF,"0")/1000000000)</f>
        <v>0</v>
      </c>
    </row>
    <row r="8" spans="1:8" x14ac:dyDescent="0.35">
      <c r="A8" s="215">
        <v>201902</v>
      </c>
      <c r="B8" s="17">
        <v>43497</v>
      </c>
      <c r="C8" s="15">
        <f>(SUMIFS('MAIN DATA, Orders'!$U:$U,'MAIN DATA, Orders'!$D:$D,"Poland",'MAIN DATA, Orders'!$Y:$Y,$A8,'MAIN DATA, Orders'!$AF:$AF,"0",'MAIN DATA, Orders'!$AH:$AH,"Poland")/1000000000)</f>
        <v>0</v>
      </c>
      <c r="D8" s="15">
        <f>(SUMIFS('MAIN DATA, Orders'!$U:$U,'MAIN DATA, Orders'!$D:$D,"Poland",'MAIN DATA, Orders'!$Y:$Y,$A8,'MAIN DATA, Orders'!$AF:$AF,"1")/1000000000)</f>
        <v>0</v>
      </c>
      <c r="E8" s="15">
        <f>(SUMIFS('MAIN DATA, Orders'!$U:$U,'MAIN DATA, Orders'!$D:$D,"Poland",'MAIN DATA, Orders'!$Y:$Y,$A8,'MAIN DATA, Orders'!$AC:$AC,"1",'MAIN DATA, Orders'!$AF:$AF,"0",'MAIN DATA, Orders'!$AH:$AH,"&lt;&gt;Poland")/1000000000)</f>
        <v>0</v>
      </c>
      <c r="F8" s="15">
        <f>(SUMIFS('MAIN DATA, Orders'!$U:$U,'MAIN DATA, Orders'!$D:$D,"Poland",'MAIN DATA, Orders'!$Y:$Y,$A8,'MAIN DATA, Orders'!$AC:$AC,"0",'MAIN DATA, Orders'!$AF:$AF,"0")/1000000000)</f>
        <v>0.36980794997766864</v>
      </c>
    </row>
    <row r="9" spans="1:8" x14ac:dyDescent="0.35">
      <c r="A9" s="215">
        <v>201903</v>
      </c>
      <c r="B9" s="17">
        <v>43525</v>
      </c>
      <c r="C9" s="15">
        <f>(SUMIFS('MAIN DATA, Orders'!$U:$U,'MAIN DATA, Orders'!$D:$D,"Poland",'MAIN DATA, Orders'!$Y:$Y,$A9,'MAIN DATA, Orders'!$AF:$AF,"0",'MAIN DATA, Orders'!$AH:$AH,"Poland")/1000000000)</f>
        <v>0</v>
      </c>
      <c r="D9" s="15">
        <f>(SUMIFS('MAIN DATA, Orders'!$U:$U,'MAIN DATA, Orders'!$D:$D,"Poland",'MAIN DATA, Orders'!$Y:$Y,$A9,'MAIN DATA, Orders'!$AF:$AF,"1")/1000000000)</f>
        <v>0.16864389426656737</v>
      </c>
      <c r="E9" s="15">
        <f>(SUMIFS('MAIN DATA, Orders'!$U:$U,'MAIN DATA, Orders'!$D:$D,"Poland",'MAIN DATA, Orders'!$Y:$Y,$A9,'MAIN DATA, Orders'!$AC:$AC,"1",'MAIN DATA, Orders'!$AF:$AF,"0",'MAIN DATA, Orders'!$AH:$AH,"&lt;&gt;Poland")/1000000000)</f>
        <v>0</v>
      </c>
      <c r="F9" s="15">
        <f>(SUMIFS('MAIN DATA, Orders'!$U:$U,'MAIN DATA, Orders'!$D:$D,"Poland",'MAIN DATA, Orders'!$Y:$Y,$A9,'MAIN DATA, Orders'!$AC:$AC,"0",'MAIN DATA, Orders'!$AF:$AF,"0")/1000000000)</f>
        <v>0</v>
      </c>
    </row>
    <row r="10" spans="1:8" x14ac:dyDescent="0.35">
      <c r="A10" s="215">
        <v>201904</v>
      </c>
      <c r="B10" s="17">
        <v>43556</v>
      </c>
      <c r="C10" s="15">
        <f>(SUMIFS('MAIN DATA, Orders'!$U:$U,'MAIN DATA, Orders'!$D:$D,"Poland",'MAIN DATA, Orders'!$Y:$Y,$A10,'MAIN DATA, Orders'!$AF:$AF,"0",'MAIN DATA, Orders'!$AH:$AH,"Poland")/1000000000)</f>
        <v>0</v>
      </c>
      <c r="D10" s="15">
        <f>(SUMIFS('MAIN DATA, Orders'!$U:$U,'MAIN DATA, Orders'!$D:$D,"Poland",'MAIN DATA, Orders'!$Y:$Y,$A10,'MAIN DATA, Orders'!$AF:$AF,"1")/1000000000)</f>
        <v>0.4760523899385703</v>
      </c>
      <c r="E10" s="15">
        <f>(SUMIFS('MAIN DATA, Orders'!$U:$U,'MAIN DATA, Orders'!$D:$D,"Poland",'MAIN DATA, Orders'!$Y:$Y,$A10,'MAIN DATA, Orders'!$AC:$AC,"1",'MAIN DATA, Orders'!$AF:$AF,"0",'MAIN DATA, Orders'!$AH:$AH,"&lt;&gt;Poland")/1000000000)</f>
        <v>0</v>
      </c>
      <c r="F10" s="15">
        <f>(SUMIFS('MAIN DATA, Orders'!$U:$U,'MAIN DATA, Orders'!$D:$D,"Poland",'MAIN DATA, Orders'!$Y:$Y,$A10,'MAIN DATA, Orders'!$AC:$AC,"0",'MAIN DATA, Orders'!$AF:$AF,"0")/1000000000)</f>
        <v>0</v>
      </c>
    </row>
    <row r="11" spans="1:8" x14ac:dyDescent="0.35">
      <c r="A11" s="215">
        <v>201905</v>
      </c>
      <c r="B11" s="17">
        <v>43586</v>
      </c>
      <c r="C11" s="15">
        <f>(SUMIFS('MAIN DATA, Orders'!$U:$U,'MAIN DATA, Orders'!$D:$D,"Poland",'MAIN DATA, Orders'!$Y:$Y,$A11,'MAIN DATA, Orders'!$AF:$AF,"0",'MAIN DATA, Orders'!$AH:$AH,"Poland")/1000000000)</f>
        <v>3.9768344657483246E-2</v>
      </c>
      <c r="D11" s="15">
        <f>(SUMIFS('MAIN DATA, Orders'!$U:$U,'MAIN DATA, Orders'!$D:$D,"Poland",'MAIN DATA, Orders'!$Y:$Y,$A11,'MAIN DATA, Orders'!$AF:$AF,"1")/1000000000)</f>
        <v>0</v>
      </c>
      <c r="E11" s="15">
        <f>(SUMIFS('MAIN DATA, Orders'!$U:$U,'MAIN DATA, Orders'!$D:$D,"Poland",'MAIN DATA, Orders'!$Y:$Y,$A11,'MAIN DATA, Orders'!$AC:$AC,"1",'MAIN DATA, Orders'!$AF:$AF,"0",'MAIN DATA, Orders'!$AH:$AH,"&lt;&gt;Poland")/1000000000)</f>
        <v>0</v>
      </c>
      <c r="F11" s="15">
        <f>(SUMIFS('MAIN DATA, Orders'!$U:$U,'MAIN DATA, Orders'!$D:$D,"Poland",'MAIN DATA, Orders'!$Y:$Y,$A11,'MAIN DATA, Orders'!$AC:$AC,"0",'MAIN DATA, Orders'!$AF:$AF,"0")/1000000000)</f>
        <v>0</v>
      </c>
    </row>
    <row r="12" spans="1:8" x14ac:dyDescent="0.35">
      <c r="A12" s="215">
        <v>201906</v>
      </c>
      <c r="B12" s="17">
        <v>43617</v>
      </c>
      <c r="C12" s="15">
        <f>(SUMIFS('MAIN DATA, Orders'!$U:$U,'MAIN DATA, Orders'!$D:$D,"Poland",'MAIN DATA, Orders'!$Y:$Y,$A12,'MAIN DATA, Orders'!$AF:$AF,"0",'MAIN DATA, Orders'!$AH:$AH,"Poland")/1000000000)</f>
        <v>0</v>
      </c>
      <c r="D12" s="15">
        <f>(SUMIFS('MAIN DATA, Orders'!$U:$U,'MAIN DATA, Orders'!$D:$D,"Poland",'MAIN DATA, Orders'!$Y:$Y,$A12,'MAIN DATA, Orders'!$AF:$AF,"1")/1000000000)</f>
        <v>0</v>
      </c>
      <c r="E12" s="15">
        <f>(SUMIFS('MAIN DATA, Orders'!$U:$U,'MAIN DATA, Orders'!$D:$D,"Poland",'MAIN DATA, Orders'!$Y:$Y,$A12,'MAIN DATA, Orders'!$AC:$AC,"1",'MAIN DATA, Orders'!$AF:$AF,"0",'MAIN DATA, Orders'!$AH:$AH,"&lt;&gt;Poland")/1000000000)</f>
        <v>0</v>
      </c>
      <c r="F12" s="15">
        <f>(SUMIFS('MAIN DATA, Orders'!$U:$U,'MAIN DATA, Orders'!$D:$D,"Poland",'MAIN DATA, Orders'!$Y:$Y,$A12,'MAIN DATA, Orders'!$AC:$AC,"0",'MAIN DATA, Orders'!$AF:$AF,"0")/1000000000)</f>
        <v>0</v>
      </c>
    </row>
    <row r="13" spans="1:8" x14ac:dyDescent="0.35">
      <c r="A13" s="215">
        <v>201907</v>
      </c>
      <c r="B13" s="17">
        <v>43647</v>
      </c>
      <c r="C13" s="15">
        <f>(SUMIFS('MAIN DATA, Orders'!$U:$U,'MAIN DATA, Orders'!$D:$D,"Poland",'MAIN DATA, Orders'!$Y:$Y,$A13,'MAIN DATA, Orders'!$AF:$AF,"0",'MAIN DATA, Orders'!$AH:$AH,"Poland")/1000000000)</f>
        <v>0.41344704020848838</v>
      </c>
      <c r="D13" s="15">
        <f>(SUMIFS('MAIN DATA, Orders'!$U:$U,'MAIN DATA, Orders'!$D:$D,"Poland",'MAIN DATA, Orders'!$Y:$Y,$A13,'MAIN DATA, Orders'!$AF:$AF,"1")/1000000000)</f>
        <v>6.9806403574087864E-3</v>
      </c>
      <c r="E13" s="15">
        <f>(SUMIFS('MAIN DATA, Orders'!$U:$U,'MAIN DATA, Orders'!$D:$D,"Poland",'MAIN DATA, Orders'!$Y:$Y,$A13,'MAIN DATA, Orders'!$AC:$AC,"1",'MAIN DATA, Orders'!$AF:$AF,"0",'MAIN DATA, Orders'!$AH:$AH,"&lt;&gt;Poland")/1000000000)</f>
        <v>0</v>
      </c>
      <c r="F13" s="15">
        <f>(SUMIFS('MAIN DATA, Orders'!$U:$U,'MAIN DATA, Orders'!$D:$D,"Poland",'MAIN DATA, Orders'!$Y:$Y,$A13,'MAIN DATA, Orders'!$AC:$AC,"0",'MAIN DATA, Orders'!$AF:$AF,"0")/1000000000)</f>
        <v>0</v>
      </c>
    </row>
    <row r="14" spans="1:8" x14ac:dyDescent="0.35">
      <c r="A14" s="215">
        <v>201908</v>
      </c>
      <c r="B14" s="17">
        <v>43678</v>
      </c>
      <c r="C14" s="15">
        <f>(SUMIFS('MAIN DATA, Orders'!$U:$U,'MAIN DATA, Orders'!$D:$D,"Poland",'MAIN DATA, Orders'!$Y:$Y,$A14,'MAIN DATA, Orders'!$AF:$AF,"0",'MAIN DATA, Orders'!$AH:$AH,"Poland")/1000000000)</f>
        <v>0</v>
      </c>
      <c r="D14" s="15">
        <f>(SUMIFS('MAIN DATA, Orders'!$U:$U,'MAIN DATA, Orders'!$D:$D,"Poland",'MAIN DATA, Orders'!$Y:$Y,$A14,'MAIN DATA, Orders'!$AF:$AF,"1")/1000000000)</f>
        <v>0</v>
      </c>
      <c r="E14" s="15">
        <f>(SUMIFS('MAIN DATA, Orders'!$U:$U,'MAIN DATA, Orders'!$D:$D,"Poland",'MAIN DATA, Orders'!$Y:$Y,$A14,'MAIN DATA, Orders'!$AC:$AC,"1",'MAIN DATA, Orders'!$AF:$AF,"0",'MAIN DATA, Orders'!$AH:$AH,"&lt;&gt;Poland")/1000000000)</f>
        <v>0</v>
      </c>
      <c r="F14" s="15">
        <f>(SUMIFS('MAIN DATA, Orders'!$U:$U,'MAIN DATA, Orders'!$D:$D,"Poland",'MAIN DATA, Orders'!$Y:$Y,$A14,'MAIN DATA, Orders'!$AC:$AC,"0",'MAIN DATA, Orders'!$AF:$AF,"0")/1000000000)</f>
        <v>0</v>
      </c>
    </row>
    <row r="15" spans="1:8" x14ac:dyDescent="0.35">
      <c r="A15" s="215">
        <v>201909</v>
      </c>
      <c r="B15" s="17">
        <v>43709</v>
      </c>
      <c r="C15" s="15">
        <f>(SUMIFS('MAIN DATA, Orders'!$U:$U,'MAIN DATA, Orders'!$D:$D,"Poland",'MAIN DATA, Orders'!$Y:$Y,$A15,'MAIN DATA, Orders'!$AF:$AF,"0",'MAIN DATA, Orders'!$AH:$AH,"Poland")/1000000000)</f>
        <v>2.896965748324646E-2</v>
      </c>
      <c r="D15" s="15">
        <f>(SUMIFS('MAIN DATA, Orders'!$U:$U,'MAIN DATA, Orders'!$D:$D,"Poland",'MAIN DATA, Orders'!$Y:$Y,$A15,'MAIN DATA, Orders'!$AF:$AF,"1")/1000000000)</f>
        <v>0</v>
      </c>
      <c r="E15" s="15">
        <f>(SUMIFS('MAIN DATA, Orders'!$U:$U,'MAIN DATA, Orders'!$D:$D,"Poland",'MAIN DATA, Orders'!$Y:$Y,$A15,'MAIN DATA, Orders'!$AC:$AC,"1",'MAIN DATA, Orders'!$AF:$AF,"0",'MAIN DATA, Orders'!$AH:$AH,"&lt;&gt;Poland")/1000000000)</f>
        <v>0</v>
      </c>
      <c r="F15" s="15">
        <f>(SUMIFS('MAIN DATA, Orders'!$U:$U,'MAIN DATA, Orders'!$D:$D,"Poland",'MAIN DATA, Orders'!$Y:$Y,$A15,'MAIN DATA, Orders'!$AC:$AC,"0",'MAIN DATA, Orders'!$AF:$AF,"0")/1000000000)</f>
        <v>0</v>
      </c>
    </row>
    <row r="16" spans="1:8" x14ac:dyDescent="0.35">
      <c r="A16" s="215">
        <v>201910</v>
      </c>
      <c r="B16" s="17">
        <v>43739</v>
      </c>
      <c r="C16" s="15">
        <f>(SUMIFS('MAIN DATA, Orders'!$U:$U,'MAIN DATA, Orders'!$D:$D,"Poland",'MAIN DATA, Orders'!$Y:$Y,$A16,'MAIN DATA, Orders'!$AF:$AF,"0",'MAIN DATA, Orders'!$AH:$AH,"Poland")/1000000000)</f>
        <v>6.4105547282204023E-2</v>
      </c>
      <c r="D16" s="15">
        <f>(SUMIFS('MAIN DATA, Orders'!$U:$U,'MAIN DATA, Orders'!$D:$D,"Poland",'MAIN DATA, Orders'!$Y:$Y,$A16,'MAIN DATA, Orders'!$AF:$AF,"1")/1000000000)</f>
        <v>0</v>
      </c>
      <c r="E16" s="15">
        <f>(SUMIFS('MAIN DATA, Orders'!$U:$U,'MAIN DATA, Orders'!$D:$D,"Poland",'MAIN DATA, Orders'!$Y:$Y,$A16,'MAIN DATA, Orders'!$AC:$AC,"1",'MAIN DATA, Orders'!$AF:$AF,"0",'MAIN DATA, Orders'!$AH:$AH,"&lt;&gt;Poland")/1000000000)</f>
        <v>0</v>
      </c>
      <c r="F16" s="15">
        <f>(SUMIFS('MAIN DATA, Orders'!$U:$U,'MAIN DATA, Orders'!$D:$D,"Poland",'MAIN DATA, Orders'!$Y:$Y,$A16,'MAIN DATA, Orders'!$AC:$AC,"0",'MAIN DATA, Orders'!$AF:$AF,"0")/1000000000)</f>
        <v>0</v>
      </c>
    </row>
    <row r="17" spans="1:6" x14ac:dyDescent="0.35">
      <c r="A17" s="215">
        <v>201911</v>
      </c>
      <c r="B17" s="17">
        <v>43770</v>
      </c>
      <c r="C17" s="15">
        <f>(SUMIFS('MAIN DATA, Orders'!$U:$U,'MAIN DATA, Orders'!$D:$D,"Poland",'MAIN DATA, Orders'!$Y:$Y,$A17,'MAIN DATA, Orders'!$AF:$AF,"0",'MAIN DATA, Orders'!$AH:$AH,"Poland")/1000000000)</f>
        <v>0.10005584512285927</v>
      </c>
      <c r="D17" s="15">
        <f>(SUMIFS('MAIN DATA, Orders'!$U:$U,'MAIN DATA, Orders'!$D:$D,"Poland",'MAIN DATA, Orders'!$Y:$Y,$A17,'MAIN DATA, Orders'!$AF:$AF,"1")/1000000000)</f>
        <v>0</v>
      </c>
      <c r="E17" s="15">
        <f>(SUMIFS('MAIN DATA, Orders'!$U:$U,'MAIN DATA, Orders'!$D:$D,"Poland",'MAIN DATA, Orders'!$Y:$Y,$A17,'MAIN DATA, Orders'!$AC:$AC,"1",'MAIN DATA, Orders'!$AF:$AF,"0",'MAIN DATA, Orders'!$AH:$AH,"&lt;&gt;Poland")/1000000000)</f>
        <v>0</v>
      </c>
      <c r="F17" s="15">
        <f>(SUMIFS('MAIN DATA, Orders'!$U:$U,'MAIN DATA, Orders'!$D:$D,"Poland",'MAIN DATA, Orders'!$Y:$Y,$A17,'MAIN DATA, Orders'!$AC:$AC,"0",'MAIN DATA, Orders'!$AF:$AF,"0")/1000000000)</f>
        <v>0</v>
      </c>
    </row>
    <row r="18" spans="1:6" x14ac:dyDescent="0.35">
      <c r="A18" s="215">
        <v>201912</v>
      </c>
      <c r="B18" s="17">
        <v>43800</v>
      </c>
      <c r="C18" s="15">
        <f>(SUMIFS('MAIN DATA, Orders'!$U:$U,'MAIN DATA, Orders'!$D:$D,"Poland",'MAIN DATA, Orders'!$Y:$Y,$A18,'MAIN DATA, Orders'!$AF:$AF,"0",'MAIN DATA, Orders'!$AH:$AH,"Poland")/1000000000)</f>
        <v>0</v>
      </c>
      <c r="D18" s="15">
        <f>(SUMIFS('MAIN DATA, Orders'!$U:$U,'MAIN DATA, Orders'!$D:$D,"Poland",'MAIN DATA, Orders'!$Y:$Y,$A18,'MAIN DATA, Orders'!$AF:$AF,"1")/1000000000)</f>
        <v>0</v>
      </c>
      <c r="E18" s="15">
        <f>(SUMIFS('MAIN DATA, Orders'!$U:$U,'MAIN DATA, Orders'!$D:$D,"Poland",'MAIN DATA, Orders'!$Y:$Y,$A18,'MAIN DATA, Orders'!$AC:$AC,"1",'MAIN DATA, Orders'!$AF:$AF,"0",'MAIN DATA, Orders'!$AH:$AH,"&lt;&gt;Poland")/1000000000)</f>
        <v>0</v>
      </c>
      <c r="F18" s="15">
        <f>(SUMIFS('MAIN DATA, Orders'!$U:$U,'MAIN DATA, Orders'!$D:$D,"Poland",'MAIN DATA, Orders'!$Y:$Y,$A18,'MAIN DATA, Orders'!$AC:$AC,"0",'MAIN DATA, Orders'!$AF:$AF,"0")/1000000000)</f>
        <v>0</v>
      </c>
    </row>
    <row r="19" spans="1:6" x14ac:dyDescent="0.35">
      <c r="A19" s="215">
        <v>202001</v>
      </c>
      <c r="B19" s="17">
        <v>43831</v>
      </c>
      <c r="C19" s="15">
        <f>(SUMIFS('MAIN DATA, Orders'!$U:$U,'MAIN DATA, Orders'!$D:$D,"Poland",'MAIN DATA, Orders'!$Y:$Y,$A19,'MAIN DATA, Orders'!$AF:$AF,"0",'MAIN DATA, Orders'!$AH:$AH,"Poland")/1000000000)</f>
        <v>0</v>
      </c>
      <c r="D19" s="15">
        <f>(SUMIFS('MAIN DATA, Orders'!$U:$U,'MAIN DATA, Orders'!$D:$D,"Poland",'MAIN DATA, Orders'!$Y:$Y,$A19,'MAIN DATA, Orders'!$AF:$AF,"1")/1000000000)</f>
        <v>0</v>
      </c>
      <c r="E19" s="15">
        <f>(SUMIFS('MAIN DATA, Orders'!$U:$U,'MAIN DATA, Orders'!$D:$D,"Poland",'MAIN DATA, Orders'!$Y:$Y,$A19,'MAIN DATA, Orders'!$AC:$AC,"1",'MAIN DATA, Orders'!$AF:$AF,"0",'MAIN DATA, Orders'!$AH:$AH,"&lt;&gt;Poland")/1000000000)</f>
        <v>0</v>
      </c>
      <c r="F19" s="15">
        <f>(SUMIFS('MAIN DATA, Orders'!$U:$U,'MAIN DATA, Orders'!$D:$D,"Poland",'MAIN DATA, Orders'!$Y:$Y,$A19,'MAIN DATA, Orders'!$AC:$AC,"0",'MAIN DATA, Orders'!$AF:$AF,"0")/1000000000)</f>
        <v>4.0273157065312555</v>
      </c>
    </row>
    <row r="20" spans="1:6" x14ac:dyDescent="0.35">
      <c r="A20" s="215">
        <v>202002</v>
      </c>
      <c r="B20" s="17">
        <v>43862</v>
      </c>
      <c r="C20" s="15">
        <f>(SUMIFS('MAIN DATA, Orders'!$U:$U,'MAIN DATA, Orders'!$D:$D,"Poland",'MAIN DATA, Orders'!$Y:$Y,$A20,'MAIN DATA, Orders'!$AF:$AF,"0",'MAIN DATA, Orders'!$AH:$AH,"Poland")/1000000000)</f>
        <v>0</v>
      </c>
      <c r="D20" s="15">
        <f>(SUMIFS('MAIN DATA, Orders'!$U:$U,'MAIN DATA, Orders'!$D:$D,"Poland",'MAIN DATA, Orders'!$Y:$Y,$A20,'MAIN DATA, Orders'!$AF:$AF,"1")/1000000000)</f>
        <v>0</v>
      </c>
      <c r="E20" s="15">
        <f>(SUMIFS('MAIN DATA, Orders'!$U:$U,'MAIN DATA, Orders'!$D:$D,"Poland",'MAIN DATA, Orders'!$Y:$Y,$A20,'MAIN DATA, Orders'!$AC:$AC,"1",'MAIN DATA, Orders'!$AF:$AF,"0",'MAIN DATA, Orders'!$AH:$AH,"&lt;&gt;Poland")/1000000000)</f>
        <v>0</v>
      </c>
      <c r="F20" s="15">
        <f>(SUMIFS('MAIN DATA, Orders'!$U:$U,'MAIN DATA, Orders'!$D:$D,"Poland",'MAIN DATA, Orders'!$Y:$Y,$A20,'MAIN DATA, Orders'!$AC:$AC,"0",'MAIN DATA, Orders'!$AF:$AF,"0")/1000000000)</f>
        <v>0</v>
      </c>
    </row>
    <row r="21" spans="1:6" x14ac:dyDescent="0.35">
      <c r="A21" s="215">
        <v>202003</v>
      </c>
      <c r="B21" s="17">
        <v>43891</v>
      </c>
      <c r="C21" s="15">
        <f>(SUMIFS('MAIN DATA, Orders'!$U:$U,'MAIN DATA, Orders'!$D:$D,"Poland",'MAIN DATA, Orders'!$Y:$Y,$A21,'MAIN DATA, Orders'!$AF:$AF,"0",'MAIN DATA, Orders'!$AH:$AH,"Poland")/1000000000)</f>
        <v>0</v>
      </c>
      <c r="D21" s="15">
        <f>(SUMIFS('MAIN DATA, Orders'!$U:$U,'MAIN DATA, Orders'!$D:$D,"Poland",'MAIN DATA, Orders'!$Y:$Y,$A21,'MAIN DATA, Orders'!$AF:$AF,"1")/1000000000)</f>
        <v>0</v>
      </c>
      <c r="E21" s="15">
        <f>(SUMIFS('MAIN DATA, Orders'!$U:$U,'MAIN DATA, Orders'!$D:$D,"Poland",'MAIN DATA, Orders'!$Y:$Y,$A21,'MAIN DATA, Orders'!$AC:$AC,"1",'MAIN DATA, Orders'!$AF:$AF,"0",'MAIN DATA, Orders'!$AH:$AH,"&lt;&gt;Poland")/1000000000)</f>
        <v>0</v>
      </c>
      <c r="F21" s="15">
        <f>(SUMIFS('MAIN DATA, Orders'!$U:$U,'MAIN DATA, Orders'!$D:$D,"Poland",'MAIN DATA, Orders'!$Y:$Y,$A21,'MAIN DATA, Orders'!$AC:$AC,"0",'MAIN DATA, Orders'!$AF:$AF,"0")/1000000000)</f>
        <v>0</v>
      </c>
    </row>
    <row r="22" spans="1:6" x14ac:dyDescent="0.35">
      <c r="A22" s="215">
        <v>202004</v>
      </c>
      <c r="B22" s="17">
        <v>43922</v>
      </c>
      <c r="C22" s="15">
        <f>(SUMIFS('MAIN DATA, Orders'!$U:$U,'MAIN DATA, Orders'!$D:$D,"Poland",'MAIN DATA, Orders'!$Y:$Y,$A22,'MAIN DATA, Orders'!$AF:$AF,"0",'MAIN DATA, Orders'!$AH:$AH,"Poland")/1000000000)</f>
        <v>0</v>
      </c>
      <c r="D22" s="15">
        <f>(SUMIFS('MAIN DATA, Orders'!$U:$U,'MAIN DATA, Orders'!$D:$D,"Poland",'MAIN DATA, Orders'!$Y:$Y,$A22,'MAIN DATA, Orders'!$AF:$AF,"1")/1000000000)</f>
        <v>0</v>
      </c>
      <c r="E22" s="15">
        <f>(SUMIFS('MAIN DATA, Orders'!$U:$U,'MAIN DATA, Orders'!$D:$D,"Poland",'MAIN DATA, Orders'!$Y:$Y,$A22,'MAIN DATA, Orders'!$AC:$AC,"1",'MAIN DATA, Orders'!$AF:$AF,"0",'MAIN DATA, Orders'!$AH:$AH,"&lt;&gt;Poland")/1000000000)</f>
        <v>0</v>
      </c>
      <c r="F22" s="15">
        <f>(SUMIFS('MAIN DATA, Orders'!$U:$U,'MAIN DATA, Orders'!$D:$D,"Poland",'MAIN DATA, Orders'!$Y:$Y,$A22,'MAIN DATA, Orders'!$AC:$AC,"0",'MAIN DATA, Orders'!$AF:$AF,"0")/1000000000)</f>
        <v>0</v>
      </c>
    </row>
    <row r="23" spans="1:6" x14ac:dyDescent="0.35">
      <c r="A23" s="215">
        <v>202005</v>
      </c>
      <c r="B23" s="17">
        <v>43952</v>
      </c>
      <c r="C23" s="15">
        <f>(SUMIFS('MAIN DATA, Orders'!$U:$U,'MAIN DATA, Orders'!$D:$D,"Poland",'MAIN DATA, Orders'!$Y:$Y,$A23,'MAIN DATA, Orders'!$AF:$AF,"0",'MAIN DATA, Orders'!$AH:$AH,"Poland")/1000000000)</f>
        <v>0.15824893090254333</v>
      </c>
      <c r="D23" s="15">
        <f>(SUMIFS('MAIN DATA, Orders'!$U:$U,'MAIN DATA, Orders'!$D:$D,"Poland",'MAIN DATA, Orders'!$Y:$Y,$A23,'MAIN DATA, Orders'!$AF:$AF,"1")/1000000000)</f>
        <v>0</v>
      </c>
      <c r="E23" s="15">
        <f>(SUMIFS('MAIN DATA, Orders'!$U:$U,'MAIN DATA, Orders'!$D:$D,"Poland",'MAIN DATA, Orders'!$Y:$Y,$A23,'MAIN DATA, Orders'!$AC:$AC,"1",'MAIN DATA, Orders'!$AF:$AF,"0",'MAIN DATA, Orders'!$AH:$AH,"&lt;&gt;Poland")/1000000000)</f>
        <v>0</v>
      </c>
      <c r="F23" s="15">
        <f>(SUMIFS('MAIN DATA, Orders'!$U:$U,'MAIN DATA, Orders'!$D:$D,"Poland",'MAIN DATA, Orders'!$Y:$Y,$A23,'MAIN DATA, Orders'!$AC:$AC,"0",'MAIN DATA, Orders'!$AF:$AF,"0")/1000000000)</f>
        <v>0</v>
      </c>
    </row>
    <row r="24" spans="1:6" x14ac:dyDescent="0.35">
      <c r="A24" s="215">
        <v>202006</v>
      </c>
      <c r="B24" s="17">
        <v>43983</v>
      </c>
      <c r="C24" s="15">
        <f>(SUMIFS('MAIN DATA, Orders'!$U:$U,'MAIN DATA, Orders'!$D:$D,"Poland",'MAIN DATA, Orders'!$Y:$Y,$A24,'MAIN DATA, Orders'!$AF:$AF,"0",'MAIN DATA, Orders'!$AH:$AH,"Poland")/1000000000)</f>
        <v>0</v>
      </c>
      <c r="D24" s="15">
        <f>(SUMIFS('MAIN DATA, Orders'!$U:$U,'MAIN DATA, Orders'!$D:$D,"Poland",'MAIN DATA, Orders'!$Y:$Y,$A24,'MAIN DATA, Orders'!$AF:$AF,"1")/1000000000)</f>
        <v>0</v>
      </c>
      <c r="E24" s="15">
        <f>(SUMIFS('MAIN DATA, Orders'!$U:$U,'MAIN DATA, Orders'!$D:$D,"Poland",'MAIN DATA, Orders'!$Y:$Y,$A24,'MAIN DATA, Orders'!$AC:$AC,"1",'MAIN DATA, Orders'!$AF:$AF,"0",'MAIN DATA, Orders'!$AH:$AH,"&lt;&gt;Poland")/1000000000)</f>
        <v>0</v>
      </c>
      <c r="F24" s="15">
        <f>(SUMIFS('MAIN DATA, Orders'!$U:$U,'MAIN DATA, Orders'!$D:$D,"Poland",'MAIN DATA, Orders'!$Y:$Y,$A24,'MAIN DATA, Orders'!$AC:$AC,"0",'MAIN DATA, Orders'!$AF:$AF,"0")/1000000000)</f>
        <v>0</v>
      </c>
    </row>
    <row r="25" spans="1:6" x14ac:dyDescent="0.35">
      <c r="A25" s="215">
        <v>202007</v>
      </c>
      <c r="B25" s="17">
        <v>44013</v>
      </c>
      <c r="C25" s="15">
        <f>(SUMIFS('MAIN DATA, Orders'!$U:$U,'MAIN DATA, Orders'!$D:$D,"Poland",'MAIN DATA, Orders'!$Y:$Y,$A25,'MAIN DATA, Orders'!$AF:$AF,"0",'MAIN DATA, Orders'!$AH:$AH,"Poland")/1000000000)</f>
        <v>3.9837947332883192E-2</v>
      </c>
      <c r="D25" s="15">
        <f>(SUMIFS('MAIN DATA, Orders'!$U:$U,'MAIN DATA, Orders'!$D:$D,"Poland",'MAIN DATA, Orders'!$Y:$Y,$A25,'MAIN DATA, Orders'!$AF:$AF,"1")/1000000000)</f>
        <v>0</v>
      </c>
      <c r="E25" s="15">
        <f>(SUMIFS('MAIN DATA, Orders'!$U:$U,'MAIN DATA, Orders'!$D:$D,"Poland",'MAIN DATA, Orders'!$Y:$Y,$A25,'MAIN DATA, Orders'!$AC:$AC,"1",'MAIN DATA, Orders'!$AF:$AF,"0",'MAIN DATA, Orders'!$AH:$AH,"&lt;&gt;Poland")/1000000000)</f>
        <v>0</v>
      </c>
      <c r="F25" s="15">
        <f>(SUMIFS('MAIN DATA, Orders'!$U:$U,'MAIN DATA, Orders'!$D:$D,"Poland",'MAIN DATA, Orders'!$Y:$Y,$A25,'MAIN DATA, Orders'!$AC:$AC,"0",'MAIN DATA, Orders'!$AF:$AF,"0")/1000000000)</f>
        <v>0</v>
      </c>
    </row>
    <row r="26" spans="1:6" x14ac:dyDescent="0.35">
      <c r="A26" s="215">
        <v>202008</v>
      </c>
      <c r="B26" s="17">
        <v>44044</v>
      </c>
      <c r="C26" s="15">
        <f>(SUMIFS('MAIN DATA, Orders'!$U:$U,'MAIN DATA, Orders'!$D:$D,"Poland",'MAIN DATA, Orders'!$Y:$Y,$A26,'MAIN DATA, Orders'!$AF:$AF,"0",'MAIN DATA, Orders'!$AH:$AH,"Poland")/1000000000)</f>
        <v>0</v>
      </c>
      <c r="D26" s="15">
        <f>(SUMIFS('MAIN DATA, Orders'!$U:$U,'MAIN DATA, Orders'!$D:$D,"Poland",'MAIN DATA, Orders'!$Y:$Y,$A26,'MAIN DATA, Orders'!$AF:$AF,"1")/1000000000)</f>
        <v>0</v>
      </c>
      <c r="E26" s="15">
        <f>(SUMIFS('MAIN DATA, Orders'!$U:$U,'MAIN DATA, Orders'!$D:$D,"Poland",'MAIN DATA, Orders'!$Y:$Y,$A26,'MAIN DATA, Orders'!$AC:$AC,"1",'MAIN DATA, Orders'!$AF:$AF,"0",'MAIN DATA, Orders'!$AH:$AH,"&lt;&gt;Poland")/1000000000)</f>
        <v>0</v>
      </c>
      <c r="F26" s="15">
        <f>(SUMIFS('MAIN DATA, Orders'!$U:$U,'MAIN DATA, Orders'!$D:$D,"Poland",'MAIN DATA, Orders'!$Y:$Y,$A26,'MAIN DATA, Orders'!$AC:$AC,"0",'MAIN DATA, Orders'!$AF:$AF,"0")/1000000000)</f>
        <v>0</v>
      </c>
    </row>
    <row r="27" spans="1:6" x14ac:dyDescent="0.35">
      <c r="A27" s="215">
        <v>202009</v>
      </c>
      <c r="B27" s="17">
        <v>44075</v>
      </c>
      <c r="C27" s="15">
        <f>(SUMIFS('MAIN DATA, Orders'!$U:$U,'MAIN DATA, Orders'!$D:$D,"Poland",'MAIN DATA, Orders'!$Y:$Y,$A27,'MAIN DATA, Orders'!$AF:$AF,"0",'MAIN DATA, Orders'!$AH:$AH,"Poland")/1000000000)</f>
        <v>0</v>
      </c>
      <c r="D27" s="15">
        <f>(SUMIFS('MAIN DATA, Orders'!$U:$U,'MAIN DATA, Orders'!$D:$D,"Poland",'MAIN DATA, Orders'!$Y:$Y,$A27,'MAIN DATA, Orders'!$AF:$AF,"1")/1000000000)</f>
        <v>0</v>
      </c>
      <c r="E27" s="15">
        <f>(SUMIFS('MAIN DATA, Orders'!$U:$U,'MAIN DATA, Orders'!$D:$D,"Poland",'MAIN DATA, Orders'!$Y:$Y,$A27,'MAIN DATA, Orders'!$AC:$AC,"1",'MAIN DATA, Orders'!$AF:$AF,"0",'MAIN DATA, Orders'!$AH:$AH,"&lt;&gt;Poland")/1000000000)</f>
        <v>0</v>
      </c>
      <c r="F27" s="15">
        <f>(SUMIFS('MAIN DATA, Orders'!$U:$U,'MAIN DATA, Orders'!$D:$D,"Poland",'MAIN DATA, Orders'!$Y:$Y,$A27,'MAIN DATA, Orders'!$AC:$AC,"0",'MAIN DATA, Orders'!$AF:$AF,"0")/1000000000)</f>
        <v>0</v>
      </c>
    </row>
    <row r="28" spans="1:6" x14ac:dyDescent="0.35">
      <c r="A28" s="215">
        <v>202010</v>
      </c>
      <c r="B28" s="17">
        <v>44105</v>
      </c>
      <c r="C28" s="15">
        <f>(SUMIFS('MAIN DATA, Orders'!$U:$U,'MAIN DATA, Orders'!$D:$D,"Poland",'MAIN DATA, Orders'!$Y:$Y,$A28,'MAIN DATA, Orders'!$AF:$AF,"0",'MAIN DATA, Orders'!$AH:$AH,"Poland")/1000000000)</f>
        <v>3.7362142696376326E-2</v>
      </c>
      <c r="D28" s="15">
        <f>(SUMIFS('MAIN DATA, Orders'!$U:$U,'MAIN DATA, Orders'!$D:$D,"Poland",'MAIN DATA, Orders'!$Y:$Y,$A28,'MAIN DATA, Orders'!$AF:$AF,"1")/1000000000)</f>
        <v>0</v>
      </c>
      <c r="E28" s="15">
        <f>(SUMIFS('MAIN DATA, Orders'!$U:$U,'MAIN DATA, Orders'!$D:$D,"Poland",'MAIN DATA, Orders'!$Y:$Y,$A28,'MAIN DATA, Orders'!$AC:$AC,"1",'MAIN DATA, Orders'!$AF:$AF,"0",'MAIN DATA, Orders'!$AH:$AH,"&lt;&gt;Poland")/1000000000)</f>
        <v>0</v>
      </c>
      <c r="F28" s="15">
        <f>(SUMIFS('MAIN DATA, Orders'!$U:$U,'MAIN DATA, Orders'!$D:$D,"Poland",'MAIN DATA, Orders'!$Y:$Y,$A28,'MAIN DATA, Orders'!$AC:$AC,"0",'MAIN DATA, Orders'!$AF:$AF,"0")/1000000000)</f>
        <v>0</v>
      </c>
    </row>
    <row r="29" spans="1:6" x14ac:dyDescent="0.35">
      <c r="A29" s="215">
        <v>202011</v>
      </c>
      <c r="B29" s="17">
        <v>44136</v>
      </c>
      <c r="C29" s="15">
        <f>(SUMIFS('MAIN DATA, Orders'!$U:$U,'MAIN DATA, Orders'!$D:$D,"Poland",'MAIN DATA, Orders'!$Y:$Y,$A29,'MAIN DATA, Orders'!$AF:$AF,"0",'MAIN DATA, Orders'!$AH:$AH,"Poland")/1000000000)</f>
        <v>0</v>
      </c>
      <c r="D29" s="15">
        <f>(SUMIFS('MAIN DATA, Orders'!$U:$U,'MAIN DATA, Orders'!$D:$D,"Poland",'MAIN DATA, Orders'!$Y:$Y,$A29,'MAIN DATA, Orders'!$AF:$AF,"1")/1000000000)</f>
        <v>0</v>
      </c>
      <c r="E29" s="15">
        <f>(SUMIFS('MAIN DATA, Orders'!$U:$U,'MAIN DATA, Orders'!$D:$D,"Poland",'MAIN DATA, Orders'!$Y:$Y,$A29,'MAIN DATA, Orders'!$AC:$AC,"1",'MAIN DATA, Orders'!$AF:$AF,"0",'MAIN DATA, Orders'!$AH:$AH,"&lt;&gt;Poland")/1000000000)</f>
        <v>0</v>
      </c>
      <c r="F29" s="15">
        <f>(SUMIFS('MAIN DATA, Orders'!$U:$U,'MAIN DATA, Orders'!$D:$D,"Poland",'MAIN DATA, Orders'!$Y:$Y,$A29,'MAIN DATA, Orders'!$AC:$AC,"0",'MAIN DATA, Orders'!$AF:$AF,"0")/1000000000)</f>
        <v>0</v>
      </c>
    </row>
    <row r="30" spans="1:6" x14ac:dyDescent="0.35">
      <c r="A30" s="215">
        <v>202012</v>
      </c>
      <c r="B30" s="17">
        <v>44166</v>
      </c>
      <c r="C30" s="15">
        <f>(SUMIFS('MAIN DATA, Orders'!$U:$U,'MAIN DATA, Orders'!$D:$D,"Poland",'MAIN DATA, Orders'!$Y:$Y,$A30,'MAIN DATA, Orders'!$AF:$AF,"0",'MAIN DATA, Orders'!$AH:$AH,"Poland")/1000000000)</f>
        <v>0</v>
      </c>
      <c r="D30" s="15">
        <f>(SUMIFS('MAIN DATA, Orders'!$U:$U,'MAIN DATA, Orders'!$D:$D,"Poland",'MAIN DATA, Orders'!$Y:$Y,$A30,'MAIN DATA, Orders'!$AF:$AF,"1")/1000000000)</f>
        <v>0</v>
      </c>
      <c r="E30" s="15">
        <f>(SUMIFS('MAIN DATA, Orders'!$U:$U,'MAIN DATA, Orders'!$D:$D,"Poland",'MAIN DATA, Orders'!$Y:$Y,$A30,'MAIN DATA, Orders'!$AC:$AC,"1",'MAIN DATA, Orders'!$AF:$AF,"0",'MAIN DATA, Orders'!$AH:$AH,"&lt;&gt;Poland")/1000000000)</f>
        <v>0</v>
      </c>
      <c r="F30" s="15">
        <f>(SUMIFS('MAIN DATA, Orders'!$U:$U,'MAIN DATA, Orders'!$D:$D,"Poland",'MAIN DATA, Orders'!$Y:$Y,$A30,'MAIN DATA, Orders'!$AC:$AC,"0",'MAIN DATA, Orders'!$AF:$AF,"0")/1000000000)</f>
        <v>0</v>
      </c>
    </row>
    <row r="31" spans="1:6" x14ac:dyDescent="0.35">
      <c r="A31" s="215">
        <v>202101</v>
      </c>
      <c r="B31" s="17">
        <v>44197</v>
      </c>
      <c r="C31" s="15">
        <f>(SUMIFS('MAIN DATA, Orders'!$U:$U,'MAIN DATA, Orders'!$D:$D,"Poland",'MAIN DATA, Orders'!$Y:$Y,$A31,'MAIN DATA, Orders'!$AF:$AF,"0",'MAIN DATA, Orders'!$AH:$AH,"Poland")/1000000000)</f>
        <v>0</v>
      </c>
      <c r="D31" s="15">
        <f>(SUMIFS('MAIN DATA, Orders'!$U:$U,'MAIN DATA, Orders'!$D:$D,"Poland",'MAIN DATA, Orders'!$Y:$Y,$A31,'MAIN DATA, Orders'!$AF:$AF,"1")/1000000000)</f>
        <v>0</v>
      </c>
      <c r="E31" s="15">
        <f>(SUMIFS('MAIN DATA, Orders'!$U:$U,'MAIN DATA, Orders'!$D:$D,"Poland",'MAIN DATA, Orders'!$Y:$Y,$A31,'MAIN DATA, Orders'!$AC:$AC,"1",'MAIN DATA, Orders'!$AF:$AF,"0",'MAIN DATA, Orders'!$AH:$AH,"&lt;&gt;Poland")/1000000000)</f>
        <v>0</v>
      </c>
      <c r="F31" s="15">
        <f>(SUMIFS('MAIN DATA, Orders'!$U:$U,'MAIN DATA, Orders'!$D:$D,"Poland",'MAIN DATA, Orders'!$Y:$Y,$A31,'MAIN DATA, Orders'!$AC:$AC,"0",'MAIN DATA, Orders'!$AF:$AF,"0")/1000000000)</f>
        <v>0</v>
      </c>
    </row>
    <row r="32" spans="1:6" x14ac:dyDescent="0.35">
      <c r="A32" s="215">
        <v>202102</v>
      </c>
      <c r="B32" s="17">
        <v>44228</v>
      </c>
      <c r="C32" s="15">
        <f>(SUMIFS('MAIN DATA, Orders'!$U:$U,'MAIN DATA, Orders'!$D:$D,"Poland",'MAIN DATA, Orders'!$Y:$Y,$A32,'MAIN DATA, Orders'!$AF:$AF,"0",'MAIN DATA, Orders'!$AH:$AH,"Poland")/1000000000)</f>
        <v>0</v>
      </c>
      <c r="D32" s="15">
        <f>(SUMIFS('MAIN DATA, Orders'!$U:$U,'MAIN DATA, Orders'!$D:$D,"Poland",'MAIN DATA, Orders'!$Y:$Y,$A32,'MAIN DATA, Orders'!$AF:$AF,"1")/1000000000)</f>
        <v>0</v>
      </c>
      <c r="E32" s="15">
        <f>(SUMIFS('MAIN DATA, Orders'!$U:$U,'MAIN DATA, Orders'!$D:$D,"Poland",'MAIN DATA, Orders'!$Y:$Y,$A32,'MAIN DATA, Orders'!$AC:$AC,"1",'MAIN DATA, Orders'!$AF:$AF,"0",'MAIN DATA, Orders'!$AH:$AH,"&lt;&gt;Poland")/1000000000)</f>
        <v>0</v>
      </c>
      <c r="F32" s="15">
        <f>(SUMIFS('MAIN DATA, Orders'!$U:$U,'MAIN DATA, Orders'!$D:$D,"Poland",'MAIN DATA, Orders'!$Y:$Y,$A32,'MAIN DATA, Orders'!$AC:$AC,"0",'MAIN DATA, Orders'!$AF:$AF,"0")/1000000000)</f>
        <v>0</v>
      </c>
    </row>
    <row r="33" spans="1:6" x14ac:dyDescent="0.35">
      <c r="A33" s="215">
        <v>202103</v>
      </c>
      <c r="B33" s="17">
        <v>44256</v>
      </c>
      <c r="C33" s="15">
        <f>(SUMIFS('MAIN DATA, Orders'!$U:$U,'MAIN DATA, Orders'!$D:$D,"Poland",'MAIN DATA, Orders'!$Y:$Y,$A33,'MAIN DATA, Orders'!$AF:$AF,"0",'MAIN DATA, Orders'!$AH:$AH,"Poland")/1000000000)</f>
        <v>0</v>
      </c>
      <c r="D33" s="15">
        <f>(SUMIFS('MAIN DATA, Orders'!$U:$U,'MAIN DATA, Orders'!$D:$D,"Poland",'MAIN DATA, Orders'!$Y:$Y,$A33,'MAIN DATA, Orders'!$AF:$AF,"1")/1000000000)</f>
        <v>0</v>
      </c>
      <c r="E33" s="15">
        <f>(SUMIFS('MAIN DATA, Orders'!$U:$U,'MAIN DATA, Orders'!$D:$D,"Poland",'MAIN DATA, Orders'!$Y:$Y,$A33,'MAIN DATA, Orders'!$AC:$AC,"1",'MAIN DATA, Orders'!$AF:$AF,"0",'MAIN DATA, Orders'!$AH:$AH,"&lt;&gt;Poland")/1000000000)</f>
        <v>0</v>
      </c>
      <c r="F33" s="15">
        <f>(SUMIFS('MAIN DATA, Orders'!$U:$U,'MAIN DATA, Orders'!$D:$D,"Poland",'MAIN DATA, Orders'!$Y:$Y,$A33,'MAIN DATA, Orders'!$AC:$AC,"0",'MAIN DATA, Orders'!$AF:$AF,"0")/1000000000)</f>
        <v>0</v>
      </c>
    </row>
    <row r="34" spans="1:6" x14ac:dyDescent="0.35">
      <c r="A34" s="215">
        <v>202104</v>
      </c>
      <c r="B34" s="17">
        <v>44287</v>
      </c>
      <c r="C34" s="15">
        <f>(SUMIFS('MAIN DATA, Orders'!$U:$U,'MAIN DATA, Orders'!$D:$D,"Poland",'MAIN DATA, Orders'!$Y:$Y,$A34,'MAIN DATA, Orders'!$AF:$AF,"0",'MAIN DATA, Orders'!$AH:$AH,"Poland")/1000000000)</f>
        <v>7.7105055638307191E-2</v>
      </c>
      <c r="D34" s="15">
        <f>(SUMIFS('MAIN DATA, Orders'!$U:$U,'MAIN DATA, Orders'!$D:$D,"Poland",'MAIN DATA, Orders'!$Y:$Y,$A34,'MAIN DATA, Orders'!$AF:$AF,"1")/1000000000)</f>
        <v>0</v>
      </c>
      <c r="E34" s="15">
        <f>(SUMIFS('MAIN DATA, Orders'!$U:$U,'MAIN DATA, Orders'!$D:$D,"Poland",'MAIN DATA, Orders'!$Y:$Y,$A34,'MAIN DATA, Orders'!$AC:$AC,"1",'MAIN DATA, Orders'!$AF:$AF,"0",'MAIN DATA, Orders'!$AH:$AH,"&lt;&gt;Poland")/1000000000)</f>
        <v>0</v>
      </c>
      <c r="F34" s="15">
        <f>(SUMIFS('MAIN DATA, Orders'!$U:$U,'MAIN DATA, Orders'!$D:$D,"Poland",'MAIN DATA, Orders'!$Y:$Y,$A34,'MAIN DATA, Orders'!$AC:$AC,"0",'MAIN DATA, Orders'!$AF:$AF,"0")/1000000000)</f>
        <v>0</v>
      </c>
    </row>
    <row r="35" spans="1:6" x14ac:dyDescent="0.35">
      <c r="A35" s="215">
        <v>202105</v>
      </c>
      <c r="B35" s="17">
        <v>44317</v>
      </c>
      <c r="C35" s="15">
        <f>(SUMIFS('MAIN DATA, Orders'!$U:$U,'MAIN DATA, Orders'!$D:$D,"Poland",'MAIN DATA, Orders'!$Y:$Y,$A35,'MAIN DATA, Orders'!$AF:$AF,"0",'MAIN DATA, Orders'!$AH:$AH,"Poland")/1000000000)</f>
        <v>4.074301235433278E-2</v>
      </c>
      <c r="D35" s="15">
        <f>(SUMIFS('MAIN DATA, Orders'!$U:$U,'MAIN DATA, Orders'!$D:$D,"Poland",'MAIN DATA, Orders'!$Y:$Y,$A35,'MAIN DATA, Orders'!$AF:$AF,"1")/1000000000)</f>
        <v>0</v>
      </c>
      <c r="E35" s="15">
        <f>(SUMIFS('MAIN DATA, Orders'!$U:$U,'MAIN DATA, Orders'!$D:$D,"Poland",'MAIN DATA, Orders'!$Y:$Y,$A35,'MAIN DATA, Orders'!$AC:$AC,"1",'MAIN DATA, Orders'!$AF:$AF,"0",'MAIN DATA, Orders'!$AH:$AH,"&lt;&gt;Poland")/1000000000)</f>
        <v>0</v>
      </c>
      <c r="F35" s="15">
        <f>(SUMIFS('MAIN DATA, Orders'!$U:$U,'MAIN DATA, Orders'!$D:$D,"Poland",'MAIN DATA, Orders'!$Y:$Y,$A35,'MAIN DATA, Orders'!$AC:$AC,"0",'MAIN DATA, Orders'!$AF:$AF,"0")/1000000000)</f>
        <v>0.22660015219413207</v>
      </c>
    </row>
    <row r="36" spans="1:6" x14ac:dyDescent="0.35">
      <c r="A36" s="215">
        <v>202106</v>
      </c>
      <c r="B36" s="17">
        <v>44348</v>
      </c>
      <c r="C36" s="15">
        <f>(SUMIFS('MAIN DATA, Orders'!$U:$U,'MAIN DATA, Orders'!$D:$D,"Poland",'MAIN DATA, Orders'!$Y:$Y,$A36,'MAIN DATA, Orders'!$AF:$AF,"0",'MAIN DATA, Orders'!$AH:$AH,"Poland")/1000000000)</f>
        <v>0</v>
      </c>
      <c r="D36" s="15">
        <f>(SUMIFS('MAIN DATA, Orders'!$U:$U,'MAIN DATA, Orders'!$D:$D,"Poland",'MAIN DATA, Orders'!$Y:$Y,$A36,'MAIN DATA, Orders'!$AF:$AF,"1")/1000000000)</f>
        <v>0</v>
      </c>
      <c r="E36" s="15">
        <f>(SUMIFS('MAIN DATA, Orders'!$U:$U,'MAIN DATA, Orders'!$D:$D,"Poland",'MAIN DATA, Orders'!$Y:$Y,$A36,'MAIN DATA, Orders'!$AC:$AC,"1",'MAIN DATA, Orders'!$AF:$AF,"0",'MAIN DATA, Orders'!$AH:$AH,"&lt;&gt;Poland")/1000000000)</f>
        <v>0</v>
      </c>
      <c r="F36" s="15">
        <f>(SUMIFS('MAIN DATA, Orders'!$U:$U,'MAIN DATA, Orders'!$D:$D,"Poland",'MAIN DATA, Orders'!$Y:$Y,$A36,'MAIN DATA, Orders'!$AC:$AC,"0",'MAIN DATA, Orders'!$AF:$AF,"0")/1000000000)</f>
        <v>0</v>
      </c>
    </row>
    <row r="37" spans="1:6" x14ac:dyDescent="0.35">
      <c r="A37" s="215">
        <v>202107</v>
      </c>
      <c r="B37" s="17">
        <v>44378</v>
      </c>
      <c r="C37" s="15">
        <f>(SUMIFS('MAIN DATA, Orders'!$U:$U,'MAIN DATA, Orders'!$D:$D,"Poland",'MAIN DATA, Orders'!$Y:$Y,$A37,'MAIN DATA, Orders'!$AF:$AF,"0",'MAIN DATA, Orders'!$AH:$AH,"Poland")/1000000000)</f>
        <v>1.7523876281433453</v>
      </c>
      <c r="D37" s="15">
        <f>(SUMIFS('MAIN DATA, Orders'!$U:$U,'MAIN DATA, Orders'!$D:$D,"Poland",'MAIN DATA, Orders'!$Y:$Y,$A37,'MAIN DATA, Orders'!$AF:$AF,"1")/1000000000)</f>
        <v>0</v>
      </c>
      <c r="E37" s="15">
        <f>(SUMIFS('MAIN DATA, Orders'!$U:$U,'MAIN DATA, Orders'!$D:$D,"Poland",'MAIN DATA, Orders'!$Y:$Y,$A37,'MAIN DATA, Orders'!$AC:$AC,"1",'MAIN DATA, Orders'!$AF:$AF,"0",'MAIN DATA, Orders'!$AH:$AH,"&lt;&gt;Poland")/1000000000)</f>
        <v>0</v>
      </c>
      <c r="F37" s="15">
        <f>(SUMIFS('MAIN DATA, Orders'!$U:$U,'MAIN DATA, Orders'!$D:$D,"Poland",'MAIN DATA, Orders'!$Y:$Y,$A37,'MAIN DATA, Orders'!$AC:$AC,"0",'MAIN DATA, Orders'!$AF:$AF,"0")/1000000000)</f>
        <v>4.0162340407542061</v>
      </c>
    </row>
    <row r="38" spans="1:6" x14ac:dyDescent="0.35">
      <c r="A38" s="215">
        <v>202108</v>
      </c>
      <c r="B38" s="17">
        <v>44409</v>
      </c>
      <c r="C38" s="15">
        <f>(SUMIFS('MAIN DATA, Orders'!$U:$U,'MAIN DATA, Orders'!$D:$D,"Poland",'MAIN DATA, Orders'!$Y:$Y,$A38,'MAIN DATA, Orders'!$AF:$AF,"0",'MAIN DATA, Orders'!$AH:$AH,"Poland")/1000000000)</f>
        <v>0</v>
      </c>
      <c r="D38" s="15">
        <f>(SUMIFS('MAIN DATA, Orders'!$U:$U,'MAIN DATA, Orders'!$D:$D,"Poland",'MAIN DATA, Orders'!$Y:$Y,$A38,'MAIN DATA, Orders'!$AF:$AF,"1")/1000000000)</f>
        <v>0</v>
      </c>
      <c r="E38" s="15">
        <f>(SUMIFS('MAIN DATA, Orders'!$U:$U,'MAIN DATA, Orders'!$D:$D,"Poland",'MAIN DATA, Orders'!$Y:$Y,$A38,'MAIN DATA, Orders'!$AC:$AC,"1",'MAIN DATA, Orders'!$AF:$AF,"0",'MAIN DATA, Orders'!$AH:$AH,"&lt;&gt;Poland")/1000000000)</f>
        <v>0</v>
      </c>
      <c r="F38" s="15">
        <f>(SUMIFS('MAIN DATA, Orders'!$U:$U,'MAIN DATA, Orders'!$D:$D,"Poland",'MAIN DATA, Orders'!$Y:$Y,$A38,'MAIN DATA, Orders'!$AC:$AC,"0",'MAIN DATA, Orders'!$AF:$AF,"0")/1000000000)</f>
        <v>0</v>
      </c>
    </row>
    <row r="39" spans="1:6" x14ac:dyDescent="0.35">
      <c r="A39" s="215">
        <v>202109</v>
      </c>
      <c r="B39" s="17">
        <v>44440</v>
      </c>
      <c r="C39" s="15">
        <f>(SUMIFS('MAIN DATA, Orders'!$U:$U,'MAIN DATA, Orders'!$D:$D,"Poland",'MAIN DATA, Orders'!$Y:$Y,$A39,'MAIN DATA, Orders'!$AF:$AF,"0",'MAIN DATA, Orders'!$AH:$AH,"Poland")/1000000000)</f>
        <v>0</v>
      </c>
      <c r="D39" s="15">
        <f>(SUMIFS('MAIN DATA, Orders'!$U:$U,'MAIN DATA, Orders'!$D:$D,"Poland",'MAIN DATA, Orders'!$Y:$Y,$A39,'MAIN DATA, Orders'!$AF:$AF,"1")/1000000000)</f>
        <v>0</v>
      </c>
      <c r="E39" s="15">
        <f>(SUMIFS('MAIN DATA, Orders'!$U:$U,'MAIN DATA, Orders'!$D:$D,"Poland",'MAIN DATA, Orders'!$Y:$Y,$A39,'MAIN DATA, Orders'!$AC:$AC,"1",'MAIN DATA, Orders'!$AF:$AF,"0",'MAIN DATA, Orders'!$AH:$AH,"&lt;&gt;Poland")/1000000000)</f>
        <v>0</v>
      </c>
      <c r="F39" s="15">
        <f>(SUMIFS('MAIN DATA, Orders'!$U:$U,'MAIN DATA, Orders'!$D:$D,"Poland",'MAIN DATA, Orders'!$Y:$Y,$A39,'MAIN DATA, Orders'!$AC:$AC,"0",'MAIN DATA, Orders'!$AF:$AF,"0")/1000000000)</f>
        <v>0</v>
      </c>
    </row>
    <row r="40" spans="1:6" x14ac:dyDescent="0.35">
      <c r="A40" s="215">
        <v>202110</v>
      </c>
      <c r="B40" s="17">
        <v>44470</v>
      </c>
      <c r="C40" s="15">
        <f>(SUMIFS('MAIN DATA, Orders'!$U:$U,'MAIN DATA, Orders'!$D:$D,"Poland",'MAIN DATA, Orders'!$Y:$Y,$A40,'MAIN DATA, Orders'!$AF:$AF,"0",'MAIN DATA, Orders'!$AH:$AH,"Poland")/1000000000)</f>
        <v>0</v>
      </c>
      <c r="D40" s="15">
        <f>(SUMIFS('MAIN DATA, Orders'!$U:$U,'MAIN DATA, Orders'!$D:$D,"Poland",'MAIN DATA, Orders'!$Y:$Y,$A40,'MAIN DATA, Orders'!$AF:$AF,"1")/1000000000)</f>
        <v>0</v>
      </c>
      <c r="E40" s="15">
        <f>(SUMIFS('MAIN DATA, Orders'!$U:$U,'MAIN DATA, Orders'!$D:$D,"Poland",'MAIN DATA, Orders'!$Y:$Y,$A40,'MAIN DATA, Orders'!$AC:$AC,"1",'MAIN DATA, Orders'!$AF:$AF,"0",'MAIN DATA, Orders'!$AH:$AH,"&lt;&gt;Poland")/1000000000)</f>
        <v>0</v>
      </c>
      <c r="F40" s="15">
        <f>(SUMIFS('MAIN DATA, Orders'!$U:$U,'MAIN DATA, Orders'!$D:$D,"Poland",'MAIN DATA, Orders'!$Y:$Y,$A40,'MAIN DATA, Orders'!$AC:$AC,"0",'MAIN DATA, Orders'!$AF:$AF,"0")/1000000000)</f>
        <v>0</v>
      </c>
    </row>
    <row r="41" spans="1:6" x14ac:dyDescent="0.35">
      <c r="A41" s="215">
        <v>202111</v>
      </c>
      <c r="B41" s="17">
        <v>44501</v>
      </c>
      <c r="C41" s="15">
        <f>(SUMIFS('MAIN DATA, Orders'!$U:$U,'MAIN DATA, Orders'!$D:$D,"Poland",'MAIN DATA, Orders'!$Y:$Y,$A41,'MAIN DATA, Orders'!$AF:$AF,"0",'MAIN DATA, Orders'!$AH:$AH,"Poland")/1000000000)</f>
        <v>0</v>
      </c>
      <c r="D41" s="15">
        <f>(SUMIFS('MAIN DATA, Orders'!$U:$U,'MAIN DATA, Orders'!$D:$D,"Poland",'MAIN DATA, Orders'!$Y:$Y,$A41,'MAIN DATA, Orders'!$AF:$AF,"1")/1000000000)</f>
        <v>0</v>
      </c>
      <c r="E41" s="15">
        <f>(SUMIFS('MAIN DATA, Orders'!$U:$U,'MAIN DATA, Orders'!$D:$D,"Poland",'MAIN DATA, Orders'!$Y:$Y,$A41,'MAIN DATA, Orders'!$AC:$AC,"1",'MAIN DATA, Orders'!$AF:$AF,"0",'MAIN DATA, Orders'!$AH:$AH,"&lt;&gt;Poland")/1000000000)</f>
        <v>0</v>
      </c>
      <c r="F41" s="15">
        <f>(SUMIFS('MAIN DATA, Orders'!$U:$U,'MAIN DATA, Orders'!$D:$D,"Poland",'MAIN DATA, Orders'!$Y:$Y,$A41,'MAIN DATA, Orders'!$AC:$AC,"0",'MAIN DATA, Orders'!$AF:$AF,"0")/1000000000)</f>
        <v>0</v>
      </c>
    </row>
    <row r="42" spans="1:6" x14ac:dyDescent="0.35">
      <c r="A42" s="215">
        <v>202112</v>
      </c>
      <c r="B42" s="17">
        <v>44531</v>
      </c>
      <c r="C42" s="15">
        <f>(SUMIFS('MAIN DATA, Orders'!$U:$U,'MAIN DATA, Orders'!$D:$D,"Poland",'MAIN DATA, Orders'!$Y:$Y,$A42,'MAIN DATA, Orders'!$AF:$AF,"0",'MAIN DATA, Orders'!$AH:$AH,"Poland")/1000000000)</f>
        <v>3.8114430912117761E-2</v>
      </c>
      <c r="D42" s="15">
        <f>(SUMIFS('MAIN DATA, Orders'!$U:$U,'MAIN DATA, Orders'!$D:$D,"Poland",'MAIN DATA, Orders'!$Y:$Y,$A42,'MAIN DATA, Orders'!$AF:$AF,"1")/1000000000)</f>
        <v>0</v>
      </c>
      <c r="E42" s="15">
        <f>(SUMIFS('MAIN DATA, Orders'!$U:$U,'MAIN DATA, Orders'!$D:$D,"Poland",'MAIN DATA, Orders'!$Y:$Y,$A42,'MAIN DATA, Orders'!$AC:$AC,"1",'MAIN DATA, Orders'!$AF:$AF,"0",'MAIN DATA, Orders'!$AH:$AH,"&lt;&gt;Poland")/1000000000)</f>
        <v>0</v>
      </c>
      <c r="F42" s="15">
        <f>(SUMIFS('MAIN DATA, Orders'!$U:$U,'MAIN DATA, Orders'!$D:$D,"Poland",'MAIN DATA, Orders'!$Y:$Y,$A42,'MAIN DATA, Orders'!$AC:$AC,"0",'MAIN DATA, Orders'!$AF:$AF,"0")/1000000000)</f>
        <v>0</v>
      </c>
    </row>
    <row r="43" spans="1:6" x14ac:dyDescent="0.35">
      <c r="A43" s="215">
        <v>202201</v>
      </c>
      <c r="B43" s="17">
        <v>44562</v>
      </c>
      <c r="C43" s="15">
        <f>(SUMIFS('MAIN DATA, Orders'!$U:$U,'MAIN DATA, Orders'!$D:$D,"Poland",'MAIN DATA, Orders'!$Y:$Y,$A43,'MAIN DATA, Orders'!$AF:$AF,"0",'MAIN DATA, Orders'!$AH:$AH,"Poland")/1000000000)</f>
        <v>0</v>
      </c>
      <c r="D43" s="15">
        <f>(SUMIFS('MAIN DATA, Orders'!$U:$U,'MAIN DATA, Orders'!$D:$D,"Poland",'MAIN DATA, Orders'!$Y:$Y,$A43,'MAIN DATA, Orders'!$AF:$AF,"1")/1000000000)</f>
        <v>0</v>
      </c>
      <c r="E43" s="15">
        <f>(SUMIFS('MAIN DATA, Orders'!$U:$U,'MAIN DATA, Orders'!$D:$D,"Poland",'MAIN DATA, Orders'!$Y:$Y,$A43,'MAIN DATA, Orders'!$AC:$AC,"1",'MAIN DATA, Orders'!$AF:$AF,"0",'MAIN DATA, Orders'!$AH:$AH,"&lt;&gt;Poland")/1000000000)</f>
        <v>0</v>
      </c>
      <c r="F43" s="15">
        <f>(SUMIFS('MAIN DATA, Orders'!$U:$U,'MAIN DATA, Orders'!$D:$D,"Poland",'MAIN DATA, Orders'!$Y:$Y,$A43,'MAIN DATA, Orders'!$AC:$AC,"0",'MAIN DATA, Orders'!$AF:$AF,"0")/1000000000)</f>
        <v>0</v>
      </c>
    </row>
    <row r="44" spans="1:6" x14ac:dyDescent="0.35">
      <c r="A44" s="215">
        <v>202202</v>
      </c>
      <c r="B44" s="17">
        <v>44593</v>
      </c>
      <c r="C44" s="15">
        <f>(SUMIFS('MAIN DATA, Orders'!$U:$U,'MAIN DATA, Orders'!$D:$D,"Poland",'MAIN DATA, Orders'!$Y:$Y,$A44,'MAIN DATA, Orders'!$AF:$AF,"0",'MAIN DATA, Orders'!$AH:$AH,"Poland")/1000000000)</f>
        <v>0</v>
      </c>
      <c r="D44" s="15">
        <f>(SUMIFS('MAIN DATA, Orders'!$U:$U,'MAIN DATA, Orders'!$D:$D,"Poland",'MAIN DATA, Orders'!$Y:$Y,$A44,'MAIN DATA, Orders'!$AF:$AF,"1")/1000000000)</f>
        <v>0</v>
      </c>
      <c r="E44" s="15">
        <f>(SUMIFS('MAIN DATA, Orders'!$U:$U,'MAIN DATA, Orders'!$D:$D,"Poland",'MAIN DATA, Orders'!$Y:$Y,$A44,'MAIN DATA, Orders'!$AC:$AC,"1",'MAIN DATA, Orders'!$AF:$AF,"0",'MAIN DATA, Orders'!$AH:$AH,"&lt;&gt;Poland")/1000000000)</f>
        <v>0</v>
      </c>
      <c r="F44" s="15">
        <f>(SUMIFS('MAIN DATA, Orders'!$U:$U,'MAIN DATA, Orders'!$D:$D,"Poland",'MAIN DATA, Orders'!$Y:$Y,$A44,'MAIN DATA, Orders'!$AC:$AC,"0",'MAIN DATA, Orders'!$AF:$AF,"0")/1000000000)</f>
        <v>0</v>
      </c>
    </row>
    <row r="45" spans="1:6" x14ac:dyDescent="0.35">
      <c r="A45" s="215">
        <v>202203</v>
      </c>
      <c r="B45" s="17">
        <v>44621</v>
      </c>
      <c r="C45" s="15">
        <f>(SUMIFS('MAIN DATA, Orders'!$U:$U,'MAIN DATA, Orders'!$D:$D,"Poland",'MAIN DATA, Orders'!$Y:$Y,$A45,'MAIN DATA, Orders'!$AF:$AF,"0",'MAIN DATA, Orders'!$AH:$AH,"Poland")/1000000000)</f>
        <v>0</v>
      </c>
      <c r="D45" s="15">
        <f>(SUMIFS('MAIN DATA, Orders'!$U:$U,'MAIN DATA, Orders'!$D:$D,"Poland",'MAIN DATA, Orders'!$Y:$Y,$A45,'MAIN DATA, Orders'!$AF:$AF,"1")/1000000000)</f>
        <v>0</v>
      </c>
      <c r="E45" s="15">
        <f>(SUMIFS('MAIN DATA, Orders'!$U:$U,'MAIN DATA, Orders'!$D:$D,"Poland",'MAIN DATA, Orders'!$Y:$Y,$A45,'MAIN DATA, Orders'!$AC:$AC,"1",'MAIN DATA, Orders'!$AF:$AF,"0",'MAIN DATA, Orders'!$AH:$AH,"&lt;&gt;Poland")/1000000000)</f>
        <v>0</v>
      </c>
      <c r="F45" s="15">
        <f>(SUMIFS('MAIN DATA, Orders'!$U:$U,'MAIN DATA, Orders'!$D:$D,"Poland",'MAIN DATA, Orders'!$Y:$Y,$A45,'MAIN DATA, Orders'!$AC:$AC,"0",'MAIN DATA, Orders'!$AF:$AF,"0")/1000000000)</f>
        <v>0</v>
      </c>
    </row>
    <row r="46" spans="1:6" x14ac:dyDescent="0.35">
      <c r="A46" s="215">
        <v>202204</v>
      </c>
      <c r="B46" s="17">
        <v>44652</v>
      </c>
      <c r="C46" s="15">
        <f>(SUMIFS('MAIN DATA, Orders'!$U:$U,'MAIN DATA, Orders'!$D:$D,"Poland",'MAIN DATA, Orders'!$Y:$Y,$A46,'MAIN DATA, Orders'!$AF:$AF,"0",'MAIN DATA, Orders'!$AH:$AH,"Poland")/1000000000)</f>
        <v>0</v>
      </c>
      <c r="D46" s="15">
        <f>(SUMIFS('MAIN DATA, Orders'!$U:$U,'MAIN DATA, Orders'!$D:$D,"Poland",'MAIN DATA, Orders'!$Y:$Y,$A46,'MAIN DATA, Orders'!$AF:$AF,"1")/1000000000)</f>
        <v>0</v>
      </c>
      <c r="E46" s="15">
        <f>(SUMIFS('MAIN DATA, Orders'!$U:$U,'MAIN DATA, Orders'!$D:$D,"Poland",'MAIN DATA, Orders'!$Y:$Y,$A46,'MAIN DATA, Orders'!$AC:$AC,"1",'MAIN DATA, Orders'!$AF:$AF,"0",'MAIN DATA, Orders'!$AH:$AH,"&lt;&gt;Poland")/1000000000)</f>
        <v>0</v>
      </c>
      <c r="F46" s="15">
        <f>(SUMIFS('MAIN DATA, Orders'!$U:$U,'MAIN DATA, Orders'!$D:$D,"Poland",'MAIN DATA, Orders'!$Y:$Y,$A46,'MAIN DATA, Orders'!$AC:$AC,"0",'MAIN DATA, Orders'!$AF:$AF,"0")/1000000000)</f>
        <v>0</v>
      </c>
    </row>
    <row r="47" spans="1:6" x14ac:dyDescent="0.35">
      <c r="A47" s="215">
        <v>202205</v>
      </c>
      <c r="B47" s="17">
        <v>44682</v>
      </c>
      <c r="C47" s="15">
        <f>(SUMIFS('MAIN DATA, Orders'!$U:$U,'MAIN DATA, Orders'!$D:$D,"Poland",'MAIN DATA, Orders'!$Y:$Y,$A47,'MAIN DATA, Orders'!$AF:$AF,"0",'MAIN DATA, Orders'!$AH:$AH,"Poland")/1000000000)</f>
        <v>0</v>
      </c>
      <c r="D47" s="15">
        <f>(SUMIFS('MAIN DATA, Orders'!$U:$U,'MAIN DATA, Orders'!$D:$D,"Poland",'MAIN DATA, Orders'!$Y:$Y,$A47,'MAIN DATA, Orders'!$AF:$AF,"1")/1000000000)</f>
        <v>0</v>
      </c>
      <c r="E47" s="15">
        <f>(SUMIFS('MAIN DATA, Orders'!$U:$U,'MAIN DATA, Orders'!$D:$D,"Poland",'MAIN DATA, Orders'!$Y:$Y,$A47,'MAIN DATA, Orders'!$AC:$AC,"1",'MAIN DATA, Orders'!$AF:$AF,"0",'MAIN DATA, Orders'!$AH:$AH,"&lt;&gt;Poland")/1000000000)</f>
        <v>0</v>
      </c>
      <c r="F47" s="15">
        <f>(SUMIFS('MAIN DATA, Orders'!$U:$U,'MAIN DATA, Orders'!$D:$D,"Poland",'MAIN DATA, Orders'!$Y:$Y,$A47,'MAIN DATA, Orders'!$AC:$AC,"0",'MAIN DATA, Orders'!$AF:$AF,"0")/1000000000)</f>
        <v>0</v>
      </c>
    </row>
    <row r="48" spans="1:6" x14ac:dyDescent="0.35">
      <c r="A48" s="215">
        <v>202206</v>
      </c>
      <c r="B48" s="17">
        <v>44713</v>
      </c>
      <c r="C48" s="15">
        <f>(SUMIFS('MAIN DATA, Orders'!$U:$U,'MAIN DATA, Orders'!$D:$D,"Poland",'MAIN DATA, Orders'!$Y:$Y,$A48,'MAIN DATA, Orders'!$AF:$AF,"0",'MAIN DATA, Orders'!$AH:$AH,"Poland")/1000000000)</f>
        <v>1.2803824075457204</v>
      </c>
      <c r="D48" s="15">
        <f>(SUMIFS('MAIN DATA, Orders'!$U:$U,'MAIN DATA, Orders'!$D:$D,"Poland",'MAIN DATA, Orders'!$Y:$Y,$A48,'MAIN DATA, Orders'!$AF:$AF,"1")/1000000000)</f>
        <v>0</v>
      </c>
      <c r="E48" s="15">
        <f>(SUMIFS('MAIN DATA, Orders'!$U:$U,'MAIN DATA, Orders'!$D:$D,"Poland",'MAIN DATA, Orders'!$Y:$Y,$A48,'MAIN DATA, Orders'!$AC:$AC,"1",'MAIN DATA, Orders'!$AF:$AF,"0",'MAIN DATA, Orders'!$AH:$AH,"&lt;&gt;Poland")/1000000000)</f>
        <v>0</v>
      </c>
      <c r="F48" s="15">
        <f>(SUMIFS('MAIN DATA, Orders'!$U:$U,'MAIN DATA, Orders'!$D:$D,"Poland",'MAIN DATA, Orders'!$Y:$Y,$A48,'MAIN DATA, Orders'!$AC:$AC,"0",'MAIN DATA, Orders'!$AF:$AF,"0")/1000000000)</f>
        <v>0</v>
      </c>
    </row>
    <row r="49" spans="1:8" x14ac:dyDescent="0.35">
      <c r="A49" s="215">
        <v>202207</v>
      </c>
      <c r="B49" s="17">
        <v>44743</v>
      </c>
      <c r="C49" s="15">
        <f>(SUMIFS('MAIN DATA, Orders'!$U:$U,'MAIN DATA, Orders'!$D:$D,"Poland",'MAIN DATA, Orders'!$Y:$Y,$A49,'MAIN DATA, Orders'!$AF:$AF,"0",'MAIN DATA, Orders'!$AH:$AH,"Poland")/1000000000)</f>
        <v>0.36277501547128743</v>
      </c>
      <c r="D49" s="15">
        <f>(SUMIFS('MAIN DATA, Orders'!$U:$U,'MAIN DATA, Orders'!$D:$D,"Poland",'MAIN DATA, Orders'!$Y:$Y,$A49,'MAIN DATA, Orders'!$AF:$AF,"1")/1000000000)</f>
        <v>1.7605258103753656</v>
      </c>
      <c r="E49" s="15">
        <f>(SUMIFS('MAIN DATA, Orders'!$U:$U,'MAIN DATA, Orders'!$D:$D,"Poland",'MAIN DATA, Orders'!$Y:$Y,$A49,'MAIN DATA, Orders'!$AC:$AC,"1",'MAIN DATA, Orders'!$AF:$AF,"0",'MAIN DATA, Orders'!$AH:$AH,"&lt;&gt;Poland")/1000000000)</f>
        <v>0</v>
      </c>
      <c r="F49" s="15">
        <f>(SUMIFS('MAIN DATA, Orders'!$U:$U,'MAIN DATA, Orders'!$D:$D,"Poland",'MAIN DATA, Orders'!$Y:$Y,$A49,'MAIN DATA, Orders'!$AC:$AC,"0",'MAIN DATA, Orders'!$AF:$AF,"0")/1000000000)</f>
        <v>2.2792022792022797</v>
      </c>
    </row>
    <row r="50" spans="1:8" x14ac:dyDescent="0.35">
      <c r="A50" s="215">
        <v>202208</v>
      </c>
      <c r="B50" s="17">
        <v>44774</v>
      </c>
      <c r="C50" s="15">
        <f>(SUMIFS('MAIN DATA, Orders'!$U:$U,'MAIN DATA, Orders'!$D:$D,"Poland",'MAIN DATA, Orders'!$Y:$Y,$A50,'MAIN DATA, Orders'!$AF:$AF,"0",'MAIN DATA, Orders'!$AH:$AH,"Poland")/1000000000)</f>
        <v>0</v>
      </c>
      <c r="D50" s="15">
        <f>(SUMIFS('MAIN DATA, Orders'!$U:$U,'MAIN DATA, Orders'!$D:$D,"Poland",'MAIN DATA, Orders'!$Y:$Y,$A50,'MAIN DATA, Orders'!$AF:$AF,"1")/1000000000)</f>
        <v>0</v>
      </c>
      <c r="E50" s="15">
        <f>(SUMIFS('MAIN DATA, Orders'!$U:$U,'MAIN DATA, Orders'!$D:$D,"Poland",'MAIN DATA, Orders'!$Y:$Y,$A50,'MAIN DATA, Orders'!$AC:$AC,"1",'MAIN DATA, Orders'!$AF:$AF,"0",'MAIN DATA, Orders'!$AH:$AH,"&lt;&gt;Poland")/1000000000)</f>
        <v>0</v>
      </c>
      <c r="F50" s="15">
        <f>(SUMIFS('MAIN DATA, Orders'!$U:$U,'MAIN DATA, Orders'!$D:$D,"Poland",'MAIN DATA, Orders'!$Y:$Y,$A50,'MAIN DATA, Orders'!$AC:$AC,"0",'MAIN DATA, Orders'!$AF:$AF,"0")/1000000000)</f>
        <v>0</v>
      </c>
    </row>
    <row r="51" spans="1:8" x14ac:dyDescent="0.35">
      <c r="A51" s="215">
        <v>202209</v>
      </c>
      <c r="B51" s="17">
        <v>44805</v>
      </c>
      <c r="C51" s="15">
        <f>(SUMIFS('MAIN DATA, Orders'!$U:$U,'MAIN DATA, Orders'!$D:$D,"Poland",'MAIN DATA, Orders'!$Y:$Y,$A51,'MAIN DATA, Orders'!$AF:$AF,"0",'MAIN DATA, Orders'!$AH:$AH,"Poland")/1000000000)</f>
        <v>0.81090885811228952</v>
      </c>
      <c r="D51" s="15">
        <f>(SUMIFS('MAIN DATA, Orders'!$U:$U,'MAIN DATA, Orders'!$D:$D,"Poland",'MAIN DATA, Orders'!$Y:$Y,$A51,'MAIN DATA, Orders'!$AF:$AF,"1")/1000000000)</f>
        <v>0</v>
      </c>
      <c r="E51" s="15">
        <f>(SUMIFS('MAIN DATA, Orders'!$U:$U,'MAIN DATA, Orders'!$D:$D,"Poland",'MAIN DATA, Orders'!$Y:$Y,$A51,'MAIN DATA, Orders'!$AC:$AC,"1",'MAIN DATA, Orders'!$AF:$AF,"0",'MAIN DATA, Orders'!$AH:$AH,"&lt;&gt;Poland")/1000000000)</f>
        <v>0.64019120377286021</v>
      </c>
      <c r="F51" s="15">
        <f>(SUMIFS('MAIN DATA, Orders'!$U:$U,'MAIN DATA, Orders'!$D:$D,"Poland",'MAIN DATA, Orders'!$Y:$Y,$A51,'MAIN DATA, Orders'!$AC:$AC,"0",'MAIN DATA, Orders'!$AF:$AF,"0")/1000000000)</f>
        <v>2.8537511870845207</v>
      </c>
    </row>
    <row r="52" spans="1:8" x14ac:dyDescent="0.35">
      <c r="A52" s="215">
        <v>202210</v>
      </c>
      <c r="B52" s="17">
        <v>44835</v>
      </c>
      <c r="C52" s="15">
        <f>(SUMIFS('MAIN DATA, Orders'!$U:$U,'MAIN DATA, Orders'!$D:$D,"Poland",'MAIN DATA, Orders'!$Y:$Y,$A52,'MAIN DATA, Orders'!$AF:$AF,"0",'MAIN DATA, Orders'!$AH:$AH,"Poland")/1000000000)</f>
        <v>0</v>
      </c>
      <c r="D52" s="15">
        <f>(SUMIFS('MAIN DATA, Orders'!$U:$U,'MAIN DATA, Orders'!$D:$D,"Poland",'MAIN DATA, Orders'!$Y:$Y,$A52,'MAIN DATA, Orders'!$AF:$AF,"1")/1000000000)</f>
        <v>0</v>
      </c>
      <c r="E52" s="15">
        <f>(SUMIFS('MAIN DATA, Orders'!$U:$U,'MAIN DATA, Orders'!$D:$D,"Poland",'MAIN DATA, Orders'!$Y:$Y,$A52,'MAIN DATA, Orders'!$AC:$AC,"1",'MAIN DATA, Orders'!$AF:$AF,"0",'MAIN DATA, Orders'!$AH:$AH,"&lt;&gt;Poland")/1000000000)</f>
        <v>0</v>
      </c>
      <c r="F52" s="15">
        <f>(SUMIFS('MAIN DATA, Orders'!$U:$U,'MAIN DATA, Orders'!$D:$D,"Poland",'MAIN DATA, Orders'!$Y:$Y,$A52,'MAIN DATA, Orders'!$AC:$AC,"0",'MAIN DATA, Orders'!$AF:$AF,"0")/1000000000)</f>
        <v>6.6001899335232679</v>
      </c>
    </row>
    <row r="53" spans="1:8" x14ac:dyDescent="0.35">
      <c r="A53" s="215">
        <v>202211</v>
      </c>
      <c r="B53" s="17">
        <v>44866</v>
      </c>
      <c r="C53" s="15">
        <f>(SUMIFS('MAIN DATA, Orders'!$U:$U,'MAIN DATA, Orders'!$D:$D,"Poland",'MAIN DATA, Orders'!$Y:$Y,$A53,'MAIN DATA, Orders'!$AF:$AF,"0",'MAIN DATA, Orders'!$AH:$AH,"Poland")/1000000000)</f>
        <v>0</v>
      </c>
      <c r="D53" s="15">
        <f>(SUMIFS('MAIN DATA, Orders'!$U:$U,'MAIN DATA, Orders'!$D:$D,"Poland",'MAIN DATA, Orders'!$Y:$Y,$A53,'MAIN DATA, Orders'!$AF:$AF,"1")/1000000000)</f>
        <v>0</v>
      </c>
      <c r="E53" s="15">
        <f>(SUMIFS('MAIN DATA, Orders'!$U:$U,'MAIN DATA, Orders'!$D:$D,"Poland",'MAIN DATA, Orders'!$Y:$Y,$A53,'MAIN DATA, Orders'!$AC:$AC,"1",'MAIN DATA, Orders'!$AF:$AF,"0",'MAIN DATA, Orders'!$AH:$AH,"&lt;&gt;Poland")/1000000000)</f>
        <v>0</v>
      </c>
      <c r="F53" s="15">
        <f>(SUMIFS('MAIN DATA, Orders'!$U:$U,'MAIN DATA, Orders'!$D:$D,"Poland",'MAIN DATA, Orders'!$Y:$Y,$A53,'MAIN DATA, Orders'!$AC:$AC,"0",'MAIN DATA, Orders'!$AF:$AF,"0")/1000000000)</f>
        <v>0</v>
      </c>
    </row>
    <row r="54" spans="1:8" x14ac:dyDescent="0.35">
      <c r="A54" s="215">
        <v>202212</v>
      </c>
      <c r="B54" s="17">
        <v>44896</v>
      </c>
      <c r="C54" s="15">
        <f>(SUMIFS('MAIN DATA, Orders'!$U:$U,'MAIN DATA, Orders'!$D:$D,"Poland",'MAIN DATA, Orders'!$Y:$Y,$A54,'MAIN DATA, Orders'!$AF:$AF,"0",'MAIN DATA, Orders'!$AH:$AH,"Poland")/1000000000)</f>
        <v>0</v>
      </c>
      <c r="D54" s="15">
        <f>(SUMIFS('MAIN DATA, Orders'!$U:$U,'MAIN DATA, Orders'!$D:$D,"Poland",'MAIN DATA, Orders'!$Y:$Y,$A54,'MAIN DATA, Orders'!$AF:$AF,"1")/1000000000)</f>
        <v>0</v>
      </c>
      <c r="E54" s="15">
        <f>(SUMIFS('MAIN DATA, Orders'!$U:$U,'MAIN DATA, Orders'!$D:$D,"Poland",'MAIN DATA, Orders'!$Y:$Y,$A54,'MAIN DATA, Orders'!$AC:$AC,"1",'MAIN DATA, Orders'!$AF:$AF,"0",'MAIN DATA, Orders'!$AH:$AH,"&lt;&gt;Poland")/1000000000)</f>
        <v>0</v>
      </c>
      <c r="F54" s="15">
        <f>(SUMIFS('MAIN DATA, Orders'!$U:$U,'MAIN DATA, Orders'!$D:$D,"Poland",'MAIN DATA, Orders'!$Y:$Y,$A54,'MAIN DATA, Orders'!$AC:$AC,"0",'MAIN DATA, Orders'!$AF:$AF,"0")/1000000000)</f>
        <v>0</v>
      </c>
    </row>
    <row r="55" spans="1:8" x14ac:dyDescent="0.35">
      <c r="A55" s="215">
        <v>202301</v>
      </c>
      <c r="B55" s="17">
        <v>44927</v>
      </c>
      <c r="C55" s="15">
        <f>(SUMIFS('MAIN DATA, Orders'!$U:$U,'MAIN DATA, Orders'!$D:$D,"Poland",'MAIN DATA, Orders'!$Y:$Y,$A55,'MAIN DATA, Orders'!$AF:$AF,"0",'MAIN DATA, Orders'!$AH:$AH,"Poland")/1000000000)</f>
        <v>0</v>
      </c>
      <c r="D55" s="15">
        <f>(SUMIFS('MAIN DATA, Orders'!$U:$U,'MAIN DATA, Orders'!$D:$D,"Poland",'MAIN DATA, Orders'!$Y:$Y,$A55,'MAIN DATA, Orders'!$AF:$AF,"1")/1000000000)</f>
        <v>0</v>
      </c>
      <c r="E55" s="15">
        <f>(SUMIFS('MAIN DATA, Orders'!$U:$U,'MAIN DATA, Orders'!$D:$D,"Poland",'MAIN DATA, Orders'!$Y:$Y,$A55,'MAIN DATA, Orders'!$AC:$AC,"1",'MAIN DATA, Orders'!$AF:$AF,"0",'MAIN DATA, Orders'!$AH:$AH,"&lt;&gt;Poland")/1000000000)</f>
        <v>0</v>
      </c>
      <c r="F55" s="15">
        <f>(SUMIFS('MAIN DATA, Orders'!$U:$U,'MAIN DATA, Orders'!$D:$D,"Poland",'MAIN DATA, Orders'!$Y:$Y,$A55,'MAIN DATA, Orders'!$AC:$AC,"0",'MAIN DATA, Orders'!$AF:$AF,"0")/1000000000)</f>
        <v>1.2947378155923426</v>
      </c>
    </row>
    <row r="56" spans="1:8" x14ac:dyDescent="0.35">
      <c r="A56" s="215">
        <v>202302</v>
      </c>
      <c r="B56" s="17">
        <v>44958</v>
      </c>
      <c r="C56" s="15">
        <f>(SUMIFS('MAIN DATA, Orders'!$U:$U,'MAIN DATA, Orders'!$D:$D,"Poland",'MAIN DATA, Orders'!$Y:$Y,$A56,'MAIN DATA, Orders'!$AF:$AF,"0",'MAIN DATA, Orders'!$AH:$AH,"Poland")/1000000000)</f>
        <v>0.46477322765301632</v>
      </c>
      <c r="D56" s="15">
        <f>(SUMIFS('MAIN DATA, Orders'!$U:$U,'MAIN DATA, Orders'!$D:$D,"Poland",'MAIN DATA, Orders'!$Y:$Y,$A56,'MAIN DATA, Orders'!$AF:$AF,"1")/1000000000)</f>
        <v>0</v>
      </c>
      <c r="E56" s="15">
        <f>(SUMIFS('MAIN DATA, Orders'!$U:$U,'MAIN DATA, Orders'!$D:$D,"Poland",'MAIN DATA, Orders'!$Y:$Y,$A56,'MAIN DATA, Orders'!$AC:$AC,"1",'MAIN DATA, Orders'!$AF:$AF,"0",'MAIN DATA, Orders'!$AH:$AH,"&lt;&gt;Poland")/1000000000)</f>
        <v>0</v>
      </c>
      <c r="F56" s="15">
        <f>(SUMIFS('MAIN DATA, Orders'!$U:$U,'MAIN DATA, Orders'!$D:$D,"Poland",'MAIN DATA, Orders'!$Y:$Y,$A56,'MAIN DATA, Orders'!$AC:$AC,"0",'MAIN DATA, Orders'!$AF:$AF,"0")/1000000000)</f>
        <v>0</v>
      </c>
    </row>
    <row r="57" spans="1:8" x14ac:dyDescent="0.35">
      <c r="A57" s="215">
        <v>202303</v>
      </c>
      <c r="B57" s="17">
        <v>44986</v>
      </c>
      <c r="C57" s="15">
        <f>(SUMIFS('MAIN DATA, Orders'!$U:$U,'MAIN DATA, Orders'!$D:$D,"Poland",'MAIN DATA, Orders'!$Y:$Y,$A57,'MAIN DATA, Orders'!$AF:$AF,"0",'MAIN DATA, Orders'!$AH:$AH,"Poland")/1000000000)</f>
        <v>0.242184059885513</v>
      </c>
      <c r="D57" s="15">
        <f>(SUMIFS('MAIN DATA, Orders'!$U:$U,'MAIN DATA, Orders'!$D:$D,"Poland",'MAIN DATA, Orders'!$Y:$Y,$A57,'MAIN DATA, Orders'!$AF:$AF,"1")/1000000000)</f>
        <v>0</v>
      </c>
      <c r="E57" s="15">
        <f>(SUMIFS('MAIN DATA, Orders'!$U:$U,'MAIN DATA, Orders'!$D:$D,"Poland",'MAIN DATA, Orders'!$Y:$Y,$A57,'MAIN DATA, Orders'!$AC:$AC,"1",'MAIN DATA, Orders'!$AF:$AF,"0",'MAIN DATA, Orders'!$AH:$AH,"&lt;&gt;Poland")/1000000000)</f>
        <v>0</v>
      </c>
      <c r="F57" s="15">
        <f>(SUMIFS('MAIN DATA, Orders'!$U:$U,'MAIN DATA, Orders'!$D:$D,"Poland",'MAIN DATA, Orders'!$Y:$Y,$A57,'MAIN DATA, Orders'!$AC:$AC,"0",'MAIN DATA, Orders'!$AF:$AF,"0")/1000000000)</f>
        <v>0</v>
      </c>
    </row>
    <row r="58" spans="1:8" x14ac:dyDescent="0.35">
      <c r="A58" s="215">
        <v>202304</v>
      </c>
      <c r="B58" s="17">
        <v>45017</v>
      </c>
      <c r="C58" s="15">
        <f>(SUMIFS('MAIN DATA, Orders'!$U:$U,'MAIN DATA, Orders'!$D:$D,"Poland",'MAIN DATA, Orders'!$Y:$Y,$A58,'MAIN DATA, Orders'!$AF:$AF,"0",'MAIN DATA, Orders'!$AH:$AH,"Poland")/1000000000)</f>
        <v>0</v>
      </c>
      <c r="D58" s="15">
        <f>(SUMIFS('MAIN DATA, Orders'!$U:$U,'MAIN DATA, Orders'!$D:$D,"Poland",'MAIN DATA, Orders'!$Y:$Y,$A58,'MAIN DATA, Orders'!$AF:$AF,"1")/1000000000)</f>
        <v>0</v>
      </c>
      <c r="E58" s="15">
        <f>(SUMIFS('MAIN DATA, Orders'!$U:$U,'MAIN DATA, Orders'!$D:$D,"Poland",'MAIN DATA, Orders'!$Y:$Y,$A58,'MAIN DATA, Orders'!$AC:$AC,"1",'MAIN DATA, Orders'!$AF:$AF,"0",'MAIN DATA, Orders'!$AH:$AH,"&lt;&gt;Poland")/1000000000)</f>
        <v>0</v>
      </c>
      <c r="F58" s="15">
        <f>(SUMIFS('MAIN DATA, Orders'!$U:$U,'MAIN DATA, Orders'!$D:$D,"Poland",'MAIN DATA, Orders'!$Y:$Y,$A58,'MAIN DATA, Orders'!$AC:$AC,"0",'MAIN DATA, Orders'!$AF:$AF,"0")/1000000000)</f>
        <v>0</v>
      </c>
    </row>
    <row r="59" spans="1:8" x14ac:dyDescent="0.35">
      <c r="A59" s="215">
        <v>202305</v>
      </c>
      <c r="B59" s="17">
        <v>45047</v>
      </c>
      <c r="C59" s="15">
        <f>(SUMIFS('MAIN DATA, Orders'!$U:$U,'MAIN DATA, Orders'!$D:$D,"Poland",'MAIN DATA, Orders'!$Y:$Y,$A59,'MAIN DATA, Orders'!$AF:$AF,"0",'MAIN DATA, Orders'!$AH:$AH,"Poland")/1000000000)</f>
        <v>0</v>
      </c>
      <c r="D59" s="15">
        <f>(SUMIFS('MAIN DATA, Orders'!$U:$U,'MAIN DATA, Orders'!$D:$D,"Poland",'MAIN DATA, Orders'!$Y:$Y,$A59,'MAIN DATA, Orders'!$AF:$AF,"1")/1000000000)</f>
        <v>0</v>
      </c>
      <c r="E59" s="15">
        <f>(SUMIFS('MAIN DATA, Orders'!$U:$U,'MAIN DATA, Orders'!$D:$D,"Poland",'MAIN DATA, Orders'!$Y:$Y,$A59,'MAIN DATA, Orders'!$AC:$AC,"1",'MAIN DATA, Orders'!$AF:$AF,"0",'MAIN DATA, Orders'!$AH:$AH,"&lt;&gt;Poland")/1000000000)</f>
        <v>0</v>
      </c>
      <c r="F59" s="15">
        <f>(SUMIFS('MAIN DATA, Orders'!$U:$U,'MAIN DATA, Orders'!$D:$D,"Poland",'MAIN DATA, Orders'!$Y:$Y,$A59,'MAIN DATA, Orders'!$AC:$AC,"0",'MAIN DATA, Orders'!$AF:$AF,"0")/1000000000)</f>
        <v>0</v>
      </c>
    </row>
    <row r="60" spans="1:8" x14ac:dyDescent="0.35">
      <c r="A60" s="215">
        <v>202306</v>
      </c>
      <c r="B60" s="17">
        <v>45078</v>
      </c>
      <c r="C60" s="15">
        <f>(SUMIFS('MAIN DATA, Orders'!$U:$U,'MAIN DATA, Orders'!$D:$D,"Poland",'MAIN DATA, Orders'!$Y:$Y,$A60,'MAIN DATA, Orders'!$AF:$AF,"0",'MAIN DATA, Orders'!$AH:$AH,"Poland")/1000000000)</f>
        <v>0.11228533685601057</v>
      </c>
      <c r="D60" s="15">
        <f>(SUMIFS('MAIN DATA, Orders'!$U:$U,'MAIN DATA, Orders'!$D:$D,"Poland",'MAIN DATA, Orders'!$Y:$Y,$A60,'MAIN DATA, Orders'!$AF:$AF,"1")/1000000000)</f>
        <v>0</v>
      </c>
      <c r="E60" s="15">
        <f>(SUMIFS('MAIN DATA, Orders'!$U:$U,'MAIN DATA, Orders'!$D:$D,"Poland",'MAIN DATA, Orders'!$Y:$Y,$A60,'MAIN DATA, Orders'!$AC:$AC,"1",'MAIN DATA, Orders'!$AF:$AF,"0",'MAIN DATA, Orders'!$AH:$AH,"&lt;&gt;Poland")/1000000000)</f>
        <v>0</v>
      </c>
      <c r="F60" s="15">
        <f>(SUMIFS('MAIN DATA, Orders'!$U:$U,'MAIN DATA, Orders'!$D:$D,"Poland",'MAIN DATA, Orders'!$Y:$Y,$A60,'MAIN DATA, Orders'!$AC:$AC,"0",'MAIN DATA, Orders'!$AF:$AF,"0")/1000000000)</f>
        <v>0</v>
      </c>
    </row>
    <row r="61" spans="1:8" x14ac:dyDescent="0.35">
      <c r="A61" s="215">
        <v>202307</v>
      </c>
      <c r="B61" s="17">
        <v>45108</v>
      </c>
      <c r="C61" s="15">
        <f>(SUMIFS('MAIN DATA, Orders'!$U:$U,'MAIN DATA, Orders'!$D:$D,"Poland",'MAIN DATA, Orders'!$Y:$Y,$A61,'MAIN DATA, Orders'!$AF:$AF,"0",'MAIN DATA, Orders'!$AH:$AH,"Poland")/1000000000)</f>
        <v>0</v>
      </c>
      <c r="D61" s="15">
        <f>(SUMIFS('MAIN DATA, Orders'!$U:$U,'MAIN DATA, Orders'!$D:$D,"Poland",'MAIN DATA, Orders'!$Y:$Y,$A61,'MAIN DATA, Orders'!$AF:$AF,"1")/1000000000)</f>
        <v>0</v>
      </c>
      <c r="E61" s="15">
        <f>(SUMIFS('MAIN DATA, Orders'!$U:$U,'MAIN DATA, Orders'!$D:$D,"Poland",'MAIN DATA, Orders'!$Y:$Y,$A61,'MAIN DATA, Orders'!$AC:$AC,"1",'MAIN DATA, Orders'!$AF:$AF,"0",'MAIN DATA, Orders'!$AH:$AH,"&lt;&gt;Poland")/1000000000)</f>
        <v>5.3463423656709523E-2</v>
      </c>
      <c r="F61" s="15">
        <f>(SUMIFS('MAIN DATA, Orders'!$U:$U,'MAIN DATA, Orders'!$D:$D,"Poland",'MAIN DATA, Orders'!$Y:$Y,$A61,'MAIN DATA, Orders'!$AC:$AC,"0",'MAIN DATA, Orders'!$AF:$AF,"0")/1000000000)</f>
        <v>0</v>
      </c>
      <c r="H61" s="3"/>
    </row>
    <row r="62" spans="1:8" x14ac:dyDescent="0.35">
      <c r="A62" s="215">
        <v>202308</v>
      </c>
      <c r="B62" s="17">
        <v>45139</v>
      </c>
      <c r="C62" s="15">
        <f>(SUMIFS('MAIN DATA, Orders'!$U:$U,'MAIN DATA, Orders'!$D:$D,"Poland",'MAIN DATA, Orders'!$Y:$Y,$A62,'MAIN DATA, Orders'!$AF:$AF,"0",'MAIN DATA, Orders'!$AH:$AH,"Poland")/1000000000)</f>
        <v>0.26420079260237783</v>
      </c>
      <c r="D62" s="15">
        <f>(SUMIFS('MAIN DATA, Orders'!$U:$U,'MAIN DATA, Orders'!$D:$D,"Poland",'MAIN DATA, Orders'!$Y:$Y,$A62,'MAIN DATA, Orders'!$AF:$AF,"1")/1000000000)</f>
        <v>0</v>
      </c>
      <c r="E62" s="15">
        <f>(SUMIFS('MAIN DATA, Orders'!$U:$U,'MAIN DATA, Orders'!$D:$D,"Poland",'MAIN DATA, Orders'!$Y:$Y,$A62,'MAIN DATA, Orders'!$AC:$AC,"1",'MAIN DATA, Orders'!$AF:$AF,"0",'MAIN DATA, Orders'!$AH:$AH,"&lt;&gt;Poland")/1000000000)</f>
        <v>0</v>
      </c>
      <c r="F62" s="15">
        <f>(SUMIFS('MAIN DATA, Orders'!$U:$U,'MAIN DATA, Orders'!$D:$D,"Poland",'MAIN DATA, Orders'!$Y:$Y,$A62,'MAIN DATA, Orders'!$AC:$AC,"0",'MAIN DATA, Orders'!$AF:$AF,"0")/1000000000)</f>
        <v>0.22016732716864817</v>
      </c>
      <c r="H62" s="3"/>
    </row>
    <row r="63" spans="1:8" x14ac:dyDescent="0.35">
      <c r="A63" s="215">
        <v>202309</v>
      </c>
      <c r="B63" s="17">
        <v>45170</v>
      </c>
      <c r="C63" s="15">
        <f>(SUMIFS('MAIN DATA, Orders'!$U:$U,'MAIN DATA, Orders'!$D:$D,"Poland",'MAIN DATA, Orders'!$Y:$Y,$A63,'MAIN DATA, Orders'!$AF:$AF,"0",'MAIN DATA, Orders'!$AH:$AH,"Poland")/1000000000)</f>
        <v>0</v>
      </c>
      <c r="D63" s="15">
        <f>(SUMIFS('MAIN DATA, Orders'!$U:$U,'MAIN DATA, Orders'!$D:$D,"Poland",'MAIN DATA, Orders'!$Y:$Y,$A63,'MAIN DATA, Orders'!$AF:$AF,"1")/1000000000)</f>
        <v>6.6050198150594458E-2</v>
      </c>
      <c r="E63" s="15">
        <f>(SUMIFS('MAIN DATA, Orders'!$U:$U,'MAIN DATA, Orders'!$D:$D,"Poland",'MAIN DATA, Orders'!$Y:$Y,$A63,'MAIN DATA, Orders'!$AC:$AC,"1",'MAIN DATA, Orders'!$AF:$AF,"0",'MAIN DATA, Orders'!$AH:$AH,"&lt;&gt;Poland")/1000000000)</f>
        <v>1.7613386173491854</v>
      </c>
      <c r="F63" s="15">
        <f>(SUMIFS('MAIN DATA, Orders'!$U:$U,'MAIN DATA, Orders'!$D:$D,"Poland",'MAIN DATA, Orders'!$Y:$Y,$A63,'MAIN DATA, Orders'!$AC:$AC,"0",'MAIN DATA, Orders'!$AF:$AF,"0")/1000000000)</f>
        <v>0</v>
      </c>
      <c r="H63" s="3"/>
    </row>
    <row r="64" spans="1:8" x14ac:dyDescent="0.35">
      <c r="A64" s="215">
        <v>202310</v>
      </c>
      <c r="B64" s="17">
        <v>45200</v>
      </c>
      <c r="C64" s="15">
        <f>(SUMIFS('MAIN DATA, Orders'!$U:$U,'MAIN DATA, Orders'!$D:$D,"Poland",'MAIN DATA, Orders'!$Y:$Y,$A64,'MAIN DATA, Orders'!$AF:$AF,"0",'MAIN DATA, Orders'!$AH:$AH,"Poland")/1000000000)</f>
        <v>0</v>
      </c>
      <c r="D64" s="15">
        <f>(SUMIFS('MAIN DATA, Orders'!$U:$U,'MAIN DATA, Orders'!$D:$D,"Poland",'MAIN DATA, Orders'!$Y:$Y,$A64,'MAIN DATA, Orders'!$AF:$AF,"1")/1000000000)</f>
        <v>0</v>
      </c>
      <c r="E64" s="15">
        <f>(SUMIFS('MAIN DATA, Orders'!$U:$U,'MAIN DATA, Orders'!$D:$D,"Poland",'MAIN DATA, Orders'!$Y:$Y,$A64,'MAIN DATA, Orders'!$AC:$AC,"1",'MAIN DATA, Orders'!$AF:$AF,"0",'MAIN DATA, Orders'!$AH:$AH,"&lt;&gt;Poland")/1000000000)</f>
        <v>0</v>
      </c>
      <c r="F64" s="15">
        <f>(SUMIFS('MAIN DATA, Orders'!$U:$U,'MAIN DATA, Orders'!$D:$D,"Poland",'MAIN DATA, Orders'!$Y:$Y,$A64,'MAIN DATA, Orders'!$AC:$AC,"0",'MAIN DATA, Orders'!$AF:$AF,"0")/1000000000)</f>
        <v>0</v>
      </c>
      <c r="H64" s="3"/>
    </row>
    <row r="65" spans="1:8" x14ac:dyDescent="0.35">
      <c r="A65" s="215">
        <v>202311</v>
      </c>
      <c r="B65" s="17">
        <v>45231</v>
      </c>
      <c r="C65" s="15">
        <f>(SUMIFS('MAIN DATA, Orders'!$U:$U,'MAIN DATA, Orders'!$D:$D,"Poland",'MAIN DATA, Orders'!$Y:$Y,$A65,'MAIN DATA, Orders'!$AF:$AF,"0",'MAIN DATA, Orders'!$AH:$AH,"Poland")/1000000000)</f>
        <v>0</v>
      </c>
      <c r="D65" s="15">
        <f>(SUMIFS('MAIN DATA, Orders'!$U:$U,'MAIN DATA, Orders'!$D:$D,"Poland",'MAIN DATA, Orders'!$Y:$Y,$A65,'MAIN DATA, Orders'!$AF:$AF,"1")/1000000000)</f>
        <v>0</v>
      </c>
      <c r="E65" s="15">
        <f>(SUMIFS('MAIN DATA, Orders'!$U:$U,'MAIN DATA, Orders'!$D:$D,"Poland",'MAIN DATA, Orders'!$Y:$Y,$A65,'MAIN DATA, Orders'!$AC:$AC,"1",'MAIN DATA, Orders'!$AF:$AF,"0",'MAIN DATA, Orders'!$AH:$AH,"&lt;&gt;Poland")/1000000000)</f>
        <v>0</v>
      </c>
      <c r="F65" s="15">
        <f>(SUMIFS('MAIN DATA, Orders'!$U:$U,'MAIN DATA, Orders'!$D:$D,"Poland",'MAIN DATA, Orders'!$Y:$Y,$A65,'MAIN DATA, Orders'!$AC:$AC,"0",'MAIN DATA, Orders'!$AF:$AF,"0")/1000000000)</f>
        <v>0</v>
      </c>
      <c r="H65" s="3"/>
    </row>
    <row r="66" spans="1:8" x14ac:dyDescent="0.35">
      <c r="A66" s="215">
        <v>202312</v>
      </c>
      <c r="B66" s="17">
        <v>45261</v>
      </c>
      <c r="C66" s="15">
        <f>(SUMIFS('MAIN DATA, Orders'!$U:$U,'MAIN DATA, Orders'!$D:$D,"Poland",'MAIN DATA, Orders'!$Y:$Y,$A66,'MAIN DATA, Orders'!$AF:$AF,"0",'MAIN DATA, Orders'!$AH:$AH,"Poland")/1000000000)</f>
        <v>0</v>
      </c>
      <c r="D66" s="15">
        <f>(SUMIFS('MAIN DATA, Orders'!$U:$U,'MAIN DATA, Orders'!$D:$D,"Poland",'MAIN DATA, Orders'!$Y:$Y,$A66,'MAIN DATA, Orders'!$AF:$AF,"1")/1000000000)</f>
        <v>2.2016732716864817</v>
      </c>
      <c r="E66" s="15">
        <f>(SUMIFS('MAIN DATA, Orders'!$U:$U,'MAIN DATA, Orders'!$D:$D,"Poland",'MAIN DATA, Orders'!$Y:$Y,$A66,'MAIN DATA, Orders'!$AC:$AC,"1",'MAIN DATA, Orders'!$AF:$AF,"0",'MAIN DATA, Orders'!$AH:$AH,"&lt;&gt;Poland")/1000000000)</f>
        <v>0</v>
      </c>
      <c r="F66" s="15">
        <f>(SUMIFS('MAIN DATA, Orders'!$U:$U,'MAIN DATA, Orders'!$D:$D,"Poland",'MAIN DATA, Orders'!$Y:$Y,$A66,'MAIN DATA, Orders'!$AC:$AC,"0",'MAIN DATA, Orders'!$AF:$AF,"0")/1000000000)</f>
        <v>0</v>
      </c>
      <c r="H66" s="3"/>
    </row>
    <row r="67" spans="1:8" x14ac:dyDescent="0.35">
      <c r="A67" s="215">
        <v>202401</v>
      </c>
      <c r="B67" s="17">
        <v>45292</v>
      </c>
      <c r="C67" s="15">
        <f>(SUMIFS('MAIN DATA, Orders'!$U:$U,'MAIN DATA, Orders'!$D:$D,"Poland",'MAIN DATA, Orders'!$Y:$Y,$A67,'MAIN DATA, Orders'!$AF:$AF,"0",'MAIN DATA, Orders'!$AH:$AH,"Poland")/1000000000)</f>
        <v>0</v>
      </c>
      <c r="D67" s="15">
        <f>(SUMIFS('MAIN DATA, Orders'!$U:$U,'MAIN DATA, Orders'!$D:$D,"Poland",'MAIN DATA, Orders'!$Y:$Y,$A67,'MAIN DATA, Orders'!$AF:$AF,"1")/1000000000)</f>
        <v>0</v>
      </c>
      <c r="E67" s="15">
        <f>(SUMIFS('MAIN DATA, Orders'!$U:$U,'MAIN DATA, Orders'!$D:$D,"Poland",'MAIN DATA, Orders'!$Y:$Y,$A67,'MAIN DATA, Orders'!$AC:$AC,"1",'MAIN DATA, Orders'!$AF:$AF,"0",'MAIN DATA, Orders'!$AH:$AH,"&lt;&gt;Poland")/1000000000)</f>
        <v>0</v>
      </c>
      <c r="F67" s="15">
        <f>(SUMIFS('MAIN DATA, Orders'!$U:$U,'MAIN DATA, Orders'!$D:$D,"Poland",'MAIN DATA, Orders'!$Y:$Y,$A67,'MAIN DATA, Orders'!$AC:$AC,"0",'MAIN DATA, Orders'!$AF:$AF,"0")/1000000000)</f>
        <v>0</v>
      </c>
      <c r="H67" s="3"/>
    </row>
    <row r="68" spans="1:8" x14ac:dyDescent="0.35">
      <c r="A68" s="215">
        <v>202402</v>
      </c>
      <c r="B68" s="17">
        <v>45323</v>
      </c>
      <c r="C68" s="15">
        <f>(SUMIFS('MAIN DATA, Orders'!$U:$U,'MAIN DATA, Orders'!$D:$D,"Poland",'MAIN DATA, Orders'!$Y:$Y,$A68,'MAIN DATA, Orders'!$AF:$AF,"0",'MAIN DATA, Orders'!$AH:$AH,"Poland")/1000000000)</f>
        <v>0</v>
      </c>
      <c r="D68" s="15">
        <f>(SUMIFS('MAIN DATA, Orders'!$U:$U,'MAIN DATA, Orders'!$D:$D,"Poland",'MAIN DATA, Orders'!$Y:$Y,$A68,'MAIN DATA, Orders'!$AF:$AF,"1")/1000000000)</f>
        <v>6.9673463700125407E-2</v>
      </c>
      <c r="E68" s="15">
        <f>(SUMIFS('MAIN DATA, Orders'!$U:$U,'MAIN DATA, Orders'!$D:$D,"Poland",'MAIN DATA, Orders'!$Y:$Y,$A68,'MAIN DATA, Orders'!$AC:$AC,"1",'MAIN DATA, Orders'!$AF:$AF,"0",'MAIN DATA, Orders'!$AH:$AH,"&lt;&gt;Poland")/1000000000)</f>
        <v>0</v>
      </c>
      <c r="F68" s="15">
        <f>(SUMIFS('MAIN DATA, Orders'!$U:$U,'MAIN DATA, Orders'!$D:$D,"Poland",'MAIN DATA, Orders'!$Y:$Y,$A68,'MAIN DATA, Orders'!$AC:$AC,"0",'MAIN DATA, Orders'!$AF:$AF,"0")/1000000000)</f>
        <v>2.3373983739837398</v>
      </c>
      <c r="H68" s="3"/>
    </row>
    <row r="69" spans="1:8" x14ac:dyDescent="0.35">
      <c r="A69" s="215">
        <v>202403</v>
      </c>
      <c r="B69" s="17">
        <v>45352</v>
      </c>
      <c r="C69" s="15">
        <f>(SUMIFS('MAIN DATA, Orders'!$U:$U,'MAIN DATA, Orders'!$D:$D,"Poland",'MAIN DATA, Orders'!$Y:$Y,$A69,'MAIN DATA, Orders'!$AF:$AF,"0",'MAIN DATA, Orders'!$AH:$AH,"Poland")/1000000000)</f>
        <v>0</v>
      </c>
      <c r="D69" s="15">
        <f>(SUMIFS('MAIN DATA, Orders'!$U:$U,'MAIN DATA, Orders'!$D:$D,"Poland",'MAIN DATA, Orders'!$Y:$Y,$A69,'MAIN DATA, Orders'!$AF:$AF,"1")/1000000000)</f>
        <v>1.5095917135027175</v>
      </c>
      <c r="E69" s="15">
        <f>(SUMIFS('MAIN DATA, Orders'!$U:$U,'MAIN DATA, Orders'!$D:$D,"Poland",'MAIN DATA, Orders'!$Y:$Y,$A69,'MAIN DATA, Orders'!$AC:$AC,"1",'MAIN DATA, Orders'!$AF:$AF,"0",'MAIN DATA, Orders'!$AH:$AH,"&lt;&gt;Poland")/1000000000)</f>
        <v>0</v>
      </c>
      <c r="F69" s="15">
        <f>(SUMIFS('MAIN DATA, Orders'!$U:$U,'MAIN DATA, Orders'!$D:$D,"Poland",'MAIN DATA, Orders'!$Y:$Y,$A69,'MAIN DATA, Orders'!$AC:$AC,"0",'MAIN DATA, Orders'!$AF:$AF,"0")/1000000000)</f>
        <v>0</v>
      </c>
      <c r="H69" s="3"/>
    </row>
    <row r="70" spans="1:8" x14ac:dyDescent="0.35">
      <c r="A70" s="215">
        <v>202404</v>
      </c>
      <c r="B70" s="17">
        <v>45383</v>
      </c>
      <c r="C70" s="15">
        <f>(SUMIFS('MAIN DATA, Orders'!$U:$U,'MAIN DATA, Orders'!$D:$D,"Poland",'MAIN DATA, Orders'!$Y:$Y,$A70,'MAIN DATA, Orders'!$AF:$AF,"0",'MAIN DATA, Orders'!$AH:$AH,"Poland")/1000000000)</f>
        <v>1.3377305030424081E-2</v>
      </c>
      <c r="D70" s="15">
        <f>(SUMIFS('MAIN DATA, Orders'!$U:$U,'MAIN DATA, Orders'!$D:$D,"Poland",'MAIN DATA, Orders'!$Y:$Y,$A70,'MAIN DATA, Orders'!$AF:$AF,"1")/1000000000)</f>
        <v>1.4781966001478195</v>
      </c>
      <c r="E70" s="15">
        <f>(SUMIFS('MAIN DATA, Orders'!$U:$U,'MAIN DATA, Orders'!$D:$D,"Poland",'MAIN DATA, Orders'!$Y:$Y,$A70,'MAIN DATA, Orders'!$AC:$AC,"1",'MAIN DATA, Orders'!$AF:$AF,"0",'MAIN DATA, Orders'!$AH:$AH,"&lt;&gt;Poland")/1000000000)</f>
        <v>0</v>
      </c>
      <c r="F70" s="15">
        <f>(SUMIFS('MAIN DATA, Orders'!$U:$U,'MAIN DATA, Orders'!$D:$D,"Poland",'MAIN DATA, Orders'!$Y:$Y,$A70,'MAIN DATA, Orders'!$AC:$AC,"0",'MAIN DATA, Orders'!$AF:$AF,"0")/1000000000)</f>
        <v>0</v>
      </c>
      <c r="H70" s="3"/>
    </row>
    <row r="71" spans="1:8" x14ac:dyDescent="0.35">
      <c r="A71" s="215">
        <v>202405</v>
      </c>
      <c r="B71" s="17">
        <v>45413</v>
      </c>
      <c r="C71" s="15">
        <f>(SUMIFS('MAIN DATA, Orders'!$U:$U,'MAIN DATA, Orders'!$D:$D,"Poland",'MAIN DATA, Orders'!$Y:$Y,$A71,'MAIN DATA, Orders'!$AF:$AF,"0",'MAIN DATA, Orders'!$AH:$AH,"Poland")/1000000000)</f>
        <v>0</v>
      </c>
      <c r="D71" s="15">
        <f>(SUMIFS('MAIN DATA, Orders'!$U:$U,'MAIN DATA, Orders'!$D:$D,"Poland",'MAIN DATA, Orders'!$Y:$Y,$A71,'MAIN DATA, Orders'!$AF:$AF,"1")/1000000000)</f>
        <v>1.5659645232815964</v>
      </c>
      <c r="E71" s="15">
        <f>(SUMIFS('MAIN DATA, Orders'!$U:$U,'MAIN DATA, Orders'!$D:$D,"Poland",'MAIN DATA, Orders'!$Y:$Y,$A71,'MAIN DATA, Orders'!$AC:$AC,"1",'MAIN DATA, Orders'!$AF:$AF,"0",'MAIN DATA, Orders'!$AH:$AH,"&lt;&gt;Poland")/1000000000)</f>
        <v>0</v>
      </c>
      <c r="F71" s="15">
        <f>(SUMIFS('MAIN DATA, Orders'!$U:$U,'MAIN DATA, Orders'!$D:$D,"Poland",'MAIN DATA, Orders'!$Y:$Y,$A71,'MAIN DATA, Orders'!$AC:$AC,"0",'MAIN DATA, Orders'!$AF:$AF,"0")/1000000000)</f>
        <v>0</v>
      </c>
    </row>
    <row r="72" spans="1:8" x14ac:dyDescent="0.35">
      <c r="A72" s="215">
        <v>202406</v>
      </c>
      <c r="B72" s="17">
        <v>45444</v>
      </c>
      <c r="C72" s="15">
        <f>(SUMIFS('MAIN DATA, Orders'!$U:$U,'MAIN DATA, Orders'!$D:$D,"Poland",'MAIN DATA, Orders'!$Y:$Y,$A72,'MAIN DATA, Orders'!$AF:$AF,"0",'MAIN DATA, Orders'!$AH:$AH,"Poland")/1000000000)</f>
        <v>0</v>
      </c>
      <c r="D72" s="15">
        <f>(SUMIFS('MAIN DATA, Orders'!$U:$U,'MAIN DATA, Orders'!$D:$D,"Poland",'MAIN DATA, Orders'!$Y:$Y,$A72,'MAIN DATA, Orders'!$AF:$AF,"1")/1000000000)</f>
        <v>0</v>
      </c>
      <c r="E72" s="15">
        <f>(SUMIFS('MAIN DATA, Orders'!$U:$U,'MAIN DATA, Orders'!$D:$D,"Poland",'MAIN DATA, Orders'!$Y:$Y,$A72,'MAIN DATA, Orders'!$AC:$AC,"1",'MAIN DATA, Orders'!$AF:$AF,"0",'MAIN DATA, Orders'!$AH:$AH,"&lt;&gt;Poland")/1000000000)</f>
        <v>0</v>
      </c>
      <c r="F72" s="15">
        <f>(SUMIFS('MAIN DATA, Orders'!$U:$U,'MAIN DATA, Orders'!$D:$D,"Poland",'MAIN DATA, Orders'!$Y:$Y,$A72,'MAIN DATA, Orders'!$AC:$AC,"0",'MAIN DATA, Orders'!$AF:$AF,"0")/1000000000)</f>
        <v>0</v>
      </c>
    </row>
    <row r="73" spans="1:8" x14ac:dyDescent="0.35">
      <c r="A73" s="215">
        <v>202407</v>
      </c>
      <c r="B73" s="17">
        <v>45474</v>
      </c>
      <c r="C73" s="15">
        <f>(SUMIFS('MAIN DATA, Orders'!$U:$U,'MAIN DATA, Orders'!$D:$D,"Poland",'MAIN DATA, Orders'!$Y:$Y,$A73,'MAIN DATA, Orders'!$AF:$AF,"0",'MAIN DATA, Orders'!$AH:$AH,"Poland")/1000000000)</f>
        <v>0.92897951600167228</v>
      </c>
      <c r="D73" s="15">
        <f>(SUMIFS('MAIN DATA, Orders'!$U:$U,'MAIN DATA, Orders'!$D:$D,"Poland",'MAIN DATA, Orders'!$Y:$Y,$A73,'MAIN DATA, Orders'!$AF:$AF,"1")/1000000000)</f>
        <v>0</v>
      </c>
      <c r="E73" s="15">
        <f>(SUMIFS('MAIN DATA, Orders'!$U:$U,'MAIN DATA, Orders'!$D:$D,"Poland",'MAIN DATA, Orders'!$Y:$Y,$A73,'MAIN DATA, Orders'!$AC:$AC,"1",'MAIN DATA, Orders'!$AF:$AF,"0",'MAIN DATA, Orders'!$AH:$AH,"&lt;&gt;Poland")/1000000000)</f>
        <v>0</v>
      </c>
      <c r="F73" s="15">
        <f>(SUMIFS('MAIN DATA, Orders'!$U:$U,'MAIN DATA, Orders'!$D:$D,"Poland",'MAIN DATA, Orders'!$Y:$Y,$A73,'MAIN DATA, Orders'!$AC:$AC,"0",'MAIN DATA, Orders'!$AF:$AF,"0")/1000000000)</f>
        <v>0</v>
      </c>
    </row>
    <row r="74" spans="1:8" x14ac:dyDescent="0.35">
      <c r="A74" s="215">
        <v>202408</v>
      </c>
      <c r="B74" s="17">
        <v>45505</v>
      </c>
      <c r="C74" s="15">
        <f>(SUMIFS('MAIN DATA, Orders'!$U:$U,'MAIN DATA, Orders'!$D:$D,"Poland",'MAIN DATA, Orders'!$Y:$Y,$A74,'MAIN DATA, Orders'!$AF:$AF,"0",'MAIN DATA, Orders'!$AH:$AH,"Poland")/1000000000)</f>
        <v>0.18579590320033446</v>
      </c>
      <c r="D74" s="15">
        <f>(SUMIFS('MAIN DATA, Orders'!$U:$U,'MAIN DATA, Orders'!$D:$D,"Poland",'MAIN DATA, Orders'!$Y:$Y,$A74,'MAIN DATA, Orders'!$AF:$AF,"1")/1000000000)</f>
        <v>10.546267419696226</v>
      </c>
      <c r="E74" s="15">
        <f>(SUMIFS('MAIN DATA, Orders'!$U:$U,'MAIN DATA, Orders'!$D:$D,"Poland",'MAIN DATA, Orders'!$Y:$Y,$A74,'MAIN DATA, Orders'!$AC:$AC,"1",'MAIN DATA, Orders'!$AF:$AF,"0",'MAIN DATA, Orders'!$AH:$AH,"&lt;&gt;Poland")/1000000000)</f>
        <v>0</v>
      </c>
      <c r="F74" s="15">
        <f>(SUMIFS('MAIN DATA, Orders'!$U:$U,'MAIN DATA, Orders'!$D:$D,"Poland",'MAIN DATA, Orders'!$Y:$Y,$A74,'MAIN DATA, Orders'!$AC:$AC,"0",'MAIN DATA, Orders'!$AF:$AF,"0")/1000000000)</f>
        <v>0</v>
      </c>
    </row>
    <row r="75" spans="1:8" x14ac:dyDescent="0.35">
      <c r="A75" s="215">
        <v>202409</v>
      </c>
      <c r="B75" s="17">
        <v>45536</v>
      </c>
      <c r="C75" s="15">
        <f>(SUMIFS('MAIN DATA, Orders'!$U:$U,'MAIN DATA, Orders'!$D:$D,"Poland",'MAIN DATA, Orders'!$Y:$Y,$A75,'MAIN DATA, Orders'!$AF:$AF,"0",'MAIN DATA, Orders'!$AH:$AH,"Poland")/1000000000)</f>
        <v>1.5490733429327885E-2</v>
      </c>
      <c r="D75" s="15">
        <f>(SUMIFS('MAIN DATA, Orders'!$U:$U,'MAIN DATA, Orders'!$D:$D,"Poland",'MAIN DATA, Orders'!$Y:$Y,$A75,'MAIN DATA, Orders'!$AF:$AF,"1")/1000000000)</f>
        <v>0</v>
      </c>
      <c r="E75" s="15">
        <f>(SUMIFS('MAIN DATA, Orders'!$U:$U,'MAIN DATA, Orders'!$D:$D,"Poland",'MAIN DATA, Orders'!$Y:$Y,$A75,'MAIN DATA, Orders'!$AC:$AC,"1",'MAIN DATA, Orders'!$AF:$AF,"0",'MAIN DATA, Orders'!$AH:$AH,"&lt;&gt;Poland")/1000000000)</f>
        <v>0</v>
      </c>
      <c r="F75" s="15">
        <f>(SUMIFS('MAIN DATA, Orders'!$U:$U,'MAIN DATA, Orders'!$D:$D,"Poland",'MAIN DATA, Orders'!$Y:$Y,$A75,'MAIN DATA, Orders'!$AC:$AC,"0",'MAIN DATA, Orders'!$AF:$AF,"0")/1000000000)</f>
        <v>0</v>
      </c>
    </row>
    <row r="76" spans="1:8" x14ac:dyDescent="0.35">
      <c r="A76" s="215">
        <v>202410</v>
      </c>
      <c r="B76" s="17">
        <v>45566</v>
      </c>
      <c r="C76" s="15">
        <f>(SUMIFS('MAIN DATA, Orders'!$U:$U,'MAIN DATA, Orders'!$D:$D,"Poland",'MAIN DATA, Orders'!$Y:$Y,$A76,'MAIN DATA, Orders'!$AF:$AF,"0",'MAIN DATA, Orders'!$AH:$AH,"Poland")/1000000000)</f>
        <v>0</v>
      </c>
      <c r="D76" s="15">
        <f>(SUMIFS('MAIN DATA, Orders'!$U:$U,'MAIN DATA, Orders'!$D:$D,"Poland",'MAIN DATA, Orders'!$Y:$Y,$A76,'MAIN DATA, Orders'!$AF:$AF,"1")/1000000000)</f>
        <v>0</v>
      </c>
      <c r="E76" s="15">
        <f>(SUMIFS('MAIN DATA, Orders'!$U:$U,'MAIN DATA, Orders'!$D:$D,"Poland",'MAIN DATA, Orders'!$Y:$Y,$A76,'MAIN DATA, Orders'!$AC:$AC,"1",'MAIN DATA, Orders'!$AF:$AF,"0",'MAIN DATA, Orders'!$AH:$AH,"&lt;&gt;Poland")/1000000000)</f>
        <v>0</v>
      </c>
      <c r="F76" s="15">
        <f>(SUMIFS('MAIN DATA, Orders'!$U:$U,'MAIN DATA, Orders'!$D:$D,"Poland",'MAIN DATA, Orders'!$Y:$Y,$A76,'MAIN DATA, Orders'!$AC:$AC,"0",'MAIN DATA, Orders'!$AF:$AF,"0")/1000000000)</f>
        <v>0</v>
      </c>
    </row>
    <row r="77" spans="1:8" x14ac:dyDescent="0.35">
      <c r="A77" s="215">
        <v>202411</v>
      </c>
      <c r="B77" s="17">
        <v>45597</v>
      </c>
      <c r="C77" s="15">
        <f>(SUMIFS('MAIN DATA, Orders'!$U:$U,'MAIN DATA, Orders'!$D:$D,"Poland",'MAIN DATA, Orders'!$Y:$Y,$A77,'MAIN DATA, Orders'!$AF:$AF,"0",'MAIN DATA, Orders'!$AH:$AH,"Poland")/1000000000)</f>
        <v>0.3251428306005853</v>
      </c>
      <c r="D77" s="15">
        <f>(SUMIFS('MAIN DATA, Orders'!$U:$U,'MAIN DATA, Orders'!$D:$D,"Poland",'MAIN DATA, Orders'!$Y:$Y,$A77,'MAIN DATA, Orders'!$AF:$AF,"1")/1000000000)</f>
        <v>0.16167775314116775</v>
      </c>
      <c r="E77" s="15">
        <f>(SUMIFS('MAIN DATA, Orders'!$U:$U,'MAIN DATA, Orders'!$D:$D,"Poland",'MAIN DATA, Orders'!$Y:$Y,$A77,'MAIN DATA, Orders'!$AC:$AC,"1",'MAIN DATA, Orders'!$AF:$AF,"0",'MAIN DATA, Orders'!$AH:$AH,"&lt;&gt;Poland")/1000000000)</f>
        <v>0</v>
      </c>
      <c r="F77" s="15">
        <f>(SUMIFS('MAIN DATA, Orders'!$U:$U,'MAIN DATA, Orders'!$D:$D,"Poland",'MAIN DATA, Orders'!$Y:$Y,$A77,'MAIN DATA, Orders'!$AC:$AC,"0",'MAIN DATA, Orders'!$AF:$AF,"0")/1000000000)</f>
        <v>0</v>
      </c>
    </row>
    <row r="78" spans="1:8" x14ac:dyDescent="0.35">
      <c r="A78" s="215">
        <v>202412</v>
      </c>
      <c r="B78" s="17">
        <v>45627</v>
      </c>
      <c r="C78" s="15">
        <f>(SUMIFS('MAIN DATA, Orders'!$U:$U,'MAIN DATA, Orders'!$D:$D,"Poland",'MAIN DATA, Orders'!$Y:$Y,$A78,'MAIN DATA, Orders'!$AF:$AF,"0",'MAIN DATA, Orders'!$AH:$AH,"Poland")/1000000000)</f>
        <v>5.5852570950810536</v>
      </c>
      <c r="D78" s="15">
        <f>(SUMIFS('MAIN DATA, Orders'!$U:$U,'MAIN DATA, Orders'!$D:$D,"Poland",'MAIN DATA, Orders'!$Y:$Y,$A78,'MAIN DATA, Orders'!$AF:$AF,"1")/1000000000)</f>
        <v>0.38139385480050164</v>
      </c>
      <c r="E78" s="15">
        <f>(SUMIFS('MAIN DATA, Orders'!$U:$U,'MAIN DATA, Orders'!$D:$D,"Poland",'MAIN DATA, Orders'!$Y:$Y,$A78,'MAIN DATA, Orders'!$AC:$AC,"1",'MAIN DATA, Orders'!$AF:$AF,"0",'MAIN DATA, Orders'!$AH:$AH,"&lt;&gt;Poland")/1000000000)</f>
        <v>0</v>
      </c>
      <c r="F78" s="15">
        <f>(SUMIFS('MAIN DATA, Orders'!$U:$U,'MAIN DATA, Orders'!$D:$D,"Poland",'MAIN DATA, Orders'!$Y:$Y,$A78,'MAIN DATA, Orders'!$AC:$AC,"0",'MAIN DATA, Orders'!$AF:$AF,"0")/1000000000)</f>
        <v>0</v>
      </c>
    </row>
    <row r="79" spans="1:8" x14ac:dyDescent="0.35">
      <c r="A79" s="215">
        <v>202501</v>
      </c>
      <c r="B79" s="17">
        <v>45658</v>
      </c>
      <c r="C79" s="15">
        <f>(SUMIFS('MAIN DATA, Orders'!$U:$U,'MAIN DATA, Orders'!$D:$D,"Poland",'MAIN DATA, Orders'!$Y:$Y,$A79,'MAIN DATA, Orders'!$AF:$AF,"0",'MAIN DATA, Orders'!$AH:$AH,"Poland")/1000000000)</f>
        <v>0</v>
      </c>
      <c r="D79" s="15">
        <f>(SUMIFS('MAIN DATA, Orders'!$U:$U,'MAIN DATA, Orders'!$D:$D,"Poland",'MAIN DATA, Orders'!$Y:$Y,$A79,'MAIN DATA, Orders'!$AF:$AF,"1")/1000000000)</f>
        <v>0.65929203539823023</v>
      </c>
      <c r="E79" s="15">
        <f>(SUMIFS('MAIN DATA, Orders'!$U:$U,'MAIN DATA, Orders'!$D:$D,"Poland",'MAIN DATA, Orders'!$Y:$Y,$A79,'MAIN DATA, Orders'!$AC:$AC,"1",'MAIN DATA, Orders'!$AF:$AF,"0",'MAIN DATA, Orders'!$AH:$AH,"&lt;&gt;Poland")/1000000000)</f>
        <v>0</v>
      </c>
      <c r="F79" s="15">
        <f>(SUMIFS('MAIN DATA, Orders'!$U:$U,'MAIN DATA, Orders'!$D:$D,"Poland",'MAIN DATA, Orders'!$Y:$Y,$A79,'MAIN DATA, Orders'!$AC:$AC,"0",'MAIN DATA, Orders'!$AF:$AF,"0")/1000000000)</f>
        <v>0</v>
      </c>
    </row>
    <row r="80" spans="1:8" x14ac:dyDescent="0.35">
      <c r="A80" s="215">
        <v>202502</v>
      </c>
      <c r="B80" s="17">
        <v>45689</v>
      </c>
      <c r="C80" s="15">
        <f>(SUMIFS('MAIN DATA, Orders'!$U:$U,'MAIN DATA, Orders'!$D:$D,"Poland",'MAIN DATA, Orders'!$Y:$Y,$A80,'MAIN DATA, Orders'!$AF:$AF,"0",'MAIN DATA, Orders'!$AH:$AH,"Poland")/1000000000)</f>
        <v>0</v>
      </c>
      <c r="D80" s="15">
        <f>(SUMIFS('MAIN DATA, Orders'!$U:$U,'MAIN DATA, Orders'!$D:$D,"Poland",'MAIN DATA, Orders'!$Y:$Y,$A80,'MAIN DATA, Orders'!$AF:$AF,"1")/1000000000)</f>
        <v>0.26548672566371684</v>
      </c>
      <c r="E80" s="15">
        <f>(SUMIFS('MAIN DATA, Orders'!$U:$U,'MAIN DATA, Orders'!$D:$D,"Poland",'MAIN DATA, Orders'!$Y:$Y,$A80,'MAIN DATA, Orders'!$AC:$AC,"1",'MAIN DATA, Orders'!$AF:$AF,"0",'MAIN DATA, Orders'!$AH:$AH,"&lt;&gt;Poland")/1000000000)</f>
        <v>0</v>
      </c>
      <c r="F80" s="15">
        <f>(SUMIFS('MAIN DATA, Orders'!$U:$U,'MAIN DATA, Orders'!$D:$D,"Poland",'MAIN DATA, Orders'!$Y:$Y,$A80,'MAIN DATA, Orders'!$AC:$AC,"0",'MAIN DATA, Orders'!$AF:$AF,"0")/1000000000)</f>
        <v>0</v>
      </c>
    </row>
    <row r="81" spans="1:8" x14ac:dyDescent="0.35">
      <c r="A81" s="215">
        <v>202503</v>
      </c>
      <c r="B81" s="17">
        <v>45717</v>
      </c>
      <c r="C81" s="15">
        <f>(SUMIFS('MAIN DATA, Orders'!$U:$U,'MAIN DATA, Orders'!$D:$D,"Poland",'MAIN DATA, Orders'!$Y:$Y,$A81,'MAIN DATA, Orders'!$AF:$AF,"0",'MAIN DATA, Orders'!$AH:$AH,"Poland")/1000000000)</f>
        <v>1.561431233341982</v>
      </c>
      <c r="D81" s="15">
        <f>(SUMIFS('MAIN DATA, Orders'!$U:$U,'MAIN DATA, Orders'!$D:$D,"Poland",'MAIN DATA, Orders'!$Y:$Y,$A81,'MAIN DATA, Orders'!$AF:$AF,"1")/1000000000)</f>
        <v>1.7699115044247788</v>
      </c>
      <c r="E81" s="15">
        <f>(SUMIFS('MAIN DATA, Orders'!$U:$U,'MAIN DATA, Orders'!$D:$D,"Poland",'MAIN DATA, Orders'!$Y:$Y,$A81,'MAIN DATA, Orders'!$AC:$AC,"1",'MAIN DATA, Orders'!$AF:$AF,"0",'MAIN DATA, Orders'!$AH:$AH,"&lt;&gt;Poland")/1000000000)</f>
        <v>0</v>
      </c>
      <c r="F81" s="15">
        <f>(SUMIFS('MAIN DATA, Orders'!$U:$U,'MAIN DATA, Orders'!$D:$D,"Poland",'MAIN DATA, Orders'!$Y:$Y,$A81,'MAIN DATA, Orders'!$AC:$AC,"0",'MAIN DATA, Orders'!$AF:$AF,"0")/1000000000)</f>
        <v>0</v>
      </c>
    </row>
    <row r="82" spans="1:8" x14ac:dyDescent="0.35">
      <c r="A82" s="215">
        <v>202504</v>
      </c>
      <c r="B82" s="17">
        <v>45748</v>
      </c>
      <c r="C82" s="15">
        <f>(SUMIFS('MAIN DATA, Orders'!$U:$U,'MAIN DATA, Orders'!$D:$D,"Poland",'MAIN DATA, Orders'!$Y:$Y,$A82,'MAIN DATA, Orders'!$AF:$AF,"0",'MAIN DATA, Orders'!$AH:$AH,"Poland")/1000000000)</f>
        <v>0</v>
      </c>
      <c r="D82" s="15">
        <f>(SUMIFS('MAIN DATA, Orders'!$U:$U,'MAIN DATA, Orders'!$D:$D,"Poland",'MAIN DATA, Orders'!$Y:$Y,$A82,'MAIN DATA, Orders'!$AF:$AF,"1")/1000000000)</f>
        <v>0</v>
      </c>
      <c r="E82" s="15">
        <f>(SUMIFS('MAIN DATA, Orders'!$U:$U,'MAIN DATA, Orders'!$D:$D,"Poland",'MAIN DATA, Orders'!$Y:$Y,$A82,'MAIN DATA, Orders'!$AC:$AC,"1",'MAIN DATA, Orders'!$AF:$AF,"0",'MAIN DATA, Orders'!$AH:$AH,"&lt;&gt;Poland")/1000000000)</f>
        <v>0</v>
      </c>
      <c r="F82" s="15">
        <f>(SUMIFS('MAIN DATA, Orders'!$U:$U,'MAIN DATA, Orders'!$D:$D,"Poland",'MAIN DATA, Orders'!$Y:$Y,$A82,'MAIN DATA, Orders'!$AC:$AC,"0",'MAIN DATA, Orders'!$AF:$AF,"0")/1000000000)</f>
        <v>0</v>
      </c>
    </row>
    <row r="83" spans="1:8" x14ac:dyDescent="0.35">
      <c r="A83" s="215">
        <v>202505</v>
      </c>
      <c r="B83" s="17">
        <v>45778</v>
      </c>
      <c r="C83" s="15">
        <f>(SUMIFS('MAIN DATA, Orders'!$U:$U,'MAIN DATA, Orders'!$D:$D,"Poland",'MAIN DATA, Orders'!$Y:$Y,$A83,'MAIN DATA, Orders'!$AF:$AF,"0",'MAIN DATA, Orders'!$AH:$AH,"Poland")/1000000000)</f>
        <v>0</v>
      </c>
      <c r="D83" s="15">
        <f>(SUMIFS('MAIN DATA, Orders'!$U:$U,'MAIN DATA, Orders'!$D:$D,"Poland",'MAIN DATA, Orders'!$Y:$Y,$A83,'MAIN DATA, Orders'!$AF:$AF,"1")/1000000000)</f>
        <v>0.20284454088732692</v>
      </c>
      <c r="E83" s="15">
        <f>(SUMIFS('MAIN DATA, Orders'!$U:$U,'MAIN DATA, Orders'!$D:$D,"Poland",'MAIN DATA, Orders'!$Y:$Y,$A83,'MAIN DATA, Orders'!$AC:$AC,"1",'MAIN DATA, Orders'!$AF:$AF,"0",'MAIN DATA, Orders'!$AH:$AH,"&lt;&gt;Poland")/1000000000)</f>
        <v>0</v>
      </c>
      <c r="F83" s="15">
        <f>(SUMIFS('MAIN DATA, Orders'!$U:$U,'MAIN DATA, Orders'!$D:$D,"Poland",'MAIN DATA, Orders'!$Y:$Y,$A83,'MAIN DATA, Orders'!$AC:$AC,"0",'MAIN DATA, Orders'!$AF:$AF,"0")/1000000000)</f>
        <v>0</v>
      </c>
    </row>
    <row r="84" spans="1:8" x14ac:dyDescent="0.35">
      <c r="A84" s="215">
        <v>202506</v>
      </c>
      <c r="B84" s="17">
        <v>45809</v>
      </c>
      <c r="C84" s="15">
        <f>(SUMIFS('MAIN DATA, Orders'!$U:$U,'MAIN DATA, Orders'!$D:$D,"Poland",'MAIN DATA, Orders'!$Y:$Y,$A84,'MAIN DATA, Orders'!$AF:$AF,"0",'MAIN DATA, Orders'!$AH:$AH,"Poland")/1000000000)</f>
        <v>5.8966436304455506E-2</v>
      </c>
      <c r="D84" s="15">
        <f>(SUMIFS('MAIN DATA, Orders'!$U:$U,'MAIN DATA, Orders'!$D:$D,"Poland",'MAIN DATA, Orders'!$Y:$Y,$A84,'MAIN DATA, Orders'!$AF:$AF,"1")/1000000000)</f>
        <v>0</v>
      </c>
      <c r="E84" s="15">
        <f>(SUMIFS('MAIN DATA, Orders'!$U:$U,'MAIN DATA, Orders'!$D:$D,"Poland",'MAIN DATA, Orders'!$Y:$Y,$A84,'MAIN DATA, Orders'!$AC:$AC,"1",'MAIN DATA, Orders'!$AF:$AF,"0",'MAIN DATA, Orders'!$AH:$AH,"&lt;&gt;Poland")/1000000000)</f>
        <v>0</v>
      </c>
      <c r="F84" s="15">
        <f>(SUMIFS('MAIN DATA, Orders'!$U:$U,'MAIN DATA, Orders'!$D:$D,"Poland",'MAIN DATA, Orders'!$Y:$Y,$A84,'MAIN DATA, Orders'!$AC:$AC,"0",'MAIN DATA, Orders'!$AF:$AF,"0")/1000000000)</f>
        <v>0</v>
      </c>
      <c r="H84" s="88"/>
    </row>
    <row r="85" spans="1:8" x14ac:dyDescent="0.35">
      <c r="A85" s="215">
        <v>202507</v>
      </c>
      <c r="B85" s="17">
        <v>45839</v>
      </c>
      <c r="C85" s="15">
        <f>(SUMIFS('MAIN DATA, Orders'!$U:$U,'MAIN DATA, Orders'!$D:$D,"Poland",'MAIN DATA, Orders'!$Y:$Y,$A85,'MAIN DATA, Orders'!$AF:$AF,"0",'MAIN DATA, Orders'!$AH:$AH,"Poland")/1000000000)</f>
        <v>0</v>
      </c>
      <c r="D85" s="15">
        <f>(SUMIFS('MAIN DATA, Orders'!$U:$U,'MAIN DATA, Orders'!$D:$D,"Poland",'MAIN DATA, Orders'!$Y:$Y,$A85,'MAIN DATA, Orders'!$AF:$AF,"1")/1000000000)</f>
        <v>0.10648722640878124</v>
      </c>
      <c r="E85" s="15">
        <f>(SUMIFS('MAIN DATA, Orders'!$U:$U,'MAIN DATA, Orders'!$D:$D,"Poland",'MAIN DATA, Orders'!$Y:$Y,$A85,'MAIN DATA, Orders'!$AC:$AC,"1",'MAIN DATA, Orders'!$AF:$AF,"0",'MAIN DATA, Orders'!$AH:$AH,"&lt;&gt;Poland")/1000000000)</f>
        <v>0</v>
      </c>
      <c r="F85" s="15">
        <f>(SUMIFS('MAIN DATA, Orders'!$U:$U,'MAIN DATA, Orders'!$D:$D,"Poland",'MAIN DATA, Orders'!$Y:$Y,$A85,'MAIN DATA, Orders'!$AC:$AC,"0",'MAIN DATA, Orders'!$AF:$AF,"0")/1000000000)</f>
        <v>0</v>
      </c>
    </row>
    <row r="86" spans="1:8" x14ac:dyDescent="0.35">
      <c r="A86" s="215">
        <v>202508</v>
      </c>
      <c r="B86" s="17">
        <v>45870</v>
      </c>
      <c r="C86" s="15">
        <f>(SUMIFS('MAIN DATA, Orders'!$U:$U,'MAIN DATA, Orders'!$D:$D,"Poland",'MAIN DATA, Orders'!$Y:$Y,$A86,'MAIN DATA, Orders'!$AF:$AF,"0",'MAIN DATA, Orders'!$AH:$AH,"Poland")/1000000000)</f>
        <v>0</v>
      </c>
      <c r="D86" s="15">
        <f>(SUMIFS('MAIN DATA, Orders'!$U:$U,'MAIN DATA, Orders'!$D:$D,"Poland",'MAIN DATA, Orders'!$Y:$Y,$A86,'MAIN DATA, Orders'!$AF:$AF,"1")/1000000000)</f>
        <v>5.7522123893805315</v>
      </c>
      <c r="E86" s="15">
        <f>(SUMIFS('MAIN DATA, Orders'!$U:$U,'MAIN DATA, Orders'!$D:$D,"Poland",'MAIN DATA, Orders'!$Y:$Y,$A86,'MAIN DATA, Orders'!$AC:$AC,"1",'MAIN DATA, Orders'!$AF:$AF,"0",'MAIN DATA, Orders'!$AH:$AH,"&lt;&gt;Poland")/1000000000)</f>
        <v>0</v>
      </c>
      <c r="F86" s="15">
        <f>(SUMIFS('MAIN DATA, Orders'!$U:$U,'MAIN DATA, Orders'!$D:$D,"Poland",'MAIN DATA, Orders'!$Y:$Y,$A86,'MAIN DATA, Orders'!$AC:$AC,"0",'MAIN DATA, Orders'!$AF:$AF,"0")/1000000000)</f>
        <v>0</v>
      </c>
    </row>
    <row r="87" spans="1:8" x14ac:dyDescent="0.35">
      <c r="A87" s="215">
        <v>202509</v>
      </c>
      <c r="B87" s="17">
        <v>45901</v>
      </c>
      <c r="C87" s="15">
        <f>(SUMIFS('MAIN DATA, Orders'!$U:$U,'MAIN DATA, Orders'!$D:$D,"Poland",'MAIN DATA, Orders'!$Y:$Y,$A87,'MAIN DATA, Orders'!$AF:$AF,"0",'MAIN DATA, Orders'!$AH:$AH,"Poland")/1000000000)</f>
        <v>1.4128358138547539</v>
      </c>
      <c r="D87" s="15">
        <f>(SUMIFS('MAIN DATA, Orders'!$U:$U,'MAIN DATA, Orders'!$D:$D,"Poland",'MAIN DATA, Orders'!$Y:$Y,$A87,'MAIN DATA, Orders'!$AF:$AF,"1")/1000000000)</f>
        <v>0</v>
      </c>
      <c r="E87" s="15">
        <f>(SUMIFS('MAIN DATA, Orders'!$U:$U,'MAIN DATA, Orders'!$D:$D,"Poland",'MAIN DATA, Orders'!$Y:$Y,$A87,'MAIN DATA, Orders'!$AC:$AC,"1",'MAIN DATA, Orders'!$AF:$AF,"0",'MAIN DATA, Orders'!$AH:$AH,"&lt;&gt;Poland")/1000000000)</f>
        <v>0</v>
      </c>
      <c r="F87" s="15">
        <f>(SUMIFS('MAIN DATA, Orders'!$U:$U,'MAIN DATA, Orders'!$D:$D,"Poland",'MAIN DATA, Orders'!$Y:$Y,$A87,'MAIN DATA, Orders'!$AC:$AC,"0",'MAIN DATA, Orders'!$AF:$AF,"0")/1000000000)</f>
        <v>0</v>
      </c>
    </row>
    <row r="88" spans="1:8" x14ac:dyDescent="0.35">
      <c r="A88" s="215">
        <v>202510</v>
      </c>
      <c r="B88" s="17">
        <v>45931</v>
      </c>
      <c r="C88" s="15">
        <f>(SUMIFS('MAIN DATA, Orders'!$U:$U,'MAIN DATA, Orders'!$D:$D,"Poland",'MAIN DATA, Orders'!$Y:$Y,$A88,'MAIN DATA, Orders'!$AF:$AF,"0",'MAIN DATA, Orders'!$AH:$AH,"Poland")/1000000000)</f>
        <v>4.7173149043564404</v>
      </c>
      <c r="D88" s="15">
        <f>(SUMIFS('MAIN DATA, Orders'!$U:$U,'MAIN DATA, Orders'!$D:$D,"Poland",'MAIN DATA, Orders'!$Y:$Y,$A88,'MAIN DATA, Orders'!$AF:$AF,"1")/1000000000)</f>
        <v>0</v>
      </c>
      <c r="E88" s="15">
        <f>(SUMIFS('MAIN DATA, Orders'!$U:$U,'MAIN DATA, Orders'!$D:$D,"Poland",'MAIN DATA, Orders'!$Y:$Y,$A88,'MAIN DATA, Orders'!$AC:$AC,"1",'MAIN DATA, Orders'!$AF:$AF,"0",'MAIN DATA, Orders'!$AH:$AH,"&lt;&gt;Poland")/1000000000)</f>
        <v>0</v>
      </c>
      <c r="F88" s="15">
        <f>(SUMIFS('MAIN DATA, Orders'!$U:$U,'MAIN DATA, Orders'!$D:$D,"Poland",'MAIN DATA, Orders'!$Y:$Y,$A88,'MAIN DATA, Orders'!$AC:$AC,"0",'MAIN DATA, Orders'!$AF:$AF,"0")/1000000000)</f>
        <v>4.7173149043564404</v>
      </c>
    </row>
    <row r="89" spans="1:8" x14ac:dyDescent="0.35">
      <c r="A89" s="215">
        <v>202511</v>
      </c>
      <c r="B89" s="17">
        <v>45962</v>
      </c>
      <c r="C89" s="15">
        <f>(SUMIFS('MAIN DATA, Orders'!$U:$U,'MAIN DATA, Orders'!$D:$D,"Poland",'MAIN DATA, Orders'!$Y:$Y,$A89,'MAIN DATA, Orders'!$AF:$AF,"0",'MAIN DATA, Orders'!$AH:$AH,"Poland")/1000000000)</f>
        <v>0</v>
      </c>
      <c r="D89" s="15">
        <f>(SUMIFS('MAIN DATA, Orders'!$U:$U,'MAIN DATA, Orders'!$D:$D,"Poland",'MAIN DATA, Orders'!$Y:$Y,$A89,'MAIN DATA, Orders'!$AF:$AF,"1")/1000000000)</f>
        <v>2.8011353282844151</v>
      </c>
      <c r="E89" s="15">
        <f>(SUMIFS('MAIN DATA, Orders'!$U:$U,'MAIN DATA, Orders'!$D:$D,"Poland",'MAIN DATA, Orders'!$Y:$Y,$A89,'MAIN DATA, Orders'!$AC:$AC,"1",'MAIN DATA, Orders'!$AF:$AF,"0",'MAIN DATA, Orders'!$AH:$AH,"&lt;&gt;Poland")/1000000000)</f>
        <v>0</v>
      </c>
      <c r="F89" s="15">
        <f>(SUMIFS('MAIN DATA, Orders'!$U:$U,'MAIN DATA, Orders'!$D:$D,"Poland",'MAIN DATA, Orders'!$Y:$Y,$A89,'MAIN DATA, Orders'!$AC:$AC,"0",'MAIN DATA, Orders'!$AF:$AF,"0")/1000000000)</f>
        <v>0</v>
      </c>
    </row>
    <row r="90" spans="1:8" x14ac:dyDescent="0.35">
      <c r="A90" s="215">
        <v>202512</v>
      </c>
      <c r="B90" s="17">
        <v>45992</v>
      </c>
      <c r="C90" s="15">
        <f>(SUMIFS('MAIN DATA, Orders'!$U:$U,'MAIN DATA, Orders'!$D:$D,"Poland",'MAIN DATA, Orders'!$Y:$Y,$A90,'MAIN DATA, Orders'!$AF:$AF,"0",'MAIN DATA, Orders'!$AH:$AH,"Poland")/1000000000)</f>
        <v>2.35865745217822E-2</v>
      </c>
      <c r="D90" s="15">
        <f>(SUMIFS('MAIN DATA, Orders'!$U:$U,'MAIN DATA, Orders'!$D:$D,"Poland",'MAIN DATA, Orders'!$Y:$Y,$A90,'MAIN DATA, Orders'!$AF:$AF,"1")/1000000000)</f>
        <v>3.3021204330495082</v>
      </c>
      <c r="E90" s="15">
        <f>(SUMIFS('MAIN DATA, Orders'!$U:$U,'MAIN DATA, Orders'!$D:$D,"Poland",'MAIN DATA, Orders'!$Y:$Y,$A90,'MAIN DATA, Orders'!$AC:$AC,"1",'MAIN DATA, Orders'!$AF:$AF,"0",'MAIN DATA, Orders'!$AH:$AH,"&lt;&gt;Poland")/1000000000)</f>
        <v>0</v>
      </c>
      <c r="F90" s="15">
        <f>(SUMIFS('MAIN DATA, Orders'!$U:$U,'MAIN DATA, Orders'!$D:$D,"Poland",'MAIN DATA, Orders'!$Y:$Y,$A90,'MAIN DATA, Orders'!$AC:$AC,"0",'MAIN DATA, Orders'!$AF:$AF,"0")/1000000000)</f>
        <v>0</v>
      </c>
    </row>
    <row r="91" spans="1:8" x14ac:dyDescent="0.35">
      <c r="A91" s="215">
        <v>202601</v>
      </c>
      <c r="B91" s="17">
        <v>46023</v>
      </c>
      <c r="C91" s="15">
        <f>(SUMIFS('MAIN DATA, Orders'!$U:$U,'MAIN DATA, Orders'!$D:$D,"Poland",'MAIN DATA, Orders'!$Y:$Y,$A91,'MAIN DATA, Orders'!$AF:$AF,"0",'MAIN DATA, Orders'!$AH:$AH,"Poland")/1000000000)</f>
        <v>0</v>
      </c>
      <c r="D91" s="15">
        <f>(SUMIFS('MAIN DATA, Orders'!$U:$U,'MAIN DATA, Orders'!$D:$D,"Poland",'MAIN DATA, Orders'!$Y:$Y,$A91,'MAIN DATA, Orders'!$AF:$AF,"1")/1000000000)</f>
        <v>3.5606618083414441</v>
      </c>
      <c r="E91" s="15">
        <f>(SUMIFS('MAIN DATA, Orders'!$U:$U,'MAIN DATA, Orders'!$D:$D,"Poland",'MAIN DATA, Orders'!$Y:$Y,$A91,'MAIN DATA, Orders'!$AC:$AC,"1",'MAIN DATA, Orders'!$AF:$AF,"0",'MAIN DATA, Orders'!$AH:$AH,"&lt;&gt;Poland")/1000000000)</f>
        <v>0</v>
      </c>
      <c r="F91" s="15">
        <f>(SUMIFS('MAIN DATA, Orders'!$U:$U,'MAIN DATA, Orders'!$D:$D,"Poland",'MAIN DATA, Orders'!$Y:$Y,$A91,'MAIN DATA, Orders'!$AC:$AC,"0",'MAIN DATA, Orders'!$AF:$AF,"0")/1000000000)</f>
        <v>0</v>
      </c>
    </row>
    <row r="92" spans="1:8" x14ac:dyDescent="0.35">
      <c r="B92" s="86"/>
      <c r="C92" s="87"/>
      <c r="D92" s="87"/>
      <c r="E92" s="87"/>
      <c r="F92" s="87"/>
    </row>
    <row r="93" spans="1:8" x14ac:dyDescent="0.35">
      <c r="B93" s="9" t="s">
        <v>4219</v>
      </c>
      <c r="C93" s="18">
        <f>SUM(C7:C91)</f>
        <v>21.155833626583213</v>
      </c>
      <c r="D93" s="18">
        <f t="shared" ref="D93:F93" si="0">SUM(D7:D91)</f>
        <v>38.971862512225648</v>
      </c>
      <c r="E93" s="18">
        <f t="shared" si="0"/>
        <v>2.454993244778755</v>
      </c>
      <c r="F93" s="18">
        <f t="shared" si="0"/>
        <v>28.942719670368497</v>
      </c>
    </row>
  </sheetData>
  <mergeCells count="1">
    <mergeCell ref="B4:F4"/>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302DD-B885-485A-84FF-6110185FF14E}">
  <sheetPr>
    <tabColor rgb="FFB5E6A2"/>
  </sheetPr>
  <dimension ref="B2:G13"/>
  <sheetViews>
    <sheetView zoomScaleNormal="100" workbookViewId="0"/>
  </sheetViews>
  <sheetFormatPr baseColWidth="10" defaultColWidth="8.75" defaultRowHeight="15.5" x14ac:dyDescent="0.35"/>
  <cols>
    <col min="1" max="1" width="8.75" style="1"/>
    <col min="2" max="2" width="25.33203125" style="1" customWidth="1"/>
    <col min="3" max="4" width="15.75" style="1" customWidth="1"/>
    <col min="5" max="5" width="32.25" style="1" customWidth="1"/>
    <col min="6" max="6" width="22.83203125" style="1" customWidth="1"/>
    <col min="7" max="7" width="18.08203125" style="1" customWidth="1"/>
    <col min="8" max="8" width="8.75" style="1"/>
    <col min="9" max="14" width="8.75" style="1" customWidth="1"/>
    <col min="15" max="16384" width="8.75" style="1"/>
  </cols>
  <sheetData>
    <row r="2" spans="2:7" ht="25.9" customHeight="1" x14ac:dyDescent="0.7">
      <c r="B2" s="16" t="s">
        <v>5661</v>
      </c>
    </row>
    <row r="4" spans="2:7" ht="130.15" customHeight="1" x14ac:dyDescent="0.35">
      <c r="B4" s="232" t="s">
        <v>5671</v>
      </c>
      <c r="C4" s="232"/>
      <c r="D4" s="232"/>
      <c r="E4" s="232"/>
      <c r="F4" s="232"/>
    </row>
    <row r="6" spans="2:7" ht="21" customHeight="1" x14ac:dyDescent="0.35">
      <c r="B6" s="13"/>
      <c r="C6" s="69" t="s">
        <v>4219</v>
      </c>
      <c r="D6" s="69" t="s">
        <v>5236</v>
      </c>
      <c r="E6" s="69" t="s">
        <v>5237</v>
      </c>
      <c r="F6" s="69" t="s">
        <v>5238</v>
      </c>
      <c r="G6" s="69" t="s">
        <v>5228</v>
      </c>
    </row>
    <row r="7" spans="2:7" x14ac:dyDescent="0.35">
      <c r="B7" s="83" t="s">
        <v>5239</v>
      </c>
      <c r="C7" s="15">
        <f>(SUMIFS('MAIN DATA, Orders'!$U:$U,'MAIN DATA, Orders'!$Y:$Y,"&lt;=202202",'MAIN DATA, Orders'!$AH:$AH,"&lt;&gt;.",'MAIN DATA, Orders'!$D:$D,"Poland")/1000000000)</f>
        <v>12.240799344095764</v>
      </c>
      <c r="D7" s="15">
        <f>(SUMIFS('MAIN DATA, Orders'!$U:$U,'MAIN DATA, Orders'!$D:$D,"Poland",'MAIN DATA, Orders'!$Y:$Y,"&lt;=202202",'MAIN DATA, Orders'!$AF:$AF,"0",'MAIN DATA, Orders'!$AH:$AH,"Poland")/1000000000)</f>
        <v>2.7901455827341874</v>
      </c>
      <c r="E7" s="15">
        <f>(SUMIFS('MAIN DATA, Orders'!$U:$U,'MAIN DATA, Orders'!$D:$D,"Poland",'MAIN DATA, Orders'!$Y:$Y,"&lt;=202202",'MAIN DATA, Orders'!$AF:$AF,"1")/1000000000)</f>
        <v>0.81069591190431856</v>
      </c>
      <c r="F7" s="15">
        <f>SUM(SUMIFS('MAIN DATA, Orders'!$U:$U,'MAIN DATA, Orders'!$D:$D,"Poland",'MAIN DATA, Orders'!$Y:$Y,"&lt;=202202",'MAIN DATA, Orders'!$AC:$AC,"1",'MAIN DATA, Orders'!$AF:$AF,"0",'MAIN DATA, Orders'!$AH:$AH,"&lt;&gt;Poland")/1000000000)</f>
        <v>0</v>
      </c>
      <c r="G7" s="15">
        <f>SUM(SUMIFS('MAIN DATA, Orders'!$U:$U,'MAIN DATA, Orders'!$D:$D,"Poland",'MAIN DATA, Orders'!$Y:$Y,"&lt;=202202",'MAIN DATA, Orders'!$AC:$AC,"0",'MAIN DATA, Orders'!$AF:$AF,"0")/1000000000)</f>
        <v>8.6399578494572626</v>
      </c>
    </row>
    <row r="8" spans="2:7" x14ac:dyDescent="0.35">
      <c r="B8" s="65" t="s">
        <v>5672</v>
      </c>
      <c r="C8" s="67">
        <f>(SUMIFS('MAIN DATA, Orders'!$U:$U,'MAIN DATA, Orders'!$Y:$Y,"&gt;=202203",'MAIN DATA, Orders'!$AH:$AH,"&lt;&gt;.",'MAIN DATA, Orders'!$D:$D,"Poland")/1000000000)</f>
        <v>77.289935460138167</v>
      </c>
      <c r="D8" s="67">
        <f>(SUMIFS('MAIN DATA, Orders'!$U:$U,'MAIN DATA, Orders'!$D:$D,"Poland",'MAIN DATA, Orders'!$Y:$Y,"&gt;=202203",'MAIN DATA, Orders'!$AF:$AF,"0",'MAIN DATA, Orders'!$AH:$AH,"Poland")/1000000000)</f>
        <v>18.365688043849026</v>
      </c>
      <c r="E8" s="67">
        <f>(SUMIFS('MAIN DATA, Orders'!$U:$U,'MAIN DATA, Orders'!$D:$D,"Poland",'MAIN DATA, Orders'!$Y:$Y,"&gt;=202203",'MAIN DATA, Orders'!$AF:$AF,"1")/1000000000)</f>
        <v>38.16116660032133</v>
      </c>
      <c r="F8" s="67">
        <f>SUM(SUMIFS('MAIN DATA, Orders'!$U:$U,'MAIN DATA, Orders'!$D:$D,"Poland",'MAIN DATA, Orders'!$Y:$Y,"&gt;=202203",'MAIN DATA, Orders'!$AC:$AC,"1",'MAIN DATA, Orders'!$AF:$AF,"0",'MAIN DATA, Orders'!$AH:$AH,"&lt;&gt;Poland")/1000000000)</f>
        <v>2.454993244778755</v>
      </c>
      <c r="G8" s="67">
        <f>SUM(SUMIFS('MAIN DATA, Orders'!$U:$U,'MAIN DATA, Orders'!$D:$D,"Poland",'MAIN DATA, Orders'!$Y:$Y,"&gt;=202203",'MAIN DATA, Orders'!$AC:$AC,"0",'MAIN DATA, Orders'!$AF:$AF,"0")/1000000000)</f>
        <v>20.302761820911236</v>
      </c>
    </row>
    <row r="9" spans="2:7" x14ac:dyDescent="0.35">
      <c r="B9" s="19"/>
      <c r="C9" s="19"/>
      <c r="D9" s="19"/>
      <c r="E9" s="19"/>
      <c r="F9" s="83"/>
      <c r="G9" s="83"/>
    </row>
    <row r="10" spans="2:7" x14ac:dyDescent="0.35">
      <c r="B10" s="18" t="s">
        <v>4219</v>
      </c>
      <c r="C10" s="18">
        <f>SUM(C7:C8)</f>
        <v>89.53073480423393</v>
      </c>
      <c r="D10" s="18">
        <f>SUM(D7:D8)</f>
        <v>21.155833626583213</v>
      </c>
      <c r="E10" s="18">
        <f>SUM(E7:E8)</f>
        <v>38.971862512225648</v>
      </c>
      <c r="F10" s="18">
        <f>SUM(F7:F8)</f>
        <v>2.454993244778755</v>
      </c>
      <c r="G10" s="18">
        <f>SUM(G7:G8)</f>
        <v>28.942719670368497</v>
      </c>
    </row>
    <row r="12" spans="2:7" x14ac:dyDescent="0.35">
      <c r="C12" s="90"/>
      <c r="E12" s="19"/>
      <c r="F12" s="19"/>
      <c r="G12" s="19"/>
    </row>
    <row r="13" spans="2:7" x14ac:dyDescent="0.35">
      <c r="E13" s="19"/>
      <c r="F13" s="19"/>
      <c r="G13" s="19"/>
    </row>
  </sheetData>
  <mergeCells count="1">
    <mergeCell ref="B4:F4"/>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66999-4D7E-43B6-A10A-45171424FA98}">
  <sheetPr>
    <tabColor rgb="FFB5E6A2"/>
  </sheetPr>
  <dimension ref="A1:L12"/>
  <sheetViews>
    <sheetView workbookViewId="0"/>
  </sheetViews>
  <sheetFormatPr baseColWidth="10" defaultColWidth="9" defaultRowHeight="15.5" x14ac:dyDescent="0.35"/>
  <cols>
    <col min="1" max="1" width="8.75" style="1" customWidth="1"/>
    <col min="2" max="2" width="15.08203125" style="1" customWidth="1"/>
    <col min="3" max="9" width="8.75" style="1" customWidth="1"/>
    <col min="10" max="16384" width="9" style="1"/>
  </cols>
  <sheetData>
    <row r="1" spans="1:12" x14ac:dyDescent="0.35">
      <c r="A1" s="109" t="s">
        <v>200</v>
      </c>
      <c r="B1" s="109" t="s">
        <v>200</v>
      </c>
      <c r="C1" s="109" t="s">
        <v>200</v>
      </c>
      <c r="D1" s="109" t="s">
        <v>200</v>
      </c>
      <c r="E1" s="109" t="s">
        <v>200</v>
      </c>
      <c r="F1" s="109" t="s">
        <v>200</v>
      </c>
      <c r="G1" s="109" t="s">
        <v>200</v>
      </c>
      <c r="H1" s="109" t="s">
        <v>200</v>
      </c>
      <c r="I1" s="109" t="s">
        <v>200</v>
      </c>
    </row>
    <row r="2" spans="1:12" ht="25.9" customHeight="1" x14ac:dyDescent="0.7">
      <c r="A2" s="109" t="s">
        <v>200</v>
      </c>
      <c r="B2" s="131" t="s">
        <v>5662</v>
      </c>
      <c r="C2" s="131"/>
      <c r="D2" s="131"/>
    </row>
    <row r="3" spans="1:12" ht="15.75" customHeight="1" x14ac:dyDescent="0.35">
      <c r="A3" s="109" t="s">
        <v>200</v>
      </c>
      <c r="C3" s="120"/>
      <c r="D3" s="120"/>
      <c r="E3" s="120"/>
      <c r="F3" s="120"/>
      <c r="G3" s="120"/>
      <c r="H3" s="120"/>
      <c r="I3" s="120"/>
      <c r="J3" s="120"/>
    </row>
    <row r="4" spans="1:12" ht="130.15" customHeight="1" x14ac:dyDescent="0.35">
      <c r="A4" s="109" t="s">
        <v>200</v>
      </c>
      <c r="B4" s="242" t="s">
        <v>5217</v>
      </c>
      <c r="C4" s="242"/>
      <c r="D4" s="242"/>
      <c r="E4" s="242"/>
      <c r="F4" s="242"/>
      <c r="G4" s="242"/>
      <c r="H4" s="242"/>
      <c r="I4" s="242"/>
      <c r="J4" s="242"/>
      <c r="K4" s="242"/>
      <c r="L4" s="242"/>
    </row>
    <row r="5" spans="1:12" x14ac:dyDescent="0.35">
      <c r="A5" s="109" t="s">
        <v>200</v>
      </c>
      <c r="B5" s="109" t="s">
        <v>200</v>
      </c>
      <c r="C5" s="109" t="s">
        <v>200</v>
      </c>
      <c r="D5" s="109" t="s">
        <v>200</v>
      </c>
      <c r="E5" s="109" t="s">
        <v>200</v>
      </c>
      <c r="F5" s="109" t="s">
        <v>200</v>
      </c>
      <c r="G5" s="109" t="s">
        <v>200</v>
      </c>
      <c r="H5" s="109" t="s">
        <v>200</v>
      </c>
      <c r="I5" s="109" t="s">
        <v>200</v>
      </c>
    </row>
    <row r="6" spans="1:12" ht="19.899999999999999" customHeight="1" x14ac:dyDescent="0.35">
      <c r="A6" s="109" t="s">
        <v>200</v>
      </c>
      <c r="B6" s="143" t="s">
        <v>5218</v>
      </c>
      <c r="C6" s="143">
        <v>2020</v>
      </c>
      <c r="D6" s="143">
        <v>2021</v>
      </c>
      <c r="E6" s="143">
        <v>2022</v>
      </c>
      <c r="F6" s="143">
        <v>2023</v>
      </c>
      <c r="G6" s="143">
        <v>2024</v>
      </c>
      <c r="H6" s="143">
        <v>2025</v>
      </c>
      <c r="I6" s="144" t="s">
        <v>4219</v>
      </c>
    </row>
    <row r="7" spans="1:12" x14ac:dyDescent="0.35">
      <c r="A7" s="109" t="s">
        <v>200</v>
      </c>
      <c r="B7" s="120" t="s">
        <v>5219</v>
      </c>
      <c r="C7" s="120">
        <f>SUMIFS('MAIN DATA, Orders'!$N:$N,'MAIN DATA, Orders'!$H:$H,"Fighter aircraft",'MAIN DATA, Orders'!$D:$D,"France",'MAIN DATA, Orders'!$F:$F,C$6)</f>
        <v>0</v>
      </c>
      <c r="D7" s="120">
        <f>SUMIFS('MAIN DATA, Orders'!$N:$N,'MAIN DATA, Orders'!$H:$H,"Fighter aircraft",'MAIN DATA, Orders'!$D:$D,"France",'MAIN DATA, Orders'!$F:$F,D$6)</f>
        <v>0</v>
      </c>
      <c r="E7" s="120">
        <f>SUMIFS('MAIN DATA, Orders'!$N:$N,'MAIN DATA, Orders'!$H:$H,"Fighter aircraft",'MAIN DATA, Orders'!$D:$D,"France",'MAIN DATA, Orders'!$F:$F,E$6)</f>
        <v>0</v>
      </c>
      <c r="F7" s="120">
        <f>SUMIFS('MAIN DATA, Orders'!$N:$N,'MAIN DATA, Orders'!$H:$H,"Fighter aircraft",'MAIN DATA, Orders'!$D:$D,"France",'MAIN DATA, Orders'!$F:$F,F$6)</f>
        <v>42</v>
      </c>
      <c r="G7" s="120">
        <f>SUMIFS('MAIN DATA, Orders'!$N:$N,'MAIN DATA, Orders'!$H:$H,"Fighter aircraft",'MAIN DATA, Orders'!$D:$D,"France",'MAIN DATA, Orders'!$F:$F,G$6)</f>
        <v>0</v>
      </c>
      <c r="H7" s="120">
        <f>SUMIFS('MAIN DATA, Orders'!$N:$N,'MAIN DATA, Orders'!$H:$H,"Fighter aircraft",'MAIN DATA, Orders'!$D:$D,"France",'MAIN DATA, Orders'!$F:$F,H$6)</f>
        <v>0</v>
      </c>
      <c r="I7" s="120">
        <f>SUM(C7:H7)</f>
        <v>42</v>
      </c>
    </row>
    <row r="8" spans="1:12" x14ac:dyDescent="0.35">
      <c r="A8" s="109" t="s">
        <v>200</v>
      </c>
      <c r="B8" s="120" t="s">
        <v>5220</v>
      </c>
      <c r="C8" s="121" cm="1">
        <f t="array" ref="C8">SUM(SUMIFS('MAIN DATA, Orders'!$N:$N,'MAIN DATA, Orders'!$D:$D,"France",'MAIN DATA, Orders'!$H:$H,{"Surveillance aircraft","Naval surveillance aircraft","Light ISR aircraft","Transport Aircraft"},'MAIN DATA, Orders'!$F:$F,C$6))</f>
        <v>13</v>
      </c>
      <c r="D8" s="121" cm="1">
        <f t="array" ref="D8">SUM(SUMIFS('MAIN DATA, Orders'!$N:$N,'MAIN DATA, Orders'!$D:$D,"France",'MAIN DATA, Orders'!$H:$H,{"Surveillance aircraft","Naval surveillance aircraft","Light ISR aircraft","Transport Aircraft"},'MAIN DATA, Orders'!$F:$F,D$6))</f>
        <v>1</v>
      </c>
      <c r="E8" s="121" cm="1">
        <f t="array" ref="E8">SUM(SUMIFS('MAIN DATA, Orders'!$N:$N,'MAIN DATA, Orders'!$D:$D,"France",'MAIN DATA, Orders'!$H:$H,{"Surveillance aircraft","Naval surveillance aircraft","Light ISR aircraft","Transport Aircraft"},'MAIN DATA, Orders'!$F:$F,E$6))</f>
        <v>2</v>
      </c>
      <c r="F8" s="121" cm="1">
        <f t="array" ref="F8">SUM(SUMIFS('MAIN DATA, Orders'!$N:$N,'MAIN DATA, Orders'!$D:$D,"France",'MAIN DATA, Orders'!$H:$H,{"Surveillance aircraft","Naval surveillance aircraft","Light ISR aircraft","Transport Aircraft"},'MAIN DATA, Orders'!$F:$F,F$6))</f>
        <v>0</v>
      </c>
      <c r="G8" s="121" cm="1">
        <f t="array" ref="G8">SUM(SUMIFS('MAIN DATA, Orders'!$N:$N,'MAIN DATA, Orders'!$D:$D,"France",'MAIN DATA, Orders'!$H:$H,{"Surveillance aircraft","Naval surveillance aircraft","Light ISR aircraft","Transport Aircraft"},'MAIN DATA, Orders'!$F:$F,G$6))</f>
        <v>0</v>
      </c>
      <c r="H8" s="121" cm="1">
        <f t="array" ref="H8">SUM(SUMIFS('MAIN DATA, Orders'!$N:$N,'MAIN DATA, Orders'!$D:$D,"France",'MAIN DATA, Orders'!$H:$H,{"Surveillance aircraft","Naval surveillance aircraft","Light ISR aircraft","Transport Aircraft"},'MAIN DATA, Orders'!$F:$F,H$6))</f>
        <v>0</v>
      </c>
      <c r="I8" s="120">
        <f t="shared" ref="I8:I12" si="0">SUM(C8:H8)</f>
        <v>16</v>
      </c>
    </row>
    <row r="9" spans="1:12" x14ac:dyDescent="0.35">
      <c r="A9" s="109" t="s">
        <v>200</v>
      </c>
      <c r="B9" s="120" t="s">
        <v>5221</v>
      </c>
      <c r="C9" s="120">
        <f>SUMIFS('MAIN DATA, Orders'!$N:$N,'MAIN DATA, Orders'!$H:$H,"Main Battle Tank (MBT)",'MAIN DATA, Orders'!$D:$D,"France",'MAIN DATA, Orders'!$F:$F,C$6)</f>
        <v>0</v>
      </c>
      <c r="D9" s="120">
        <f>SUMIFS('MAIN DATA, Orders'!$N:$N,'MAIN DATA, Orders'!$H:$H,"Main Battle Tank (MBT)",'MAIN DATA, Orders'!$D:$D,"France",'MAIN DATA, Orders'!$F:$F,D$6)</f>
        <v>50</v>
      </c>
      <c r="E9" s="120">
        <f>SUMIFS('MAIN DATA, Orders'!$N:$N,'MAIN DATA, Orders'!$H:$H,"Main Battle Tank (MBT)",'MAIN DATA, Orders'!$D:$D,"France",'MAIN DATA, Orders'!$F:$F,E$6)</f>
        <v>50</v>
      </c>
      <c r="F9" s="120">
        <f>SUMIFS('MAIN DATA, Orders'!$N:$N,'MAIN DATA, Orders'!$H:$H,"Main Battle Tank (MBT)",'MAIN DATA, Orders'!$D:$D,"France",'MAIN DATA, Orders'!$F:$F,F$6)</f>
        <v>0</v>
      </c>
      <c r="G9" s="120">
        <f>SUMIFS('MAIN DATA, Orders'!$N:$N,'MAIN DATA, Orders'!$H:$H,"Main Battle Tank (MBT)",'MAIN DATA, Orders'!$D:$D,"France",'MAIN DATA, Orders'!$F:$F,G$6)</f>
        <v>100</v>
      </c>
      <c r="H9" s="120">
        <f>SUMIFS('MAIN DATA, Orders'!$N:$N,'MAIN DATA, Orders'!$H:$H,"Main Battle Tank (MBT)",'MAIN DATA, Orders'!$D:$D,"France",'MAIN DATA, Orders'!$F:$F,H$6)</f>
        <v>0</v>
      </c>
      <c r="I9" s="120">
        <f t="shared" si="0"/>
        <v>200</v>
      </c>
    </row>
    <row r="10" spans="1:12" x14ac:dyDescent="0.35">
      <c r="A10" s="109" t="s">
        <v>200</v>
      </c>
      <c r="B10" s="120" t="s">
        <v>5222</v>
      </c>
      <c r="C10" s="120">
        <f>SUMIFS('MAIN DATA, Orders'!$N:$N,'MAIN DATA, Orders'!$I:$I,"Armoured vehicle",'MAIN DATA, Orders'!$D:$D,"France",'MAIN DATA, Orders'!$F:$F,C$6)</f>
        <v>677</v>
      </c>
      <c r="D10" s="120">
        <f>SUMIFS('MAIN DATA, Orders'!$N:$N,'MAIN DATA, Orders'!$I:$I,"Armoured vehicle",'MAIN DATA, Orders'!$D:$D,"France",'MAIN DATA, Orders'!$F:$F,D$6)</f>
        <v>120</v>
      </c>
      <c r="E10" s="120">
        <f>SUMIFS('MAIN DATA, Orders'!$N:$N,'MAIN DATA, Orders'!$I:$I,"Armoured vehicle",'MAIN DATA, Orders'!$D:$D,"France",'MAIN DATA, Orders'!$F:$F,E$6)</f>
        <v>564</v>
      </c>
      <c r="F10" s="120">
        <f>SUMIFS('MAIN DATA, Orders'!$N:$N,'MAIN DATA, Orders'!$I:$I,"Armoured vehicle",'MAIN DATA, Orders'!$D:$D,"France",'MAIN DATA, Orders'!$F:$F,F$6)</f>
        <v>442</v>
      </c>
      <c r="G10" s="120">
        <f>SUMIFS('MAIN DATA, Orders'!$N:$N,'MAIN DATA, Orders'!$I:$I,"Armoured vehicle",'MAIN DATA, Orders'!$D:$D,"France",'MAIN DATA, Orders'!$F:$F,G$6)</f>
        <v>515</v>
      </c>
      <c r="H10" s="120">
        <f>SUMIFS('MAIN DATA, Orders'!$N:$N,'MAIN DATA, Orders'!$I:$I,"Armoured vehicle",'MAIN DATA, Orders'!$D:$D,"France",'MAIN DATA, Orders'!$F:$F,H$6)</f>
        <v>120</v>
      </c>
      <c r="I10" s="120">
        <f t="shared" si="0"/>
        <v>2438</v>
      </c>
    </row>
    <row r="11" spans="1:12" x14ac:dyDescent="0.35">
      <c r="A11" s="109" t="s">
        <v>200</v>
      </c>
      <c r="B11" s="120" t="s">
        <v>5223</v>
      </c>
      <c r="C11" s="120">
        <f>SUMIFS('MAIN DATA, Orders'!$N:$N,'MAIN DATA, Orders'!$I:$I,"Artillery",'MAIN DATA, Orders'!$D:$D,"France",'MAIN DATA, Orders'!$F:$F,C$6)</f>
        <v>0</v>
      </c>
      <c r="D11" s="120">
        <f>SUMIFS('MAIN DATA, Orders'!$N:$N,'MAIN DATA, Orders'!$I:$I,"Artillery",'MAIN DATA, Orders'!$D:$D,"France",'MAIN DATA, Orders'!$F:$F,D$6)</f>
        <v>0</v>
      </c>
      <c r="E11" s="120">
        <f>SUMIFS('MAIN DATA, Orders'!$N:$N,'MAIN DATA, Orders'!$I:$I,"Artillery",'MAIN DATA, Orders'!$D:$D,"France",'MAIN DATA, Orders'!$F:$F,E$6)</f>
        <v>0</v>
      </c>
      <c r="F11" s="120">
        <f>SUMIFS('MAIN DATA, Orders'!$N:$N,'MAIN DATA, Orders'!$I:$I,"Artillery",'MAIN DATA, Orders'!$D:$D,"France",'MAIN DATA, Orders'!$F:$F,F$6)</f>
        <v>127</v>
      </c>
      <c r="G11" s="120">
        <f>SUMIFS('MAIN DATA, Orders'!$N:$N,'MAIN DATA, Orders'!$I:$I,"Artillery",'MAIN DATA, Orders'!$D:$D,"France",'MAIN DATA, Orders'!$F:$F,G$6)</f>
        <v>0</v>
      </c>
      <c r="H11" s="120">
        <f>SUMIFS('MAIN DATA, Orders'!$N:$N,'MAIN DATA, Orders'!$I:$I,"Artillery",'MAIN DATA, Orders'!$D:$D,"France",'MAIN DATA, Orders'!$F:$F,H$6)</f>
        <v>0</v>
      </c>
      <c r="I11" s="120">
        <f t="shared" si="0"/>
        <v>127</v>
      </c>
    </row>
    <row r="12" spans="1:12" x14ac:dyDescent="0.35">
      <c r="A12" s="109" t="s">
        <v>200</v>
      </c>
      <c r="B12" s="149" t="s">
        <v>4213</v>
      </c>
      <c r="C12" s="149">
        <f>SUMIFS('MAIN DATA, Orders'!$N:$N,'MAIN DATA, Orders'!$J:$J,"6",'MAIN DATA, Orders'!$D:$D,"France",'MAIN DATA, Orders'!$F:$F,C$6)</f>
        <v>0</v>
      </c>
      <c r="D12" s="149">
        <f>SUMIFS('MAIN DATA, Orders'!$N:$N,'MAIN DATA, Orders'!$J:$J,"6",'MAIN DATA, Orders'!$D:$D,"France",'MAIN DATA, Orders'!$F:$F,D$6)</f>
        <v>59</v>
      </c>
      <c r="E12" s="149">
        <f>SUMIFS('MAIN DATA, Orders'!$N:$N,'MAIN DATA, Orders'!$J:$J,"6",'MAIN DATA, Orders'!$D:$D,"France",'MAIN DATA, Orders'!$F:$F,E$6)</f>
        <v>418</v>
      </c>
      <c r="F12" s="149">
        <f>SUMIFS('MAIN DATA, Orders'!$N:$N,'MAIN DATA, Orders'!$J:$J,"6",'MAIN DATA, Orders'!$D:$D,"France",'MAIN DATA, Orders'!$F:$F,F$6)</f>
        <v>320</v>
      </c>
      <c r="G12" s="149">
        <f>SUMIFS('MAIN DATA, Orders'!$N:$N,'MAIN DATA, Orders'!$J:$J,"6",'MAIN DATA, Orders'!$D:$D,"France",'MAIN DATA, Orders'!$F:$F,G$6)</f>
        <v>3</v>
      </c>
      <c r="H12" s="149">
        <f>SUMIFS('MAIN DATA, Orders'!$N:$N,'MAIN DATA, Orders'!$J:$J,"6",'MAIN DATA, Orders'!$D:$D,"France",'MAIN DATA, Orders'!$F:$F,H$6)</f>
        <v>0</v>
      </c>
      <c r="I12" s="149">
        <f t="shared" si="0"/>
        <v>800</v>
      </c>
    </row>
  </sheetData>
  <mergeCells count="1">
    <mergeCell ref="B4:L4"/>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C6D3C-E7AF-42B9-8959-8348E7052346}">
  <sheetPr>
    <tabColor rgb="FFB5E6A2"/>
  </sheetPr>
  <dimension ref="A2:W83"/>
  <sheetViews>
    <sheetView workbookViewId="0"/>
  </sheetViews>
  <sheetFormatPr baseColWidth="10" defaultColWidth="8.75" defaultRowHeight="15.5" x14ac:dyDescent="0.35"/>
  <cols>
    <col min="1" max="1" width="8.75" style="1"/>
    <col min="2" max="2" width="13.5" style="1" customWidth="1"/>
    <col min="3" max="3" width="28.33203125" style="1" bestFit="1" customWidth="1"/>
    <col min="4" max="16384" width="8.75" style="1"/>
  </cols>
  <sheetData>
    <row r="2" spans="1:23" ht="24.5" x14ac:dyDescent="0.7">
      <c r="B2" s="16" t="s">
        <v>5675</v>
      </c>
    </row>
    <row r="4" spans="1:23" ht="130.15" customHeight="1" x14ac:dyDescent="0.35">
      <c r="B4" s="232" t="s">
        <v>5663</v>
      </c>
      <c r="C4" s="232"/>
      <c r="D4" s="232"/>
      <c r="E4" s="232"/>
      <c r="F4" s="232"/>
      <c r="G4" s="232"/>
      <c r="H4" s="232"/>
      <c r="I4" s="232"/>
      <c r="J4" s="232"/>
      <c r="P4" s="233"/>
      <c r="Q4" s="233"/>
      <c r="R4" s="233"/>
      <c r="S4" s="233"/>
      <c r="T4" s="233"/>
      <c r="U4" s="233"/>
      <c r="V4" s="233"/>
      <c r="W4" s="233"/>
    </row>
    <row r="6" spans="1:23" ht="21" customHeight="1" x14ac:dyDescent="0.35">
      <c r="B6" s="68" t="s">
        <v>4197</v>
      </c>
      <c r="C6" s="69" t="s">
        <v>5253</v>
      </c>
    </row>
    <row r="7" spans="1:23" x14ac:dyDescent="0.35">
      <c r="A7" s="20">
        <v>202001</v>
      </c>
      <c r="B7" s="17">
        <v>43831</v>
      </c>
      <c r="C7" s="15" cm="1">
        <f t="array" ref="C7">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Orders'!$Y:$Y,$A7)/1000000000)</f>
        <v>0</v>
      </c>
    </row>
    <row r="8" spans="1:23" x14ac:dyDescent="0.35">
      <c r="A8" s="20">
        <v>202002</v>
      </c>
      <c r="B8" s="17">
        <v>43862</v>
      </c>
      <c r="C8" s="15" cm="1">
        <f t="array" ref="C8">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Orders'!$Y:$Y,$A8)/1000000000)</f>
        <v>0</v>
      </c>
    </row>
    <row r="9" spans="1:23" x14ac:dyDescent="0.35">
      <c r="A9" s="20">
        <v>202003</v>
      </c>
      <c r="B9" s="17">
        <v>43891</v>
      </c>
      <c r="C9" s="15" cm="1">
        <f t="array" ref="C9">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Orders'!$Y:$Y,$A9)/1000000000)</f>
        <v>0</v>
      </c>
    </row>
    <row r="10" spans="1:23" x14ac:dyDescent="0.35">
      <c r="A10" s="20">
        <v>202004</v>
      </c>
      <c r="B10" s="17">
        <v>43922</v>
      </c>
      <c r="C10" s="15" cm="1">
        <f t="array" ref="C10">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Orders'!$Y:$Y,$A10)/1000000000)</f>
        <v>0</v>
      </c>
    </row>
    <row r="11" spans="1:23" x14ac:dyDescent="0.35">
      <c r="A11" s="20">
        <v>202005</v>
      </c>
      <c r="B11" s="17">
        <v>43952</v>
      </c>
      <c r="C11" s="15" cm="1">
        <f t="array" ref="C11">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Orders'!$Y:$Y,$A11)/1000000000)</f>
        <v>0.03</v>
      </c>
    </row>
    <row r="12" spans="1:23" x14ac:dyDescent="0.35">
      <c r="A12" s="20">
        <v>202006</v>
      </c>
      <c r="B12" s="17">
        <v>43983</v>
      </c>
      <c r="C12" s="15" cm="1">
        <f t="array" ref="C12">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Orders'!$Y:$Y,$A12)/1000000000)</f>
        <v>0</v>
      </c>
    </row>
    <row r="13" spans="1:23" x14ac:dyDescent="0.35">
      <c r="A13" s="20">
        <v>202007</v>
      </c>
      <c r="B13" s="17">
        <v>44013</v>
      </c>
      <c r="C13" s="15" cm="1">
        <f t="array" ref="C13">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Orders'!$Y:$Y,$A13)/1000000000)</f>
        <v>0</v>
      </c>
    </row>
    <row r="14" spans="1:23" x14ac:dyDescent="0.35">
      <c r="A14" s="20">
        <v>202008</v>
      </c>
      <c r="B14" s="17">
        <v>44044</v>
      </c>
      <c r="C14" s="15" cm="1">
        <f t="array" ref="C14">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Orders'!$Y:$Y,$A14)/1000000000)</f>
        <v>0</v>
      </c>
    </row>
    <row r="15" spans="1:23" x14ac:dyDescent="0.35">
      <c r="A15" s="20">
        <v>202009</v>
      </c>
      <c r="B15" s="17">
        <v>44075</v>
      </c>
      <c r="C15" s="15" cm="1">
        <f t="array" ref="C15">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Orders'!$Y:$Y,$A15)/1000000000)</f>
        <v>0</v>
      </c>
    </row>
    <row r="16" spans="1:23" x14ac:dyDescent="0.35">
      <c r="A16" s="20">
        <v>202010</v>
      </c>
      <c r="B16" s="17">
        <v>44105</v>
      </c>
      <c r="C16" s="15" cm="1">
        <f t="array" ref="C16">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Orders'!$Y:$Y,$A16)/1000000000)</f>
        <v>0</v>
      </c>
    </row>
    <row r="17" spans="1:3" x14ac:dyDescent="0.35">
      <c r="A17" s="20">
        <v>202011</v>
      </c>
      <c r="B17" s="17">
        <v>44136</v>
      </c>
      <c r="C17" s="15" cm="1">
        <f t="array" ref="C17">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Orders'!$Y:$Y,$A17)/1000000000)</f>
        <v>0.20599999999999999</v>
      </c>
    </row>
    <row r="18" spans="1:3" x14ac:dyDescent="0.35">
      <c r="A18" s="20">
        <v>202012</v>
      </c>
      <c r="B18" s="17">
        <v>44166</v>
      </c>
      <c r="C18" s="15" cm="1">
        <f t="array" ref="C18">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Orders'!$Y:$Y,$A18)/1000000000)</f>
        <v>0</v>
      </c>
    </row>
    <row r="19" spans="1:3" x14ac:dyDescent="0.35">
      <c r="A19" s="20">
        <v>202101</v>
      </c>
      <c r="B19" s="17">
        <v>44197</v>
      </c>
      <c r="C19" s="15" cm="1">
        <f t="array" ref="C19">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Orders'!$Y:$Y,$A19)/1000000000)</f>
        <v>0</v>
      </c>
    </row>
    <row r="20" spans="1:3" x14ac:dyDescent="0.35">
      <c r="A20" s="20">
        <v>202102</v>
      </c>
      <c r="B20" s="17">
        <v>44228</v>
      </c>
      <c r="C20" s="15" cm="1">
        <f t="array" ref="C20">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Orders'!$Y:$Y,$A20)/1000000000)</f>
        <v>8.7999999999999995E-2</v>
      </c>
    </row>
    <row r="21" spans="1:3" x14ac:dyDescent="0.35">
      <c r="A21" s="20">
        <v>202103</v>
      </c>
      <c r="B21" s="17">
        <v>44256</v>
      </c>
      <c r="C21" s="15" cm="1">
        <f t="array" ref="C21">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Orders'!$Y:$Y,$A21)/1000000000)</f>
        <v>0</v>
      </c>
    </row>
    <row r="22" spans="1:3" x14ac:dyDescent="0.35">
      <c r="A22" s="20">
        <v>202104</v>
      </c>
      <c r="B22" s="17">
        <v>44287</v>
      </c>
      <c r="C22" s="15" cm="1">
        <f t="array" ref="C22">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Orders'!$Y:$Y,$A22)/1000000000)</f>
        <v>3.4580000000000002</v>
      </c>
    </row>
    <row r="23" spans="1:3" x14ac:dyDescent="0.35">
      <c r="A23" s="20">
        <v>202105</v>
      </c>
      <c r="B23" s="17">
        <v>44317</v>
      </c>
      <c r="C23" s="15" cm="1">
        <f t="array" ref="C23">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Orders'!$Y:$Y,$A23)/1000000000)</f>
        <v>0</v>
      </c>
    </row>
    <row r="24" spans="1:3" x14ac:dyDescent="0.35">
      <c r="A24" s="20">
        <v>202106</v>
      </c>
      <c r="B24" s="17">
        <v>44348</v>
      </c>
      <c r="C24" s="15" cm="1">
        <f t="array" ref="C24">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Orders'!$Y:$Y,$A24)/1000000000)</f>
        <v>1.32</v>
      </c>
    </row>
    <row r="25" spans="1:3" x14ac:dyDescent="0.35">
      <c r="A25" s="20">
        <v>202107</v>
      </c>
      <c r="B25" s="17">
        <v>44378</v>
      </c>
      <c r="C25" s="15" cm="1">
        <f t="array" ref="C25">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Orders'!$Y:$Y,$A25)/1000000000)</f>
        <v>0</v>
      </c>
    </row>
    <row r="26" spans="1:3" x14ac:dyDescent="0.35">
      <c r="A26" s="20">
        <v>202108</v>
      </c>
      <c r="B26" s="17">
        <v>44409</v>
      </c>
      <c r="C26" s="15" cm="1">
        <f t="array" ref="C26">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Orders'!$Y:$Y,$A26)/1000000000)</f>
        <v>0</v>
      </c>
    </row>
    <row r="27" spans="1:3" x14ac:dyDescent="0.35">
      <c r="A27" s="20">
        <v>202109</v>
      </c>
      <c r="B27" s="17">
        <v>44440</v>
      </c>
      <c r="C27" s="15" cm="1">
        <f t="array" ref="C27">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Orders'!$Y:$Y,$A27)/1000000000)</f>
        <v>0</v>
      </c>
    </row>
    <row r="28" spans="1:3" x14ac:dyDescent="0.35">
      <c r="A28" s="20">
        <v>202110</v>
      </c>
      <c r="B28" s="17">
        <v>44470</v>
      </c>
      <c r="C28" s="15" cm="1">
        <f t="array" ref="C28">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Orders'!$Y:$Y,$A28)/1000000000)</f>
        <v>0</v>
      </c>
    </row>
    <row r="29" spans="1:3" x14ac:dyDescent="0.35">
      <c r="A29" s="20">
        <v>202111</v>
      </c>
      <c r="B29" s="17">
        <v>44501</v>
      </c>
      <c r="C29" s="15" cm="1">
        <f t="array" ref="C29">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Orders'!$Y:$Y,$A29)/1000000000)</f>
        <v>0</v>
      </c>
    </row>
    <row r="30" spans="1:3" x14ac:dyDescent="0.35">
      <c r="A30" s="20">
        <v>202112</v>
      </c>
      <c r="B30" s="17">
        <v>44531</v>
      </c>
      <c r="C30" s="15" cm="1">
        <f t="array" ref="C30">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Orders'!$Y:$Y,$A30)/1000000000)</f>
        <v>0</v>
      </c>
    </row>
    <row r="31" spans="1:3" x14ac:dyDescent="0.35">
      <c r="A31" s="20">
        <v>202201</v>
      </c>
      <c r="B31" s="17">
        <v>44562</v>
      </c>
      <c r="C31" s="15" cm="1">
        <f t="array" ref="C31">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Orders'!$Y:$Y,$A31)/1000000000)</f>
        <v>0</v>
      </c>
    </row>
    <row r="32" spans="1:3" x14ac:dyDescent="0.35">
      <c r="A32" s="20">
        <v>202202</v>
      </c>
      <c r="B32" s="17">
        <v>44593</v>
      </c>
      <c r="C32" s="15" cm="1">
        <f t="array" ref="C32">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Orders'!$Y:$Y,$A32)/1000000000)</f>
        <v>0</v>
      </c>
    </row>
    <row r="33" spans="1:3" x14ac:dyDescent="0.35">
      <c r="A33" s="20">
        <v>202203</v>
      </c>
      <c r="B33" s="17">
        <v>44621</v>
      </c>
      <c r="C33" s="15" cm="1">
        <f t="array" ref="C33">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Orders'!$Y:$Y,$A33)/1000000000)</f>
        <v>0</v>
      </c>
    </row>
    <row r="34" spans="1:3" x14ac:dyDescent="0.35">
      <c r="A34" s="20">
        <v>202204</v>
      </c>
      <c r="B34" s="17">
        <v>44652</v>
      </c>
      <c r="C34" s="15" cm="1">
        <f t="array" ref="C34">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Orders'!$Y:$Y,$A34)/1000000000)</f>
        <v>0.15</v>
      </c>
    </row>
    <row r="35" spans="1:3" x14ac:dyDescent="0.35">
      <c r="A35" s="20">
        <v>202205</v>
      </c>
      <c r="B35" s="17">
        <v>44682</v>
      </c>
      <c r="C35" s="15" cm="1">
        <f t="array" ref="C35">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Orders'!$Y:$Y,$A35)/1000000000)</f>
        <v>0</v>
      </c>
    </row>
    <row r="36" spans="1:3" x14ac:dyDescent="0.35">
      <c r="A36" s="20">
        <v>202206</v>
      </c>
      <c r="B36" s="17">
        <v>44713</v>
      </c>
      <c r="C36" s="15" cm="1">
        <f t="array" ref="C36">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Orders'!$Y:$Y,$A36)/1000000000)</f>
        <v>0</v>
      </c>
    </row>
    <row r="37" spans="1:3" x14ac:dyDescent="0.35">
      <c r="A37" s="20">
        <v>202207</v>
      </c>
      <c r="B37" s="17">
        <v>44743</v>
      </c>
      <c r="C37" s="15" cm="1">
        <f t="array" ref="C37">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Orders'!$Y:$Y,$A37)/1000000000)</f>
        <v>4.2099999999999999E-2</v>
      </c>
    </row>
    <row r="38" spans="1:3" x14ac:dyDescent="0.35">
      <c r="A38" s="20">
        <v>202208</v>
      </c>
      <c r="B38" s="17">
        <v>44774</v>
      </c>
      <c r="C38" s="15" cm="1">
        <f t="array" ref="C38">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Orders'!$Y:$Y,$A38)/1000000000)</f>
        <v>0</v>
      </c>
    </row>
    <row r="39" spans="1:3" x14ac:dyDescent="0.35">
      <c r="A39" s="20">
        <v>202209</v>
      </c>
      <c r="B39" s="17">
        <v>44805</v>
      </c>
      <c r="C39" s="15" cm="1">
        <f t="array" ref="C39">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Orders'!$Y:$Y,$A39)/1000000000)</f>
        <v>0</v>
      </c>
    </row>
    <row r="40" spans="1:3" x14ac:dyDescent="0.35">
      <c r="A40" s="20">
        <v>202210</v>
      </c>
      <c r="B40" s="17">
        <v>44835</v>
      </c>
      <c r="C40" s="15" cm="1">
        <f t="array" ref="C40">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Orders'!$Y:$Y,$A40)/1000000000)</f>
        <v>9.74E-2</v>
      </c>
    </row>
    <row r="41" spans="1:3" x14ac:dyDescent="0.35">
      <c r="A41" s="20">
        <v>202211</v>
      </c>
      <c r="B41" s="17">
        <v>44866</v>
      </c>
      <c r="C41" s="15" cm="1">
        <f t="array" ref="C41">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Orders'!$Y:$Y,$A41)/1000000000)</f>
        <v>0</v>
      </c>
    </row>
    <row r="42" spans="1:3" x14ac:dyDescent="0.35">
      <c r="A42" s="20">
        <v>202212</v>
      </c>
      <c r="B42" s="17">
        <v>44896</v>
      </c>
      <c r="C42" s="15" cm="1">
        <f t="array" ref="C42">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Orders'!$Y:$Y,$A42)/1000000000)</f>
        <v>1.464</v>
      </c>
    </row>
    <row r="43" spans="1:3" x14ac:dyDescent="0.35">
      <c r="A43" s="20">
        <v>202301</v>
      </c>
      <c r="B43" s="17">
        <v>44927</v>
      </c>
      <c r="C43" s="15" cm="1">
        <f t="array" ref="C43">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Orders'!$Y:$Y,$A43)/1000000000)</f>
        <v>0</v>
      </c>
    </row>
    <row r="44" spans="1:3" x14ac:dyDescent="0.35">
      <c r="A44" s="20">
        <v>202302</v>
      </c>
      <c r="B44" s="17">
        <v>44958</v>
      </c>
      <c r="C44" s="15" cm="1">
        <f t="array" ref="C44">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Orders'!$Y:$Y,$A44)/1000000000)</f>
        <v>0.16800000000000001</v>
      </c>
    </row>
    <row r="45" spans="1:3" x14ac:dyDescent="0.35">
      <c r="A45" s="20">
        <v>202303</v>
      </c>
      <c r="B45" s="17">
        <v>44986</v>
      </c>
      <c r="C45" s="15" cm="1">
        <f t="array" ref="C45">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Orders'!$Y:$Y,$A45)/1000000000)</f>
        <v>1.2991999999999999</v>
      </c>
    </row>
    <row r="46" spans="1:3" x14ac:dyDescent="0.35">
      <c r="A46" s="20">
        <v>202304</v>
      </c>
      <c r="B46" s="17">
        <v>45017</v>
      </c>
      <c r="C46" s="15" cm="1">
        <f t="array" ref="C46">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Orders'!$Y:$Y,$A46)/1000000000)</f>
        <v>0</v>
      </c>
    </row>
    <row r="47" spans="1:3" x14ac:dyDescent="0.35">
      <c r="A47" s="20">
        <v>202305</v>
      </c>
      <c r="B47" s="17">
        <v>45047</v>
      </c>
      <c r="C47" s="15" cm="1">
        <f t="array" ref="C47">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Orders'!$Y:$Y,$A47)/1000000000)</f>
        <v>1.8033000000000001</v>
      </c>
    </row>
    <row r="48" spans="1:3" x14ac:dyDescent="0.35">
      <c r="A48" s="20">
        <v>202306</v>
      </c>
      <c r="B48" s="17">
        <v>45078</v>
      </c>
      <c r="C48" s="15" cm="1">
        <f t="array" ref="C48">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Orders'!$Y:$Y,$A48)/1000000000)</f>
        <v>0.95</v>
      </c>
    </row>
    <row r="49" spans="1:3" x14ac:dyDescent="0.35">
      <c r="A49" s="20">
        <v>202307</v>
      </c>
      <c r="B49" s="17">
        <v>45108</v>
      </c>
      <c r="C49" s="15" cm="1">
        <f t="array" ref="C49">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Orders'!$Y:$Y,$A49)/1000000000)</f>
        <v>8.5849000000000011</v>
      </c>
    </row>
    <row r="50" spans="1:3" x14ac:dyDescent="0.35">
      <c r="A50" s="20">
        <v>202308</v>
      </c>
      <c r="B50" s="17">
        <v>45139</v>
      </c>
      <c r="C50" s="15" cm="1">
        <f t="array" ref="C50">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Orders'!$Y:$Y,$A50)/1000000000)</f>
        <v>0</v>
      </c>
    </row>
    <row r="51" spans="1:3" x14ac:dyDescent="0.35">
      <c r="A51" s="20">
        <v>202309</v>
      </c>
      <c r="B51" s="17">
        <v>45170</v>
      </c>
      <c r="C51" s="15" cm="1">
        <f t="array" ref="C51">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Orders'!$Y:$Y,$A51)/1000000000)</f>
        <v>0.23860000000000001</v>
      </c>
    </row>
    <row r="52" spans="1:3" x14ac:dyDescent="0.35">
      <c r="A52" s="20">
        <v>202310</v>
      </c>
      <c r="B52" s="17">
        <v>45200</v>
      </c>
      <c r="C52" s="15" cm="1">
        <f t="array" ref="C52">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Orders'!$Y:$Y,$A52)/1000000000)</f>
        <v>4.1609999999999996</v>
      </c>
    </row>
    <row r="53" spans="1:3" x14ac:dyDescent="0.35">
      <c r="A53" s="20">
        <v>202311</v>
      </c>
      <c r="B53" s="17">
        <v>45231</v>
      </c>
      <c r="C53" s="15" cm="1">
        <f t="array" ref="C53">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Orders'!$Y:$Y,$A53)/1000000000)</f>
        <v>0.40100000000000002</v>
      </c>
    </row>
    <row r="54" spans="1:3" x14ac:dyDescent="0.35">
      <c r="A54" s="20">
        <v>202312</v>
      </c>
      <c r="B54" s="17">
        <v>45261</v>
      </c>
      <c r="C54" s="15" cm="1">
        <f t="array" ref="C54">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Orders'!$Y:$Y,$A54)/1000000000)</f>
        <v>5.9740000000000002</v>
      </c>
    </row>
    <row r="55" spans="1:3" x14ac:dyDescent="0.35">
      <c r="A55" s="20">
        <v>202401</v>
      </c>
      <c r="B55" s="17">
        <v>45292</v>
      </c>
      <c r="C55" s="15" cm="1">
        <f t="array" ref="C55">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Orders'!$Y:$Y,$A55)/1000000000)</f>
        <v>1.23</v>
      </c>
    </row>
    <row r="56" spans="1:3" x14ac:dyDescent="0.35">
      <c r="A56" s="20">
        <v>202402</v>
      </c>
      <c r="B56" s="17">
        <v>45323</v>
      </c>
      <c r="C56" s="15" cm="1">
        <f t="array" ref="C56">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Orders'!$Y:$Y,$A56)/1000000000)</f>
        <v>0.64900000000000002</v>
      </c>
    </row>
    <row r="57" spans="1:3" x14ac:dyDescent="0.35">
      <c r="A57" s="20">
        <v>202403</v>
      </c>
      <c r="B57" s="17">
        <v>45352</v>
      </c>
      <c r="C57" s="15" cm="1">
        <f t="array" ref="C57">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Orders'!$Y:$Y,$A57)/1000000000)</f>
        <v>3.34</v>
      </c>
    </row>
    <row r="58" spans="1:3" x14ac:dyDescent="0.35">
      <c r="A58" s="20">
        <v>202404</v>
      </c>
      <c r="B58" s="17">
        <v>45383</v>
      </c>
      <c r="C58" s="15" cm="1">
        <f t="array" ref="C58">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Orders'!$Y:$Y,$A58)/1000000000)</f>
        <v>0.44700000000000001</v>
      </c>
    </row>
    <row r="59" spans="1:3" x14ac:dyDescent="0.35">
      <c r="A59" s="20">
        <v>202405</v>
      </c>
      <c r="B59" s="17">
        <v>45413</v>
      </c>
      <c r="C59" s="15" cm="1">
        <f t="array" ref="C59">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Orders'!$Y:$Y,$A59)/1000000000)</f>
        <v>0</v>
      </c>
    </row>
    <row r="60" spans="1:3" x14ac:dyDescent="0.35">
      <c r="A60" s="20">
        <v>202406</v>
      </c>
      <c r="B60" s="17">
        <v>45444</v>
      </c>
      <c r="C60" s="15" cm="1">
        <f t="array" ref="C60">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Orders'!$Y:$Y,$A60)/1000000000)</f>
        <v>1.466</v>
      </c>
    </row>
    <row r="61" spans="1:3" x14ac:dyDescent="0.35">
      <c r="A61" s="20">
        <v>202407</v>
      </c>
      <c r="B61" s="17">
        <v>45474</v>
      </c>
      <c r="C61" s="15" cm="1">
        <f t="array" ref="C61">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Orders'!$Y:$Y,$A61)/1000000000)</f>
        <v>6.2519999999999998</v>
      </c>
    </row>
    <row r="62" spans="1:3" x14ac:dyDescent="0.35">
      <c r="A62" s="20">
        <v>202408</v>
      </c>
      <c r="B62" s="17">
        <v>45505</v>
      </c>
      <c r="C62" s="15" cm="1">
        <f t="array" ref="C62">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Orders'!$Y:$Y,$A62)/1000000000)</f>
        <v>0</v>
      </c>
    </row>
    <row r="63" spans="1:3" x14ac:dyDescent="0.35">
      <c r="A63" s="20">
        <v>202409</v>
      </c>
      <c r="B63" s="17">
        <v>45536</v>
      </c>
      <c r="C63" s="15" cm="1">
        <f t="array" ref="C63">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Orders'!$Y:$Y,$A63)/1000000000)</f>
        <v>0</v>
      </c>
    </row>
    <row r="64" spans="1:3" x14ac:dyDescent="0.35">
      <c r="A64" s="20">
        <v>202410</v>
      </c>
      <c r="B64" s="17">
        <v>45566</v>
      </c>
      <c r="C64" s="15" cm="1">
        <f t="array" ref="C64">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Orders'!$Y:$Y,$A64)/1000000000)</f>
        <v>0</v>
      </c>
    </row>
    <row r="65" spans="1:3" x14ac:dyDescent="0.35">
      <c r="A65" s="20">
        <v>202411</v>
      </c>
      <c r="B65" s="17">
        <v>45597</v>
      </c>
      <c r="C65" s="15" cm="1">
        <f t="array" ref="C65">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Orders'!$Y:$Y,$A65)/1000000000)</f>
        <v>0</v>
      </c>
    </row>
    <row r="66" spans="1:3" x14ac:dyDescent="0.35">
      <c r="A66" s="20">
        <v>202412</v>
      </c>
      <c r="B66" s="17">
        <v>45627</v>
      </c>
      <c r="C66" s="15" cm="1">
        <f t="array" ref="C66">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Orders'!$Y:$Y,$A66)/1000000000)</f>
        <v>6.5000000000000002E-2</v>
      </c>
    </row>
    <row r="67" spans="1:3" x14ac:dyDescent="0.35">
      <c r="A67" s="20">
        <v>202501</v>
      </c>
      <c r="B67" s="17">
        <v>45658</v>
      </c>
      <c r="C67" s="15" cm="1">
        <f t="array" ref="C67">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Orders'!$Y:$Y,$A67)/1000000000)</f>
        <v>0.154</v>
      </c>
    </row>
    <row r="68" spans="1:3" x14ac:dyDescent="0.35">
      <c r="A68" s="20">
        <v>202502</v>
      </c>
      <c r="B68" s="17">
        <v>45689</v>
      </c>
      <c r="C68" s="15" cm="1">
        <f t="array" ref="C68">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Orders'!$Y:$Y,$A68)/1000000000)</f>
        <v>0</v>
      </c>
    </row>
    <row r="69" spans="1:3" x14ac:dyDescent="0.35">
      <c r="A69" s="20">
        <v>202503</v>
      </c>
      <c r="B69" s="17">
        <v>45717</v>
      </c>
      <c r="C69" s="15" cm="1">
        <f t="array" ref="C69">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Orders'!$Y:$Y,$A69)/1000000000)</f>
        <v>0</v>
      </c>
    </row>
    <row r="70" spans="1:3" x14ac:dyDescent="0.35">
      <c r="A70" s="20">
        <v>202504</v>
      </c>
      <c r="B70" s="17">
        <v>45748</v>
      </c>
      <c r="C70" s="15" cm="1">
        <f t="array" ref="C70">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Orders'!$Y:$Y,$A70)/1000000000)</f>
        <v>0</v>
      </c>
    </row>
    <row r="71" spans="1:3" x14ac:dyDescent="0.35">
      <c r="A71" s="20">
        <v>202505</v>
      </c>
      <c r="B71" s="17">
        <v>45778</v>
      </c>
      <c r="C71" s="15" cm="1">
        <f t="array" ref="C71">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Orders'!$Y:$Y,$A71)/1000000000)</f>
        <v>0</v>
      </c>
    </row>
    <row r="72" spans="1:3" x14ac:dyDescent="0.35">
      <c r="A72" s="20">
        <v>202506</v>
      </c>
      <c r="B72" s="17">
        <v>45809</v>
      </c>
      <c r="C72" s="15" cm="1">
        <f t="array" ref="C72">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Orders'!$Y:$Y,$A72)/1000000000)</f>
        <v>0.34899999999999998</v>
      </c>
    </row>
    <row r="73" spans="1:3" x14ac:dyDescent="0.35">
      <c r="A73" s="20">
        <v>202507</v>
      </c>
      <c r="B73" s="17">
        <v>45839</v>
      </c>
      <c r="C73" s="15" cm="1">
        <f t="array" ref="C73">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Orders'!$Y:$Y,$A73)/1000000000)</f>
        <v>0</v>
      </c>
    </row>
    <row r="74" spans="1:3" x14ac:dyDescent="0.35">
      <c r="A74" s="20">
        <v>202508</v>
      </c>
      <c r="B74" s="17">
        <v>45870</v>
      </c>
      <c r="C74" s="15" cm="1">
        <f t="array" ref="C74">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Orders'!$Y:$Y,$A74)/1000000000)</f>
        <v>0</v>
      </c>
    </row>
    <row r="75" spans="1:3" x14ac:dyDescent="0.35">
      <c r="A75" s="20">
        <v>202509</v>
      </c>
      <c r="B75" s="17">
        <v>45901</v>
      </c>
      <c r="C75" s="15" cm="1">
        <f t="array" ref="C75">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Orders'!$Y:$Y,$A75)/1000000000)</f>
        <v>2.3319000000000001</v>
      </c>
    </row>
    <row r="76" spans="1:3" x14ac:dyDescent="0.35">
      <c r="A76" s="20">
        <v>202510</v>
      </c>
      <c r="B76" s="17">
        <v>45931</v>
      </c>
      <c r="C76" s="15" cm="1">
        <f t="array" ref="C76">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Orders'!$Y:$Y,$A76)/1000000000)</f>
        <v>7.758</v>
      </c>
    </row>
    <row r="77" spans="1:3" x14ac:dyDescent="0.35">
      <c r="A77" s="20">
        <v>202511</v>
      </c>
      <c r="B77" s="17">
        <v>45962</v>
      </c>
      <c r="C77" s="15" cm="1">
        <f t="array" ref="C77">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Orders'!$Y:$Y,$A77)/1000000000)</f>
        <v>3.17</v>
      </c>
    </row>
    <row r="78" spans="1:3" x14ac:dyDescent="0.35">
      <c r="A78" s="20">
        <v>202512</v>
      </c>
      <c r="B78" s="17">
        <v>45992</v>
      </c>
      <c r="C78" s="15" cm="1">
        <f t="array" ref="C78">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Orders'!$Y:$Y,$A78)/1000000000)</f>
        <v>20.406688191000001</v>
      </c>
    </row>
    <row r="79" spans="1:3" x14ac:dyDescent="0.35">
      <c r="A79" s="20">
        <v>202601</v>
      </c>
      <c r="B79" s="17">
        <v>46023</v>
      </c>
      <c r="C79" s="15" cm="1">
        <f t="array" ref="C79">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Orders'!$Y:$Y,$A79)/1000000000)</f>
        <v>0</v>
      </c>
    </row>
    <row r="80" spans="1:3" x14ac:dyDescent="0.35">
      <c r="A80" s="20">
        <v>202602</v>
      </c>
      <c r="B80" s="17">
        <v>46054</v>
      </c>
      <c r="C80" s="15" cm="1">
        <f t="array" ref="C80">SUM(SUMIFS('MAIN DATA, Orders'!$S:$S,'MAIN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Orders'!$Y:$Y,$A80)/1000000000)</f>
        <v>0</v>
      </c>
    </row>
    <row r="81" spans="2:3" x14ac:dyDescent="0.35">
      <c r="B81" s="17"/>
      <c r="C81" s="15"/>
    </row>
    <row r="82" spans="2:3" x14ac:dyDescent="0.35">
      <c r="B82" s="66"/>
      <c r="C82" s="66"/>
    </row>
    <row r="83" spans="2:3" x14ac:dyDescent="0.35">
      <c r="B83" s="9" t="s">
        <v>4219</v>
      </c>
      <c r="C83" s="18">
        <f>SUM(C7:C81)</f>
        <v>78.054088191000005</v>
      </c>
    </row>
  </sheetData>
  <mergeCells count="2">
    <mergeCell ref="B4:J4"/>
    <mergeCell ref="P4:W4"/>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1CD7-B467-4365-9EF0-57DEADCDCE3B}">
  <sheetPr>
    <tabColor theme="9" tint="0.59999389629810485"/>
  </sheetPr>
  <dimension ref="A2:J81"/>
  <sheetViews>
    <sheetView workbookViewId="0"/>
  </sheetViews>
  <sheetFormatPr baseColWidth="10" defaultColWidth="8.75" defaultRowHeight="15.5" x14ac:dyDescent="0.35"/>
  <cols>
    <col min="1" max="1" width="8.75" style="1"/>
    <col min="2" max="2" width="13.5" style="1" customWidth="1"/>
    <col min="3" max="3" width="28.33203125" style="1" customWidth="1"/>
    <col min="4" max="16384" width="8.75" style="1"/>
  </cols>
  <sheetData>
    <row r="2" spans="1:10" ht="25.9" customHeight="1" x14ac:dyDescent="0.7">
      <c r="B2" s="16" t="s">
        <v>5676</v>
      </c>
    </row>
    <row r="4" spans="1:10" ht="130.15" customHeight="1" x14ac:dyDescent="0.35">
      <c r="B4" s="233" t="s">
        <v>5664</v>
      </c>
      <c r="C4" s="233"/>
      <c r="D4" s="233"/>
      <c r="E4" s="233"/>
      <c r="F4" s="233"/>
      <c r="G4" s="233"/>
      <c r="H4" s="233"/>
      <c r="I4" s="233"/>
      <c r="J4" s="233"/>
    </row>
    <row r="6" spans="1:10" ht="21" customHeight="1" x14ac:dyDescent="0.35">
      <c r="B6" s="68" t="s">
        <v>4197</v>
      </c>
      <c r="C6" s="69" t="s">
        <v>5253</v>
      </c>
    </row>
    <row r="7" spans="1:10" x14ac:dyDescent="0.35">
      <c r="A7" s="20">
        <v>202001</v>
      </c>
      <c r="B7" s="17">
        <v>43831</v>
      </c>
      <c r="C7" s="15" cm="1">
        <f t="array" ref="C7">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Orders'!$Y:$Y,$A7)/1000000000)</f>
        <v>0</v>
      </c>
    </row>
    <row r="8" spans="1:10" x14ac:dyDescent="0.35">
      <c r="A8" s="20">
        <v>202002</v>
      </c>
      <c r="B8" s="17">
        <v>43862</v>
      </c>
      <c r="C8" s="15" cm="1">
        <f t="array" ref="C8">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Orders'!$Y:$Y,$A8)/1000000000)</f>
        <v>0</v>
      </c>
    </row>
    <row r="9" spans="1:10" x14ac:dyDescent="0.35">
      <c r="A9" s="20">
        <v>202003</v>
      </c>
      <c r="B9" s="17">
        <v>43891</v>
      </c>
      <c r="C9" s="15" cm="1">
        <f t="array" ref="C9">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Orders'!$Y:$Y,$A9)/1000000000)</f>
        <v>0</v>
      </c>
    </row>
    <row r="10" spans="1:10" x14ac:dyDescent="0.35">
      <c r="A10" s="20">
        <v>202004</v>
      </c>
      <c r="B10" s="17">
        <v>43922</v>
      </c>
      <c r="C10" s="15" cm="1">
        <f t="array" ref="C10">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Orders'!$Y:$Y,$A10)/1000000000)</f>
        <v>0</v>
      </c>
    </row>
    <row r="11" spans="1:10" x14ac:dyDescent="0.35">
      <c r="A11" s="20">
        <v>202005</v>
      </c>
      <c r="B11" s="17">
        <v>43952</v>
      </c>
      <c r="C11" s="15" cm="1">
        <f t="array" ref="C11">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Orders'!$Y:$Y,$A11)/1000000000)</f>
        <v>0</v>
      </c>
    </row>
    <row r="12" spans="1:10" x14ac:dyDescent="0.35">
      <c r="A12" s="20">
        <v>202006</v>
      </c>
      <c r="B12" s="17">
        <v>43983</v>
      </c>
      <c r="C12" s="15" cm="1">
        <f t="array" ref="C12">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Orders'!$Y:$Y,$A12)/1000000000)</f>
        <v>0</v>
      </c>
    </row>
    <row r="13" spans="1:10" x14ac:dyDescent="0.35">
      <c r="A13" s="20">
        <v>202007</v>
      </c>
      <c r="B13" s="17">
        <v>44013</v>
      </c>
      <c r="C13" s="15" cm="1">
        <f t="array" ref="C13">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Orders'!$Y:$Y,$A13)/1000000000)</f>
        <v>6.5000000000000002E-2</v>
      </c>
    </row>
    <row r="14" spans="1:10" x14ac:dyDescent="0.35">
      <c r="A14" s="20">
        <v>202008</v>
      </c>
      <c r="B14" s="17">
        <v>44044</v>
      </c>
      <c r="C14" s="15" cm="1">
        <f t="array" ref="C14">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Orders'!$Y:$Y,$A14)/1000000000)</f>
        <v>1.1999999999999999E-3</v>
      </c>
    </row>
    <row r="15" spans="1:10" x14ac:dyDescent="0.35">
      <c r="A15" s="20">
        <v>202009</v>
      </c>
      <c r="B15" s="17">
        <v>44075</v>
      </c>
      <c r="C15" s="15" cm="1">
        <f t="array" ref="C15">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Orders'!$Y:$Y,$A15)/1000000000)</f>
        <v>0</v>
      </c>
    </row>
    <row r="16" spans="1:10" x14ac:dyDescent="0.35">
      <c r="A16" s="20">
        <v>202010</v>
      </c>
      <c r="B16" s="17">
        <v>44105</v>
      </c>
      <c r="C16" s="15" cm="1">
        <f t="array" ref="C16">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Orders'!$Y:$Y,$A16)/1000000000)</f>
        <v>0</v>
      </c>
    </row>
    <row r="17" spans="1:3" x14ac:dyDescent="0.35">
      <c r="A17" s="20">
        <v>202011</v>
      </c>
      <c r="B17" s="17">
        <v>44136</v>
      </c>
      <c r="C17" s="15" cm="1">
        <f t="array" ref="C17">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Orders'!$Y:$Y,$A17)/1000000000)</f>
        <v>2.4</v>
      </c>
    </row>
    <row r="18" spans="1:3" x14ac:dyDescent="0.35">
      <c r="A18" s="20">
        <v>202012</v>
      </c>
      <c r="B18" s="17">
        <v>44166</v>
      </c>
      <c r="C18" s="15" cm="1">
        <f t="array" ref="C18">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Orders'!$Y:$Y,$A18)/1000000000)</f>
        <v>0</v>
      </c>
    </row>
    <row r="19" spans="1:3" x14ac:dyDescent="0.35">
      <c r="A19" s="20">
        <v>202101</v>
      </c>
      <c r="B19" s="17">
        <v>44197</v>
      </c>
      <c r="C19" s="15" cm="1">
        <f t="array" ref="C19">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Orders'!$Y:$Y,$A19)/1000000000)</f>
        <v>5.5E-2</v>
      </c>
    </row>
    <row r="20" spans="1:3" x14ac:dyDescent="0.35">
      <c r="A20" s="20">
        <v>202102</v>
      </c>
      <c r="B20" s="17">
        <v>44228</v>
      </c>
      <c r="C20" s="15" cm="1">
        <f t="array" ref="C20">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Orders'!$Y:$Y,$A20)/1000000000)</f>
        <v>0</v>
      </c>
    </row>
    <row r="21" spans="1:3" x14ac:dyDescent="0.35">
      <c r="A21" s="20">
        <v>202103</v>
      </c>
      <c r="B21" s="17">
        <v>44256</v>
      </c>
      <c r="C21" s="15" cm="1">
        <f t="array" ref="C21">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Orders'!$Y:$Y,$A21)/1000000000)</f>
        <v>9.8400000000000001E-2</v>
      </c>
    </row>
    <row r="22" spans="1:3" x14ac:dyDescent="0.35">
      <c r="A22" s="20">
        <v>202104</v>
      </c>
      <c r="B22" s="17">
        <v>44287</v>
      </c>
      <c r="C22" s="15" cm="1">
        <f t="array" ref="C22">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Orders'!$Y:$Y,$A22)/1000000000)</f>
        <v>0</v>
      </c>
    </row>
    <row r="23" spans="1:3" x14ac:dyDescent="0.35">
      <c r="A23" s="20">
        <v>202105</v>
      </c>
      <c r="B23" s="17">
        <v>44317</v>
      </c>
      <c r="C23" s="15" cm="1">
        <f t="array" ref="C23">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Orders'!$Y:$Y,$A23)/1000000000)</f>
        <v>0.8</v>
      </c>
    </row>
    <row r="24" spans="1:3" x14ac:dyDescent="0.35">
      <c r="A24" s="20">
        <v>202106</v>
      </c>
      <c r="B24" s="17">
        <v>44348</v>
      </c>
      <c r="C24" s="15" cm="1">
        <f t="array" ref="C24">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Orders'!$Y:$Y,$A24)/1000000000)</f>
        <v>0</v>
      </c>
    </row>
    <row r="25" spans="1:3" x14ac:dyDescent="0.35">
      <c r="A25" s="20">
        <v>202107</v>
      </c>
      <c r="B25" s="17">
        <v>44378</v>
      </c>
      <c r="C25" s="15" cm="1">
        <f t="array" ref="C25">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Orders'!$Y:$Y,$A25)/1000000000)</f>
        <v>0.19700000000000001</v>
      </c>
    </row>
    <row r="26" spans="1:3" x14ac:dyDescent="0.35">
      <c r="A26" s="20">
        <v>202108</v>
      </c>
      <c r="B26" s="17">
        <v>44409</v>
      </c>
      <c r="C26" s="15" cm="1">
        <f t="array" ref="C26">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Orders'!$Y:$Y,$A26)/1000000000)</f>
        <v>0</v>
      </c>
    </row>
    <row r="27" spans="1:3" x14ac:dyDescent="0.35">
      <c r="A27" s="20">
        <v>202109</v>
      </c>
      <c r="B27" s="17">
        <v>44440</v>
      </c>
      <c r="C27" s="15" cm="1">
        <f t="array" ref="C27">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Orders'!$Y:$Y,$A27)/1000000000)</f>
        <v>0</v>
      </c>
    </row>
    <row r="28" spans="1:3" x14ac:dyDescent="0.35">
      <c r="A28" s="20">
        <v>202110</v>
      </c>
      <c r="B28" s="17">
        <v>44470</v>
      </c>
      <c r="C28" s="15" cm="1">
        <f t="array" ref="C28">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Orders'!$Y:$Y,$A28)/1000000000)</f>
        <v>0</v>
      </c>
    </row>
    <row r="29" spans="1:3" x14ac:dyDescent="0.35">
      <c r="A29" s="20">
        <v>202111</v>
      </c>
      <c r="B29" s="17">
        <v>44501</v>
      </c>
      <c r="C29" s="15" cm="1">
        <f t="array" ref="C29">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Orders'!$Y:$Y,$A29)/1000000000)</f>
        <v>0</v>
      </c>
    </row>
    <row r="30" spans="1:3" x14ac:dyDescent="0.35">
      <c r="A30" s="20">
        <v>202112</v>
      </c>
      <c r="B30" s="17">
        <v>44531</v>
      </c>
      <c r="C30" s="15" cm="1">
        <f t="array" ref="C30">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Orders'!$Y:$Y,$A30)/1000000000)</f>
        <v>0</v>
      </c>
    </row>
    <row r="31" spans="1:3" x14ac:dyDescent="0.35">
      <c r="A31" s="20">
        <v>202201</v>
      </c>
      <c r="B31" s="17">
        <v>44562</v>
      </c>
      <c r="C31" s="15" cm="1">
        <f t="array" ref="C31">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Orders'!$Y:$Y,$A31)/1000000000)</f>
        <v>0</v>
      </c>
    </row>
    <row r="32" spans="1:3" x14ac:dyDescent="0.35">
      <c r="A32" s="20">
        <v>202202</v>
      </c>
      <c r="B32" s="17">
        <v>44593</v>
      </c>
      <c r="C32" s="15" cm="1">
        <f t="array" ref="C32">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Orders'!$Y:$Y,$A32)/1000000000)</f>
        <v>0</v>
      </c>
    </row>
    <row r="33" spans="1:3" x14ac:dyDescent="0.35">
      <c r="A33" s="20">
        <v>202203</v>
      </c>
      <c r="B33" s="17">
        <v>44621</v>
      </c>
      <c r="C33" s="15" cm="1">
        <f t="array" ref="C33">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Orders'!$Y:$Y,$A33)/1000000000)</f>
        <v>0</v>
      </c>
    </row>
    <row r="34" spans="1:3" x14ac:dyDescent="0.35">
      <c r="A34" s="20">
        <v>202204</v>
      </c>
      <c r="B34" s="17">
        <v>44652</v>
      </c>
      <c r="C34" s="15" cm="1">
        <f t="array" ref="C34">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Orders'!$Y:$Y,$A34)/1000000000)</f>
        <v>3.2000000000000001E-2</v>
      </c>
    </row>
    <row r="35" spans="1:3" x14ac:dyDescent="0.35">
      <c r="A35" s="20">
        <v>202205</v>
      </c>
      <c r="B35" s="17">
        <v>44682</v>
      </c>
      <c r="C35" s="15" cm="1">
        <f t="array" ref="C35">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Orders'!$Y:$Y,$A35)/1000000000)</f>
        <v>0</v>
      </c>
    </row>
    <row r="36" spans="1:3" x14ac:dyDescent="0.35">
      <c r="A36" s="20">
        <v>202206</v>
      </c>
      <c r="B36" s="17">
        <v>44713</v>
      </c>
      <c r="C36" s="15" cm="1">
        <f t="array" ref="C36">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Orders'!$Y:$Y,$A36)/1000000000)</f>
        <v>0</v>
      </c>
    </row>
    <row r="37" spans="1:3" x14ac:dyDescent="0.35">
      <c r="A37" s="20">
        <v>202207</v>
      </c>
      <c r="B37" s="17">
        <v>44743</v>
      </c>
      <c r="C37" s="15" cm="1">
        <f t="array" ref="C37">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Orders'!$Y:$Y,$A37)/1000000000)</f>
        <v>0.06</v>
      </c>
    </row>
    <row r="38" spans="1:3" x14ac:dyDescent="0.35">
      <c r="A38" s="20">
        <v>202208</v>
      </c>
      <c r="B38" s="17">
        <v>44774</v>
      </c>
      <c r="C38" s="15" cm="1">
        <f t="array" ref="C38">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Orders'!$Y:$Y,$A38)/1000000000)</f>
        <v>0</v>
      </c>
    </row>
    <row r="39" spans="1:3" x14ac:dyDescent="0.35">
      <c r="A39" s="20">
        <v>202209</v>
      </c>
      <c r="B39" s="17">
        <v>44805</v>
      </c>
      <c r="C39" s="15" cm="1">
        <f t="array" ref="C39">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Orders'!$Y:$Y,$A39)/1000000000)</f>
        <v>1.4999999999999999E-2</v>
      </c>
    </row>
    <row r="40" spans="1:3" x14ac:dyDescent="0.35">
      <c r="A40" s="20">
        <v>202210</v>
      </c>
      <c r="B40" s="17">
        <v>44835</v>
      </c>
      <c r="C40" s="15" cm="1">
        <f t="array" ref="C40">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Orders'!$Y:$Y,$A40)/1000000000)</f>
        <v>0</v>
      </c>
    </row>
    <row r="41" spans="1:3" x14ac:dyDescent="0.35">
      <c r="A41" s="20">
        <v>202211</v>
      </c>
      <c r="B41" s="17">
        <v>44866</v>
      </c>
      <c r="C41" s="15" cm="1">
        <f t="array" ref="C41">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Orders'!$Y:$Y,$A41)/1000000000)</f>
        <v>0</v>
      </c>
    </row>
    <row r="42" spans="1:3" x14ac:dyDescent="0.35">
      <c r="A42" s="20">
        <v>202212</v>
      </c>
      <c r="B42" s="17">
        <v>44896</v>
      </c>
      <c r="C42" s="15" cm="1">
        <f t="array" ref="C42">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Orders'!$Y:$Y,$A42)/1000000000)</f>
        <v>0.51339999999999997</v>
      </c>
    </row>
    <row r="43" spans="1:3" x14ac:dyDescent="0.35">
      <c r="A43" s="20">
        <v>202301</v>
      </c>
      <c r="B43" s="17">
        <v>44927</v>
      </c>
      <c r="C43" s="15" cm="1">
        <f t="array" ref="C43">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Orders'!$Y:$Y,$A43)/1000000000)</f>
        <v>0</v>
      </c>
    </row>
    <row r="44" spans="1:3" x14ac:dyDescent="0.35">
      <c r="A44" s="20">
        <v>202302</v>
      </c>
      <c r="B44" s="17">
        <v>44958</v>
      </c>
      <c r="C44" s="15" cm="1">
        <f t="array" ref="C44">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Orders'!$Y:$Y,$A44)/1000000000)</f>
        <v>0.11</v>
      </c>
    </row>
    <row r="45" spans="1:3" x14ac:dyDescent="0.35">
      <c r="A45" s="20">
        <v>202303</v>
      </c>
      <c r="B45" s="17">
        <v>44986</v>
      </c>
      <c r="C45" s="15" cm="1">
        <f t="array" ref="C45">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Orders'!$Y:$Y,$A45)/1000000000)</f>
        <v>4.5999999999999999E-3</v>
      </c>
    </row>
    <row r="46" spans="1:3" x14ac:dyDescent="0.35">
      <c r="A46" s="20">
        <v>202304</v>
      </c>
      <c r="B46" s="17">
        <v>45017</v>
      </c>
      <c r="C46" s="15" cm="1">
        <f t="array" ref="C46">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Orders'!$Y:$Y,$A46)/1000000000)</f>
        <v>0</v>
      </c>
    </row>
    <row r="47" spans="1:3" x14ac:dyDescent="0.35">
      <c r="A47" s="20">
        <v>202305</v>
      </c>
      <c r="B47" s="17">
        <v>45047</v>
      </c>
      <c r="C47" s="15" cm="1">
        <f t="array" ref="C47">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Orders'!$Y:$Y,$A47)/1000000000)</f>
        <v>0</v>
      </c>
    </row>
    <row r="48" spans="1:3" x14ac:dyDescent="0.35">
      <c r="A48" s="20">
        <v>202306</v>
      </c>
      <c r="B48" s="17">
        <v>45078</v>
      </c>
      <c r="C48" s="15" cm="1">
        <f t="array" ref="C48">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Orders'!$Y:$Y,$A48)/1000000000)</f>
        <v>0</v>
      </c>
    </row>
    <row r="49" spans="1:3" x14ac:dyDescent="0.35">
      <c r="A49" s="20">
        <v>202307</v>
      </c>
      <c r="B49" s="17">
        <v>45108</v>
      </c>
      <c r="C49" s="15" cm="1">
        <f t="array" ref="C49">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Orders'!$Y:$Y,$A49)/1000000000)</f>
        <v>0.02</v>
      </c>
    </row>
    <row r="50" spans="1:3" x14ac:dyDescent="0.35">
      <c r="A50" s="20">
        <v>202308</v>
      </c>
      <c r="B50" s="17">
        <v>45139</v>
      </c>
      <c r="C50" s="15" cm="1">
        <f t="array" ref="C50">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Orders'!$Y:$Y,$A50)/1000000000)</f>
        <v>0</v>
      </c>
    </row>
    <row r="51" spans="1:3" x14ac:dyDescent="0.35">
      <c r="A51" s="20">
        <v>202309</v>
      </c>
      <c r="B51" s="17">
        <v>45170</v>
      </c>
      <c r="C51" s="15" cm="1">
        <f t="array" ref="C51">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Orders'!$Y:$Y,$A51)/1000000000)</f>
        <v>1.4999999999999999E-2</v>
      </c>
    </row>
    <row r="52" spans="1:3" x14ac:dyDescent="0.35">
      <c r="A52" s="20">
        <v>202310</v>
      </c>
      <c r="B52" s="17">
        <v>45200</v>
      </c>
      <c r="C52" s="15" cm="1">
        <f t="array" ref="C52">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Orders'!$Y:$Y,$A52)/1000000000)</f>
        <v>0</v>
      </c>
    </row>
    <row r="53" spans="1:3" x14ac:dyDescent="0.35">
      <c r="A53" s="20">
        <v>202311</v>
      </c>
      <c r="B53" s="17">
        <v>45231</v>
      </c>
      <c r="C53" s="15" cm="1">
        <f t="array" ref="C53">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Orders'!$Y:$Y,$A53)/1000000000)</f>
        <v>0.02</v>
      </c>
    </row>
    <row r="54" spans="1:3" x14ac:dyDescent="0.35">
      <c r="A54" s="20">
        <v>202312</v>
      </c>
      <c r="B54" s="17">
        <v>45261</v>
      </c>
      <c r="C54" s="15" cm="1">
        <f t="array" ref="C54">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Orders'!$Y:$Y,$A54)/1000000000)</f>
        <v>0</v>
      </c>
    </row>
    <row r="55" spans="1:3" x14ac:dyDescent="0.35">
      <c r="A55" s="20">
        <v>202401</v>
      </c>
      <c r="B55" s="17">
        <v>45292</v>
      </c>
      <c r="C55" s="15" cm="1">
        <f t="array" ref="C55">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Orders'!$Y:$Y,$A55)/1000000000)</f>
        <v>0</v>
      </c>
    </row>
    <row r="56" spans="1:3" x14ac:dyDescent="0.35">
      <c r="A56" s="20">
        <v>202402</v>
      </c>
      <c r="B56" s="17">
        <v>45323</v>
      </c>
      <c r="C56" s="15" cm="1">
        <f t="array" ref="C56">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Orders'!$Y:$Y,$A56)/1000000000)</f>
        <v>0.52699999999999991</v>
      </c>
    </row>
    <row r="57" spans="1:3" x14ac:dyDescent="0.35">
      <c r="A57" s="20">
        <v>202403</v>
      </c>
      <c r="B57" s="17">
        <v>45352</v>
      </c>
      <c r="C57" s="15" cm="1">
        <f t="array" ref="C57">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Orders'!$Y:$Y,$A57)/1000000000)</f>
        <v>2.125</v>
      </c>
    </row>
    <row r="58" spans="1:3" x14ac:dyDescent="0.35">
      <c r="A58" s="20">
        <v>202404</v>
      </c>
      <c r="B58" s="17">
        <v>45383</v>
      </c>
      <c r="C58" s="15" cm="1">
        <f t="array" ref="C58">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Orders'!$Y:$Y,$A58)/1000000000)</f>
        <v>0.122</v>
      </c>
    </row>
    <row r="59" spans="1:3" x14ac:dyDescent="0.35">
      <c r="A59" s="20">
        <v>202405</v>
      </c>
      <c r="B59" s="17">
        <v>45413</v>
      </c>
      <c r="C59" s="15" cm="1">
        <f t="array" ref="C59">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Orders'!$Y:$Y,$A59)/1000000000)</f>
        <v>2.1000000000000001E-2</v>
      </c>
    </row>
    <row r="60" spans="1:3" x14ac:dyDescent="0.35">
      <c r="A60" s="20">
        <v>202406</v>
      </c>
      <c r="B60" s="17">
        <v>45444</v>
      </c>
      <c r="C60" s="15" cm="1">
        <f t="array" ref="C60">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Orders'!$Y:$Y,$A60)/1000000000)</f>
        <v>0</v>
      </c>
    </row>
    <row r="61" spans="1:3" x14ac:dyDescent="0.35">
      <c r="A61" s="20">
        <v>202407</v>
      </c>
      <c r="B61" s="17">
        <v>45474</v>
      </c>
      <c r="C61" s="15" cm="1">
        <f t="array" ref="C61">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Orders'!$Y:$Y,$A61)/1000000000)</f>
        <v>0.17599999999999999</v>
      </c>
    </row>
    <row r="62" spans="1:3" x14ac:dyDescent="0.35">
      <c r="A62" s="20">
        <v>202408</v>
      </c>
      <c r="B62" s="17">
        <v>45505</v>
      </c>
      <c r="C62" s="15" cm="1">
        <f t="array" ref="C62">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Orders'!$Y:$Y,$A62)/1000000000)</f>
        <v>0</v>
      </c>
    </row>
    <row r="63" spans="1:3" x14ac:dyDescent="0.35">
      <c r="A63" s="20">
        <v>202409</v>
      </c>
      <c r="B63" s="17">
        <v>45536</v>
      </c>
      <c r="C63" s="15" cm="1">
        <f t="array" ref="C63">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Orders'!$Y:$Y,$A63)/1000000000)</f>
        <v>0.16200000000000001</v>
      </c>
    </row>
    <row r="64" spans="1:3" x14ac:dyDescent="0.35">
      <c r="A64" s="20">
        <v>202410</v>
      </c>
      <c r="B64" s="17">
        <v>45566</v>
      </c>
      <c r="C64" s="15" cm="1">
        <f t="array" ref="C64">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Orders'!$Y:$Y,$A64)/1000000000)</f>
        <v>0</v>
      </c>
    </row>
    <row r="65" spans="1:3" x14ac:dyDescent="0.35">
      <c r="A65" s="20">
        <v>202411</v>
      </c>
      <c r="B65" s="17">
        <v>45597</v>
      </c>
      <c r="C65" s="15" cm="1">
        <f t="array" ref="C65">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Orders'!$Y:$Y,$A65)/1000000000)</f>
        <v>0</v>
      </c>
    </row>
    <row r="66" spans="1:3" x14ac:dyDescent="0.35">
      <c r="A66" s="20">
        <v>202412</v>
      </c>
      <c r="B66" s="17">
        <v>45627</v>
      </c>
      <c r="C66" s="15" cm="1">
        <f t="array" ref="C66">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Orders'!$Y:$Y,$A66)/1000000000)</f>
        <v>0</v>
      </c>
    </row>
    <row r="67" spans="1:3" x14ac:dyDescent="0.35">
      <c r="A67" s="20">
        <v>202501</v>
      </c>
      <c r="B67" s="17">
        <v>45658</v>
      </c>
      <c r="C67" s="15" cm="1">
        <f t="array" ref="C67">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Orders'!$Y:$Y,$A67)/1000000000)</f>
        <v>6.0999999999999999E-2</v>
      </c>
    </row>
    <row r="68" spans="1:3" x14ac:dyDescent="0.35">
      <c r="A68" s="20">
        <v>202502</v>
      </c>
      <c r="B68" s="17">
        <v>45689</v>
      </c>
      <c r="C68" s="15" cm="1">
        <f t="array" ref="C68">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Orders'!$Y:$Y,$A68)/1000000000)</f>
        <v>0</v>
      </c>
    </row>
    <row r="69" spans="1:3" x14ac:dyDescent="0.35">
      <c r="A69" s="20">
        <v>202503</v>
      </c>
      <c r="B69" s="17">
        <v>45717</v>
      </c>
      <c r="C69" s="15" cm="1">
        <f t="array" ref="C69">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Orders'!$Y:$Y,$A69)/1000000000)</f>
        <v>1.1599999999999999</v>
      </c>
    </row>
    <row r="70" spans="1:3" x14ac:dyDescent="0.35">
      <c r="A70" s="20">
        <v>202504</v>
      </c>
      <c r="B70" s="17">
        <v>45748</v>
      </c>
      <c r="C70" s="15" cm="1">
        <f t="array" ref="C70">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Orders'!$Y:$Y,$A70)/1000000000)</f>
        <v>0.25</v>
      </c>
    </row>
    <row r="71" spans="1:3" x14ac:dyDescent="0.35">
      <c r="A71" s="20">
        <v>202505</v>
      </c>
      <c r="B71" s="17">
        <v>45778</v>
      </c>
      <c r="C71" s="15" cm="1">
        <f t="array" ref="C71">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Orders'!$Y:$Y,$A71)/1000000000)</f>
        <v>1.9E-2</v>
      </c>
    </row>
    <row r="72" spans="1:3" x14ac:dyDescent="0.35">
      <c r="A72" s="20">
        <v>202506</v>
      </c>
      <c r="B72" s="17">
        <v>45809</v>
      </c>
      <c r="C72" s="15" cm="1">
        <f t="array" ref="C72">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Orders'!$Y:$Y,$A72)/1000000000)</f>
        <v>0.42</v>
      </c>
    </row>
    <row r="73" spans="1:3" x14ac:dyDescent="0.35">
      <c r="A73" s="20">
        <v>202507</v>
      </c>
      <c r="B73" s="17">
        <v>45839</v>
      </c>
      <c r="C73" s="15" cm="1">
        <f t="array" ref="C73">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Orders'!$Y:$Y,$A73)/1000000000)</f>
        <v>0</v>
      </c>
    </row>
    <row r="74" spans="1:3" x14ac:dyDescent="0.35">
      <c r="A74" s="20">
        <v>202508</v>
      </c>
      <c r="B74" s="17">
        <v>45870</v>
      </c>
      <c r="C74" s="15" cm="1">
        <f t="array" ref="C74">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Orders'!$Y:$Y,$A74)/1000000000)</f>
        <v>0.11799999999999999</v>
      </c>
    </row>
    <row r="75" spans="1:3" x14ac:dyDescent="0.35">
      <c r="A75" s="20">
        <v>202509</v>
      </c>
      <c r="B75" s="17">
        <v>45901</v>
      </c>
      <c r="C75" s="15" cm="1">
        <f t="array" ref="C75">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Orders'!$Y:$Y,$A75)/1000000000)</f>
        <v>0.02</v>
      </c>
    </row>
    <row r="76" spans="1:3" x14ac:dyDescent="0.35">
      <c r="A76" s="20">
        <v>202510</v>
      </c>
      <c r="B76" s="17">
        <v>45931</v>
      </c>
      <c r="C76" s="15" cm="1">
        <f t="array" ref="C76">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Orders'!$Y:$Y,$A76)/1000000000)</f>
        <v>0</v>
      </c>
    </row>
    <row r="77" spans="1:3" x14ac:dyDescent="0.35">
      <c r="A77" s="20">
        <v>202511</v>
      </c>
      <c r="B77" s="17">
        <v>45962</v>
      </c>
      <c r="C77" s="15" cm="1">
        <f t="array" ref="C77">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Orders'!$Y:$Y,$A77)/1000000000)</f>
        <v>0</v>
      </c>
    </row>
    <row r="78" spans="1:3" x14ac:dyDescent="0.35">
      <c r="A78" s="20">
        <v>202512</v>
      </c>
      <c r="B78" s="17">
        <v>45992</v>
      </c>
      <c r="C78" s="15" cm="1">
        <f t="array" ref="C78">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Orders'!$Y:$Y,$A78)/1000000000)</f>
        <v>0.19400000000000001</v>
      </c>
    </row>
    <row r="79" spans="1:3" x14ac:dyDescent="0.35">
      <c r="A79" s="20">
        <v>202601</v>
      </c>
      <c r="B79" s="17">
        <v>46023</v>
      </c>
      <c r="C79" s="15" cm="1">
        <f t="array" ref="C79">SUM(SUMIFS('MAIN DATA, Orders'!$S:$S,'MAIN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Orders'!$Y:$Y,$A79)/1000000000)</f>
        <v>2.7E-2</v>
      </c>
    </row>
    <row r="80" spans="1:3" x14ac:dyDescent="0.35">
      <c r="A80" s="83"/>
      <c r="B80" s="66"/>
      <c r="C80" s="66"/>
    </row>
    <row r="81" spans="1:3" x14ac:dyDescent="0.35">
      <c r="A81" s="83"/>
      <c r="B81" s="9" t="s">
        <v>4219</v>
      </c>
      <c r="C81" s="18">
        <f>SUM(C7:C79)</f>
        <v>9.8085999999999984</v>
      </c>
    </row>
  </sheetData>
  <mergeCells count="1">
    <mergeCell ref="B4:J4"/>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AD94D-4677-40E0-A337-BAF06BBD05AA}">
  <sheetPr>
    <tabColor theme="9" tint="0.59999389629810485"/>
  </sheetPr>
  <dimension ref="A2:W93"/>
  <sheetViews>
    <sheetView zoomScaleNormal="100" workbookViewId="0"/>
  </sheetViews>
  <sheetFormatPr baseColWidth="10" defaultColWidth="8.75" defaultRowHeight="15.5" x14ac:dyDescent="0.35"/>
  <cols>
    <col min="1" max="1" width="8.75" style="1"/>
    <col min="2" max="2" width="13.5" style="1" customWidth="1"/>
    <col min="3" max="3" width="28.33203125" style="1" bestFit="1" customWidth="1"/>
    <col min="4" max="16384" width="8.75" style="1"/>
  </cols>
  <sheetData>
    <row r="2" spans="1:23" ht="25.9" customHeight="1" x14ac:dyDescent="0.7">
      <c r="B2" s="16" t="s">
        <v>5677</v>
      </c>
    </row>
    <row r="4" spans="1:23" ht="130.15" customHeight="1" x14ac:dyDescent="0.35">
      <c r="B4" s="232" t="s">
        <v>5665</v>
      </c>
      <c r="C4" s="232"/>
      <c r="D4" s="232"/>
      <c r="E4" s="232"/>
      <c r="F4" s="232"/>
      <c r="G4" s="232"/>
      <c r="H4" s="232"/>
      <c r="I4" s="232"/>
      <c r="J4" s="232"/>
      <c r="P4" s="233"/>
      <c r="Q4" s="233"/>
      <c r="R4" s="233"/>
      <c r="S4" s="233"/>
      <c r="T4" s="233"/>
      <c r="U4" s="233"/>
      <c r="V4" s="233"/>
      <c r="W4" s="233"/>
    </row>
    <row r="6" spans="1:23" ht="21" customHeight="1" x14ac:dyDescent="0.35">
      <c r="B6" s="68" t="s">
        <v>4197</v>
      </c>
      <c r="C6" s="69" t="s">
        <v>5253</v>
      </c>
    </row>
    <row r="7" spans="1:23" x14ac:dyDescent="0.35">
      <c r="A7" s="215">
        <v>201901</v>
      </c>
      <c r="B7" s="17">
        <v>43466</v>
      </c>
      <c r="C7" s="15" cm="1">
        <f t="array" ref="C7">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Orders'!$Y:$Y,$A7)/1000000000)</f>
        <v>0.15901898734177214</v>
      </c>
    </row>
    <row r="8" spans="1:23" x14ac:dyDescent="0.35">
      <c r="A8" s="215">
        <v>201902</v>
      </c>
      <c r="B8" s="17">
        <v>43497</v>
      </c>
      <c r="C8" s="15" cm="1">
        <f t="array" ref="C8">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Orders'!$Y:$Y,$A8)/1000000000)</f>
        <v>0.36980794997766864</v>
      </c>
    </row>
    <row r="9" spans="1:23" x14ac:dyDescent="0.35">
      <c r="A9" s="215">
        <v>201903</v>
      </c>
      <c r="B9" s="17">
        <v>43525</v>
      </c>
      <c r="C9" s="15" cm="1">
        <f t="array" ref="C9">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Orders'!$Y:$Y,$A9)/1000000000)</f>
        <v>0.16864389426656737</v>
      </c>
    </row>
    <row r="10" spans="1:23" x14ac:dyDescent="0.35">
      <c r="A10" s="215">
        <v>201904</v>
      </c>
      <c r="B10" s="17">
        <v>43556</v>
      </c>
      <c r="C10" s="15" cm="1">
        <f t="array" ref="C10">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Orders'!$Y:$Y,$A10)/1000000000)</f>
        <v>0</v>
      </c>
    </row>
    <row r="11" spans="1:23" x14ac:dyDescent="0.35">
      <c r="A11" s="215">
        <v>201905</v>
      </c>
      <c r="B11" s="17">
        <v>43586</v>
      </c>
      <c r="C11" s="15" cm="1">
        <f t="array" ref="C11">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Orders'!$Y:$Y,$A11)/1000000000)</f>
        <v>3.9768344657483246E-2</v>
      </c>
    </row>
    <row r="12" spans="1:23" x14ac:dyDescent="0.35">
      <c r="A12" s="215">
        <v>201906</v>
      </c>
      <c r="B12" s="17">
        <v>43617</v>
      </c>
      <c r="C12" s="15" cm="1">
        <f t="array" ref="C12">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Orders'!$Y:$Y,$A12)/1000000000)</f>
        <v>0</v>
      </c>
    </row>
    <row r="13" spans="1:23" x14ac:dyDescent="0.35">
      <c r="A13" s="215">
        <v>201907</v>
      </c>
      <c r="B13" s="17">
        <v>43647</v>
      </c>
      <c r="C13" s="15" cm="1">
        <f t="array" ref="C13">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Orders'!$Y:$Y,$A13)/1000000000)</f>
        <v>0.40720402084884583</v>
      </c>
    </row>
    <row r="14" spans="1:23" x14ac:dyDescent="0.35">
      <c r="A14" s="215">
        <v>201908</v>
      </c>
      <c r="B14" s="17">
        <v>43678</v>
      </c>
      <c r="C14" s="15" cm="1">
        <f t="array" ref="C14">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Orders'!$Y:$Y,$A14)/1000000000)</f>
        <v>0</v>
      </c>
    </row>
    <row r="15" spans="1:23" x14ac:dyDescent="0.35">
      <c r="A15" s="215">
        <v>201909</v>
      </c>
      <c r="B15" s="17">
        <v>43709</v>
      </c>
      <c r="C15" s="15" cm="1">
        <f t="array" ref="C15">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Orders'!$Y:$Y,$A15)/1000000000)</f>
        <v>2.896965748324646E-2</v>
      </c>
    </row>
    <row r="16" spans="1:23" x14ac:dyDescent="0.35">
      <c r="A16" s="215">
        <v>201910</v>
      </c>
      <c r="B16" s="17">
        <v>43739</v>
      </c>
      <c r="C16" s="15" cm="1">
        <f t="array" ref="C16">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Orders'!$Y:$Y,$A16)/1000000000)</f>
        <v>6.4105547282204023E-2</v>
      </c>
    </row>
    <row r="17" spans="1:3" x14ac:dyDescent="0.35">
      <c r="A17" s="215">
        <v>201911</v>
      </c>
      <c r="B17" s="17">
        <v>43770</v>
      </c>
      <c r="C17" s="15" cm="1">
        <f t="array" ref="C17">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Orders'!$Y:$Y,$A17)/1000000000)</f>
        <v>0.10005584512285927</v>
      </c>
    </row>
    <row r="18" spans="1:3" x14ac:dyDescent="0.35">
      <c r="A18" s="215">
        <v>201912</v>
      </c>
      <c r="B18" s="17">
        <v>43800</v>
      </c>
      <c r="C18" s="15" cm="1">
        <f t="array" ref="C18">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Orders'!$Y:$Y,$A18)/1000000000)</f>
        <v>0</v>
      </c>
    </row>
    <row r="19" spans="1:3" x14ac:dyDescent="0.35">
      <c r="A19" s="215">
        <v>202001</v>
      </c>
      <c r="B19" s="17">
        <v>43831</v>
      </c>
      <c r="C19" s="15" cm="1">
        <f t="array" ref="C19">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Orders'!$Y:$Y,$A19)/1000000000)</f>
        <v>0</v>
      </c>
    </row>
    <row r="20" spans="1:3" x14ac:dyDescent="0.35">
      <c r="A20" s="215">
        <v>202002</v>
      </c>
      <c r="B20" s="17">
        <v>43862</v>
      </c>
      <c r="C20" s="15" cm="1">
        <f t="array" ref="C20">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Orders'!$Y:$Y,$A20)/1000000000)</f>
        <v>0</v>
      </c>
    </row>
    <row r="21" spans="1:3" x14ac:dyDescent="0.35">
      <c r="A21" s="215">
        <v>202003</v>
      </c>
      <c r="B21" s="17">
        <v>43891</v>
      </c>
      <c r="C21" s="15" cm="1">
        <f t="array" ref="C21">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Orders'!$Y:$Y,$A21)/1000000000)</f>
        <v>0</v>
      </c>
    </row>
    <row r="22" spans="1:3" x14ac:dyDescent="0.35">
      <c r="A22" s="215">
        <v>202004</v>
      </c>
      <c r="B22" s="17">
        <v>43922</v>
      </c>
      <c r="C22" s="15" cm="1">
        <f t="array" ref="C22">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Orders'!$Y:$Y,$A22)/1000000000)</f>
        <v>0</v>
      </c>
    </row>
    <row r="23" spans="1:3" x14ac:dyDescent="0.35">
      <c r="A23" s="215">
        <v>202005</v>
      </c>
      <c r="B23" s="17">
        <v>43952</v>
      </c>
      <c r="C23" s="15" cm="1">
        <f t="array" ref="C23">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Orders'!$Y:$Y,$A23)/1000000000)</f>
        <v>0.15824893090254333</v>
      </c>
    </row>
    <row r="24" spans="1:3" x14ac:dyDescent="0.35">
      <c r="A24" s="215">
        <v>202006</v>
      </c>
      <c r="B24" s="17">
        <v>43983</v>
      </c>
      <c r="C24" s="15" cm="1">
        <f t="array" ref="C24">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Orders'!$Y:$Y,$A24)/1000000000)</f>
        <v>0</v>
      </c>
    </row>
    <row r="25" spans="1:3" x14ac:dyDescent="0.35">
      <c r="A25" s="215">
        <v>202007</v>
      </c>
      <c r="B25" s="17">
        <v>44013</v>
      </c>
      <c r="C25" s="15" cm="1">
        <f t="array" ref="C25">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Orders'!$Y:$Y,$A25)/1000000000)</f>
        <v>3.9837947332883192E-2</v>
      </c>
    </row>
    <row r="26" spans="1:3" x14ac:dyDescent="0.35">
      <c r="A26" s="215">
        <v>202008</v>
      </c>
      <c r="B26" s="17">
        <v>44044</v>
      </c>
      <c r="C26" s="15" cm="1">
        <f t="array" ref="C26">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Orders'!$Y:$Y,$A26)/1000000000)</f>
        <v>0</v>
      </c>
    </row>
    <row r="27" spans="1:3" x14ac:dyDescent="0.35">
      <c r="A27" s="215">
        <v>202009</v>
      </c>
      <c r="B27" s="17">
        <v>44075</v>
      </c>
      <c r="C27" s="15" cm="1">
        <f t="array" ref="C27">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Orders'!$Y:$Y,$A27)/1000000000)</f>
        <v>0</v>
      </c>
    </row>
    <row r="28" spans="1:3" x14ac:dyDescent="0.35">
      <c r="A28" s="215">
        <v>202010</v>
      </c>
      <c r="B28" s="17">
        <v>44105</v>
      </c>
      <c r="C28" s="15" cm="1">
        <f t="array" ref="C28">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Orders'!$Y:$Y,$A28)/1000000000)</f>
        <v>0</v>
      </c>
    </row>
    <row r="29" spans="1:3" x14ac:dyDescent="0.35">
      <c r="A29" s="215">
        <v>202011</v>
      </c>
      <c r="B29" s="17">
        <v>44136</v>
      </c>
      <c r="C29" s="15" cm="1">
        <f t="array" ref="C29">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Orders'!$Y:$Y,$A29)/1000000000)</f>
        <v>0</v>
      </c>
    </row>
    <row r="30" spans="1:3" x14ac:dyDescent="0.35">
      <c r="A30" s="215">
        <v>202012</v>
      </c>
      <c r="B30" s="17">
        <v>44166</v>
      </c>
      <c r="C30" s="15" cm="1">
        <f t="array" ref="C30">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Orders'!$Y:$Y,$A30)/1000000000)</f>
        <v>0</v>
      </c>
    </row>
    <row r="31" spans="1:3" x14ac:dyDescent="0.35">
      <c r="A31" s="215">
        <v>202101</v>
      </c>
      <c r="B31" s="17">
        <v>44197</v>
      </c>
      <c r="C31" s="15" cm="1">
        <f t="array" ref="C31">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Orders'!$Y:$Y,$A31)/1000000000)</f>
        <v>0</v>
      </c>
    </row>
    <row r="32" spans="1:3" x14ac:dyDescent="0.35">
      <c r="A32" s="215">
        <v>202102</v>
      </c>
      <c r="B32" s="17">
        <v>44228</v>
      </c>
      <c r="C32" s="15" cm="1">
        <f t="array" ref="C32">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Orders'!$Y:$Y,$A32)/1000000000)</f>
        <v>0</v>
      </c>
    </row>
    <row r="33" spans="1:3" x14ac:dyDescent="0.35">
      <c r="A33" s="215">
        <v>202103</v>
      </c>
      <c r="B33" s="17">
        <v>44256</v>
      </c>
      <c r="C33" s="15" cm="1">
        <f t="array" ref="C33">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Orders'!$Y:$Y,$A33)/1000000000)</f>
        <v>0</v>
      </c>
    </row>
    <row r="34" spans="1:3" x14ac:dyDescent="0.35">
      <c r="A34" s="215">
        <v>202104</v>
      </c>
      <c r="B34" s="17">
        <v>44287</v>
      </c>
      <c r="C34" s="15" cm="1">
        <f t="array" ref="C34">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Orders'!$Y:$Y,$A34)/1000000000)</f>
        <v>7.7105055638307191E-2</v>
      </c>
    </row>
    <row r="35" spans="1:3" x14ac:dyDescent="0.35">
      <c r="A35" s="215">
        <v>202105</v>
      </c>
      <c r="B35" s="17">
        <v>44317</v>
      </c>
      <c r="C35" s="15" cm="1">
        <f t="array" ref="C35">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Orders'!$Y:$Y,$A35)/1000000000)</f>
        <v>0.22660015219413207</v>
      </c>
    </row>
    <row r="36" spans="1:3" x14ac:dyDescent="0.35">
      <c r="A36" s="215">
        <v>202106</v>
      </c>
      <c r="B36" s="17">
        <v>44348</v>
      </c>
      <c r="C36" s="15" cm="1">
        <f t="array" ref="C36">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Orders'!$Y:$Y,$A36)/1000000000)</f>
        <v>0</v>
      </c>
    </row>
    <row r="37" spans="1:3" x14ac:dyDescent="0.35">
      <c r="A37" s="215">
        <v>202107</v>
      </c>
      <c r="B37" s="17">
        <v>44378</v>
      </c>
      <c r="C37" s="15" cm="1">
        <f t="array" ref="C37">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Orders'!$Y:$Y,$A37)/1000000000)</f>
        <v>4.0162340407542061</v>
      </c>
    </row>
    <row r="38" spans="1:3" x14ac:dyDescent="0.35">
      <c r="A38" s="215">
        <v>202108</v>
      </c>
      <c r="B38" s="17">
        <v>44409</v>
      </c>
      <c r="C38" s="15" cm="1">
        <f t="array" ref="C38">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Orders'!$Y:$Y,$A38)/1000000000)</f>
        <v>0</v>
      </c>
    </row>
    <row r="39" spans="1:3" x14ac:dyDescent="0.35">
      <c r="A39" s="215">
        <v>202109</v>
      </c>
      <c r="B39" s="17">
        <v>44440</v>
      </c>
      <c r="C39" s="15" cm="1">
        <f t="array" ref="C39">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Orders'!$Y:$Y,$A39)/1000000000)</f>
        <v>0</v>
      </c>
    </row>
    <row r="40" spans="1:3" x14ac:dyDescent="0.35">
      <c r="A40" s="215">
        <v>202110</v>
      </c>
      <c r="B40" s="17">
        <v>44470</v>
      </c>
      <c r="C40" s="15" cm="1">
        <f t="array" ref="C40">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Orders'!$Y:$Y,$A40)/1000000000)</f>
        <v>0</v>
      </c>
    </row>
    <row r="41" spans="1:3" x14ac:dyDescent="0.35">
      <c r="A41" s="215">
        <v>202111</v>
      </c>
      <c r="B41" s="17">
        <v>44501</v>
      </c>
      <c r="C41" s="15" cm="1">
        <f t="array" ref="C41">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Orders'!$Y:$Y,$A41)/1000000000)</f>
        <v>0</v>
      </c>
    </row>
    <row r="42" spans="1:3" x14ac:dyDescent="0.35">
      <c r="A42" s="215">
        <v>202112</v>
      </c>
      <c r="B42" s="17">
        <v>44531</v>
      </c>
      <c r="C42" s="15" cm="1">
        <f t="array" ref="C42">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Orders'!$Y:$Y,$A42)/1000000000)</f>
        <v>3.8114430912117761E-2</v>
      </c>
    </row>
    <row r="43" spans="1:3" x14ac:dyDescent="0.35">
      <c r="A43" s="215">
        <v>202201</v>
      </c>
      <c r="B43" s="17">
        <v>44562</v>
      </c>
      <c r="C43" s="15" cm="1">
        <f t="array" ref="C43">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Orders'!$Y:$Y,$A43)/1000000000)</f>
        <v>0</v>
      </c>
    </row>
    <row r="44" spans="1:3" x14ac:dyDescent="0.35">
      <c r="A44" s="215">
        <v>202202</v>
      </c>
      <c r="B44" s="17">
        <v>44593</v>
      </c>
      <c r="C44" s="15" cm="1">
        <f t="array" ref="C44">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Orders'!$Y:$Y,$A44)/1000000000)</f>
        <v>0</v>
      </c>
    </row>
    <row r="45" spans="1:3" x14ac:dyDescent="0.35">
      <c r="A45" s="215">
        <v>202203</v>
      </c>
      <c r="B45" s="17">
        <v>44621</v>
      </c>
      <c r="C45" s="15" cm="1">
        <f t="array" ref="C45">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Orders'!$Y:$Y,$A45)/1000000000)</f>
        <v>0</v>
      </c>
    </row>
    <row r="46" spans="1:3" x14ac:dyDescent="0.35">
      <c r="A46" s="215">
        <v>202204</v>
      </c>
      <c r="B46" s="17">
        <v>44652</v>
      </c>
      <c r="C46" s="15" cm="1">
        <f t="array" ref="C46">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Orders'!$Y:$Y,$A46)/1000000000)</f>
        <v>0</v>
      </c>
    </row>
    <row r="47" spans="1:3" x14ac:dyDescent="0.35">
      <c r="A47" s="215">
        <v>202205</v>
      </c>
      <c r="B47" s="17">
        <v>44682</v>
      </c>
      <c r="C47" s="15" cm="1">
        <f t="array" ref="C47">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Orders'!$Y:$Y,$A47)/1000000000)</f>
        <v>0</v>
      </c>
    </row>
    <row r="48" spans="1:3" x14ac:dyDescent="0.35">
      <c r="A48" s="215">
        <v>202206</v>
      </c>
      <c r="B48" s="17">
        <v>44713</v>
      </c>
      <c r="C48" s="15" cm="1">
        <f t="array" ref="C48">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Orders'!$Y:$Y,$A48)/1000000000)</f>
        <v>0.74688973773500356</v>
      </c>
    </row>
    <row r="49" spans="1:3" x14ac:dyDescent="0.35">
      <c r="A49" s="215">
        <v>202207</v>
      </c>
      <c r="B49" s="17">
        <v>44743</v>
      </c>
      <c r="C49" s="15" cm="1">
        <f t="array" ref="C49">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Orders'!$Y:$Y,$A49)/1000000000)</f>
        <v>4.4025031050489325</v>
      </c>
    </row>
    <row r="50" spans="1:3" x14ac:dyDescent="0.35">
      <c r="A50" s="215">
        <v>202208</v>
      </c>
      <c r="B50" s="17">
        <v>44774</v>
      </c>
      <c r="C50" s="15" cm="1">
        <f t="array" ref="C50">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Orders'!$Y:$Y,$A50)/1000000000)</f>
        <v>0</v>
      </c>
    </row>
    <row r="51" spans="1:3" x14ac:dyDescent="0.35">
      <c r="A51" s="215">
        <v>202209</v>
      </c>
      <c r="B51" s="17">
        <v>44805</v>
      </c>
      <c r="C51" s="15" cm="1">
        <f t="array" ref="C51">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Orders'!$Y:$Y,$A51)/1000000000)</f>
        <v>0.81090885811228952</v>
      </c>
    </row>
    <row r="52" spans="1:3" x14ac:dyDescent="0.35">
      <c r="A52" s="215">
        <v>202210</v>
      </c>
      <c r="B52" s="17">
        <v>44835</v>
      </c>
      <c r="C52" s="15" cm="1">
        <f t="array" ref="C52">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Orders'!$Y:$Y,$A52)/1000000000)</f>
        <v>6.600189933523267</v>
      </c>
    </row>
    <row r="53" spans="1:3" x14ac:dyDescent="0.35">
      <c r="A53" s="215">
        <v>202211</v>
      </c>
      <c r="B53" s="17">
        <v>44866</v>
      </c>
      <c r="C53" s="15" cm="1">
        <f t="array" ref="C53">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Orders'!$Y:$Y,$A53)/1000000000)</f>
        <v>0</v>
      </c>
    </row>
    <row r="54" spans="1:3" x14ac:dyDescent="0.35">
      <c r="A54" s="215">
        <v>202212</v>
      </c>
      <c r="B54" s="17">
        <v>44896</v>
      </c>
      <c r="C54" s="15" cm="1">
        <f t="array" ref="C54">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Orders'!$Y:$Y,$A54)/1000000000)</f>
        <v>0</v>
      </c>
    </row>
    <row r="55" spans="1:3" x14ac:dyDescent="0.35">
      <c r="A55" s="215">
        <v>202301</v>
      </c>
      <c r="B55" s="17">
        <v>44927</v>
      </c>
      <c r="C55" s="15" cm="1">
        <f t="array" ref="C55">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Orders'!$Y:$Y,$A55)/1000000000)</f>
        <v>1.2947378155923426</v>
      </c>
    </row>
    <row r="56" spans="1:3" x14ac:dyDescent="0.35">
      <c r="A56" s="215">
        <v>202302</v>
      </c>
      <c r="B56" s="17">
        <v>44958</v>
      </c>
      <c r="C56" s="15" cm="1">
        <f t="array" ref="C56">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Orders'!$Y:$Y,$A56)/1000000000)</f>
        <v>0.46477322765301632</v>
      </c>
    </row>
    <row r="57" spans="1:3" x14ac:dyDescent="0.35">
      <c r="A57" s="215">
        <v>202303</v>
      </c>
      <c r="B57" s="17">
        <v>44986</v>
      </c>
      <c r="C57" s="15" cm="1">
        <f t="array" ref="C57">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Orders'!$Y:$Y,$A57)/1000000000)</f>
        <v>0.242184059885513</v>
      </c>
    </row>
    <row r="58" spans="1:3" x14ac:dyDescent="0.35">
      <c r="A58" s="215">
        <v>202304</v>
      </c>
      <c r="B58" s="17">
        <v>45017</v>
      </c>
      <c r="C58" s="15" cm="1">
        <f t="array" ref="C58">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Orders'!$Y:$Y,$A58)/1000000000)</f>
        <v>0</v>
      </c>
    </row>
    <row r="59" spans="1:3" x14ac:dyDescent="0.35">
      <c r="A59" s="215">
        <v>202305</v>
      </c>
      <c r="B59" s="17">
        <v>45047</v>
      </c>
      <c r="C59" s="15" cm="1">
        <f t="array" ref="C59">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Orders'!$Y:$Y,$A59)/1000000000)</f>
        <v>0</v>
      </c>
    </row>
    <row r="60" spans="1:3" x14ac:dyDescent="0.35">
      <c r="A60" s="215">
        <v>202306</v>
      </c>
      <c r="B60" s="17">
        <v>45078</v>
      </c>
      <c r="C60" s="15" cm="1">
        <f t="array" ref="C60">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Orders'!$Y:$Y,$A60)/1000000000)</f>
        <v>0.11228533685601057</v>
      </c>
    </row>
    <row r="61" spans="1:3" x14ac:dyDescent="0.35">
      <c r="A61" s="215">
        <v>202307</v>
      </c>
      <c r="B61" s="17">
        <v>45108</v>
      </c>
      <c r="C61" s="15" cm="1">
        <f t="array" ref="C61">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Orders'!$Y:$Y,$A61)/1000000000)</f>
        <v>0</v>
      </c>
    </row>
    <row r="62" spans="1:3" x14ac:dyDescent="0.35">
      <c r="A62" s="215">
        <v>202308</v>
      </c>
      <c r="B62" s="17">
        <v>45139</v>
      </c>
      <c r="C62" s="15" cm="1">
        <f t="array" ref="C62">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Orders'!$Y:$Y,$A62)/1000000000)</f>
        <v>0.48436811977102601</v>
      </c>
    </row>
    <row r="63" spans="1:3" x14ac:dyDescent="0.35">
      <c r="A63" s="215">
        <v>202309</v>
      </c>
      <c r="B63" s="17">
        <v>45170</v>
      </c>
      <c r="C63" s="15" cm="1">
        <f t="array" ref="C63">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Orders'!$Y:$Y,$A63)/1000000000)</f>
        <v>6.6050198150594458E-2</v>
      </c>
    </row>
    <row r="64" spans="1:3" x14ac:dyDescent="0.35">
      <c r="A64" s="215">
        <v>202310</v>
      </c>
      <c r="B64" s="17">
        <v>45200</v>
      </c>
      <c r="C64" s="15" cm="1">
        <f t="array" ref="C64">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Orders'!$Y:$Y,$A64)/1000000000)</f>
        <v>0</v>
      </c>
    </row>
    <row r="65" spans="1:3" x14ac:dyDescent="0.35">
      <c r="A65" s="215">
        <v>202311</v>
      </c>
      <c r="B65" s="17">
        <v>45231</v>
      </c>
      <c r="C65" s="15" cm="1">
        <f t="array" ref="C65">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Orders'!$Y:$Y,$A65)/1000000000)</f>
        <v>0</v>
      </c>
    </row>
    <row r="66" spans="1:3" x14ac:dyDescent="0.35">
      <c r="A66" s="215">
        <v>202312</v>
      </c>
      <c r="B66" s="17">
        <v>45261</v>
      </c>
      <c r="C66" s="15" cm="1">
        <f t="array" ref="C66">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Orders'!$Y:$Y,$A66)/1000000000)</f>
        <v>2.2016732716864817</v>
      </c>
    </row>
    <row r="67" spans="1:3" x14ac:dyDescent="0.35">
      <c r="A67" s="215">
        <v>202401</v>
      </c>
      <c r="B67" s="17">
        <v>45292</v>
      </c>
      <c r="C67" s="15" cm="1">
        <f t="array" ref="C67">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Orders'!$Y:$Y,$A67)/1000000000)</f>
        <v>0</v>
      </c>
    </row>
    <row r="68" spans="1:3" x14ac:dyDescent="0.35">
      <c r="A68" s="215">
        <v>202402</v>
      </c>
      <c r="B68" s="17">
        <v>45323</v>
      </c>
      <c r="C68" s="15" cm="1">
        <f t="array" ref="C68">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Orders'!$Y:$Y,$A68)/1000000000)</f>
        <v>2.3373983739837398</v>
      </c>
    </row>
    <row r="69" spans="1:3" x14ac:dyDescent="0.35">
      <c r="A69" s="215">
        <v>202403</v>
      </c>
      <c r="B69" s="17">
        <v>45352</v>
      </c>
      <c r="C69" s="15" cm="1">
        <f t="array" ref="C69">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Orders'!$Y:$Y,$A69)/1000000000)</f>
        <v>1.5095917135027175</v>
      </c>
    </row>
    <row r="70" spans="1:3" x14ac:dyDescent="0.35">
      <c r="A70" s="215">
        <v>202404</v>
      </c>
      <c r="B70" s="17">
        <v>45383</v>
      </c>
      <c r="C70" s="15" cm="1">
        <f t="array" ref="C70">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Orders'!$Y:$Y,$A70)/1000000000)</f>
        <v>1.4915739051782435</v>
      </c>
    </row>
    <row r="71" spans="1:3" x14ac:dyDescent="0.35">
      <c r="A71" s="215">
        <v>202405</v>
      </c>
      <c r="B71" s="17">
        <v>45413</v>
      </c>
      <c r="C71" s="15" cm="1">
        <f t="array" ref="C71">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Orders'!$Y:$Y,$A71)/1000000000)</f>
        <v>1.5659645232815964</v>
      </c>
    </row>
    <row r="72" spans="1:3" x14ac:dyDescent="0.35">
      <c r="A72" s="215">
        <v>202406</v>
      </c>
      <c r="B72" s="17">
        <v>45444</v>
      </c>
      <c r="C72" s="15" cm="1">
        <f t="array" ref="C72">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Orders'!$Y:$Y,$A72)/1000000000)</f>
        <v>0</v>
      </c>
    </row>
    <row r="73" spans="1:3" x14ac:dyDescent="0.35">
      <c r="A73" s="215">
        <v>202407</v>
      </c>
      <c r="B73" s="17">
        <v>45474</v>
      </c>
      <c r="C73" s="15" cm="1">
        <f t="array" ref="C73">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Orders'!$Y:$Y,$A73)/1000000000)</f>
        <v>0.92897951600167228</v>
      </c>
    </row>
    <row r="74" spans="1:3" x14ac:dyDescent="0.35">
      <c r="A74" s="215">
        <v>202408</v>
      </c>
      <c r="B74" s="17">
        <v>45505</v>
      </c>
      <c r="C74" s="15" cm="1">
        <f t="array" ref="C74">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Orders'!$Y:$Y,$A74)/1000000000)</f>
        <v>10.608973537026339</v>
      </c>
    </row>
    <row r="75" spans="1:3" x14ac:dyDescent="0.35">
      <c r="A75" s="215">
        <v>202409</v>
      </c>
      <c r="B75" s="17">
        <v>45536</v>
      </c>
      <c r="C75" s="15" cm="1">
        <f t="array" ref="C75">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Orders'!$Y:$Y,$A75)/1000000000)</f>
        <v>1.5490733429327885E-2</v>
      </c>
    </row>
    <row r="76" spans="1:3" x14ac:dyDescent="0.35">
      <c r="A76" s="215">
        <v>202410</v>
      </c>
      <c r="B76" s="17">
        <v>45566</v>
      </c>
      <c r="C76" s="15" cm="1">
        <f t="array" ref="C76">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Orders'!$Y:$Y,$A76)/1000000000)</f>
        <v>0</v>
      </c>
    </row>
    <row r="77" spans="1:3" x14ac:dyDescent="0.35">
      <c r="A77" s="215">
        <v>202411</v>
      </c>
      <c r="B77" s="17">
        <v>45597</v>
      </c>
      <c r="C77" s="15" cm="1">
        <f t="array" ref="C77">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Orders'!$Y:$Y,$A77)/1000000000)</f>
        <v>0.32514283060058524</v>
      </c>
    </row>
    <row r="78" spans="1:3" x14ac:dyDescent="0.35">
      <c r="A78" s="215">
        <v>202412</v>
      </c>
      <c r="B78" s="17">
        <v>45627</v>
      </c>
      <c r="C78" s="15" cm="1">
        <f t="array" ref="C78">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Orders'!$Y:$Y,$A78)/1000000000)</f>
        <v>5.573644851131033</v>
      </c>
    </row>
    <row r="79" spans="1:3" x14ac:dyDescent="0.35">
      <c r="A79" s="215">
        <v>202501</v>
      </c>
      <c r="B79" s="17">
        <v>45658</v>
      </c>
      <c r="C79" s="15" cm="1">
        <f t="array" ref="C79">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Orders'!$Y:$Y,$A79)/1000000000)</f>
        <v>0.65929203539823023</v>
      </c>
    </row>
    <row r="80" spans="1:3" x14ac:dyDescent="0.35">
      <c r="A80" s="215">
        <v>202502</v>
      </c>
      <c r="B80" s="17">
        <v>45689</v>
      </c>
      <c r="C80" s="15" cm="1">
        <f t="array" ref="C80">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Orders'!$Y:$Y,$A80)/1000000000)</f>
        <v>0.26548672566371684</v>
      </c>
    </row>
    <row r="81" spans="1:3" x14ac:dyDescent="0.35">
      <c r="A81" s="215">
        <v>202503</v>
      </c>
      <c r="B81" s="17">
        <v>45717</v>
      </c>
      <c r="C81" s="15" cm="1">
        <f t="array" ref="C81">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Orders'!$Y:$Y,$A81)/1000000000)</f>
        <v>3.3313427377667604</v>
      </c>
    </row>
    <row r="82" spans="1:3" x14ac:dyDescent="0.35">
      <c r="A82" s="215">
        <v>202504</v>
      </c>
      <c r="B82" s="17">
        <v>45748</v>
      </c>
      <c r="C82" s="15" cm="1">
        <f t="array" ref="C82">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Orders'!$Y:$Y,$A82)/1000000000)</f>
        <v>0</v>
      </c>
    </row>
    <row r="83" spans="1:3" x14ac:dyDescent="0.35">
      <c r="A83" s="215">
        <v>202505</v>
      </c>
      <c r="B83" s="17">
        <v>45778</v>
      </c>
      <c r="C83" s="15" cm="1">
        <f t="array" ref="C83">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Orders'!$Y:$Y,$A83)/1000000000)</f>
        <v>0</v>
      </c>
    </row>
    <row r="84" spans="1:3" x14ac:dyDescent="0.35">
      <c r="A84" s="215">
        <v>202506</v>
      </c>
      <c r="B84" s="17">
        <v>45809</v>
      </c>
      <c r="C84" s="15" cm="1">
        <f t="array" ref="C84">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Orders'!$Y:$Y,$A84)/1000000000)</f>
        <v>5.8966436304455506E-2</v>
      </c>
    </row>
    <row r="85" spans="1:3" x14ac:dyDescent="0.35">
      <c r="A85" s="215">
        <v>202507</v>
      </c>
      <c r="B85" s="17">
        <v>45839</v>
      </c>
      <c r="C85" s="15" cm="1">
        <f t="array" ref="C85">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Orders'!$Y:$Y,$A85)/1000000000)</f>
        <v>0.1017699115044248</v>
      </c>
    </row>
    <row r="86" spans="1:3" x14ac:dyDescent="0.35">
      <c r="A86" s="215">
        <v>202508</v>
      </c>
      <c r="B86" s="17">
        <v>45870</v>
      </c>
      <c r="C86" s="15" cm="1">
        <f t="array" ref="C86">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Orders'!$Y:$Y,$A86)/1000000000)</f>
        <v>5.7522123893805315</v>
      </c>
    </row>
    <row r="87" spans="1:3" x14ac:dyDescent="0.35">
      <c r="A87" s="215">
        <v>202509</v>
      </c>
      <c r="B87" s="17">
        <v>45901</v>
      </c>
      <c r="C87" s="15" cm="1">
        <f t="array" ref="C87">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Orders'!$Y:$Y,$A87)/1000000000)</f>
        <v>0</v>
      </c>
    </row>
    <row r="88" spans="1:3" x14ac:dyDescent="0.35">
      <c r="A88" s="215">
        <v>202510</v>
      </c>
      <c r="B88" s="17">
        <v>45931</v>
      </c>
      <c r="C88" s="15" cm="1">
        <f t="array" ref="C88">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Orders'!$Y:$Y,$A88)/1000000000)</f>
        <v>0</v>
      </c>
    </row>
    <row r="89" spans="1:3" x14ac:dyDescent="0.35">
      <c r="A89" s="215">
        <v>202511</v>
      </c>
      <c r="B89" s="17">
        <v>45962</v>
      </c>
      <c r="C89" s="15" cm="1">
        <f t="array" ref="C89">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Orders'!$Y:$Y,$A89)/1000000000)</f>
        <v>0</v>
      </c>
    </row>
    <row r="90" spans="1:3" x14ac:dyDescent="0.35">
      <c r="A90" s="215">
        <v>202512</v>
      </c>
      <c r="B90" s="17">
        <v>45992</v>
      </c>
      <c r="C90" s="15" cm="1">
        <f t="array" ref="C90">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Orders'!$Y:$Y,$A90)/1000000000)</f>
        <v>3.3021204330495082</v>
      </c>
    </row>
    <row r="91" spans="1:3" x14ac:dyDescent="0.35">
      <c r="A91" s="215">
        <v>202601</v>
      </c>
      <c r="B91" s="17">
        <v>46023</v>
      </c>
      <c r="C91" s="15" cm="1">
        <f t="array" ref="C91">SUM(SUMIFS('MAIN DATA, Orders'!$U:$U,'MAIN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Orders'!$Y:$Y,$A91)/1000000000)</f>
        <v>3.5606618083414441</v>
      </c>
    </row>
    <row r="92" spans="1:3" x14ac:dyDescent="0.35">
      <c r="B92" s="66"/>
      <c r="C92" s="66"/>
    </row>
    <row r="93" spans="1:3" x14ac:dyDescent="0.35">
      <c r="B93" s="9" t="s">
        <v>4219</v>
      </c>
      <c r="C93" s="18">
        <f>SUM(C7:C91)</f>
        <v>64.708890930273654</v>
      </c>
    </row>
  </sheetData>
  <mergeCells count="2">
    <mergeCell ref="B4:J4"/>
    <mergeCell ref="P4:W4"/>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0F334-136A-40A8-8DAF-0C2B96672BCF}">
  <sheetPr>
    <tabColor theme="9" tint="0.59999389629810485"/>
  </sheetPr>
  <dimension ref="A2:J83"/>
  <sheetViews>
    <sheetView workbookViewId="0"/>
  </sheetViews>
  <sheetFormatPr baseColWidth="10" defaultColWidth="8.75" defaultRowHeight="15.5" x14ac:dyDescent="0.35"/>
  <cols>
    <col min="1" max="1" width="8.75" style="1"/>
    <col min="2" max="2" width="9.75" style="1" customWidth="1"/>
    <col min="3" max="3" width="21.83203125" style="1" bestFit="1" customWidth="1"/>
    <col min="4" max="16384" width="8.75" style="1"/>
  </cols>
  <sheetData>
    <row r="2" spans="1:10" ht="24.5" x14ac:dyDescent="0.7">
      <c r="B2" s="16" t="s">
        <v>5678</v>
      </c>
    </row>
    <row r="4" spans="1:10" ht="130.15" customHeight="1" x14ac:dyDescent="0.35">
      <c r="B4" s="232" t="s">
        <v>5666</v>
      </c>
      <c r="C4" s="232"/>
      <c r="D4" s="232"/>
      <c r="E4" s="232"/>
      <c r="F4" s="232"/>
      <c r="G4" s="232"/>
      <c r="H4" s="232"/>
      <c r="I4" s="232"/>
      <c r="J4" s="232"/>
    </row>
    <row r="6" spans="1:10" ht="21" customHeight="1" x14ac:dyDescent="0.35">
      <c r="B6" s="68" t="s">
        <v>4197</v>
      </c>
      <c r="C6" s="69" t="s">
        <v>5254</v>
      </c>
    </row>
    <row r="7" spans="1:10" x14ac:dyDescent="0.35">
      <c r="A7" s="20">
        <v>202001</v>
      </c>
      <c r="B7" s="17">
        <v>43831</v>
      </c>
      <c r="C7" s="15" cm="1">
        <f t="array" ref="C7">SUM(SUMIFS('MAIN DATA, Orders'!$S:$S,'MAIN DATA, Orders'!$D:$D,"United Kingdom",'MAIN DATA, Orders'!$I:$I,{"Naval","Development - Naval","Missile (Naval)","Development - Missile (Naval)"},'MAIN DATA, Orders'!$Y:$Y,$A7)/1000000000)</f>
        <v>0</v>
      </c>
    </row>
    <row r="8" spans="1:10" x14ac:dyDescent="0.35">
      <c r="A8" s="20">
        <v>202002</v>
      </c>
      <c r="B8" s="17">
        <v>43862</v>
      </c>
      <c r="C8" s="15" cm="1">
        <f t="array" ref="C8">SUM(SUMIFS('MAIN DATA, Orders'!$S:$S,'MAIN DATA, Orders'!$D:$D,"United Kingdom",'MAIN DATA, Orders'!$I:$I,{"Naval","Development - Naval","Missile (Naval)","Development - Missile (Naval)"},'MAIN DATA, Orders'!$Y:$Y,$A8)/1000000000)</f>
        <v>0.33</v>
      </c>
    </row>
    <row r="9" spans="1:10" x14ac:dyDescent="0.35">
      <c r="A9" s="20">
        <v>202003</v>
      </c>
      <c r="B9" s="17">
        <v>43891</v>
      </c>
      <c r="C9" s="15" cm="1">
        <f t="array" ref="C9">SUM(SUMIFS('MAIN DATA, Orders'!$S:$S,'MAIN DATA, Orders'!$D:$D,"United Kingdom",'MAIN DATA, Orders'!$I:$I,{"Naval","Development - Naval","Missile (Naval)","Development - Missile (Naval)"},'MAIN DATA, Orders'!$Y:$Y,$A9)/1000000000)</f>
        <v>0</v>
      </c>
    </row>
    <row r="10" spans="1:10" x14ac:dyDescent="0.35">
      <c r="A10" s="20">
        <v>202004</v>
      </c>
      <c r="B10" s="17">
        <v>43922</v>
      </c>
      <c r="C10" s="15" cm="1">
        <f t="array" ref="C10">SUM(SUMIFS('MAIN DATA, Orders'!$S:$S,'MAIN DATA, Orders'!$D:$D,"United Kingdom",'MAIN DATA, Orders'!$I:$I,{"Naval","Development - Naval","Missile (Naval)","Development - Missile (Naval)"},'MAIN DATA, Orders'!$Y:$Y,$A10)/1000000000)</f>
        <v>0</v>
      </c>
    </row>
    <row r="11" spans="1:10" x14ac:dyDescent="0.35">
      <c r="A11" s="20">
        <v>202005</v>
      </c>
      <c r="B11" s="17">
        <v>43952</v>
      </c>
      <c r="C11" s="15" cm="1">
        <f t="array" ref="C11">SUM(SUMIFS('MAIN DATA, Orders'!$S:$S,'MAIN DATA, Orders'!$D:$D,"United Kingdom",'MAIN DATA, Orders'!$I:$I,{"Naval","Development - Naval","Missile (Naval)","Development - Missile (Naval)"},'MAIN DATA, Orders'!$Y:$Y,$A11)/1000000000)</f>
        <v>0</v>
      </c>
    </row>
    <row r="12" spans="1:10" x14ac:dyDescent="0.35">
      <c r="A12" s="20">
        <v>202006</v>
      </c>
      <c r="B12" s="17">
        <v>43983</v>
      </c>
      <c r="C12" s="15" cm="1">
        <f t="array" ref="C12">SUM(SUMIFS('MAIN DATA, Orders'!$S:$S,'MAIN DATA, Orders'!$D:$D,"United Kingdom",'MAIN DATA, Orders'!$I:$I,{"Naval","Development - Naval","Missile (Naval)","Development - Missile (Naval)"},'MAIN DATA, Orders'!$Y:$Y,$A12)/1000000000)</f>
        <v>0</v>
      </c>
    </row>
    <row r="13" spans="1:10" x14ac:dyDescent="0.35">
      <c r="A13" s="20">
        <v>202007</v>
      </c>
      <c r="B13" s="17">
        <v>44013</v>
      </c>
      <c r="C13" s="15" cm="1">
        <f t="array" ref="C13">SUM(SUMIFS('MAIN DATA, Orders'!$S:$S,'MAIN DATA, Orders'!$D:$D,"United Kingdom",'MAIN DATA, Orders'!$I:$I,{"Naval","Development - Naval","Missile (Naval)","Development - Missile (Naval)"},'MAIN DATA, Orders'!$Y:$Y,$A13)/1000000000)</f>
        <v>9.9000000000000008E-3</v>
      </c>
    </row>
    <row r="14" spans="1:10" x14ac:dyDescent="0.35">
      <c r="A14" s="20">
        <v>202008</v>
      </c>
      <c r="B14" s="17">
        <v>44044</v>
      </c>
      <c r="C14" s="15" cm="1">
        <f t="array" ref="C14">SUM(SUMIFS('MAIN DATA, Orders'!$S:$S,'MAIN DATA, Orders'!$D:$D,"United Kingdom",'MAIN DATA, Orders'!$I:$I,{"Naval","Development - Naval","Missile (Naval)","Development - Missile (Naval)"},'MAIN DATA, Orders'!$Y:$Y,$A14)/1000000000)</f>
        <v>0</v>
      </c>
    </row>
    <row r="15" spans="1:10" x14ac:dyDescent="0.35">
      <c r="A15" s="20">
        <v>202009</v>
      </c>
      <c r="B15" s="17">
        <v>44075</v>
      </c>
      <c r="C15" s="15" cm="1">
        <f t="array" ref="C15">SUM(SUMIFS('MAIN DATA, Orders'!$S:$S,'MAIN DATA, Orders'!$D:$D,"United Kingdom",'MAIN DATA, Orders'!$I:$I,{"Naval","Development - Naval","Missile (Naval)","Development - Missile (Naval)"},'MAIN DATA, Orders'!$Y:$Y,$A15)/1000000000)</f>
        <v>7.0000000000000001E-3</v>
      </c>
    </row>
    <row r="16" spans="1:10" x14ac:dyDescent="0.35">
      <c r="A16" s="20">
        <v>202010</v>
      </c>
      <c r="B16" s="17">
        <v>44105</v>
      </c>
      <c r="C16" s="15" cm="1">
        <f t="array" ref="C16">SUM(SUMIFS('MAIN DATA, Orders'!$S:$S,'MAIN DATA, Orders'!$D:$D,"United Kingdom",'MAIN DATA, Orders'!$I:$I,{"Naval","Development - Naval","Missile (Naval)","Development - Missile (Naval)"},'MAIN DATA, Orders'!$Y:$Y,$A16)/1000000000)</f>
        <v>0</v>
      </c>
    </row>
    <row r="17" spans="1:3" x14ac:dyDescent="0.35">
      <c r="A17" s="20">
        <v>202011</v>
      </c>
      <c r="B17" s="17">
        <v>44136</v>
      </c>
      <c r="C17" s="15" cm="1">
        <f t="array" ref="C17">SUM(SUMIFS('MAIN DATA, Orders'!$S:$S,'MAIN DATA, Orders'!$D:$D,"United Kingdom",'MAIN DATA, Orders'!$I:$I,{"Naval","Development - Naval","Missile (Naval)","Development - Missile (Naval)"},'MAIN DATA, Orders'!$Y:$Y,$A17)/1000000000)</f>
        <v>0.184</v>
      </c>
    </row>
    <row r="18" spans="1:3" x14ac:dyDescent="0.35">
      <c r="A18" s="20">
        <v>202012</v>
      </c>
      <c r="B18" s="17">
        <v>44166</v>
      </c>
      <c r="C18" s="15" cm="1">
        <f t="array" ref="C18">SUM(SUMIFS('MAIN DATA, Orders'!$S:$S,'MAIN DATA, Orders'!$D:$D,"United Kingdom",'MAIN DATA, Orders'!$I:$I,{"Naval","Development - Naval","Missile (Naval)","Development - Missile (Naval)"},'MAIN DATA, Orders'!$Y:$Y,$A18)/1000000000)</f>
        <v>0</v>
      </c>
    </row>
    <row r="19" spans="1:3" x14ac:dyDescent="0.35">
      <c r="A19" s="20">
        <v>202101</v>
      </c>
      <c r="B19" s="17">
        <v>44197</v>
      </c>
      <c r="C19" s="15" cm="1">
        <f t="array" ref="C19">SUM(SUMIFS('MAIN DATA, Orders'!$S:$S,'MAIN DATA, Orders'!$D:$D,"United Kingdom",'MAIN DATA, Orders'!$I:$I,{"Naval","Development - Naval","Missile (Naval)","Development - Missile (Naval)"},'MAIN DATA, Orders'!$Y:$Y,$A19)/1000000000)</f>
        <v>0</v>
      </c>
    </row>
    <row r="20" spans="1:3" x14ac:dyDescent="0.35">
      <c r="A20" s="20">
        <v>202102</v>
      </c>
      <c r="B20" s="17">
        <v>44228</v>
      </c>
      <c r="C20" s="15" cm="1">
        <f t="array" ref="C20">SUM(SUMIFS('MAIN DATA, Orders'!$S:$S,'MAIN DATA, Orders'!$D:$D,"United Kingdom",'MAIN DATA, Orders'!$I:$I,{"Naval","Development - Naval","Missile (Naval)","Development - Missile (Naval)"},'MAIN DATA, Orders'!$Y:$Y,$A20)/1000000000)</f>
        <v>0</v>
      </c>
    </row>
    <row r="21" spans="1:3" x14ac:dyDescent="0.35">
      <c r="A21" s="20">
        <v>202103</v>
      </c>
      <c r="B21" s="17">
        <v>44256</v>
      </c>
      <c r="C21" s="15" cm="1">
        <f t="array" ref="C21">SUM(SUMIFS('MAIN DATA, Orders'!$S:$S,'MAIN DATA, Orders'!$D:$D,"United Kingdom",'MAIN DATA, Orders'!$I:$I,{"Naval","Development - Naval","Missile (Naval)","Development - Missile (Naval)"},'MAIN DATA, Orders'!$Y:$Y,$A21)/1000000000)</f>
        <v>0</v>
      </c>
    </row>
    <row r="22" spans="1:3" x14ac:dyDescent="0.35">
      <c r="A22" s="20">
        <v>202104</v>
      </c>
      <c r="B22" s="17">
        <v>44287</v>
      </c>
      <c r="C22" s="15" cm="1">
        <f t="array" ref="C22">SUM(SUMIFS('MAIN DATA, Orders'!$S:$S,'MAIN DATA, Orders'!$D:$D,"United Kingdom",'MAIN DATA, Orders'!$I:$I,{"Naval","Development - Naval","Missile (Naval)","Development - Missile (Naval)"},'MAIN DATA, Orders'!$Y:$Y,$A22)/1000000000)</f>
        <v>0</v>
      </c>
    </row>
    <row r="23" spans="1:3" x14ac:dyDescent="0.35">
      <c r="A23" s="20">
        <v>202105</v>
      </c>
      <c r="B23" s="17">
        <v>44317</v>
      </c>
      <c r="C23" s="15" cm="1">
        <f t="array" ref="C23">SUM(SUMIFS('MAIN DATA, Orders'!$S:$S,'MAIN DATA, Orders'!$D:$D,"United Kingdom",'MAIN DATA, Orders'!$I:$I,{"Naval","Development - Naval","Missile (Naval)","Development - Missile (Naval)"},'MAIN DATA, Orders'!$Y:$Y,$A23)/1000000000)</f>
        <v>0</v>
      </c>
    </row>
    <row r="24" spans="1:3" x14ac:dyDescent="0.35">
      <c r="A24" s="20">
        <v>202106</v>
      </c>
      <c r="B24" s="17">
        <v>44348</v>
      </c>
      <c r="C24" s="15" cm="1">
        <f t="array" ref="C24">SUM(SUMIFS('MAIN DATA, Orders'!$S:$S,'MAIN DATA, Orders'!$D:$D,"United Kingdom",'MAIN DATA, Orders'!$I:$I,{"Naval","Development - Naval","Missile (Naval)","Development - Missile (Naval)"},'MAIN DATA, Orders'!$Y:$Y,$A24)/1000000000)</f>
        <v>3.5999999999999997E-2</v>
      </c>
    </row>
    <row r="25" spans="1:3" x14ac:dyDescent="0.35">
      <c r="A25" s="20">
        <v>202107</v>
      </c>
      <c r="B25" s="17">
        <v>44378</v>
      </c>
      <c r="C25" s="15" cm="1">
        <f t="array" ref="C25">SUM(SUMIFS('MAIN DATA, Orders'!$S:$S,'MAIN DATA, Orders'!$D:$D,"United Kingdom",'MAIN DATA, Orders'!$I:$I,{"Naval","Development - Naval","Missile (Naval)","Development - Missile (Naval)"},'MAIN DATA, Orders'!$Y:$Y,$A25)/1000000000)</f>
        <v>0.50044</v>
      </c>
    </row>
    <row r="26" spans="1:3" x14ac:dyDescent="0.35">
      <c r="A26" s="20">
        <v>202108</v>
      </c>
      <c r="B26" s="17">
        <v>44409</v>
      </c>
      <c r="C26" s="15" cm="1">
        <f t="array" ref="C26">SUM(SUMIFS('MAIN DATA, Orders'!$S:$S,'MAIN DATA, Orders'!$D:$D,"United Kingdom",'MAIN DATA, Orders'!$I:$I,{"Naval","Development - Naval","Missile (Naval)","Development - Missile (Naval)"},'MAIN DATA, Orders'!$Y:$Y,$A26)/1000000000)</f>
        <v>0</v>
      </c>
    </row>
    <row r="27" spans="1:3" x14ac:dyDescent="0.35">
      <c r="A27" s="20">
        <v>202109</v>
      </c>
      <c r="B27" s="17">
        <v>44440</v>
      </c>
      <c r="C27" s="15" cm="1">
        <f t="array" ref="C27">SUM(SUMIFS('MAIN DATA, Orders'!$S:$S,'MAIN DATA, Orders'!$D:$D,"United Kingdom",'MAIN DATA, Orders'!$I:$I,{"Naval","Development - Naval","Missile (Naval)","Development - Missile (Naval)"},'MAIN DATA, Orders'!$Y:$Y,$A27)/1000000000)</f>
        <v>0.17</v>
      </c>
    </row>
    <row r="28" spans="1:3" x14ac:dyDescent="0.35">
      <c r="A28" s="20">
        <v>202110</v>
      </c>
      <c r="B28" s="17">
        <v>44470</v>
      </c>
      <c r="C28" s="15" cm="1">
        <f t="array" ref="C28">SUM(SUMIFS('MAIN DATA, Orders'!$S:$S,'MAIN DATA, Orders'!$D:$D,"United Kingdom",'MAIN DATA, Orders'!$I:$I,{"Naval","Development - Naval","Missile (Naval)","Development - Missile (Naval)"},'MAIN DATA, Orders'!$Y:$Y,$A28)/1000000000)</f>
        <v>0</v>
      </c>
    </row>
    <row r="29" spans="1:3" x14ac:dyDescent="0.35">
      <c r="A29" s="20">
        <v>202111</v>
      </c>
      <c r="B29" s="17">
        <v>44501</v>
      </c>
      <c r="C29" s="15" cm="1">
        <f t="array" ref="C29">SUM(SUMIFS('MAIN DATA, Orders'!$S:$S,'MAIN DATA, Orders'!$D:$D,"United Kingdom",'MAIN DATA, Orders'!$I:$I,{"Naval","Development - Naval","Missile (Naval)","Development - Missile (Naval)"},'MAIN DATA, Orders'!$Y:$Y,$A29)/1000000000)</f>
        <v>0.1</v>
      </c>
    </row>
    <row r="30" spans="1:3" x14ac:dyDescent="0.35">
      <c r="A30" s="20">
        <v>202112</v>
      </c>
      <c r="B30" s="17">
        <v>44531</v>
      </c>
      <c r="C30" s="15" cm="1">
        <f t="array" ref="C30">SUM(SUMIFS('MAIN DATA, Orders'!$S:$S,'MAIN DATA, Orders'!$D:$D,"United Kingdom",'MAIN DATA, Orders'!$I:$I,{"Naval","Development - Naval","Missile (Naval)","Development - Missile (Naval)"},'MAIN DATA, Orders'!$Y:$Y,$A30)/1000000000)</f>
        <v>0</v>
      </c>
    </row>
    <row r="31" spans="1:3" x14ac:dyDescent="0.35">
      <c r="A31" s="20">
        <v>202201</v>
      </c>
      <c r="B31" s="17">
        <v>44562</v>
      </c>
      <c r="C31" s="15" cm="1">
        <f t="array" ref="C31">SUM(SUMIFS('MAIN DATA, Orders'!$S:$S,'MAIN DATA, Orders'!$D:$D,"United Kingdom",'MAIN DATA, Orders'!$I:$I,{"Naval","Development - Naval","Missile (Naval)","Development - Missile (Naval)"},'MAIN DATA, Orders'!$Y:$Y,$A31)/1000000000)</f>
        <v>0</v>
      </c>
    </row>
    <row r="32" spans="1:3" x14ac:dyDescent="0.35">
      <c r="A32" s="20">
        <v>202202</v>
      </c>
      <c r="B32" s="17">
        <v>44593</v>
      </c>
      <c r="C32" s="15" cm="1">
        <f t="array" ref="C32">SUM(SUMIFS('MAIN DATA, Orders'!$S:$S,'MAIN DATA, Orders'!$D:$D,"United Kingdom",'MAIN DATA, Orders'!$I:$I,{"Naval","Development - Naval","Missile (Naval)","Development - Missile (Naval)"},'MAIN DATA, Orders'!$Y:$Y,$A32)/1000000000)</f>
        <v>0</v>
      </c>
    </row>
    <row r="33" spans="1:3" x14ac:dyDescent="0.35">
      <c r="A33" s="20">
        <v>202203</v>
      </c>
      <c r="B33" s="17">
        <v>44621</v>
      </c>
      <c r="C33" s="15" cm="1">
        <f t="array" ref="C33">SUM(SUMIFS('MAIN DATA, Orders'!$S:$S,'MAIN DATA, Orders'!$D:$D,"United Kingdom",'MAIN DATA, Orders'!$I:$I,{"Naval","Development - Naval","Missile (Naval)","Development - Missile (Naval)"},'MAIN DATA, Orders'!$Y:$Y,$A33)/1000000000)</f>
        <v>0</v>
      </c>
    </row>
    <row r="34" spans="1:3" x14ac:dyDescent="0.35">
      <c r="A34" s="20">
        <v>202204</v>
      </c>
      <c r="B34" s="17">
        <v>44652</v>
      </c>
      <c r="C34" s="15" cm="1">
        <f t="array" ref="C34">SUM(SUMIFS('MAIN DATA, Orders'!$S:$S,'MAIN DATA, Orders'!$D:$D,"United Kingdom",'MAIN DATA, Orders'!$I:$I,{"Naval","Development - Naval","Missile (Naval)","Development - Missile (Naval)"},'MAIN DATA, Orders'!$Y:$Y,$A34)/1000000000)</f>
        <v>0</v>
      </c>
    </row>
    <row r="35" spans="1:3" x14ac:dyDescent="0.35">
      <c r="A35" s="20">
        <v>202205</v>
      </c>
      <c r="B35" s="17">
        <v>44682</v>
      </c>
      <c r="C35" s="15" cm="1">
        <f t="array" ref="C35">SUM(SUMIFS('MAIN DATA, Orders'!$S:$S,'MAIN DATA, Orders'!$D:$D,"United Kingdom",'MAIN DATA, Orders'!$I:$I,{"Naval","Development - Naval","Missile (Naval)","Development - Missile (Naval)"},'MAIN DATA, Orders'!$Y:$Y,$A35)/1000000000)</f>
        <v>2.5649999999999999</v>
      </c>
    </row>
    <row r="36" spans="1:3" x14ac:dyDescent="0.35">
      <c r="A36" s="20">
        <v>202206</v>
      </c>
      <c r="B36" s="17">
        <v>44713</v>
      </c>
      <c r="C36" s="15" cm="1">
        <f t="array" ref="C36">SUM(SUMIFS('MAIN DATA, Orders'!$S:$S,'MAIN DATA, Orders'!$D:$D,"United Kingdom",'MAIN DATA, Orders'!$I:$I,{"Naval","Development - Naval","Missile (Naval)","Development - Missile (Naval)"},'MAIN DATA, Orders'!$Y:$Y,$A36)/1000000000)</f>
        <v>0</v>
      </c>
    </row>
    <row r="37" spans="1:3" x14ac:dyDescent="0.35">
      <c r="A37" s="20">
        <v>202207</v>
      </c>
      <c r="B37" s="17">
        <v>44743</v>
      </c>
      <c r="C37" s="15" cm="1">
        <f t="array" ref="C37">SUM(SUMIFS('MAIN DATA, Orders'!$S:$S,'MAIN DATA, Orders'!$D:$D,"United Kingdom",'MAIN DATA, Orders'!$I:$I,{"Naval","Development - Naval","Missile (Naval)","Development - Missile (Naval)"},'MAIN DATA, Orders'!$Y:$Y,$A37)/1000000000)</f>
        <v>0</v>
      </c>
    </row>
    <row r="38" spans="1:3" x14ac:dyDescent="0.35">
      <c r="A38" s="20">
        <v>202208</v>
      </c>
      <c r="B38" s="17">
        <v>44774</v>
      </c>
      <c r="C38" s="15" cm="1">
        <f t="array" ref="C38">SUM(SUMIFS('MAIN DATA, Orders'!$S:$S,'MAIN DATA, Orders'!$D:$D,"United Kingdom",'MAIN DATA, Orders'!$I:$I,{"Naval","Development - Naval","Missile (Naval)","Development - Missile (Naval)"},'MAIN DATA, Orders'!$Y:$Y,$A38)/1000000000)</f>
        <v>0</v>
      </c>
    </row>
    <row r="39" spans="1:3" x14ac:dyDescent="0.35">
      <c r="A39" s="20">
        <v>202209</v>
      </c>
      <c r="B39" s="17">
        <v>44805</v>
      </c>
      <c r="C39" s="15" cm="1">
        <f t="array" ref="C39">SUM(SUMIFS('MAIN DATA, Orders'!$S:$S,'MAIN DATA, Orders'!$D:$D,"United Kingdom",'MAIN DATA, Orders'!$I:$I,{"Naval","Development - Naval","Missile (Naval)","Development - Missile (Naval)"},'MAIN DATA, Orders'!$Y:$Y,$A39)/1000000000)</f>
        <v>0</v>
      </c>
    </row>
    <row r="40" spans="1:3" x14ac:dyDescent="0.35">
      <c r="A40" s="20">
        <v>202210</v>
      </c>
      <c r="B40" s="17">
        <v>44835</v>
      </c>
      <c r="C40" s="15" cm="1">
        <f t="array" ref="C40">SUM(SUMIFS('MAIN DATA, Orders'!$S:$S,'MAIN DATA, Orders'!$D:$D,"United Kingdom",'MAIN DATA, Orders'!$I:$I,{"Naval","Development - Naval","Missile (Naval)","Development - Missile (Naval)"},'MAIN DATA, Orders'!$Y:$Y,$A40)/1000000000)</f>
        <v>3.4000000000000002E-2</v>
      </c>
    </row>
    <row r="41" spans="1:3" x14ac:dyDescent="0.35">
      <c r="A41" s="20">
        <v>202211</v>
      </c>
      <c r="B41" s="17">
        <v>44866</v>
      </c>
      <c r="C41" s="15" cm="1">
        <f t="array" ref="C41">SUM(SUMIFS('MAIN DATA, Orders'!$S:$S,'MAIN DATA, Orders'!$D:$D,"United Kingdom",'MAIN DATA, Orders'!$I:$I,{"Naval","Development - Naval","Missile (Naval)","Development - Missile (Naval)"},'MAIN DATA, Orders'!$Y:$Y,$A41)/1000000000)</f>
        <v>4.2</v>
      </c>
    </row>
    <row r="42" spans="1:3" x14ac:dyDescent="0.35">
      <c r="A42" s="20">
        <v>202212</v>
      </c>
      <c r="B42" s="17">
        <v>44896</v>
      </c>
      <c r="C42" s="15" cm="1">
        <f t="array" ref="C42">SUM(SUMIFS('MAIN DATA, Orders'!$S:$S,'MAIN DATA, Orders'!$D:$D,"United Kingdom",'MAIN DATA, Orders'!$I:$I,{"Naval","Development - Naval","Missile (Naval)","Development - Missile (Naval)"},'MAIN DATA, Orders'!$Y:$Y,$A42)/1000000000)</f>
        <v>0</v>
      </c>
    </row>
    <row r="43" spans="1:3" x14ac:dyDescent="0.35">
      <c r="A43" s="20">
        <v>202301</v>
      </c>
      <c r="B43" s="17">
        <v>44927</v>
      </c>
      <c r="C43" s="15" cm="1">
        <f t="array" ref="C43">SUM(SUMIFS('MAIN DATA, Orders'!$S:$S,'MAIN DATA, Orders'!$D:$D,"United Kingdom",'MAIN DATA, Orders'!$I:$I,{"Naval","Development - Naval","Missile (Naval)","Development - Missile (Naval)"},'MAIN DATA, Orders'!$Y:$Y,$A43)/1000000000)</f>
        <v>1.665</v>
      </c>
    </row>
    <row r="44" spans="1:3" x14ac:dyDescent="0.35">
      <c r="A44" s="20">
        <v>202302</v>
      </c>
      <c r="B44" s="17">
        <v>44958</v>
      </c>
      <c r="C44" s="15" cm="1">
        <f t="array" ref="C44">SUM(SUMIFS('MAIN DATA, Orders'!$S:$S,'MAIN DATA, Orders'!$D:$D,"United Kingdom",'MAIN DATA, Orders'!$I:$I,{"Naval","Development - Naval","Missile (Naval)","Development - Missile (Naval)"},'MAIN DATA, Orders'!$Y:$Y,$A44)/1000000000)</f>
        <v>0</v>
      </c>
    </row>
    <row r="45" spans="1:3" x14ac:dyDescent="0.35">
      <c r="A45" s="20">
        <v>202303</v>
      </c>
      <c r="B45" s="17">
        <v>44986</v>
      </c>
      <c r="C45" s="15" cm="1">
        <f t="array" ref="C45">SUM(SUMIFS('MAIN DATA, Orders'!$S:$S,'MAIN DATA, Orders'!$D:$D,"United Kingdom",'MAIN DATA, Orders'!$I:$I,{"Naval","Development - Naval","Missile (Naval)","Development - Missile (Naval)"},'MAIN DATA, Orders'!$Y:$Y,$A45)/1000000000)</f>
        <v>0</v>
      </c>
    </row>
    <row r="46" spans="1:3" x14ac:dyDescent="0.35">
      <c r="A46" s="20">
        <v>202304</v>
      </c>
      <c r="B46" s="17">
        <v>45017</v>
      </c>
      <c r="C46" s="15" cm="1">
        <f t="array" ref="C46">SUM(SUMIFS('MAIN DATA, Orders'!$S:$S,'MAIN DATA, Orders'!$D:$D,"United Kingdom",'MAIN DATA, Orders'!$I:$I,{"Naval","Development - Naval","Missile (Naval)","Development - Missile (Naval)"},'MAIN DATA, Orders'!$Y:$Y,$A46)/1000000000)</f>
        <v>0</v>
      </c>
    </row>
    <row r="47" spans="1:3" x14ac:dyDescent="0.35">
      <c r="A47" s="20">
        <v>202305</v>
      </c>
      <c r="B47" s="17">
        <v>45047</v>
      </c>
      <c r="C47" s="15" cm="1">
        <f t="array" ref="C47">SUM(SUMIFS('MAIN DATA, Orders'!$S:$S,'MAIN DATA, Orders'!$D:$D,"United Kingdom",'MAIN DATA, Orders'!$I:$I,{"Naval","Development - Naval","Missile (Naval)","Development - Missile (Naval)"},'MAIN DATA, Orders'!$Y:$Y,$A47)/1000000000)</f>
        <v>0</v>
      </c>
    </row>
    <row r="48" spans="1:3" x14ac:dyDescent="0.35">
      <c r="A48" s="20">
        <v>202306</v>
      </c>
      <c r="B48" s="17">
        <v>45078</v>
      </c>
      <c r="C48" s="15" cm="1">
        <f t="array" ref="C48">SUM(SUMIFS('MAIN DATA, Orders'!$S:$S,'MAIN DATA, Orders'!$D:$D,"United Kingdom",'MAIN DATA, Orders'!$I:$I,{"Naval","Development - Naval","Missile (Naval)","Development - Missile (Naval)"},'MAIN DATA, Orders'!$Y:$Y,$A48)/1000000000)</f>
        <v>0.27</v>
      </c>
    </row>
    <row r="49" spans="1:3" x14ac:dyDescent="0.35">
      <c r="A49" s="20">
        <v>202307</v>
      </c>
      <c r="B49" s="17">
        <v>45108</v>
      </c>
      <c r="C49" s="15" cm="1">
        <f t="array" ref="C49">SUM(SUMIFS('MAIN DATA, Orders'!$S:$S,'MAIN DATA, Orders'!$D:$D,"United Kingdom",'MAIN DATA, Orders'!$I:$I,{"Naval","Development - Naval","Missile (Naval)","Development - Missile (Naval)"},'MAIN DATA, Orders'!$Y:$Y,$A49)/1000000000)</f>
        <v>0.16900000000000001</v>
      </c>
    </row>
    <row r="50" spans="1:3" x14ac:dyDescent="0.35">
      <c r="A50" s="20">
        <v>202308</v>
      </c>
      <c r="B50" s="17">
        <v>45139</v>
      </c>
      <c r="C50" s="15" cm="1">
        <f t="array" ref="C50">SUM(SUMIFS('MAIN DATA, Orders'!$S:$S,'MAIN DATA, Orders'!$D:$D,"United Kingdom",'MAIN DATA, Orders'!$I:$I,{"Naval","Development - Naval","Missile (Naval)","Development - Missile (Naval)"},'MAIN DATA, Orders'!$Y:$Y,$A50)/1000000000)</f>
        <v>0</v>
      </c>
    </row>
    <row r="51" spans="1:3" x14ac:dyDescent="0.35">
      <c r="A51" s="20">
        <v>202309</v>
      </c>
      <c r="B51" s="17">
        <v>45170</v>
      </c>
      <c r="C51" s="15" cm="1">
        <f t="array" ref="C51">SUM(SUMIFS('MAIN DATA, Orders'!$S:$S,'MAIN DATA, Orders'!$D:$D,"United Kingdom",'MAIN DATA, Orders'!$I:$I,{"Naval","Development - Naval","Missile (Naval)","Development - Missile (Naval)"},'MAIN DATA, Orders'!$Y:$Y,$A51)/1000000000)</f>
        <v>0</v>
      </c>
    </row>
    <row r="52" spans="1:3" x14ac:dyDescent="0.35">
      <c r="A52" s="20">
        <v>202310</v>
      </c>
      <c r="B52" s="17">
        <v>45200</v>
      </c>
      <c r="C52" s="15" cm="1">
        <f t="array" ref="C52">SUM(SUMIFS('MAIN DATA, Orders'!$S:$S,'MAIN DATA, Orders'!$D:$D,"United Kingdom",'MAIN DATA, Orders'!$I:$I,{"Naval","Development - Naval","Missile (Naval)","Development - Missile (Naval)"},'MAIN DATA, Orders'!$Y:$Y,$A52)/1000000000)</f>
        <v>4</v>
      </c>
    </row>
    <row r="53" spans="1:3" x14ac:dyDescent="0.35">
      <c r="A53" s="20">
        <v>202311</v>
      </c>
      <c r="B53" s="17">
        <v>45231</v>
      </c>
      <c r="C53" s="15" cm="1">
        <f t="array" ref="C53">SUM(SUMIFS('MAIN DATA, Orders'!$S:$S,'MAIN DATA, Orders'!$D:$D,"United Kingdom",'MAIN DATA, Orders'!$I:$I,{"Naval","Development - Naval","Missile (Naval)","Development - Missile (Naval)"},'MAIN DATA, Orders'!$Y:$Y,$A53)/1000000000)</f>
        <v>0</v>
      </c>
    </row>
    <row r="54" spans="1:3" x14ac:dyDescent="0.35">
      <c r="A54" s="20">
        <v>202312</v>
      </c>
      <c r="B54" s="17">
        <v>45261</v>
      </c>
      <c r="C54" s="15" cm="1">
        <f t="array" ref="C54">SUM(SUMIFS('MAIN DATA, Orders'!$S:$S,'MAIN DATA, Orders'!$D:$D,"United Kingdom",'MAIN DATA, Orders'!$I:$I,{"Naval","Development - Naval","Missile (Naval)","Development - Missile (Naval)"},'MAIN DATA, Orders'!$Y:$Y,$A54)/1000000000)</f>
        <v>0</v>
      </c>
    </row>
    <row r="55" spans="1:3" x14ac:dyDescent="0.35">
      <c r="A55" s="20">
        <v>202401</v>
      </c>
      <c r="B55" s="17">
        <v>45292</v>
      </c>
      <c r="C55" s="15" cm="1">
        <f t="array" ref="C55">SUM(SUMIFS('MAIN DATA, Orders'!$S:$S,'MAIN DATA, Orders'!$D:$D,"United Kingdom",'MAIN DATA, Orders'!$I:$I,{"Naval","Development - Naval","Missile (Naval)","Development - Missile (Naval)"},'MAIN DATA, Orders'!$Y:$Y,$A55)/1000000000)</f>
        <v>0.40500000000000003</v>
      </c>
    </row>
    <row r="56" spans="1:3" x14ac:dyDescent="0.35">
      <c r="A56" s="20">
        <v>202402</v>
      </c>
      <c r="B56" s="17">
        <v>45323</v>
      </c>
      <c r="C56" s="15" cm="1">
        <f t="array" ref="C56">SUM(SUMIFS('MAIN DATA, Orders'!$S:$S,'MAIN DATA, Orders'!$D:$D,"United Kingdom",'MAIN DATA, Orders'!$I:$I,{"Naval","Development - Naval","Missile (Naval)","Development - Missile (Naval)"},'MAIN DATA, Orders'!$Y:$Y,$A56)/1000000000)</f>
        <v>1.85</v>
      </c>
    </row>
    <row r="57" spans="1:3" x14ac:dyDescent="0.35">
      <c r="A57" s="20">
        <v>202403</v>
      </c>
      <c r="B57" s="17">
        <v>45352</v>
      </c>
      <c r="C57" s="15" cm="1">
        <f t="array" ref="C57">SUM(SUMIFS('MAIN DATA, Orders'!$S:$S,'MAIN DATA, Orders'!$D:$D,"United Kingdom",'MAIN DATA, Orders'!$I:$I,{"Naval","Development - Naval","Missile (Naval)","Development - Missile (Naval)"},'MAIN DATA, Orders'!$Y:$Y,$A57)/1000000000)</f>
        <v>0.13500000000000001</v>
      </c>
    </row>
    <row r="58" spans="1:3" x14ac:dyDescent="0.35">
      <c r="A58" s="20">
        <v>202404</v>
      </c>
      <c r="B58" s="17">
        <v>45383</v>
      </c>
      <c r="C58" s="15" cm="1">
        <f t="array" ref="C58">SUM(SUMIFS('MAIN DATA, Orders'!$S:$S,'MAIN DATA, Orders'!$D:$D,"United Kingdom",'MAIN DATA, Orders'!$I:$I,{"Naval","Development - Naval","Missile (Naval)","Development - Missile (Naval)"},'MAIN DATA, Orders'!$Y:$Y,$A58)/1000000000)</f>
        <v>0</v>
      </c>
    </row>
    <row r="59" spans="1:3" x14ac:dyDescent="0.35">
      <c r="A59" s="20">
        <v>202405</v>
      </c>
      <c r="B59" s="17">
        <v>45413</v>
      </c>
      <c r="C59" s="15" cm="1">
        <f t="array" ref="C59">SUM(SUMIFS('MAIN DATA, Orders'!$S:$S,'MAIN DATA, Orders'!$D:$D,"United Kingdom",'MAIN DATA, Orders'!$I:$I,{"Naval","Development - Naval","Missile (Naval)","Development - Missile (Naval)"},'MAIN DATA, Orders'!$Y:$Y,$A59)/1000000000)</f>
        <v>0</v>
      </c>
    </row>
    <row r="60" spans="1:3" x14ac:dyDescent="0.35">
      <c r="A60" s="20">
        <v>202406</v>
      </c>
      <c r="B60" s="17">
        <v>45444</v>
      </c>
      <c r="C60" s="15" cm="1">
        <f t="array" ref="C60">SUM(SUMIFS('MAIN DATA, Orders'!$S:$S,'MAIN DATA, Orders'!$D:$D,"United Kingdom",'MAIN DATA, Orders'!$I:$I,{"Naval","Development - Naval","Missile (Naval)","Development - Missile (Naval)"},'MAIN DATA, Orders'!$Y:$Y,$A60)/1000000000)</f>
        <v>0</v>
      </c>
    </row>
    <row r="61" spans="1:3" x14ac:dyDescent="0.35">
      <c r="A61" s="20">
        <v>202407</v>
      </c>
      <c r="B61" s="17">
        <v>45474</v>
      </c>
      <c r="C61" s="15" cm="1">
        <f t="array" ref="C61">SUM(SUMIFS('MAIN DATA, Orders'!$S:$S,'MAIN DATA, Orders'!$D:$D,"United Kingdom",'MAIN DATA, Orders'!$I:$I,{"Naval","Development - Naval","Missile (Naval)","Development - Missile (Naval)"},'MAIN DATA, Orders'!$Y:$Y,$A61)/1000000000)</f>
        <v>0</v>
      </c>
    </row>
    <row r="62" spans="1:3" x14ac:dyDescent="0.35">
      <c r="A62" s="20">
        <v>202408</v>
      </c>
      <c r="B62" s="17">
        <v>45505</v>
      </c>
      <c r="C62" s="15" cm="1">
        <f t="array" ref="C62">SUM(SUMIFS('MAIN DATA, Orders'!$S:$S,'MAIN DATA, Orders'!$D:$D,"United Kingdom",'MAIN DATA, Orders'!$I:$I,{"Naval","Development - Naval","Missile (Naval)","Development - Missile (Naval)"},'MAIN DATA, Orders'!$Y:$Y,$A62)/1000000000)</f>
        <v>0</v>
      </c>
    </row>
    <row r="63" spans="1:3" x14ac:dyDescent="0.35">
      <c r="A63" s="20">
        <v>202409</v>
      </c>
      <c r="B63" s="17">
        <v>45536</v>
      </c>
      <c r="C63" s="15" cm="1">
        <f t="array" ref="C63">SUM(SUMIFS('MAIN DATA, Orders'!$S:$S,'MAIN DATA, Orders'!$D:$D,"United Kingdom",'MAIN DATA, Orders'!$I:$I,{"Naval","Development - Naval","Missile (Naval)","Development - Missile (Naval)"},'MAIN DATA, Orders'!$Y:$Y,$A63)/1000000000)</f>
        <v>0.06</v>
      </c>
    </row>
    <row r="64" spans="1:3" x14ac:dyDescent="0.35">
      <c r="A64" s="20">
        <v>202410</v>
      </c>
      <c r="B64" s="17">
        <v>45566</v>
      </c>
      <c r="C64" s="15" cm="1">
        <f t="array" ref="C64">SUM(SUMIFS('MAIN DATA, Orders'!$S:$S,'MAIN DATA, Orders'!$D:$D,"United Kingdom",'MAIN DATA, Orders'!$I:$I,{"Naval","Development - Naval","Missile (Naval)","Development - Missile (Naval)"},'MAIN DATA, Orders'!$Y:$Y,$A64)/1000000000)</f>
        <v>0</v>
      </c>
    </row>
    <row r="65" spans="1:3" x14ac:dyDescent="0.35">
      <c r="A65" s="20">
        <v>202411</v>
      </c>
      <c r="B65" s="17">
        <v>45597</v>
      </c>
      <c r="C65" s="15" cm="1">
        <f t="array" ref="C65">SUM(SUMIFS('MAIN DATA, Orders'!$S:$S,'MAIN DATA, Orders'!$D:$D,"United Kingdom",'MAIN DATA, Orders'!$I:$I,{"Naval","Development - Naval","Missile (Naval)","Development - Missile (Naval)"},'MAIN DATA, Orders'!$Y:$Y,$A65)/1000000000)</f>
        <v>0</v>
      </c>
    </row>
    <row r="66" spans="1:3" x14ac:dyDescent="0.35">
      <c r="A66" s="20">
        <v>202412</v>
      </c>
      <c r="B66" s="17">
        <v>45627</v>
      </c>
      <c r="C66" s="15" cm="1">
        <f t="array" ref="C66">SUM(SUMIFS('MAIN DATA, Orders'!$S:$S,'MAIN DATA, Orders'!$D:$D,"United Kingdom",'MAIN DATA, Orders'!$I:$I,{"Naval","Development - Naval","Missile (Naval)","Development - Missile (Naval)"},'MAIN DATA, Orders'!$Y:$Y,$A66)/1000000000)</f>
        <v>0.47599999999999998</v>
      </c>
    </row>
    <row r="67" spans="1:3" x14ac:dyDescent="0.35">
      <c r="A67" s="20">
        <v>202501</v>
      </c>
      <c r="B67" s="17">
        <v>45658</v>
      </c>
      <c r="C67" s="15" cm="1">
        <f t="array" ref="C67">SUM(SUMIFS('MAIN DATA, Orders'!$S:$S,'MAIN DATA, Orders'!$D:$D,"United Kingdom",'MAIN DATA, Orders'!$I:$I,{"Naval","Development - Naval","Missile (Naval)","Development - Missile (Naval)"},'MAIN DATA, Orders'!$Y:$Y,$A67)/1000000000)</f>
        <v>9.2850000000000001</v>
      </c>
    </row>
    <row r="68" spans="1:3" x14ac:dyDescent="0.35">
      <c r="A68" s="20">
        <v>202502</v>
      </c>
      <c r="B68" s="17">
        <v>45689</v>
      </c>
      <c r="C68" s="15" cm="1">
        <f t="array" ref="C68">SUM(SUMIFS('MAIN DATA, Orders'!$S:$S,'MAIN DATA, Orders'!$D:$D,"United Kingdom",'MAIN DATA, Orders'!$I:$I,{"Naval","Development - Naval","Missile (Naval)","Development - Missile (Naval)"},'MAIN DATA, Orders'!$Y:$Y,$A68)/1000000000)</f>
        <v>0.25</v>
      </c>
    </row>
    <row r="69" spans="1:3" x14ac:dyDescent="0.35">
      <c r="A69" s="20">
        <v>202503</v>
      </c>
      <c r="B69" s="17">
        <v>45717</v>
      </c>
      <c r="C69" s="15" cm="1">
        <f t="array" ref="C69">SUM(SUMIFS('MAIN DATA, Orders'!$S:$S,'MAIN DATA, Orders'!$D:$D,"United Kingdom",'MAIN DATA, Orders'!$I:$I,{"Naval","Development - Naval","Missile (Naval)","Development - Missile (Naval)"},'MAIN DATA, Orders'!$Y:$Y,$A69)/1000000000)</f>
        <v>0</v>
      </c>
    </row>
    <row r="70" spans="1:3" x14ac:dyDescent="0.35">
      <c r="A70" s="20"/>
      <c r="B70" s="17">
        <v>45748</v>
      </c>
      <c r="C70" s="15" cm="1">
        <f t="array" ref="C70">SUM(SUMIFS('MAIN DATA, Orders'!$S:$S,'MAIN DATA, Orders'!$D:$D,"United Kingdom",'MAIN DATA, Orders'!$I:$I,{"Naval","Development - Naval","Missile (Naval)","Development - Missile (Naval)"},'MAIN DATA, Orders'!$Y:$Y,$A70)/1000000000)</f>
        <v>0</v>
      </c>
    </row>
    <row r="71" spans="1:3" x14ac:dyDescent="0.35">
      <c r="A71" s="20"/>
      <c r="B71" s="17">
        <v>45778</v>
      </c>
      <c r="C71" s="15" cm="1">
        <f t="array" ref="C71">SUM(SUMIFS('MAIN DATA, Orders'!$S:$S,'MAIN DATA, Orders'!$D:$D,"United Kingdom",'MAIN DATA, Orders'!$I:$I,{"Naval","Development - Naval","Missile (Naval)","Development - Missile (Naval)"},'MAIN DATA, Orders'!$Y:$Y,$A71)/1000000000)</f>
        <v>0</v>
      </c>
    </row>
    <row r="72" spans="1:3" x14ac:dyDescent="0.35">
      <c r="A72" s="20"/>
      <c r="B72" s="17">
        <v>45809</v>
      </c>
      <c r="C72" s="15" cm="1">
        <f t="array" ref="C72">SUM(SUMIFS('MAIN DATA, Orders'!$S:$S,'MAIN DATA, Orders'!$D:$D,"United Kingdom",'MAIN DATA, Orders'!$I:$I,{"Naval","Development - Naval","Missile (Naval)","Development - Missile (Naval)"},'MAIN DATA, Orders'!$Y:$Y,$A72)/1000000000)</f>
        <v>0</v>
      </c>
    </row>
    <row r="73" spans="1:3" x14ac:dyDescent="0.35">
      <c r="A73" s="20"/>
      <c r="B73" s="17">
        <v>45839</v>
      </c>
      <c r="C73" s="15" cm="1">
        <f t="array" ref="C73">SUM(SUMIFS('MAIN DATA, Orders'!$S:$S,'MAIN DATA, Orders'!$D:$D,"United Kingdom",'MAIN DATA, Orders'!$I:$I,{"Naval","Development - Naval","Missile (Naval)","Development - Missile (Naval)"},'MAIN DATA, Orders'!$Y:$Y,$A73)/1000000000)</f>
        <v>0</v>
      </c>
    </row>
    <row r="74" spans="1:3" x14ac:dyDescent="0.35">
      <c r="A74" s="20"/>
      <c r="B74" s="17">
        <v>45870</v>
      </c>
      <c r="C74" s="15" cm="1">
        <f t="array" ref="C74">SUM(SUMIFS('MAIN DATA, Orders'!$S:$S,'MAIN DATA, Orders'!$D:$D,"United Kingdom",'MAIN DATA, Orders'!$I:$I,{"Naval","Development - Naval","Missile (Naval)","Development - Missile (Naval)"},'MAIN DATA, Orders'!$Y:$Y,$A74)/1000000000)</f>
        <v>0</v>
      </c>
    </row>
    <row r="75" spans="1:3" x14ac:dyDescent="0.35">
      <c r="A75" s="20"/>
      <c r="B75" s="17">
        <v>45901</v>
      </c>
      <c r="C75" s="15" cm="1">
        <f t="array" ref="C75">SUM(SUMIFS('MAIN DATA, Orders'!$S:$S,'MAIN DATA, Orders'!$D:$D,"United Kingdom",'MAIN DATA, Orders'!$I:$I,{"Naval","Development - Naval","Missile (Naval)","Development - Missile (Naval)"},'MAIN DATA, Orders'!$Y:$Y,$A75)/1000000000)</f>
        <v>0</v>
      </c>
    </row>
    <row r="76" spans="1:3" x14ac:dyDescent="0.35">
      <c r="A76" s="20"/>
      <c r="B76" s="17">
        <v>45931</v>
      </c>
      <c r="C76" s="15" cm="1">
        <f t="array" ref="C76">SUM(SUMIFS('MAIN DATA, Orders'!$S:$S,'MAIN DATA, Orders'!$D:$D,"United Kingdom",'MAIN DATA, Orders'!$I:$I,{"Naval","Development - Naval","Missile (Naval)","Development - Missile (Naval)"},'MAIN DATA, Orders'!$Y:$Y,$A76)/1000000000)</f>
        <v>0</v>
      </c>
    </row>
    <row r="77" spans="1:3" x14ac:dyDescent="0.35">
      <c r="A77" s="20"/>
      <c r="B77" s="17">
        <v>45962</v>
      </c>
      <c r="C77" s="15" cm="1">
        <f t="array" ref="C77">SUM(SUMIFS('MAIN DATA, Orders'!$S:$S,'MAIN DATA, Orders'!$D:$D,"United Kingdom",'MAIN DATA, Orders'!$I:$I,{"Naval","Development - Naval","Missile (Naval)","Development - Missile (Naval)"},'MAIN DATA, Orders'!$Y:$Y,$A77)/1000000000)</f>
        <v>0</v>
      </c>
    </row>
    <row r="78" spans="1:3" x14ac:dyDescent="0.35">
      <c r="A78" s="20"/>
      <c r="B78" s="17">
        <v>45992</v>
      </c>
      <c r="C78" s="15" cm="1">
        <f t="array" ref="C78">SUM(SUMIFS('MAIN DATA, Orders'!$S:$S,'MAIN DATA, Orders'!$D:$D,"United Kingdom",'MAIN DATA, Orders'!$I:$I,{"Naval","Development - Naval","Missile (Naval)","Development - Missile (Naval)"},'MAIN DATA, Orders'!$Y:$Y,$A78)/1000000000)</f>
        <v>0</v>
      </c>
    </row>
    <row r="79" spans="1:3" x14ac:dyDescent="0.35">
      <c r="A79" s="20"/>
      <c r="B79" s="17">
        <v>46023</v>
      </c>
      <c r="C79" s="15" cm="1">
        <f t="array" ref="C79">SUM(SUMIFS('MAIN DATA, Orders'!$S:$S,'MAIN DATA, Orders'!$D:$D,"United Kingdom",'MAIN DATA, Orders'!$I:$I,{"Naval","Development - Naval","Missile (Naval)","Development - Missile (Naval)"},'MAIN DATA, Orders'!$Y:$Y,$A79)/1000000000)</f>
        <v>0</v>
      </c>
    </row>
    <row r="80" spans="1:3" x14ac:dyDescent="0.35">
      <c r="A80" s="20"/>
      <c r="B80" s="17">
        <v>46054</v>
      </c>
      <c r="C80" s="15" cm="1">
        <f t="array" ref="C80">SUM(SUMIFS('MAIN DATA, Orders'!$S:$S,'MAIN DATA, Orders'!$D:$D,"United Kingdom",'MAIN DATA, Orders'!$I:$I,{"Naval","Development - Naval","Missile (Naval)","Development - Missile (Naval)"},'MAIN DATA, Orders'!$Y:$Y,$A80)/1000000000)</f>
        <v>0</v>
      </c>
    </row>
    <row r="81" spans="1:3" x14ac:dyDescent="0.35">
      <c r="A81" s="20">
        <v>202504</v>
      </c>
      <c r="B81" s="17"/>
      <c r="C81" s="15"/>
    </row>
    <row r="82" spans="1:3" x14ac:dyDescent="0.35">
      <c r="A82" s="83"/>
      <c r="B82" s="66"/>
      <c r="C82" s="66"/>
    </row>
    <row r="83" spans="1:3" x14ac:dyDescent="0.35">
      <c r="A83" s="83"/>
      <c r="B83" s="9" t="s">
        <v>4219</v>
      </c>
      <c r="C83" s="18">
        <f>SUM(C7:C81)</f>
        <v>26.701339999999998</v>
      </c>
    </row>
  </sheetData>
  <mergeCells count="1">
    <mergeCell ref="B4:J4"/>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329AE-F96A-42CD-B436-2DB381F94384}">
  <sheetPr>
    <tabColor theme="9" tint="0.59999389629810485"/>
  </sheetPr>
  <dimension ref="A2:T41"/>
  <sheetViews>
    <sheetView workbookViewId="0"/>
  </sheetViews>
  <sheetFormatPr baseColWidth="10" defaultColWidth="8.75" defaultRowHeight="15.5" x14ac:dyDescent="0.35"/>
  <cols>
    <col min="1" max="1" width="8.75" style="1"/>
    <col min="2" max="2" width="22.58203125" style="1" customWidth="1"/>
    <col min="3" max="4" width="8.75" style="1"/>
    <col min="5" max="6" width="8.75" style="1" customWidth="1"/>
    <col min="7" max="16384" width="8.75" style="1"/>
  </cols>
  <sheetData>
    <row r="2" spans="1:20" ht="25.9" customHeight="1" x14ac:dyDescent="0.7">
      <c r="B2" s="16" t="s">
        <v>5680</v>
      </c>
    </row>
    <row r="4" spans="1:20" ht="64.900000000000006" customHeight="1" x14ac:dyDescent="0.35">
      <c r="B4" s="232" t="s">
        <v>5673</v>
      </c>
      <c r="C4" s="232"/>
      <c r="D4" s="232"/>
      <c r="E4" s="232"/>
      <c r="F4" s="232"/>
      <c r="G4" s="232"/>
      <c r="H4" s="232"/>
      <c r="I4" s="232"/>
      <c r="J4" s="232"/>
    </row>
    <row r="6" spans="1:20" ht="21" customHeight="1" x14ac:dyDescent="0.35">
      <c r="B6" s="68" t="s">
        <v>4197</v>
      </c>
      <c r="C6" s="69">
        <v>2020</v>
      </c>
      <c r="D6" s="69">
        <v>2021</v>
      </c>
      <c r="E6" s="69">
        <v>2022</v>
      </c>
      <c r="F6" s="69">
        <v>2023</v>
      </c>
      <c r="G6" s="69">
        <v>2024</v>
      </c>
      <c r="H6" s="69">
        <v>2025</v>
      </c>
      <c r="I6" s="69">
        <v>2026</v>
      </c>
      <c r="J6" s="69" t="s">
        <v>4219</v>
      </c>
      <c r="K6" s="126"/>
      <c r="L6" s="126"/>
      <c r="M6" s="126"/>
      <c r="N6" s="126"/>
      <c r="O6" s="126"/>
      <c r="P6" s="126"/>
      <c r="Q6" s="126"/>
      <c r="R6" s="126"/>
      <c r="S6" s="126"/>
      <c r="T6" s="126"/>
    </row>
    <row r="7" spans="1:20" x14ac:dyDescent="0.35">
      <c r="A7" s="20"/>
      <c r="B7" s="11" t="s">
        <v>128</v>
      </c>
      <c r="C7" s="15"/>
      <c r="D7" s="15"/>
      <c r="E7" s="15"/>
      <c r="F7" s="15"/>
      <c r="G7" s="15"/>
      <c r="H7" s="15"/>
      <c r="I7" s="15"/>
      <c r="J7" s="15"/>
      <c r="K7" s="15"/>
      <c r="L7" s="15"/>
      <c r="M7" s="15"/>
      <c r="N7" s="15"/>
      <c r="O7" s="15"/>
      <c r="P7" s="15"/>
      <c r="Q7" s="15"/>
      <c r="R7" s="15"/>
      <c r="S7" s="15"/>
      <c r="T7" s="15"/>
    </row>
    <row r="8" spans="1:20" x14ac:dyDescent="0.35">
      <c r="A8" s="20"/>
      <c r="B8" s="83" t="s">
        <v>5219</v>
      </c>
      <c r="C8" s="75">
        <f>SUMIFS('MAIN DATA, Orders'!$N:$N,'MAIN DATA, Orders'!$H:$H,"Fighter aircraft",'MAIN DATA, Orders'!$D:$D,"Germany",'MAIN DATA, Orders'!$F:$F,C$6)</f>
        <v>38</v>
      </c>
      <c r="D8" s="75">
        <f>SUMIFS('MAIN DATA, Orders'!$N:$N,'MAIN DATA, Orders'!$H:$H,"Fighter aircraft",'MAIN DATA, Orders'!$D:$D,"Germany",'MAIN DATA, Orders'!$F:$F,D$6)</f>
        <v>0</v>
      </c>
      <c r="E8" s="75">
        <f>SUMIFS('MAIN DATA, Orders'!$N:$N,'MAIN DATA, Orders'!$H:$H,"Fighter aircraft",'MAIN DATA, Orders'!$D:$D,"Germany",'MAIN DATA, Orders'!$F:$F,E$6)</f>
        <v>35</v>
      </c>
      <c r="F8" s="75">
        <f>SUMIFS('MAIN DATA, Orders'!$N:$N,'MAIN DATA, Orders'!$H:$H,"Fighter aircraft",'MAIN DATA, Orders'!$D:$D,"Germany",'MAIN DATA, Orders'!$F:$F,F$6)</f>
        <v>0</v>
      </c>
      <c r="G8" s="75">
        <f>SUMIFS('MAIN DATA, Orders'!$N:$N,'MAIN DATA, Orders'!$H:$H,"Fighter aircraft",'MAIN DATA, Orders'!$D:$D,"Germany",'MAIN DATA, Orders'!$F:$F,G$6)</f>
        <v>0</v>
      </c>
      <c r="H8" s="75">
        <f>SUMIFS('MAIN DATA, Orders'!$N:$N,'MAIN DATA, Orders'!$H:$H,"Fighter aircraft",'MAIN DATA, Orders'!$D:$D,"Germany",'MAIN DATA, Orders'!$F:$F,H$6)</f>
        <v>20</v>
      </c>
      <c r="I8" s="75">
        <f>SUMIFS('MAIN DATA, Orders'!$N:$N,'MAIN DATA, Orders'!$H:$H,"Fighter aircraft",'MAIN DATA, Orders'!$D:$D,"Germany",'MAIN DATA, Orders'!$F:$F,I$6)</f>
        <v>0</v>
      </c>
      <c r="J8" s="128">
        <f>SUM(C8:H8)</f>
        <v>93</v>
      </c>
      <c r="K8" s="15"/>
      <c r="L8" s="15"/>
      <c r="M8" s="15"/>
      <c r="N8" s="15"/>
      <c r="O8" s="15"/>
      <c r="P8" s="15"/>
      <c r="Q8" s="15"/>
      <c r="R8" s="15"/>
      <c r="S8" s="15"/>
      <c r="T8" s="15"/>
    </row>
    <row r="9" spans="1:20" x14ac:dyDescent="0.35">
      <c r="B9" s="83" t="s">
        <v>5221</v>
      </c>
      <c r="C9" s="75">
        <f>SUMIFS('MAIN DATA, Orders'!$N:$N,'MAIN DATA, Orders'!$H:$H,"Main Battle Tank (MBT)",'MAIN DATA, Orders'!$D:$D,"Germany",'MAIN DATA, Orders'!$F:$F,C$6)</f>
        <v>0</v>
      </c>
      <c r="D9" s="75">
        <f>SUMIFS('MAIN DATA, Orders'!$N:$N,'MAIN DATA, Orders'!$H:$H,"Main Battle Tank (MBT)",'MAIN DATA, Orders'!$D:$D,"Germany",'MAIN DATA, Orders'!$F:$F,D$6)</f>
        <v>0</v>
      </c>
      <c r="E9" s="75">
        <f>SUMIFS('MAIN DATA, Orders'!$N:$N,'MAIN DATA, Orders'!$H:$H,"Main Battle Tank (MBT)",'MAIN DATA, Orders'!$D:$D,"Germany",'MAIN DATA, Orders'!$F:$F,E$6)</f>
        <v>0</v>
      </c>
      <c r="F9" s="75">
        <f>SUMIFS('MAIN DATA, Orders'!$N:$N,'MAIN DATA, Orders'!$H:$H,"Main Battle Tank (MBT)",'MAIN DATA, Orders'!$D:$D,"Germany",'MAIN DATA, Orders'!$F:$F,F$6)</f>
        <v>18</v>
      </c>
      <c r="G9" s="75">
        <f>SUMIFS('MAIN DATA, Orders'!$N:$N,'MAIN DATA, Orders'!$H:$H,"Main Battle Tank (MBT)",'MAIN DATA, Orders'!$D:$D,"Germany",'MAIN DATA, Orders'!$F:$F,G$6)</f>
        <v>105</v>
      </c>
      <c r="H9" s="75">
        <f>SUMIFS('MAIN DATA, Orders'!$N:$N,'MAIN DATA, Orders'!$H:$H,"Main Battle Tank (MBT)",'MAIN DATA, Orders'!$D:$D,"Germany",'MAIN DATA, Orders'!$F:$F,H$6)</f>
        <v>0</v>
      </c>
      <c r="I9" s="75">
        <f>SUMIFS('MAIN DATA, Orders'!$N:$N,'MAIN DATA, Orders'!$H:$H,"Main Battle Tank (MBT)",'MAIN DATA, Orders'!$D:$D,"Germany",'MAIN DATA, Orders'!$F:$F,I$6)</f>
        <v>0</v>
      </c>
      <c r="J9" s="128">
        <f t="shared" ref="J9:J13" si="0">SUM(C9:H9)</f>
        <v>123</v>
      </c>
    </row>
    <row r="10" spans="1:20" x14ac:dyDescent="0.35">
      <c r="B10" s="83" t="s">
        <v>5255</v>
      </c>
      <c r="C10" s="75">
        <f>SUMIFS('MAIN DATA, Orders'!$N:$N,'MAIN DATA, Orders'!$H:$H,"Infantry Fighting Vehicle (IFV)",'MAIN DATA, Orders'!$F:$F,C$6,'MAIN DATA, Orders'!$D:$D,"Germany")</f>
        <v>0</v>
      </c>
      <c r="D10" s="75">
        <f>SUMIFS('MAIN DATA, Orders'!$N:$N,'MAIN DATA, Orders'!$H:$H,"Infantry Fighting Vehicle (IFV)",'MAIN DATA, Orders'!$F:$F,D$6,'MAIN DATA, Orders'!$D:$D,"Germany")</f>
        <v>154</v>
      </c>
      <c r="E10" s="75">
        <f>SUMIFS('MAIN DATA, Orders'!$N:$N,'MAIN DATA, Orders'!$H:$H,"Infantry Fighting Vehicle (IFV)",'MAIN DATA, Orders'!$F:$F,E$6,'MAIN DATA, Orders'!$D:$D,"Germany")</f>
        <v>143</v>
      </c>
      <c r="F10" s="75">
        <f>SUMIFS('MAIN DATA, Orders'!$N:$N,'MAIN DATA, Orders'!$H:$H,"Infantry Fighting Vehicle (IFV)",'MAIN DATA, Orders'!$F:$F,F$6,'MAIN DATA, Orders'!$D:$D,"Germany")</f>
        <v>50</v>
      </c>
      <c r="G10" s="75">
        <f>SUMIFS('MAIN DATA, Orders'!$N:$N,'MAIN DATA, Orders'!$H:$H,"Infantry Fighting Vehicle (IFV)",'MAIN DATA, Orders'!$F:$F,G$6,'MAIN DATA, Orders'!$D:$D,"Germany")</f>
        <v>0</v>
      </c>
      <c r="H10" s="75">
        <f>SUMIFS('MAIN DATA, Orders'!$N:$N,'MAIN DATA, Orders'!$H:$H,"Infantry Fighting Vehicle (IFV)",'MAIN DATA, Orders'!$F:$F,H$6,'MAIN DATA, Orders'!$D:$D,"Germany")</f>
        <v>550</v>
      </c>
      <c r="I10" s="75">
        <f>SUMIFS('MAIN DATA, Orders'!$N:$N,'MAIN DATA, Orders'!$H:$H,"Infantry Fighting Vehicle (IFV)",'MAIN DATA, Orders'!$F:$F,I$6,'MAIN DATA, Orders'!$D:$D,"Germany")</f>
        <v>0</v>
      </c>
      <c r="J10" s="128">
        <f t="shared" si="0"/>
        <v>897</v>
      </c>
    </row>
    <row r="11" spans="1:20" x14ac:dyDescent="0.35">
      <c r="B11" s="83" t="s">
        <v>5256</v>
      </c>
      <c r="C11" s="127" cm="1">
        <f t="array" ref="C11">SUM(SUMIFS('MAIN DATA, Orders'!$N:$N,'MAIN DATA, Orders'!$H:$H,{"Special forces vehicle","Armoured personnel carrier (APC)","All-terrain vehicle","Light air assault vehicle","Infantry mobility vehicle"},'MAIN DATA, Orders'!$F:$F,C$6,'MAIN DATA, Orders'!$D:$D,"Germany"))</f>
        <v>0</v>
      </c>
      <c r="D11" s="127" cm="1">
        <f t="array" ref="D11">SUM(SUMIFS('MAIN DATA, Orders'!$N:$N,'MAIN DATA, Orders'!$H:$H,{"Special forces vehicle","Armoured personnel carrier (APC)","All-terrain vehicle","Light air assault vehicle","Infantry mobility vehicle"},'MAIN DATA, Orders'!$F:$F,D$6,'MAIN DATA, Orders'!$D:$D,"Germany"))</f>
        <v>16</v>
      </c>
      <c r="E11" s="127" cm="1">
        <f t="array" ref="E11">SUM(SUMIFS('MAIN DATA, Orders'!$N:$N,'MAIN DATA, Orders'!$H:$H,{"Special forces vehicle","Armoured personnel carrier (APC)","All-terrain vehicle","Light air assault vehicle","Infantry mobility vehicle"},'MAIN DATA, Orders'!$F:$F,E$6,'MAIN DATA, Orders'!$D:$D,"Germany"))</f>
        <v>140</v>
      </c>
      <c r="F11" s="127" cm="1">
        <f t="array" ref="F11">SUM(SUMIFS('MAIN DATA, Orders'!$N:$N,'MAIN DATA, Orders'!$H:$H,{"Special forces vehicle","Armoured personnel carrier (APC)","All-terrain vehicle","Light air assault vehicle","Infantry mobility vehicle"},'MAIN DATA, Orders'!$F:$F,F$6,'MAIN DATA, Orders'!$D:$D,"Germany"))</f>
        <v>1785</v>
      </c>
      <c r="G11" s="127" cm="1">
        <f t="array" ref="G11">SUM(SUMIFS('MAIN DATA, Orders'!$N:$N,'MAIN DATA, Orders'!$H:$H,{"Special forces vehicle","Armoured personnel carrier (APC)","All-terrain vehicle","Light air assault vehicle","Infantry mobility vehicle"},'MAIN DATA, Orders'!$F:$F,G$6,'MAIN DATA, Orders'!$D:$D,"Germany"))</f>
        <v>65</v>
      </c>
      <c r="H11" s="127" cm="1">
        <f t="array" ref="H11">SUM(SUMIFS('MAIN DATA, Orders'!$N:$N,'MAIN DATA, Orders'!$H:$H,{"Special forces vehicle","Armoured personnel carrier (APC)","All-terrain vehicle","Light air assault vehicle","Infantry mobility vehicle"},'MAIN DATA, Orders'!$F:$F,H$6,'MAIN DATA, Orders'!$D:$D,"Germany"))</f>
        <v>530</v>
      </c>
      <c r="I11" s="127" cm="1">
        <f t="array" ref="I11">SUM(SUMIFS('MAIN DATA, Orders'!$N:$N,'MAIN DATA, Orders'!$H:$H,{"Special forces vehicle","Armoured personnel carrier (APC)","All-terrain vehicle","Light air assault vehicle","Infantry mobility vehicle"},'MAIN DATA, Orders'!$F:$F,I$6,'MAIN DATA, Orders'!$D:$D,"Germany"))</f>
        <v>0</v>
      </c>
      <c r="J11" s="128">
        <f t="shared" si="0"/>
        <v>2536</v>
      </c>
    </row>
    <row r="12" spans="1:20" x14ac:dyDescent="0.35">
      <c r="B12" s="83" t="s">
        <v>5223</v>
      </c>
      <c r="C12" s="75">
        <f>SUMIFS('MAIN DATA, Orders'!$N:$N,'MAIN DATA, Orders'!$H:$H,"155mm howitzer",'MAIN DATA, Orders'!$F:$F,C$6,'MAIN DATA, Orders'!$D:$D,"Germany")</f>
        <v>0</v>
      </c>
      <c r="D12" s="75">
        <f>SUMIFS('MAIN DATA, Orders'!$N:$N,'MAIN DATA, Orders'!$H:$H,"155mm howitzer",'MAIN DATA, Orders'!$F:$F,D$6,'MAIN DATA, Orders'!$D:$D,"Germany")</f>
        <v>0</v>
      </c>
      <c r="E12" s="75">
        <f>SUMIFS('MAIN DATA, Orders'!$N:$N,'MAIN DATA, Orders'!$H:$H,"155mm howitzer",'MAIN DATA, Orders'!$F:$F,E$6,'MAIN DATA, Orders'!$D:$D,"Germany")</f>
        <v>0</v>
      </c>
      <c r="F12" s="75">
        <f>SUMIFS('MAIN DATA, Orders'!$N:$N,'MAIN DATA, Orders'!$H:$H,"155mm howitzer",'MAIN DATA, Orders'!$F:$F,F$6,'MAIN DATA, Orders'!$D:$D,"Germany")</f>
        <v>22</v>
      </c>
      <c r="G12" s="75">
        <f>SUMIFS('MAIN DATA, Orders'!$N:$N,'MAIN DATA, Orders'!$H:$H,"155mm howitzer",'MAIN DATA, Orders'!$F:$F,G$6,'MAIN DATA, Orders'!$D:$D,"Germany")</f>
        <v>0</v>
      </c>
      <c r="H12" s="75">
        <f>SUMIFS('MAIN DATA, Orders'!$N:$N,'MAIN DATA, Orders'!$H:$H,"155mm howitzer",'MAIN DATA, Orders'!$F:$F,H$6,'MAIN DATA, Orders'!$D:$D,"Germany")</f>
        <v>84</v>
      </c>
      <c r="I12" s="75">
        <f>SUMIFS('MAIN DATA, Orders'!$N:$N,'MAIN DATA, Orders'!$H:$H,"155mm howitzer",'MAIN DATA, Orders'!$F:$F,I$6,'MAIN DATA, Orders'!$D:$D,"Germany")</f>
        <v>0</v>
      </c>
      <c r="J12" s="128">
        <f t="shared" si="0"/>
        <v>106</v>
      </c>
    </row>
    <row r="13" spans="1:20" x14ac:dyDescent="0.35">
      <c r="B13" s="65" t="s">
        <v>5257</v>
      </c>
      <c r="C13" s="77">
        <f>SUMIFS('MAIN DATA, Orders'!$N:$N,'MAIN DATA, Orders'!$I:$I,"Air defence system",'MAIN DATA, Orders'!$G:$G,"&lt;&gt;Cryptographic and radio device for Patriot system",'MAIN DATA, Orders'!$G:$G,"&lt;&gt;Skyranger", 'MAIN DATA, Orders'!$G:$G,"&lt;&gt;Patriot air defence launcher conversion kit",'MAIN DATA, Orders'!$F:$F,C$6,'MAIN DATA, Orders'!$D:$D,"Germany")</f>
        <v>0</v>
      </c>
      <c r="D13" s="77">
        <f>SUMIFS('MAIN DATA, Orders'!$N:$N,'MAIN DATA, Orders'!$I:$I,"Air defence system",'MAIN DATA, Orders'!$G:$G,"&lt;&gt;Cryptographic and radio device for Patriot system",'MAIN DATA, Orders'!$G:$G,"&lt;&gt;Skyranger", 'MAIN DATA, Orders'!$G:$G,"&lt;&gt;Patriot air defence launcher conversion kit",'MAIN DATA, Orders'!$F:$F,D$6,'MAIN DATA, Orders'!$D:$D,"Germany")</f>
        <v>0</v>
      </c>
      <c r="E13" s="77">
        <f>SUMIFS('MAIN DATA, Orders'!$N:$N,'MAIN DATA, Orders'!$I:$I,"Air defence system",'MAIN DATA, Orders'!$G:$G,"&lt;&gt;Cryptographic and radio device for Patriot system",'MAIN DATA, Orders'!$G:$G,"&lt;&gt;Skyranger", 'MAIN DATA, Orders'!$G:$G,"&lt;&gt;Patriot air defence launcher conversion kit",'MAIN DATA, Orders'!$F:$F,E$6,'MAIN DATA, Orders'!$D:$D,"Germany")</f>
        <v>0</v>
      </c>
      <c r="F13" s="77">
        <f>SUMIFS('MAIN DATA, Orders'!$N:$N,'MAIN DATA, Orders'!$I:$I,"Air defence system",'MAIN DATA, Orders'!$G:$G,"&lt;&gt;Cryptographic and radio device for Patriot system",'MAIN DATA, Orders'!$G:$G,"&lt;&gt;Skyranger", 'MAIN DATA, Orders'!$G:$G,"&lt;&gt;Patriot air defence launcher conversion kit",'MAIN DATA, Orders'!$F:$F,F$6,'MAIN DATA, Orders'!$D:$D,"Germany")</f>
        <v>7</v>
      </c>
      <c r="G13" s="77">
        <f>SUMIFS('MAIN DATA, Orders'!$N:$N,'MAIN DATA, Orders'!$I:$I,"Air defence system",'MAIN DATA, Orders'!$G:$G,"&lt;&gt;Cryptographic and radio device for Patriot system",'MAIN DATA, Orders'!$G:$G,"&lt;&gt;Skyranger", 'MAIN DATA, Orders'!$G:$G,"&lt;&gt;Patriot air defence launcher conversion kit",'MAIN DATA, Orders'!$F:$F,G$6,'MAIN DATA, Orders'!$D:$D,"Germany")</f>
        <v>8</v>
      </c>
      <c r="H13" s="77">
        <f>SUMIFS('MAIN DATA, Orders'!$N:$N,'MAIN DATA, Orders'!$I:$I,"Air defence system",'MAIN DATA, Orders'!$G:$G,"&lt;&gt;Cryptographic and radio device for Patriot system",'MAIN DATA, Orders'!$G:$G,"&lt;&gt;Skyranger", 'MAIN DATA, Orders'!$G:$G,"&lt;&gt;Patriot air defence launcher conversion kit",'MAIN DATA, Orders'!$F:$F,H$6,'MAIN DATA, Orders'!$D:$D,"Germany")</f>
        <v>0</v>
      </c>
      <c r="I13" s="77">
        <f>SUMIFS('MAIN DATA, Orders'!$N:$N,'MAIN DATA, Orders'!$I:$I,"Air defence system",'MAIN DATA, Orders'!$G:$G,"&lt;&gt;Cryptographic and radio device for Patriot system",'MAIN DATA, Orders'!$G:$G,"&lt;&gt;Skyranger", 'MAIN DATA, Orders'!$G:$G,"&lt;&gt;Patriot air defence launcher conversion kit",'MAIN DATA, Orders'!$F:$F,I$6,'MAIN DATA, Orders'!$D:$D,"Germany")</f>
        <v>0</v>
      </c>
      <c r="J13" s="129">
        <f t="shared" si="0"/>
        <v>15</v>
      </c>
    </row>
    <row r="14" spans="1:20" x14ac:dyDescent="0.35">
      <c r="B14" s="11" t="s">
        <v>238</v>
      </c>
    </row>
    <row r="15" spans="1:20" x14ac:dyDescent="0.35">
      <c r="B15" s="83" t="s">
        <v>5219</v>
      </c>
      <c r="C15" s="75">
        <f>SUMIFS('MAIN DATA, Orders'!$N:$N,'MAIN DATA, Orders'!$H:$H,"Fighter aircraft",'MAIN DATA, Orders'!$D:$D,"United Kingdom",'MAIN DATA, Orders'!$F:$F,C$6)</f>
        <v>0</v>
      </c>
      <c r="D15" s="75">
        <f>SUMIFS('MAIN DATA, Orders'!$N:$N,'MAIN DATA, Orders'!$H:$H,"Fighter aircraft",'MAIN DATA, Orders'!$D:$D,"United Kingdom",'MAIN DATA, Orders'!$F:$F,D$6)</f>
        <v>0</v>
      </c>
      <c r="E15" s="75">
        <f>SUMIFS('MAIN DATA, Orders'!$N:$N,'MAIN DATA, Orders'!$H:$H,"Fighter aircraft",'MAIN DATA, Orders'!$D:$D,"United Kingdom",'MAIN DATA, Orders'!$F:$F,E$6)</f>
        <v>0</v>
      </c>
      <c r="F15" s="75">
        <f>SUMIFS('MAIN DATA, Orders'!$N:$N,'MAIN DATA, Orders'!$H:$H,"Fighter aircraft",'MAIN DATA, Orders'!$D:$D,"United Kingdom",'MAIN DATA, Orders'!$F:$F,F$6)</f>
        <v>0</v>
      </c>
      <c r="G15" s="75">
        <f>SUMIFS('MAIN DATA, Orders'!$N:$N,'MAIN DATA, Orders'!$H:$H,"Fighter aircraft",'MAIN DATA, Orders'!$D:$D,"United Kingdom",'MAIN DATA, Orders'!$F:$F,G$6)</f>
        <v>0</v>
      </c>
      <c r="H15" s="75">
        <f>SUMIFS('MAIN DATA, Orders'!$N:$N,'MAIN DATA, Orders'!$H:$H,"Fighter aircraft",'MAIN DATA, Orders'!$D:$D,"United Kingdom",'MAIN DATA, Orders'!$F:$F,H$6)</f>
        <v>12</v>
      </c>
      <c r="I15" s="75">
        <f>SUMIFS('MAIN DATA, Orders'!$N:$N,'MAIN DATA, Orders'!$H:$H,"Fighter aircraft",'MAIN DATA, Orders'!$D:$D,"United Kingdom",'MAIN DATA, Orders'!$F:$F,I$6)</f>
        <v>0</v>
      </c>
      <c r="J15" s="128">
        <f>SUM(C15:H15)</f>
        <v>12</v>
      </c>
    </row>
    <row r="16" spans="1:20" x14ac:dyDescent="0.35">
      <c r="B16" s="83" t="s">
        <v>5221</v>
      </c>
      <c r="C16" s="75">
        <f>SUMIFS('MAIN DATA, Orders'!$N:$N,'MAIN DATA, Orders'!$H:$H,"Main Battle Tank (MBT)",'MAIN DATA, Orders'!$D:$D,"United Kingdom",'MAIN DATA, Orders'!$F:$F,C$6)</f>
        <v>0</v>
      </c>
      <c r="D16" s="75">
        <f>SUMIFS('MAIN DATA, Orders'!$N:$N,'MAIN DATA, Orders'!$H:$H,"Main Battle Tank (MBT)",'MAIN DATA, Orders'!$D:$D,"United Kingdom",'MAIN DATA, Orders'!$F:$F,D$6)</f>
        <v>148</v>
      </c>
      <c r="E16" s="75">
        <f>SUMIFS('MAIN DATA, Orders'!$N:$N,'MAIN DATA, Orders'!$H:$H,"Main Battle Tank (MBT)",'MAIN DATA, Orders'!$D:$D,"United Kingdom",'MAIN DATA, Orders'!$F:$F,E$6)</f>
        <v>0</v>
      </c>
      <c r="F16" s="75">
        <f>SUMIFS('MAIN DATA, Orders'!$N:$N,'MAIN DATA, Orders'!$H:$H,"Main Battle Tank (MBT)",'MAIN DATA, Orders'!$D:$D,"United Kingdom",'MAIN DATA, Orders'!$F:$F,F$6)</f>
        <v>0</v>
      </c>
      <c r="G16" s="75">
        <f>SUMIFS('MAIN DATA, Orders'!$N:$N,'MAIN DATA, Orders'!$H:$H,"Main Battle Tank (MBT)",'MAIN DATA, Orders'!$D:$D,"United Kingdom",'MAIN DATA, Orders'!$F:$F,G$6)</f>
        <v>0</v>
      </c>
      <c r="H16" s="75">
        <f>SUMIFS('MAIN DATA, Orders'!$N:$N,'MAIN DATA, Orders'!$H:$H,"Main Battle Tank (MBT)",'MAIN DATA, Orders'!$D:$D,"United Kingdom",'MAIN DATA, Orders'!$F:$F,H$6)</f>
        <v>0</v>
      </c>
      <c r="I16" s="75">
        <f>SUMIFS('MAIN DATA, Orders'!$N:$N,'MAIN DATA, Orders'!$H:$H,"Main Battle Tank (MBT)",'MAIN DATA, Orders'!$D:$D,"United Kingdom",'MAIN DATA, Orders'!$F:$F,I$6)</f>
        <v>0</v>
      </c>
      <c r="J16" s="128">
        <f t="shared" ref="J16:J20" si="1">SUM(C16:H16)</f>
        <v>148</v>
      </c>
    </row>
    <row r="17" spans="2:10" x14ac:dyDescent="0.35">
      <c r="B17" s="83" t="s">
        <v>5255</v>
      </c>
      <c r="C17" s="75">
        <f>SUMIFS('MAIN DATA, Orders'!$N:$N,'MAIN DATA, Orders'!$H:$H,"Infantry Fighting Vehicle (IFV)",'MAIN DATA, Orders'!$F:$F,C$6,'MAIN DATA, Orders'!$D:$D,"United Kingdom")</f>
        <v>0</v>
      </c>
      <c r="D17" s="75">
        <f>SUMIFS('MAIN DATA, Orders'!$N:$N,'MAIN DATA, Orders'!$H:$H,"Infantry Fighting Vehicle (IFV)",'MAIN DATA, Orders'!$F:$F,D$6,'MAIN DATA, Orders'!$D:$D,"United Kingdom")</f>
        <v>0</v>
      </c>
      <c r="E17" s="75">
        <f>SUMIFS('MAIN DATA, Orders'!$N:$N,'MAIN DATA, Orders'!$H:$H,"Infantry Fighting Vehicle (IFV)",'MAIN DATA, Orders'!$F:$F,E$6,'MAIN DATA, Orders'!$D:$D,"United Kingdom")</f>
        <v>0</v>
      </c>
      <c r="F17" s="75">
        <f>SUMIFS('MAIN DATA, Orders'!$N:$N,'MAIN DATA, Orders'!$H:$H,"Infantry Fighting Vehicle (IFV)",'MAIN DATA, Orders'!$F:$F,F$6,'MAIN DATA, Orders'!$D:$D,"United Kingdom")</f>
        <v>0</v>
      </c>
      <c r="G17" s="75">
        <f>SUMIFS('MAIN DATA, Orders'!$N:$N,'MAIN DATA, Orders'!$H:$H,"Infantry Fighting Vehicle (IFV)",'MAIN DATA, Orders'!$F:$F,G$6,'MAIN DATA, Orders'!$D:$D,"United Kingdom")</f>
        <v>0</v>
      </c>
      <c r="H17" s="75">
        <f>SUMIFS('MAIN DATA, Orders'!$N:$N,'MAIN DATA, Orders'!$H:$H,"Infantry Fighting Vehicle (IFV)",'MAIN DATA, Orders'!$F:$F,H$6,'MAIN DATA, Orders'!$D:$D,"United Kingdom")</f>
        <v>0</v>
      </c>
      <c r="I17" s="75">
        <f>SUMIFS('MAIN DATA, Orders'!$N:$N,'MAIN DATA, Orders'!$H:$H,"Infantry Fighting Vehicle (IFV)",'MAIN DATA, Orders'!$F:$F,I$6,'MAIN DATA, Orders'!$D:$D,"United Kingdom")</f>
        <v>0</v>
      </c>
      <c r="J17" s="128">
        <f t="shared" si="1"/>
        <v>0</v>
      </c>
    </row>
    <row r="18" spans="2:10" x14ac:dyDescent="0.35">
      <c r="B18" s="83" t="s">
        <v>5256</v>
      </c>
      <c r="C18" s="75">
        <f>SUMIFS('MAIN DATA, Orders'!$N:$N,'MAIN DATA, Orders'!$I:$I,"Armoured vehicle",'MAIN DATA, Orders'!$F:$F,C$6,'MAIN DATA, Orders'!$D:$D,"United Kingdom")</f>
        <v>0</v>
      </c>
      <c r="D18" s="75">
        <f>SUMIFS('MAIN DATA, Orders'!$N:$N,'MAIN DATA, Orders'!$I:$I,"Armoured vehicle",'MAIN DATA, Orders'!$F:$F,D$6,'MAIN DATA, Orders'!$D:$D,"United Kingdom")</f>
        <v>0</v>
      </c>
      <c r="E18" s="75">
        <f>SUMIFS('MAIN DATA, Orders'!$N:$N,'MAIN DATA, Orders'!$I:$I,"Armoured vehicle",'MAIN DATA, Orders'!$F:$F,E$6,'MAIN DATA, Orders'!$D:$D,"United Kingdom")</f>
        <v>60</v>
      </c>
      <c r="F18" s="75">
        <f>SUMIFS('MAIN DATA, Orders'!$N:$N,'MAIN DATA, Orders'!$I:$I,"Armoured vehicle",'MAIN DATA, Orders'!$F:$F,F$6,'MAIN DATA, Orders'!$D:$D,"United Kingdom")</f>
        <v>70</v>
      </c>
      <c r="G18" s="75">
        <f>SUMIFS('MAIN DATA, Orders'!$N:$N,'MAIN DATA, Orders'!$I:$I,"Armoured vehicle",'MAIN DATA, Orders'!$F:$F,G$6,'MAIN DATA, Orders'!$D:$D,"United Kingdom")</f>
        <v>500</v>
      </c>
      <c r="H18" s="75">
        <f>SUMIFS('MAIN DATA, Orders'!$N:$N,'MAIN DATA, Orders'!$I:$I,"Armoured vehicle",'MAIN DATA, Orders'!$F:$F,H$6,'MAIN DATA, Orders'!$D:$D,"United Kingdom")</f>
        <v>50</v>
      </c>
      <c r="I18" s="75">
        <f>SUMIFS('MAIN DATA, Orders'!$N:$N,'MAIN DATA, Orders'!$I:$I,"Armoured vehicle",'MAIN DATA, Orders'!$F:$F,I$6,'MAIN DATA, Orders'!$D:$D,"United Kingdom")</f>
        <v>0</v>
      </c>
      <c r="J18" s="128">
        <f t="shared" si="1"/>
        <v>680</v>
      </c>
    </row>
    <row r="19" spans="2:10" x14ac:dyDescent="0.35">
      <c r="B19" s="83" t="s">
        <v>5223</v>
      </c>
      <c r="C19" s="75">
        <f>SUMIFS('MAIN DATA, Orders'!$N:$N,'MAIN DATA, Orders'!$H:$H,"155mm howitzer",'MAIN DATA, Orders'!$F:$F,C$6,'MAIN DATA, Orders'!$D:$D,"United Kingdom")</f>
        <v>0</v>
      </c>
      <c r="D19" s="75">
        <f>SUMIFS('MAIN DATA, Orders'!$N:$N,'MAIN DATA, Orders'!$H:$H,"155mm howitzer",'MAIN DATA, Orders'!$F:$F,D$6,'MAIN DATA, Orders'!$D:$D,"United Kingdom")</f>
        <v>0</v>
      </c>
      <c r="E19" s="75">
        <f>SUMIFS('MAIN DATA, Orders'!$N:$N,'MAIN DATA, Orders'!$H:$H,"155mm howitzer",'MAIN DATA, Orders'!$F:$F,E$6,'MAIN DATA, Orders'!$D:$D,"United Kingdom")</f>
        <v>0</v>
      </c>
      <c r="F19" s="75">
        <f>SUMIFS('MAIN DATA, Orders'!$N:$N,'MAIN DATA, Orders'!$H:$H,"155mm howitzer",'MAIN DATA, Orders'!$F:$F,F$6,'MAIN DATA, Orders'!$D:$D,"United Kingdom")</f>
        <v>14</v>
      </c>
      <c r="G19" s="75">
        <f>SUMIFS('MAIN DATA, Orders'!$N:$N,'MAIN DATA, Orders'!$H:$H,"155mm howitzer",'MAIN DATA, Orders'!$F:$F,G$6,'MAIN DATA, Orders'!$D:$D,"United Kingdom")</f>
        <v>0</v>
      </c>
      <c r="H19" s="75">
        <f>SUMIFS('MAIN DATA, Orders'!$N:$N,'MAIN DATA, Orders'!$H:$H,"155mm howitzer",'MAIN DATA, Orders'!$F:$F,H$6,'MAIN DATA, Orders'!$D:$D,"United Kingdom")</f>
        <v>1</v>
      </c>
      <c r="I19" s="75">
        <f>SUMIFS('MAIN DATA, Orders'!$N:$N,'MAIN DATA, Orders'!$H:$H,"155mm howitzer",'MAIN DATA, Orders'!$F:$F,I$6,'MAIN DATA, Orders'!$D:$D,"United Kingdom")</f>
        <v>0</v>
      </c>
      <c r="J19" s="128">
        <f t="shared" si="1"/>
        <v>15</v>
      </c>
    </row>
    <row r="20" spans="2:10" x14ac:dyDescent="0.35">
      <c r="B20" s="65" t="s">
        <v>5257</v>
      </c>
      <c r="C20" s="77">
        <f>SUMIFS('MAIN DATA, Orders'!$N:$N,'MAIN DATA, Orders'!$G:$G,"Gravehawk air defence system",'MAIN DATA, Orders'!$F:$F,C$6,'MAIN DATA, Orders'!$D:$D,"United Kingdom")</f>
        <v>0</v>
      </c>
      <c r="D20" s="77">
        <f>SUMIFS('MAIN DATA, Orders'!$N:$N,'MAIN DATA, Orders'!$G:$G,"Gravehawk air defence system",'MAIN DATA, Orders'!$F:$F,D$6,'MAIN DATA, Orders'!$D:$D,"United Kingdom")</f>
        <v>0</v>
      </c>
      <c r="E20" s="77">
        <f>SUMIFS('MAIN DATA, Orders'!$N:$N,'MAIN DATA, Orders'!$G:$G,"Gravehawk air defence system",'MAIN DATA, Orders'!$F:$F,E$6,'MAIN DATA, Orders'!$D:$D,"United Kingdom")</f>
        <v>0</v>
      </c>
      <c r="F20" s="77">
        <f>SUMIFS('MAIN DATA, Orders'!$N:$N,'MAIN DATA, Orders'!$G:$G,"Gravehawk air defence system",'MAIN DATA, Orders'!$F:$F,F$6,'MAIN DATA, Orders'!$D:$D,"United Kingdom")</f>
        <v>0</v>
      </c>
      <c r="G20" s="77">
        <f>SUMIFS('MAIN DATA, Orders'!$N:$N,'MAIN DATA, Orders'!$G:$G,"Gravehawk air defence system",'MAIN DATA, Orders'!$F:$F,G$6,'MAIN DATA, Orders'!$D:$D,"United Kingdom")</f>
        <v>0</v>
      </c>
      <c r="H20" s="77">
        <f>SUMIFS('MAIN DATA, Orders'!$N:$N,'MAIN DATA, Orders'!$G:$G,"Gravehawk air defence system",'MAIN DATA, Orders'!$F:$F,H$6,'MAIN DATA, Orders'!$D:$D,"United Kingdom")</f>
        <v>15</v>
      </c>
      <c r="I20" s="77">
        <f>SUMIFS('MAIN DATA, Orders'!$N:$N,'MAIN DATA, Orders'!$G:$G,"Gravehawk air defence system",'MAIN DATA, Orders'!$F:$F,I$6,'MAIN DATA, Orders'!$D:$D,"United Kingdom")</f>
        <v>0</v>
      </c>
      <c r="J20" s="129">
        <f t="shared" si="1"/>
        <v>15</v>
      </c>
    </row>
    <row r="21" spans="2:10" x14ac:dyDescent="0.35">
      <c r="B21" s="11" t="s">
        <v>3272</v>
      </c>
      <c r="C21" s="15"/>
      <c r="D21" s="15"/>
      <c r="E21" s="15"/>
      <c r="F21" s="15"/>
    </row>
    <row r="22" spans="2:10" x14ac:dyDescent="0.35">
      <c r="B22" s="83" t="s">
        <v>5219</v>
      </c>
      <c r="C22" s="75">
        <f>SUMIFS('MAIN DATA, Orders'!$N:$N,'MAIN DATA, Orders'!$H:$H,"Fighter aircraft",'MAIN DATA, Orders'!$D:$D,"Poland",'MAIN DATA, Orders'!$F:$F,C$6)</f>
        <v>32</v>
      </c>
      <c r="D22" s="75">
        <f>SUMIFS('MAIN DATA, Orders'!$N:$N,'MAIN DATA, Orders'!$H:$H,"Fighter aircraft",'MAIN DATA, Orders'!$D:$D,"Poland",'MAIN DATA, Orders'!$F:$F,D$6)</f>
        <v>0</v>
      </c>
      <c r="E22" s="75">
        <f>SUMIFS('MAIN DATA, Orders'!$N:$N,'MAIN DATA, Orders'!$H:$H,"Fighter aircraft",'MAIN DATA, Orders'!$D:$D,"Poland",'MAIN DATA, Orders'!$F:$F,E$6)</f>
        <v>48</v>
      </c>
      <c r="F22" s="75">
        <f>SUMIFS('MAIN DATA, Orders'!$N:$N,'MAIN DATA, Orders'!$H:$H,"Fighter aircraft",'MAIN DATA, Orders'!$D:$D,"Poland",'MAIN DATA, Orders'!$F:$F,F$6)</f>
        <v>0</v>
      </c>
      <c r="G22" s="75">
        <f>SUMIFS('MAIN DATA, Orders'!$N:$N,'MAIN DATA, Orders'!$H:$H,"Fighter aircraft",'MAIN DATA, Orders'!$D:$D,"Poland",'MAIN DATA, Orders'!$F:$F,G$6)</f>
        <v>0</v>
      </c>
      <c r="H22" s="75">
        <f>SUMIFS('MAIN DATA, Orders'!$N:$N,'MAIN DATA, Orders'!$H:$H,"Fighter aircraft",'MAIN DATA, Orders'!$D:$D,"Poland",'MAIN DATA, Orders'!$F:$F,H$6)</f>
        <v>0</v>
      </c>
      <c r="I22" s="75">
        <f>SUMIFS('MAIN DATA, Orders'!$N:$N,'MAIN DATA, Orders'!$H:$H,"Fighter aircraft",'MAIN DATA, Orders'!$D:$D,"Poland",'MAIN DATA, Orders'!$F:$F,I$6)</f>
        <v>0</v>
      </c>
      <c r="J22" s="128">
        <f>SUM(C22:H22)</f>
        <v>80</v>
      </c>
    </row>
    <row r="23" spans="2:10" x14ac:dyDescent="0.35">
      <c r="B23" s="83" t="s">
        <v>5221</v>
      </c>
      <c r="C23" s="75">
        <f>SUMIFS('MAIN DATA, Orders'!$N:$N,'MAIN DATA, Orders'!$H:$H,"Main Battle Tank (MBT)",'MAIN DATA, Orders'!$D:$D,"Poland",'MAIN DATA, Orders'!$F:$F,C$6)</f>
        <v>0</v>
      </c>
      <c r="D23" s="75">
        <f>SUMIFS('MAIN DATA, Orders'!$N:$N,'MAIN DATA, Orders'!$H:$H,"Main Battle Tank (MBT)",'MAIN DATA, Orders'!$D:$D,"Poland",'MAIN DATA, Orders'!$F:$F,D$6)</f>
        <v>250</v>
      </c>
      <c r="E23" s="75">
        <f>SUMIFS('MAIN DATA, Orders'!$N:$N,'MAIN DATA, Orders'!$H:$H,"Main Battle Tank (MBT)",'MAIN DATA, Orders'!$D:$D,"Poland",'MAIN DATA, Orders'!$F:$F,E$6)</f>
        <v>180</v>
      </c>
      <c r="F23" s="75">
        <f>SUMIFS('MAIN DATA, Orders'!$N:$N,'MAIN DATA, Orders'!$H:$H,"Main Battle Tank (MBT)",'MAIN DATA, Orders'!$D:$D,"Poland",'MAIN DATA, Orders'!$F:$F,F$6)</f>
        <v>116</v>
      </c>
      <c r="G23" s="75">
        <f>SUMIFS('MAIN DATA, Orders'!$N:$N,'MAIN DATA, Orders'!$H:$H,"Main Battle Tank (MBT)",'MAIN DATA, Orders'!$D:$D,"Poland",'MAIN DATA, Orders'!$F:$F,G$6)</f>
        <v>0</v>
      </c>
      <c r="H23" s="75">
        <f>SUMIFS('MAIN DATA, Orders'!$N:$N,'MAIN DATA, Orders'!$H:$H,"Main Battle Tank (MBT)",'MAIN DATA, Orders'!$D:$D,"Poland",'MAIN DATA, Orders'!$F:$F,H$6)</f>
        <v>180</v>
      </c>
      <c r="I23" s="75">
        <f>SUMIFS('MAIN DATA, Orders'!$N:$N,'MAIN DATA, Orders'!$H:$H,"Main Battle Tank (MBT)",'MAIN DATA, Orders'!$D:$D,"Poland",'MAIN DATA, Orders'!$F:$F,I$6)</f>
        <v>0</v>
      </c>
      <c r="J23" s="128">
        <f t="shared" ref="J23:J27" si="2">SUM(C23:H23)</f>
        <v>726</v>
      </c>
    </row>
    <row r="24" spans="2:10" x14ac:dyDescent="0.35">
      <c r="B24" s="83" t="s">
        <v>5255</v>
      </c>
      <c r="C24" s="75">
        <f>SUMIFS('MAIN DATA, Orders'!$N:$N,'MAIN DATA, Orders'!$H:$H,"Infantry Fighting Vehicle (IFV)",'MAIN DATA, Orders'!$F:$F,C$6,'MAIN DATA, Orders'!$D:$D,"Poland")</f>
        <v>0</v>
      </c>
      <c r="D24" s="75">
        <f>SUMIFS('MAIN DATA, Orders'!$N:$N,'MAIN DATA, Orders'!$H:$H,"Infantry Fighting Vehicle (IFV)",'MAIN DATA, Orders'!$F:$F,D$6,'MAIN DATA, Orders'!$D:$D,"Poland")</f>
        <v>0</v>
      </c>
      <c r="E24" s="75">
        <f>SUMIFS('MAIN DATA, Orders'!$N:$N,'MAIN DATA, Orders'!$H:$H,"Infantry Fighting Vehicle (IFV)",'MAIN DATA, Orders'!$F:$F,E$6,'MAIN DATA, Orders'!$D:$D,"Poland")</f>
        <v>0</v>
      </c>
      <c r="F24" s="75">
        <f>SUMIFS('MAIN DATA, Orders'!$N:$N,'MAIN DATA, Orders'!$H:$H,"Infantry Fighting Vehicle (IFV)",'MAIN DATA, Orders'!$F:$F,F$6,'MAIN DATA, Orders'!$D:$D,"Poland")</f>
        <v>0</v>
      </c>
      <c r="G24" s="75">
        <f>SUMIFS('MAIN DATA, Orders'!$N:$N,'MAIN DATA, Orders'!$H:$H,"Infantry Fighting Vehicle (IFV)",'MAIN DATA, Orders'!$F:$F,G$6,'MAIN DATA, Orders'!$D:$D,"Poland")</f>
        <v>0</v>
      </c>
      <c r="H24" s="75">
        <f>SUMIFS('MAIN DATA, Orders'!$N:$N,'MAIN DATA, Orders'!$H:$H,"Infantry Fighting Vehicle (IFV)",'MAIN DATA, Orders'!$F:$F,H$6,'MAIN DATA, Orders'!$D:$D,"Poland")</f>
        <v>111</v>
      </c>
      <c r="I24" s="75">
        <f>SUMIFS('MAIN DATA, Orders'!$N:$N,'MAIN DATA, Orders'!$H:$H,"Infantry Fighting Vehicle (IFV)",'MAIN DATA, Orders'!$F:$F,I$6,'MAIN DATA, Orders'!$D:$D,"Poland")</f>
        <v>0</v>
      </c>
      <c r="J24" s="128">
        <f t="shared" si="2"/>
        <v>111</v>
      </c>
    </row>
    <row r="25" spans="2:10" x14ac:dyDescent="0.35">
      <c r="B25" s="83" t="s">
        <v>5256</v>
      </c>
      <c r="C25" s="75">
        <f>SUMIFS('MAIN DATA, Orders'!$N:$N,'MAIN DATA, Orders'!$I:$I,"Armoured vehicle",'MAIN DATA, Orders'!$H:$H,"&lt;&gt;Infantry Fighting Vehicle (IFV)",'MAIN DATA, Orders'!$F:$F,C$6,'MAIN DATA, Orders'!$D:$D,"Poland")</f>
        <v>0</v>
      </c>
      <c r="D25" s="75">
        <f>SUMIFS('MAIN DATA, Orders'!$N:$N,'MAIN DATA, Orders'!$I:$I,"Armoured vehicle",'MAIN DATA, Orders'!$H:$H,"&lt;&gt;Infantry Fighting Vehicle (IFV)",'MAIN DATA, Orders'!$F:$F,D$6,'MAIN DATA, Orders'!$D:$D,"Poland")</f>
        <v>0</v>
      </c>
      <c r="E25" s="75">
        <f>SUMIFS('MAIN DATA, Orders'!$N:$N,'MAIN DATA, Orders'!$I:$I,"Armoured vehicle",'MAIN DATA, Orders'!$H:$H,"&lt;&gt;Infantry Fighting Vehicle (IFV)",'MAIN DATA, Orders'!$F:$F,E$6,'MAIN DATA, Orders'!$D:$D,"Poland")</f>
        <v>70</v>
      </c>
      <c r="F25" s="75">
        <f>SUMIFS('MAIN DATA, Orders'!$N:$N,'MAIN DATA, Orders'!$I:$I,"Armoured vehicle",'MAIN DATA, Orders'!$H:$H,"&lt;&gt;Infantry Fighting Vehicle (IFV)",'MAIN DATA, Orders'!$F:$F,F$6,'MAIN DATA, Orders'!$D:$D,"Poland")</f>
        <v>400</v>
      </c>
      <c r="G25" s="75">
        <f>SUMIFS('MAIN DATA, Orders'!$N:$N,'MAIN DATA, Orders'!$I:$I,"Armoured vehicle",'MAIN DATA, Orders'!$H:$H,"&lt;&gt;Infantry Fighting Vehicle (IFV)",'MAIN DATA, Orders'!$F:$F,G$6,'MAIN DATA, Orders'!$D:$D,"Poland")</f>
        <v>166</v>
      </c>
      <c r="H25" s="75">
        <f>SUMIFS('MAIN DATA, Orders'!$N:$N,'MAIN DATA, Orders'!$I:$I,"Armoured vehicle",'MAIN DATA, Orders'!$H:$H,"&lt;&gt;Infantry Fighting Vehicle (IFV)",'MAIN DATA, Orders'!$F:$F,H$6,'MAIN DATA, Orders'!$D:$D,"Poland")</f>
        <v>1303</v>
      </c>
      <c r="I25" s="75">
        <f>SUMIFS('MAIN DATA, Orders'!$N:$N,'MAIN DATA, Orders'!$I:$I,"Armoured vehicle",'MAIN DATA, Orders'!$H:$H,"&lt;&gt;Infantry Fighting Vehicle (IFV)",'MAIN DATA, Orders'!$F:$F,I$6,'MAIN DATA, Orders'!$D:$D,"Poland")</f>
        <v>0</v>
      </c>
      <c r="J25" s="128">
        <f t="shared" si="2"/>
        <v>1939</v>
      </c>
    </row>
    <row r="26" spans="2:10" x14ac:dyDescent="0.35">
      <c r="B26" s="83" t="s">
        <v>5223</v>
      </c>
      <c r="C26" s="75">
        <f>SUMIFS('MAIN DATA, Orders'!$N:$N,'MAIN DATA, Orders'!$H:$H,"155mm howitzer",'MAIN DATA, Orders'!$F:$F,C$6,'MAIN DATA, Orders'!$D:$D,"Poland")</f>
        <v>0</v>
      </c>
      <c r="D26" s="75">
        <f>SUMIFS('MAIN DATA, Orders'!$N:$N,'MAIN DATA, Orders'!$H:$H,"155mm howitzer",'MAIN DATA, Orders'!$F:$F,D$6,'MAIN DATA, Orders'!$D:$D,"Poland")</f>
        <v>0</v>
      </c>
      <c r="E26" s="75">
        <f>SUMIFS('MAIN DATA, Orders'!$N:$N,'MAIN DATA, Orders'!$H:$H,"155mm howitzer",'MAIN DATA, Orders'!$F:$F,E$6,'MAIN DATA, Orders'!$D:$D,"Poland")</f>
        <v>260</v>
      </c>
      <c r="F26" s="75">
        <f>SUMIFS('MAIN DATA, Orders'!$N:$N,'MAIN DATA, Orders'!$H:$H,"155mm howitzer",'MAIN DATA, Orders'!$F:$F,F$6,'MAIN DATA, Orders'!$D:$D,"Poland")</f>
        <v>152</v>
      </c>
      <c r="G26" s="75">
        <f>SUMIFS('MAIN DATA, Orders'!$N:$N,'MAIN DATA, Orders'!$H:$H,"155mm howitzer",'MAIN DATA, Orders'!$F:$F,G$6,'MAIN DATA, Orders'!$D:$D,"Poland")</f>
        <v>96</v>
      </c>
      <c r="H26" s="75">
        <f>SUMIFS('MAIN DATA, Orders'!$N:$N,'MAIN DATA, Orders'!$H:$H,"155mm howitzer",'MAIN DATA, Orders'!$F:$F,H$6,'MAIN DATA, Orders'!$D:$D,"Poland")</f>
        <v>0</v>
      </c>
      <c r="I26" s="75">
        <f>SUMIFS('MAIN DATA, Orders'!$N:$N,'MAIN DATA, Orders'!$H:$H,"155mm howitzer",'MAIN DATA, Orders'!$F:$F,I$6,'MAIN DATA, Orders'!$D:$D,"Poland")</f>
        <v>0</v>
      </c>
      <c r="J26" s="128">
        <f t="shared" si="2"/>
        <v>508</v>
      </c>
    </row>
    <row r="27" spans="2:10" x14ac:dyDescent="0.35">
      <c r="B27" s="65" t="s">
        <v>5257</v>
      </c>
      <c r="C27" s="77">
        <f>SUMIFS('MAIN DATA, Orders'!$N:$N,'MAIN DATA, Orders'!$G:$G,"Patriot/IBCS air defence battery",'MAIN DATA, Orders'!$F:$F,C$6,'MAIN DATA, Orders'!$D:$D,"Poland")</f>
        <v>0</v>
      </c>
      <c r="D27" s="77">
        <f>SUMIFS('MAIN DATA, Orders'!$N:$N,'MAIN DATA, Orders'!$G:$G,"Patriot/IBCS air defence battery",'MAIN DATA, Orders'!$F:$F,D$6,'MAIN DATA, Orders'!$D:$D,"Poland")</f>
        <v>0</v>
      </c>
      <c r="E27" s="77">
        <f>SUMIFS('MAIN DATA, Orders'!$N:$N,'MAIN DATA, Orders'!$G:$G,"Patriot/IBCS air defence battery",'MAIN DATA, Orders'!$F:$F,E$6,'MAIN DATA, Orders'!$D:$D,"Poland")</f>
        <v>0</v>
      </c>
      <c r="F27" s="77">
        <f>SUMIFS('MAIN DATA, Orders'!$N:$N,'MAIN DATA, Orders'!$G:$G,"Patriot/IBCS air defence battery",'MAIN DATA, Orders'!$F:$F,F$6,'MAIN DATA, Orders'!$D:$D,"Poland")</f>
        <v>6</v>
      </c>
      <c r="G27" s="77">
        <f>SUMIFS('MAIN DATA, Orders'!$N:$N,'MAIN DATA, Orders'!$G:$G,"Patriot/IBCS air defence battery",'MAIN DATA, Orders'!$F:$F,G$6,'MAIN DATA, Orders'!$D:$D,"Poland")</f>
        <v>0</v>
      </c>
      <c r="H27" s="77">
        <f>SUMIFS('MAIN DATA, Orders'!$N:$N,'MAIN DATA, Orders'!$G:$G,"Patriot/IBCS air defence battery",'MAIN DATA, Orders'!$F:$F,H$6,'MAIN DATA, Orders'!$D:$D,"Poland")</f>
        <v>0</v>
      </c>
      <c r="I27" s="77">
        <f>SUMIFS('MAIN DATA, Orders'!$N:$N,'MAIN DATA, Orders'!$G:$G,"Patriot/IBCS air defence battery",'MAIN DATA, Orders'!$F:$F,I$6,'MAIN DATA, Orders'!$D:$D,"Poland")</f>
        <v>0</v>
      </c>
      <c r="J27" s="129">
        <f t="shared" si="2"/>
        <v>6</v>
      </c>
    </row>
    <row r="28" spans="2:10" x14ac:dyDescent="0.35">
      <c r="B28" s="11" t="s">
        <v>151</v>
      </c>
    </row>
    <row r="29" spans="2:10" x14ac:dyDescent="0.35">
      <c r="B29" s="83" t="s">
        <v>5219</v>
      </c>
      <c r="C29" s="75">
        <f>SUMIFS('MAIN DATA, Orders'!$N:$N,'MAIN DATA, Orders'!$H:$H,"Fighter aircraft",'MAIN DATA, Orders'!$D:$D,"France",'MAIN DATA, Orders'!$F:$F,C$6)</f>
        <v>0</v>
      </c>
      <c r="D29" s="75">
        <f>SUMIFS('MAIN DATA, Orders'!$N:$N,'MAIN DATA, Orders'!$H:$H,"Fighter aircraft",'MAIN DATA, Orders'!$D:$D,"France",'MAIN DATA, Orders'!$F:$F,D$6)</f>
        <v>0</v>
      </c>
      <c r="E29" s="75">
        <f>SUMIFS('MAIN DATA, Orders'!$N:$N,'MAIN DATA, Orders'!$H:$H,"Fighter aircraft",'MAIN DATA, Orders'!$D:$D,"France",'MAIN DATA, Orders'!$F:$F,E$6)</f>
        <v>0</v>
      </c>
      <c r="F29" s="75">
        <f>SUMIFS('MAIN DATA, Orders'!$N:$N,'MAIN DATA, Orders'!$H:$H,"Fighter aircraft",'MAIN DATA, Orders'!$D:$D,"France",'MAIN DATA, Orders'!$F:$F,F$6)</f>
        <v>42</v>
      </c>
      <c r="G29" s="75">
        <f>SUMIFS('MAIN DATA, Orders'!$N:$N,'MAIN DATA, Orders'!$H:$H,"Fighter aircraft",'MAIN DATA, Orders'!$D:$D,"France",'MAIN DATA, Orders'!$F:$F,G$6)</f>
        <v>0</v>
      </c>
      <c r="H29" s="75">
        <f>SUMIFS('MAIN DATA, Orders'!$N:$N,'MAIN DATA, Orders'!$H:$H,"Fighter aircraft",'MAIN DATA, Orders'!$D:$D,"France",'MAIN DATA, Orders'!$F:$F,H$6)</f>
        <v>0</v>
      </c>
      <c r="I29" s="75">
        <f>SUMIFS('MAIN DATA, Orders'!$N:$N,'MAIN DATA, Orders'!$H:$H,"Fighter aircraft",'MAIN DATA, Orders'!$D:$D,"France",'MAIN DATA, Orders'!$F:$F,I$6)</f>
        <v>0</v>
      </c>
      <c r="J29" s="128">
        <f>SUM(C29:H29)</f>
        <v>42</v>
      </c>
    </row>
    <row r="30" spans="2:10" x14ac:dyDescent="0.35">
      <c r="B30" s="83" t="s">
        <v>5221</v>
      </c>
      <c r="C30" s="75">
        <f>SUMIFS('MAIN DATA, Orders'!$N:$N,'MAIN DATA, Orders'!$H:$H,"Main Battle Tank (MBT)",'MAIN DATA, Orders'!$D:$D,"France",'MAIN DATA, Orders'!$F:$F,C$6)</f>
        <v>0</v>
      </c>
      <c r="D30" s="75">
        <f>SUMIFS('MAIN DATA, Orders'!$N:$N,'MAIN DATA, Orders'!$H:$H,"Main Battle Tank (MBT)",'MAIN DATA, Orders'!$D:$D,"France",'MAIN DATA, Orders'!$F:$F,D$6)</f>
        <v>50</v>
      </c>
      <c r="E30" s="75">
        <f>SUMIFS('MAIN DATA, Orders'!$N:$N,'MAIN DATA, Orders'!$H:$H,"Main Battle Tank (MBT)",'MAIN DATA, Orders'!$D:$D,"France",'MAIN DATA, Orders'!$F:$F,E$6)</f>
        <v>50</v>
      </c>
      <c r="F30" s="75">
        <f>SUMIFS('MAIN DATA, Orders'!$N:$N,'MAIN DATA, Orders'!$H:$H,"Main Battle Tank (MBT)",'MAIN DATA, Orders'!$D:$D,"France",'MAIN DATA, Orders'!$F:$F,F$6)</f>
        <v>0</v>
      </c>
      <c r="G30" s="75">
        <f>SUMIFS('MAIN DATA, Orders'!$N:$N,'MAIN DATA, Orders'!$H:$H,"Main Battle Tank (MBT)",'MAIN DATA, Orders'!$D:$D,"France",'MAIN DATA, Orders'!$F:$F,G$6)</f>
        <v>100</v>
      </c>
      <c r="H30" s="75">
        <f>SUMIFS('MAIN DATA, Orders'!$N:$N,'MAIN DATA, Orders'!$H:$H,"Main Battle Tank (MBT)",'MAIN DATA, Orders'!$D:$D,"France",'MAIN DATA, Orders'!$F:$F,H$6)</f>
        <v>0</v>
      </c>
      <c r="I30" s="75">
        <f>SUMIFS('MAIN DATA, Orders'!$N:$N,'MAIN DATA, Orders'!$H:$H,"Main Battle Tank (MBT)",'MAIN DATA, Orders'!$D:$D,"France",'MAIN DATA, Orders'!$F:$F,I$6)</f>
        <v>0</v>
      </c>
      <c r="J30" s="128">
        <f t="shared" ref="J30:J34" si="3">SUM(C30:H30)</f>
        <v>200</v>
      </c>
    </row>
    <row r="31" spans="2:10" x14ac:dyDescent="0.35">
      <c r="B31" s="83" t="s">
        <v>5255</v>
      </c>
      <c r="C31" s="75">
        <f>SUMIFS('MAIN DATA, Orders'!$N:$N,'MAIN DATA, Orders'!$H:$H,"Infantry Fighting Vehicle (IFV)",'MAIN DATA, Orders'!$F:$F,C$6,'MAIN DATA, Orders'!$D:$D,"France")</f>
        <v>0</v>
      </c>
      <c r="D31" s="75">
        <f>SUMIFS('MAIN DATA, Orders'!$N:$N,'MAIN DATA, Orders'!$H:$H,"Infantry Fighting Vehicle (IFV)",'MAIN DATA, Orders'!$F:$F,D$6,'MAIN DATA, Orders'!$D:$D,"France")</f>
        <v>0</v>
      </c>
      <c r="E31" s="75">
        <f>SUMIFS('MAIN DATA, Orders'!$N:$N,'MAIN DATA, Orders'!$H:$H,"Infantry Fighting Vehicle (IFV)",'MAIN DATA, Orders'!$F:$F,E$6,'MAIN DATA, Orders'!$D:$D,"France")</f>
        <v>0</v>
      </c>
      <c r="F31" s="75">
        <f>SUMIFS('MAIN DATA, Orders'!$N:$N,'MAIN DATA, Orders'!$H:$H,"Infantry Fighting Vehicle (IFV)",'MAIN DATA, Orders'!$F:$F,F$6,'MAIN DATA, Orders'!$D:$D,"France")</f>
        <v>0</v>
      </c>
      <c r="G31" s="75">
        <f>SUMIFS('MAIN DATA, Orders'!$N:$N,'MAIN DATA, Orders'!$H:$H,"Infantry Fighting Vehicle (IFV)",'MAIN DATA, Orders'!$F:$F,G$6,'MAIN DATA, Orders'!$D:$D,"France")</f>
        <v>0</v>
      </c>
      <c r="H31" s="75">
        <f>SUMIFS('MAIN DATA, Orders'!$N:$N,'MAIN DATA, Orders'!$H:$H,"Infantry Fighting Vehicle (IFV)",'MAIN DATA, Orders'!$F:$F,H$6,'MAIN DATA, Orders'!$D:$D,"France")</f>
        <v>0</v>
      </c>
      <c r="I31" s="75">
        <f>SUMIFS('MAIN DATA, Orders'!$N:$N,'MAIN DATA, Orders'!$H:$H,"Infantry Fighting Vehicle (IFV)",'MAIN DATA, Orders'!$F:$F,I$6,'MAIN DATA, Orders'!$D:$D,"France")</f>
        <v>0</v>
      </c>
      <c r="J31" s="128">
        <f t="shared" si="3"/>
        <v>0</v>
      </c>
    </row>
    <row r="32" spans="2:10" x14ac:dyDescent="0.35">
      <c r="B32" s="83" t="s">
        <v>5256</v>
      </c>
      <c r="C32" s="75">
        <f>SUMIFS('MAIN DATA, Orders'!$N:$N,'MAIN DATA, Orders'!$I:$I,"Armoured vehicle",'MAIN DATA, Orders'!$F:$F,C$6,'MAIN DATA, Orders'!$D:$D,"France")</f>
        <v>677</v>
      </c>
      <c r="D32" s="75">
        <f>SUMIFS('MAIN DATA, Orders'!$N:$N,'MAIN DATA, Orders'!$I:$I,"Armoured vehicle",'MAIN DATA, Orders'!$F:$F,D$6,'MAIN DATA, Orders'!$D:$D,"France")</f>
        <v>120</v>
      </c>
      <c r="E32" s="75">
        <f>SUMIFS('MAIN DATA, Orders'!$N:$N,'MAIN DATA, Orders'!$I:$I,"Armoured vehicle",'MAIN DATA, Orders'!$F:$F,E$6,'MAIN DATA, Orders'!$D:$D,"France")</f>
        <v>564</v>
      </c>
      <c r="F32" s="75">
        <f>SUMIFS('MAIN DATA, Orders'!$N:$N,'MAIN DATA, Orders'!$I:$I,"Armoured vehicle",'MAIN DATA, Orders'!$F:$F,F$6,'MAIN DATA, Orders'!$D:$D,"France")</f>
        <v>442</v>
      </c>
      <c r="G32" s="75">
        <f>SUMIFS('MAIN DATA, Orders'!$N:$N,'MAIN DATA, Orders'!$I:$I,"Armoured vehicle",'MAIN DATA, Orders'!$F:$F,G$6,'MAIN DATA, Orders'!$D:$D,"France")</f>
        <v>515</v>
      </c>
      <c r="H32" s="75">
        <f>SUMIFS('MAIN DATA, Orders'!$N:$N,'MAIN DATA, Orders'!$I:$I,"Armoured vehicle",'MAIN DATA, Orders'!$F:$F,H$6,'MAIN DATA, Orders'!$D:$D,"France")</f>
        <v>120</v>
      </c>
      <c r="I32" s="75">
        <f>SUMIFS('MAIN DATA, Orders'!$N:$N,'MAIN DATA, Orders'!$I:$I,"Armoured vehicle",'MAIN DATA, Orders'!$F:$F,I$6,'MAIN DATA, Orders'!$D:$D,"France")</f>
        <v>0</v>
      </c>
      <c r="J32" s="128">
        <f t="shared" si="3"/>
        <v>2438</v>
      </c>
    </row>
    <row r="33" spans="2:10" x14ac:dyDescent="0.35">
      <c r="B33" s="83" t="s">
        <v>5223</v>
      </c>
      <c r="C33" s="75">
        <f>SUMIFS('MAIN DATA, Orders'!$N:$N,'MAIN DATA, Orders'!$H:$H,"155mm howitzer",'MAIN DATA, Orders'!$F:$F,C$6,'MAIN DATA, Orders'!$D:$D,"France")</f>
        <v>0</v>
      </c>
      <c r="D33" s="75">
        <f>SUMIFS('MAIN DATA, Orders'!$N:$N,'MAIN DATA, Orders'!$H:$H,"155mm howitzer",'MAIN DATA, Orders'!$F:$F,D$6,'MAIN DATA, Orders'!$D:$D,"France")</f>
        <v>0</v>
      </c>
      <c r="E33" s="75">
        <f>SUMIFS('MAIN DATA, Orders'!$N:$N,'MAIN DATA, Orders'!$H:$H,"155mm howitzer",'MAIN DATA, Orders'!$F:$F,E$6,'MAIN DATA, Orders'!$D:$D,"France")</f>
        <v>0</v>
      </c>
      <c r="F33" s="75">
        <f>SUMIFS('MAIN DATA, Orders'!$N:$N,'MAIN DATA, Orders'!$H:$H,"155mm howitzer",'MAIN DATA, Orders'!$F:$F,F$6,'MAIN DATA, Orders'!$D:$D,"France")</f>
        <v>127</v>
      </c>
      <c r="G33" s="75">
        <f>SUMIFS('MAIN DATA, Orders'!$N:$N,'MAIN DATA, Orders'!$H:$H,"155mm howitzer",'MAIN DATA, Orders'!$F:$F,G$6,'MAIN DATA, Orders'!$D:$D,"France")</f>
        <v>0</v>
      </c>
      <c r="H33" s="75">
        <f>SUMIFS('MAIN DATA, Orders'!$N:$N,'MAIN DATA, Orders'!$H:$H,"155mm howitzer",'MAIN DATA, Orders'!$F:$F,H$6,'MAIN DATA, Orders'!$D:$D,"France")</f>
        <v>0</v>
      </c>
      <c r="I33" s="75">
        <f>SUMIFS('MAIN DATA, Orders'!$N:$N,'MAIN DATA, Orders'!$H:$H,"155mm howitzer",'MAIN DATA, Orders'!$F:$F,I$6,'MAIN DATA, Orders'!$D:$D,"France")</f>
        <v>0</v>
      </c>
      <c r="J33" s="128">
        <f t="shared" si="3"/>
        <v>127</v>
      </c>
    </row>
    <row r="34" spans="2:10" x14ac:dyDescent="0.35">
      <c r="B34" s="65" t="s">
        <v>5257</v>
      </c>
      <c r="C34" s="77">
        <f>SUMIFS('MAIN DATA, Orders'!$N:$N,'MAIN DATA, Orders'!$I:$I,"Air defence system",'MAIN DATA, Orders'!$F:$F,C$6,'MAIN DATA, Orders'!$D:$D,"France")</f>
        <v>0</v>
      </c>
      <c r="D34" s="77">
        <f>SUMIFS('MAIN DATA, Orders'!$N:$N,'MAIN DATA, Orders'!$I:$I,"Air defence system",'MAIN DATA, Orders'!$F:$F,D$6,'MAIN DATA, Orders'!$D:$D,"France")</f>
        <v>0</v>
      </c>
      <c r="E34" s="77">
        <f>SUMIFS('MAIN DATA, Orders'!$N:$N,'MAIN DATA, Orders'!$I:$I,"Air defence system",'MAIN DATA, Orders'!$F:$F,E$6,'MAIN DATA, Orders'!$D:$D,"France")</f>
        <v>0</v>
      </c>
      <c r="F34" s="77">
        <f>SUMIFS('MAIN DATA, Orders'!$N:$N,'MAIN DATA, Orders'!$I:$I,"Air defence system",'MAIN DATA, Orders'!$F:$F,F$6,'MAIN DATA, Orders'!$D:$D,"France")</f>
        <v>0</v>
      </c>
      <c r="G34" s="77">
        <f>SUMIFS('MAIN DATA, Orders'!$N:$N,'MAIN DATA, Orders'!$I:$I,"Air defence system",'MAIN DATA, Orders'!$F:$F,G$6,'MAIN DATA, Orders'!$D:$D,"France")</f>
        <v>8</v>
      </c>
      <c r="H34" s="77">
        <f>SUMIFS('MAIN DATA, Orders'!$N:$N,'MAIN DATA, Orders'!$I:$I,"Air defence system",'MAIN DATA, Orders'!$F:$F,H$6,'MAIN DATA, Orders'!$D:$D,"France")</f>
        <v>0</v>
      </c>
      <c r="I34" s="77">
        <f>SUMIFS('MAIN DATA, Orders'!$N:$N,'MAIN DATA, Orders'!$I:$I,"Air defence system",'MAIN DATA, Orders'!$F:$F,I$6,'MAIN DATA, Orders'!$D:$D,"France")</f>
        <v>0</v>
      </c>
      <c r="J34" s="129">
        <f t="shared" si="3"/>
        <v>8</v>
      </c>
    </row>
    <row r="35" spans="2:10" x14ac:dyDescent="0.35">
      <c r="B35" s="11" t="s">
        <v>5258</v>
      </c>
      <c r="G35" s="15"/>
      <c r="H35" s="15"/>
      <c r="I35" s="15"/>
      <c r="J35" s="15"/>
    </row>
    <row r="36" spans="2:10" x14ac:dyDescent="0.35">
      <c r="B36" s="83" t="s">
        <v>5219</v>
      </c>
      <c r="C36" s="121">
        <f t="shared" ref="C36:J41" si="4">SUM(C8,C15,C22,C29)</f>
        <v>70</v>
      </c>
      <c r="D36" s="121">
        <f t="shared" si="4"/>
        <v>0</v>
      </c>
      <c r="E36" s="121">
        <f t="shared" si="4"/>
        <v>83</v>
      </c>
      <c r="F36" s="121">
        <f t="shared" si="4"/>
        <v>42</v>
      </c>
      <c r="G36" s="121">
        <f t="shared" si="4"/>
        <v>0</v>
      </c>
      <c r="H36" s="121">
        <f t="shared" si="4"/>
        <v>32</v>
      </c>
      <c r="I36" s="121">
        <f t="shared" si="4"/>
        <v>0</v>
      </c>
      <c r="J36" s="128">
        <f t="shared" si="4"/>
        <v>227</v>
      </c>
    </row>
    <row r="37" spans="2:10" x14ac:dyDescent="0.35">
      <c r="B37" s="83" t="s">
        <v>5221</v>
      </c>
      <c r="C37" s="121">
        <f t="shared" si="4"/>
        <v>0</v>
      </c>
      <c r="D37" s="121">
        <f t="shared" si="4"/>
        <v>448</v>
      </c>
      <c r="E37" s="121">
        <f t="shared" si="4"/>
        <v>230</v>
      </c>
      <c r="F37" s="121">
        <f t="shared" si="4"/>
        <v>134</v>
      </c>
      <c r="G37" s="121">
        <f t="shared" si="4"/>
        <v>205</v>
      </c>
      <c r="H37" s="121">
        <f>SUM(H9,H16,H23,H30)</f>
        <v>180</v>
      </c>
      <c r="I37" s="121">
        <f>SUM(I9,I16,I23,I30)</f>
        <v>0</v>
      </c>
      <c r="J37" s="128">
        <f t="shared" si="4"/>
        <v>1197</v>
      </c>
    </row>
    <row r="38" spans="2:10" x14ac:dyDescent="0.35">
      <c r="B38" s="83" t="s">
        <v>5255</v>
      </c>
      <c r="C38" s="121">
        <f t="shared" si="4"/>
        <v>0</v>
      </c>
      <c r="D38" s="121">
        <f t="shared" si="4"/>
        <v>154</v>
      </c>
      <c r="E38" s="121">
        <f t="shared" si="4"/>
        <v>143</v>
      </c>
      <c r="F38" s="121">
        <f t="shared" si="4"/>
        <v>50</v>
      </c>
      <c r="G38" s="121">
        <f t="shared" si="4"/>
        <v>0</v>
      </c>
      <c r="H38" s="121">
        <f t="shared" si="4"/>
        <v>661</v>
      </c>
      <c r="I38" s="121">
        <f t="shared" si="4"/>
        <v>0</v>
      </c>
      <c r="J38" s="128">
        <f t="shared" si="4"/>
        <v>1008</v>
      </c>
    </row>
    <row r="39" spans="2:10" x14ac:dyDescent="0.35">
      <c r="B39" s="83" t="s">
        <v>5256</v>
      </c>
      <c r="C39" s="121">
        <f t="shared" si="4"/>
        <v>677</v>
      </c>
      <c r="D39" s="121">
        <f t="shared" si="4"/>
        <v>136</v>
      </c>
      <c r="E39" s="121">
        <f t="shared" si="4"/>
        <v>834</v>
      </c>
      <c r="F39" s="121">
        <f t="shared" si="4"/>
        <v>2697</v>
      </c>
      <c r="G39" s="121">
        <f t="shared" si="4"/>
        <v>1246</v>
      </c>
      <c r="H39" s="121">
        <f t="shared" si="4"/>
        <v>2003</v>
      </c>
      <c r="I39" s="121">
        <f t="shared" si="4"/>
        <v>0</v>
      </c>
      <c r="J39" s="128">
        <f t="shared" si="4"/>
        <v>7593</v>
      </c>
    </row>
    <row r="40" spans="2:10" x14ac:dyDescent="0.35">
      <c r="B40" s="83" t="s">
        <v>5223</v>
      </c>
      <c r="C40" s="121">
        <f t="shared" si="4"/>
        <v>0</v>
      </c>
      <c r="D40" s="121">
        <f t="shared" si="4"/>
        <v>0</v>
      </c>
      <c r="E40" s="121">
        <f t="shared" si="4"/>
        <v>260</v>
      </c>
      <c r="F40" s="121">
        <f t="shared" si="4"/>
        <v>315</v>
      </c>
      <c r="G40" s="121">
        <f t="shared" si="4"/>
        <v>96</v>
      </c>
      <c r="H40" s="121">
        <f t="shared" si="4"/>
        <v>85</v>
      </c>
      <c r="I40" s="121">
        <f t="shared" si="4"/>
        <v>0</v>
      </c>
      <c r="J40" s="128">
        <f t="shared" si="4"/>
        <v>756</v>
      </c>
    </row>
    <row r="41" spans="2:10" x14ac:dyDescent="0.35">
      <c r="B41" s="65" t="s">
        <v>5257</v>
      </c>
      <c r="C41" s="130">
        <f t="shared" si="4"/>
        <v>0</v>
      </c>
      <c r="D41" s="130">
        <f t="shared" si="4"/>
        <v>0</v>
      </c>
      <c r="E41" s="130">
        <f t="shared" si="4"/>
        <v>0</v>
      </c>
      <c r="F41" s="130">
        <f t="shared" si="4"/>
        <v>13</v>
      </c>
      <c r="G41" s="130">
        <f t="shared" si="4"/>
        <v>16</v>
      </c>
      <c r="H41" s="130">
        <f t="shared" si="4"/>
        <v>15</v>
      </c>
      <c r="I41" s="130">
        <f t="shared" si="4"/>
        <v>0</v>
      </c>
      <c r="J41" s="129">
        <f t="shared" si="4"/>
        <v>44</v>
      </c>
    </row>
  </sheetData>
  <mergeCells count="1">
    <mergeCell ref="B4:J4"/>
  </mergeCell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DE0E3-5C3B-4AC7-B82E-80BE0E8C5964}">
  <sheetPr>
    <tabColor rgb="FFB5E6A2"/>
  </sheetPr>
  <dimension ref="B1:AY137"/>
  <sheetViews>
    <sheetView workbookViewId="0"/>
  </sheetViews>
  <sheetFormatPr baseColWidth="10" defaultColWidth="8.75" defaultRowHeight="15.5" x14ac:dyDescent="0.35"/>
  <cols>
    <col min="1" max="2" width="8.75" style="1"/>
    <col min="3" max="3" width="8.75" style="1" customWidth="1"/>
    <col min="4" max="4" width="50.75" style="1" customWidth="1"/>
    <col min="5" max="5" width="26.75" style="1" customWidth="1"/>
    <col min="6" max="6" width="17.75" style="1" customWidth="1"/>
    <col min="7" max="7" width="13.75" style="1" customWidth="1"/>
    <col min="8" max="8" width="10.75" style="1" customWidth="1"/>
    <col min="9" max="16384" width="8.75" style="1"/>
  </cols>
  <sheetData>
    <row r="1" spans="2:51" x14ac:dyDescent="0.35">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1"/>
    </row>
    <row r="2" spans="2:51" ht="25.9" customHeight="1" x14ac:dyDescent="0.7">
      <c r="B2" s="21" t="s">
        <v>5681</v>
      </c>
    </row>
    <row r="4" spans="2:51" ht="130.15" customHeight="1" x14ac:dyDescent="0.35">
      <c r="B4" s="232" t="s">
        <v>5259</v>
      </c>
      <c r="C4" s="232"/>
      <c r="D4" s="232"/>
      <c r="E4" s="232"/>
      <c r="F4" s="232"/>
    </row>
    <row r="6" spans="2:51" ht="21" customHeight="1" x14ac:dyDescent="0.35">
      <c r="B6" s="72" t="s">
        <v>4226</v>
      </c>
      <c r="C6" s="72" t="s">
        <v>5187</v>
      </c>
      <c r="D6" s="72" t="s">
        <v>4228</v>
      </c>
      <c r="E6" s="72" t="s">
        <v>4229</v>
      </c>
      <c r="F6" s="72" t="s">
        <v>4230</v>
      </c>
      <c r="G6" s="72" t="s">
        <v>4231</v>
      </c>
      <c r="H6" s="72" t="s">
        <v>4234</v>
      </c>
      <c r="I6" s="72"/>
      <c r="J6" s="72" t="s">
        <v>5260</v>
      </c>
    </row>
    <row r="7" spans="2:51" ht="16" x14ac:dyDescent="0.4">
      <c r="B7" s="83" t="s">
        <v>5261</v>
      </c>
      <c r="C7" s="83">
        <v>2020</v>
      </c>
      <c r="D7" s="83" t="s">
        <v>5262</v>
      </c>
      <c r="E7" s="83" t="s">
        <v>4308</v>
      </c>
      <c r="F7" s="83" t="s">
        <v>4201</v>
      </c>
      <c r="G7" s="31">
        <v>2</v>
      </c>
      <c r="H7" s="83">
        <v>90</v>
      </c>
      <c r="I7" s="83"/>
      <c r="J7" s="111" t="s">
        <v>3980</v>
      </c>
      <c r="K7" s="1" t="s">
        <v>127</v>
      </c>
    </row>
    <row r="8" spans="2:51" ht="16" x14ac:dyDescent="0.4">
      <c r="B8" s="83" t="s">
        <v>5263</v>
      </c>
      <c r="C8" s="83">
        <v>2020</v>
      </c>
      <c r="D8" s="83" t="s">
        <v>5264</v>
      </c>
      <c r="E8" s="83" t="s">
        <v>5265</v>
      </c>
      <c r="F8" s="83" t="s">
        <v>608</v>
      </c>
      <c r="G8" s="31">
        <v>10</v>
      </c>
      <c r="H8" s="83">
        <v>4</v>
      </c>
      <c r="I8" s="83"/>
      <c r="J8" s="111" t="s">
        <v>3980</v>
      </c>
      <c r="K8" s="1" t="s">
        <v>127</v>
      </c>
    </row>
    <row r="9" spans="2:51" ht="16" x14ac:dyDescent="0.4">
      <c r="B9" s="83" t="s">
        <v>5266</v>
      </c>
      <c r="C9" s="83">
        <v>2020</v>
      </c>
      <c r="D9" s="83" t="s">
        <v>5267</v>
      </c>
      <c r="E9" s="83" t="s">
        <v>4380</v>
      </c>
      <c r="F9" s="83" t="s">
        <v>315</v>
      </c>
      <c r="G9" s="31">
        <v>6</v>
      </c>
      <c r="H9" s="83">
        <v>40</v>
      </c>
      <c r="I9" s="83"/>
      <c r="J9" s="111" t="s">
        <v>3980</v>
      </c>
      <c r="K9" s="1" t="s">
        <v>127</v>
      </c>
    </row>
    <row r="10" spans="2:51" ht="16" x14ac:dyDescent="0.4">
      <c r="B10" s="83" t="s">
        <v>5268</v>
      </c>
      <c r="C10" s="83">
        <v>2020</v>
      </c>
      <c r="D10" s="83" t="s">
        <v>5269</v>
      </c>
      <c r="E10" s="83" t="s">
        <v>5270</v>
      </c>
      <c r="F10" s="83" t="s">
        <v>1311</v>
      </c>
      <c r="G10" s="31">
        <v>8</v>
      </c>
      <c r="H10" s="83">
        <v>12000</v>
      </c>
      <c r="I10" s="83"/>
      <c r="J10" s="111" t="s">
        <v>3980</v>
      </c>
      <c r="K10" s="1" t="s">
        <v>127</v>
      </c>
    </row>
    <row r="11" spans="2:51" ht="16" x14ac:dyDescent="0.4">
      <c r="B11" s="83" t="s">
        <v>5271</v>
      </c>
      <c r="C11" s="83">
        <v>2020</v>
      </c>
      <c r="D11" s="83" t="s">
        <v>5272</v>
      </c>
      <c r="E11" s="83" t="s">
        <v>5273</v>
      </c>
      <c r="F11" s="83" t="s">
        <v>4201</v>
      </c>
      <c r="G11" s="31">
        <v>2</v>
      </c>
      <c r="H11" s="83">
        <v>1001</v>
      </c>
      <c r="I11" s="83"/>
      <c r="J11" s="111" t="s">
        <v>3980</v>
      </c>
      <c r="K11" s="1" t="s">
        <v>127</v>
      </c>
    </row>
    <row r="12" spans="2:51" ht="16" x14ac:dyDescent="0.4">
      <c r="B12" s="83" t="s">
        <v>5274</v>
      </c>
      <c r="C12" s="83">
        <v>2020</v>
      </c>
      <c r="D12" s="83" t="s">
        <v>5275</v>
      </c>
      <c r="E12" s="83" t="s">
        <v>2399</v>
      </c>
      <c r="F12" s="83" t="s">
        <v>188</v>
      </c>
      <c r="G12" s="31">
        <v>11</v>
      </c>
      <c r="H12" s="83">
        <v>1</v>
      </c>
      <c r="I12" s="83"/>
      <c r="J12" s="111" t="s">
        <v>3980</v>
      </c>
      <c r="K12" s="1" t="s">
        <v>127</v>
      </c>
    </row>
    <row r="13" spans="2:51" ht="16" x14ac:dyDescent="0.4">
      <c r="B13" s="83" t="s">
        <v>5276</v>
      </c>
      <c r="C13" s="83">
        <v>2020</v>
      </c>
      <c r="D13" s="83" t="s">
        <v>5277</v>
      </c>
      <c r="E13" s="83" t="s">
        <v>4300</v>
      </c>
      <c r="F13" s="83" t="s">
        <v>2955</v>
      </c>
      <c r="G13" s="31">
        <v>12</v>
      </c>
      <c r="H13" s="83">
        <v>1</v>
      </c>
      <c r="I13" s="83"/>
      <c r="J13" s="111" t="s">
        <v>3980</v>
      </c>
      <c r="K13" s="1" t="s">
        <v>127</v>
      </c>
    </row>
    <row r="14" spans="2:51" ht="16" x14ac:dyDescent="0.4">
      <c r="B14" s="83" t="s">
        <v>5278</v>
      </c>
      <c r="C14" s="83">
        <v>2020</v>
      </c>
      <c r="D14" s="83" t="s">
        <v>5279</v>
      </c>
      <c r="E14" s="83" t="s">
        <v>5265</v>
      </c>
      <c r="F14" s="83" t="s">
        <v>608</v>
      </c>
      <c r="G14" s="31">
        <v>10</v>
      </c>
      <c r="H14" s="83">
        <v>2</v>
      </c>
      <c r="I14" s="83"/>
      <c r="J14" s="111" t="s">
        <v>3980</v>
      </c>
      <c r="K14" s="1" t="s">
        <v>127</v>
      </c>
    </row>
    <row r="15" spans="2:51" ht="16" x14ac:dyDescent="0.4">
      <c r="B15" s="83" t="s">
        <v>5280</v>
      </c>
      <c r="C15" s="83">
        <v>2020</v>
      </c>
      <c r="D15" s="83" t="s">
        <v>5281</v>
      </c>
      <c r="E15" s="83" t="s">
        <v>5282</v>
      </c>
      <c r="F15" s="83" t="s">
        <v>659</v>
      </c>
      <c r="G15" s="31">
        <v>13</v>
      </c>
      <c r="H15" s="83">
        <v>1</v>
      </c>
      <c r="I15" s="83"/>
      <c r="J15" s="111" t="s">
        <v>3980</v>
      </c>
      <c r="K15" s="1" t="s">
        <v>127</v>
      </c>
    </row>
    <row r="16" spans="2:51" ht="16" x14ac:dyDescent="0.4">
      <c r="B16" s="83" t="s">
        <v>5283</v>
      </c>
      <c r="C16" s="83">
        <v>2020</v>
      </c>
      <c r="D16" s="83" t="s">
        <v>5284</v>
      </c>
      <c r="E16" s="83" t="s">
        <v>4379</v>
      </c>
      <c r="F16" s="83" t="s">
        <v>188</v>
      </c>
      <c r="G16" s="31">
        <v>11</v>
      </c>
      <c r="H16" s="83">
        <v>1</v>
      </c>
      <c r="I16" s="83"/>
      <c r="J16" s="111" t="s">
        <v>3980</v>
      </c>
      <c r="K16" s="1" t="s">
        <v>127</v>
      </c>
    </row>
    <row r="17" spans="2:11" ht="16" x14ac:dyDescent="0.4">
      <c r="B17" s="83" t="s">
        <v>5285</v>
      </c>
      <c r="C17" s="83">
        <v>2020</v>
      </c>
      <c r="D17" s="83" t="s">
        <v>5286</v>
      </c>
      <c r="E17" s="83" t="s">
        <v>4379</v>
      </c>
      <c r="F17" s="83" t="s">
        <v>188</v>
      </c>
      <c r="G17" s="31">
        <v>11</v>
      </c>
      <c r="H17" s="83">
        <v>2</v>
      </c>
      <c r="I17" s="83"/>
      <c r="J17" s="111" t="s">
        <v>3980</v>
      </c>
      <c r="K17" s="1" t="s">
        <v>127</v>
      </c>
    </row>
    <row r="18" spans="2:11" ht="16" x14ac:dyDescent="0.4">
      <c r="B18" s="83" t="s">
        <v>5287</v>
      </c>
      <c r="C18" s="83">
        <v>2020</v>
      </c>
      <c r="D18" s="83" t="s">
        <v>5288</v>
      </c>
      <c r="E18" s="83" t="s">
        <v>4379</v>
      </c>
      <c r="F18" s="83" t="s">
        <v>188</v>
      </c>
      <c r="G18" s="31">
        <v>11</v>
      </c>
      <c r="H18" s="83">
        <v>1</v>
      </c>
      <c r="I18" s="83"/>
      <c r="J18" s="111" t="s">
        <v>3980</v>
      </c>
      <c r="K18" s="1" t="s">
        <v>127</v>
      </c>
    </row>
    <row r="19" spans="2:11" ht="16" x14ac:dyDescent="0.4">
      <c r="B19" s="83" t="s">
        <v>5289</v>
      </c>
      <c r="C19" s="83">
        <v>2020</v>
      </c>
      <c r="D19" s="83" t="s">
        <v>5290</v>
      </c>
      <c r="E19" s="83" t="s">
        <v>4379</v>
      </c>
      <c r="F19" s="83" t="s">
        <v>188</v>
      </c>
      <c r="G19" s="31">
        <v>11</v>
      </c>
      <c r="H19" s="83">
        <v>1</v>
      </c>
      <c r="I19" s="83"/>
      <c r="J19" s="111" t="s">
        <v>3980</v>
      </c>
      <c r="K19" s="1" t="s">
        <v>127</v>
      </c>
    </row>
    <row r="20" spans="2:11" ht="16" x14ac:dyDescent="0.4">
      <c r="B20" s="83" t="s">
        <v>5291</v>
      </c>
      <c r="C20" s="83">
        <v>2020</v>
      </c>
      <c r="D20" s="83" t="s">
        <v>5292</v>
      </c>
      <c r="E20" s="83" t="s">
        <v>2579</v>
      </c>
      <c r="F20" s="83" t="s">
        <v>2580</v>
      </c>
      <c r="G20" s="31">
        <v>7</v>
      </c>
      <c r="H20" s="83">
        <v>1</v>
      </c>
      <c r="I20" s="83"/>
      <c r="J20" s="111" t="s">
        <v>3980</v>
      </c>
      <c r="K20" s="1" t="s">
        <v>127</v>
      </c>
    </row>
    <row r="21" spans="2:11" ht="16" x14ac:dyDescent="0.4">
      <c r="B21" s="83" t="s">
        <v>5293</v>
      </c>
      <c r="C21" s="83">
        <v>2021</v>
      </c>
      <c r="D21" s="83" t="s">
        <v>5294</v>
      </c>
      <c r="E21" s="83" t="s">
        <v>4529</v>
      </c>
      <c r="F21" s="83" t="s">
        <v>659</v>
      </c>
      <c r="G21" s="31">
        <v>13</v>
      </c>
      <c r="H21" s="83">
        <v>1</v>
      </c>
      <c r="I21" s="83"/>
      <c r="J21" s="111" t="s">
        <v>4031</v>
      </c>
      <c r="K21" s="1" t="s">
        <v>127</v>
      </c>
    </row>
    <row r="22" spans="2:11" ht="16" x14ac:dyDescent="0.4">
      <c r="B22" s="83" t="s">
        <v>5295</v>
      </c>
      <c r="C22" s="83">
        <v>2021</v>
      </c>
      <c r="D22" s="83" t="s">
        <v>5296</v>
      </c>
      <c r="E22" s="83" t="s">
        <v>5297</v>
      </c>
      <c r="F22" s="83" t="s">
        <v>659</v>
      </c>
      <c r="G22" s="31">
        <v>13</v>
      </c>
      <c r="H22" s="83">
        <v>1</v>
      </c>
      <c r="I22" s="83"/>
      <c r="J22" s="111" t="s">
        <v>4031</v>
      </c>
      <c r="K22" s="1" t="s">
        <v>127</v>
      </c>
    </row>
    <row r="23" spans="2:11" ht="16" x14ac:dyDescent="0.4">
      <c r="B23" s="83" t="s">
        <v>5298</v>
      </c>
      <c r="C23" s="83">
        <v>2021</v>
      </c>
      <c r="D23" s="83" t="s">
        <v>5299</v>
      </c>
      <c r="E23" s="83" t="s">
        <v>4271</v>
      </c>
      <c r="F23" s="83" t="s">
        <v>2955</v>
      </c>
      <c r="G23" s="31">
        <v>12</v>
      </c>
      <c r="H23" s="83">
        <v>1</v>
      </c>
      <c r="I23" s="83"/>
      <c r="J23" s="111" t="s">
        <v>4031</v>
      </c>
      <c r="K23" s="1" t="s">
        <v>127</v>
      </c>
    </row>
    <row r="24" spans="2:11" ht="16" x14ac:dyDescent="0.4">
      <c r="B24" s="83" t="s">
        <v>5300</v>
      </c>
      <c r="C24" s="83">
        <v>2021</v>
      </c>
      <c r="D24" s="83" t="s">
        <v>5301</v>
      </c>
      <c r="E24" s="83" t="s">
        <v>4277</v>
      </c>
      <c r="F24" s="83" t="s">
        <v>188</v>
      </c>
      <c r="G24" s="31">
        <v>11</v>
      </c>
      <c r="H24" s="83">
        <v>9</v>
      </c>
      <c r="I24" s="83"/>
      <c r="J24" s="111" t="s">
        <v>4031</v>
      </c>
      <c r="K24" s="1" t="s">
        <v>127</v>
      </c>
    </row>
    <row r="25" spans="2:11" ht="16" x14ac:dyDescent="0.4">
      <c r="B25" s="83" t="s">
        <v>5302</v>
      </c>
      <c r="C25" s="83">
        <v>2021</v>
      </c>
      <c r="D25" s="83" t="s">
        <v>5303</v>
      </c>
      <c r="E25" s="83" t="s">
        <v>4271</v>
      </c>
      <c r="F25" s="83" t="s">
        <v>2955</v>
      </c>
      <c r="G25" s="31">
        <v>12</v>
      </c>
      <c r="H25" s="83">
        <v>1</v>
      </c>
      <c r="I25" s="83"/>
      <c r="J25" s="111" t="s">
        <v>4031</v>
      </c>
      <c r="K25" s="1" t="s">
        <v>127</v>
      </c>
    </row>
    <row r="26" spans="2:11" ht="16" x14ac:dyDescent="0.4">
      <c r="B26" s="83" t="s">
        <v>5304</v>
      </c>
      <c r="C26" s="83">
        <v>2021</v>
      </c>
      <c r="D26" s="83" t="s">
        <v>5305</v>
      </c>
      <c r="E26" s="83" t="s">
        <v>4379</v>
      </c>
      <c r="F26" s="83" t="s">
        <v>188</v>
      </c>
      <c r="G26" s="31">
        <v>11</v>
      </c>
      <c r="H26" s="83">
        <v>1</v>
      </c>
      <c r="I26" s="83"/>
      <c r="J26" s="111" t="s">
        <v>4031</v>
      </c>
      <c r="K26" s="1" t="s">
        <v>127</v>
      </c>
    </row>
    <row r="27" spans="2:11" ht="16" x14ac:dyDescent="0.4">
      <c r="B27" s="83" t="s">
        <v>5306</v>
      </c>
      <c r="C27" s="83">
        <v>2021</v>
      </c>
      <c r="D27" s="83" t="s">
        <v>5307</v>
      </c>
      <c r="E27" s="83" t="s">
        <v>5308</v>
      </c>
      <c r="F27" s="83" t="s">
        <v>2967</v>
      </c>
      <c r="G27" s="31">
        <v>5</v>
      </c>
      <c r="H27" s="83">
        <v>3</v>
      </c>
      <c r="I27" s="83"/>
      <c r="J27" s="111" t="s">
        <v>4031</v>
      </c>
      <c r="K27" s="1" t="s">
        <v>127</v>
      </c>
    </row>
    <row r="28" spans="2:11" ht="16" x14ac:dyDescent="0.4">
      <c r="B28" s="83" t="s">
        <v>5309</v>
      </c>
      <c r="C28" s="83">
        <v>2021</v>
      </c>
      <c r="D28" s="83" t="s">
        <v>5310</v>
      </c>
      <c r="E28" s="83" t="s">
        <v>4379</v>
      </c>
      <c r="F28" s="83" t="s">
        <v>188</v>
      </c>
      <c r="G28" s="31">
        <v>11</v>
      </c>
      <c r="H28" s="83">
        <v>3</v>
      </c>
      <c r="I28" s="83"/>
      <c r="J28" s="111" t="s">
        <v>4031</v>
      </c>
      <c r="K28" s="1" t="s">
        <v>127</v>
      </c>
    </row>
    <row r="29" spans="2:11" ht="16" x14ac:dyDescent="0.4">
      <c r="B29" s="83" t="s">
        <v>5311</v>
      </c>
      <c r="C29" s="83">
        <v>2021</v>
      </c>
      <c r="D29" s="83" t="s">
        <v>5312</v>
      </c>
      <c r="E29" s="83" t="s">
        <v>5265</v>
      </c>
      <c r="F29" s="83" t="s">
        <v>608</v>
      </c>
      <c r="G29" s="31">
        <v>10</v>
      </c>
      <c r="H29" s="83">
        <v>4</v>
      </c>
      <c r="I29" s="83"/>
      <c r="J29" s="111" t="s">
        <v>4031</v>
      </c>
      <c r="K29" s="1" t="s">
        <v>127</v>
      </c>
    </row>
    <row r="30" spans="2:11" ht="16" x14ac:dyDescent="0.4">
      <c r="B30" s="83" t="s">
        <v>5313</v>
      </c>
      <c r="C30" s="83">
        <v>2021</v>
      </c>
      <c r="D30" s="83" t="s">
        <v>5314</v>
      </c>
      <c r="E30" s="83" t="s">
        <v>4493</v>
      </c>
      <c r="F30" s="83" t="s">
        <v>608</v>
      </c>
      <c r="G30" s="31">
        <v>10</v>
      </c>
      <c r="H30" s="83">
        <v>6</v>
      </c>
      <c r="I30" s="83"/>
      <c r="J30" s="111" t="s">
        <v>4031</v>
      </c>
      <c r="K30" s="1" t="s">
        <v>127</v>
      </c>
    </row>
    <row r="31" spans="2:11" ht="16" x14ac:dyDescent="0.4">
      <c r="B31" s="83" t="s">
        <v>5315</v>
      </c>
      <c r="C31" s="83">
        <v>2021</v>
      </c>
      <c r="D31" s="83" t="s">
        <v>5316</v>
      </c>
      <c r="E31" s="83" t="s">
        <v>4380</v>
      </c>
      <c r="F31" s="83" t="s">
        <v>315</v>
      </c>
      <c r="G31" s="31">
        <v>6</v>
      </c>
      <c r="H31" s="83">
        <v>85</v>
      </c>
      <c r="I31" s="83"/>
      <c r="J31" s="111" t="s">
        <v>4031</v>
      </c>
      <c r="K31" s="1" t="s">
        <v>127</v>
      </c>
    </row>
    <row r="32" spans="2:11" ht="16" x14ac:dyDescent="0.4">
      <c r="B32" s="83" t="s">
        <v>5317</v>
      </c>
      <c r="C32" s="83">
        <v>2021</v>
      </c>
      <c r="D32" s="83" t="s">
        <v>5318</v>
      </c>
      <c r="E32" s="83" t="s">
        <v>4308</v>
      </c>
      <c r="F32" s="83" t="s">
        <v>4201</v>
      </c>
      <c r="G32" s="31">
        <v>2</v>
      </c>
      <c r="H32" s="83">
        <v>157</v>
      </c>
      <c r="I32" s="83"/>
      <c r="J32" s="111" t="s">
        <v>4031</v>
      </c>
      <c r="K32" s="1" t="s">
        <v>127</v>
      </c>
    </row>
    <row r="33" spans="2:11" ht="16" x14ac:dyDescent="0.4">
      <c r="B33" s="83" t="s">
        <v>5319</v>
      </c>
      <c r="C33" s="83">
        <v>2021</v>
      </c>
      <c r="D33" s="83" t="s">
        <v>5320</v>
      </c>
      <c r="E33" s="83" t="s">
        <v>4308</v>
      </c>
      <c r="F33" s="83" t="s">
        <v>4201</v>
      </c>
      <c r="G33" s="31">
        <v>2</v>
      </c>
      <c r="H33" s="83">
        <v>11</v>
      </c>
      <c r="I33" s="83"/>
      <c r="J33" s="111" t="s">
        <v>4031</v>
      </c>
      <c r="K33" s="1" t="s">
        <v>127</v>
      </c>
    </row>
    <row r="34" spans="2:11" ht="16" x14ac:dyDescent="0.4">
      <c r="B34" s="83" t="s">
        <v>5321</v>
      </c>
      <c r="C34" s="83">
        <v>2021</v>
      </c>
      <c r="D34" s="83" t="s">
        <v>5322</v>
      </c>
      <c r="E34" s="83" t="s">
        <v>5273</v>
      </c>
      <c r="F34" s="83" t="s">
        <v>4201</v>
      </c>
      <c r="G34" s="31">
        <v>2</v>
      </c>
      <c r="H34" s="83">
        <v>1000</v>
      </c>
      <c r="I34" s="83"/>
      <c r="J34" s="111" t="s">
        <v>4031</v>
      </c>
      <c r="K34" s="1" t="s">
        <v>127</v>
      </c>
    </row>
    <row r="35" spans="2:11" ht="16" x14ac:dyDescent="0.4">
      <c r="B35" s="83" t="s">
        <v>5323</v>
      </c>
      <c r="C35" s="83">
        <v>2021</v>
      </c>
      <c r="D35" s="83" t="s">
        <v>5324</v>
      </c>
      <c r="E35" s="83" t="s">
        <v>5270</v>
      </c>
      <c r="F35" s="83" t="s">
        <v>1311</v>
      </c>
      <c r="G35" s="31">
        <v>8</v>
      </c>
      <c r="H35" s="83">
        <v>12000</v>
      </c>
      <c r="I35" s="83"/>
      <c r="J35" s="111" t="s">
        <v>4031</v>
      </c>
      <c r="K35" s="1" t="s">
        <v>127</v>
      </c>
    </row>
    <row r="36" spans="2:11" ht="16" x14ac:dyDescent="0.4">
      <c r="B36" s="83" t="s">
        <v>5325</v>
      </c>
      <c r="C36" s="83">
        <v>2022</v>
      </c>
      <c r="D36" s="83" t="s">
        <v>5326</v>
      </c>
      <c r="E36" s="83" t="s">
        <v>4277</v>
      </c>
      <c r="F36" s="83" t="s">
        <v>188</v>
      </c>
      <c r="G36" s="31">
        <v>11</v>
      </c>
      <c r="H36" s="83">
        <v>1</v>
      </c>
      <c r="I36" s="83"/>
      <c r="J36" s="111" t="s">
        <v>4069</v>
      </c>
      <c r="K36" s="1" t="s">
        <v>127</v>
      </c>
    </row>
    <row r="37" spans="2:11" ht="16" x14ac:dyDescent="0.4">
      <c r="B37" s="83" t="s">
        <v>5327</v>
      </c>
      <c r="C37" s="83">
        <v>2022</v>
      </c>
      <c r="D37" s="83" t="s">
        <v>5328</v>
      </c>
      <c r="E37" s="83" t="s">
        <v>4379</v>
      </c>
      <c r="F37" s="83" t="s">
        <v>188</v>
      </c>
      <c r="G37" s="31">
        <v>11</v>
      </c>
      <c r="H37" s="83">
        <v>2</v>
      </c>
      <c r="I37" s="83"/>
      <c r="J37" s="111" t="s">
        <v>4069</v>
      </c>
      <c r="K37" s="1" t="s">
        <v>127</v>
      </c>
    </row>
    <row r="38" spans="2:11" ht="16" x14ac:dyDescent="0.4">
      <c r="B38" s="83" t="s">
        <v>5329</v>
      </c>
      <c r="C38" s="83">
        <v>2022</v>
      </c>
      <c r="D38" s="83" t="s">
        <v>5330</v>
      </c>
      <c r="E38" s="83" t="s">
        <v>4379</v>
      </c>
      <c r="F38" s="83" t="s">
        <v>188</v>
      </c>
      <c r="G38" s="31">
        <v>11</v>
      </c>
      <c r="H38" s="83">
        <v>3</v>
      </c>
      <c r="I38" s="83"/>
      <c r="J38" s="111" t="s">
        <v>4069</v>
      </c>
      <c r="K38" s="1" t="s">
        <v>127</v>
      </c>
    </row>
    <row r="39" spans="2:11" ht="16" x14ac:dyDescent="0.4">
      <c r="B39" s="83" t="s">
        <v>5331</v>
      </c>
      <c r="C39" s="83">
        <v>2022</v>
      </c>
      <c r="D39" s="83" t="s">
        <v>5332</v>
      </c>
      <c r="E39" s="83" t="s">
        <v>4379</v>
      </c>
      <c r="F39" s="83" t="s">
        <v>188</v>
      </c>
      <c r="G39" s="31">
        <v>11</v>
      </c>
      <c r="H39" s="83">
        <v>1</v>
      </c>
      <c r="I39" s="83"/>
      <c r="J39" s="111" t="s">
        <v>4069</v>
      </c>
      <c r="K39" s="1" t="s">
        <v>127</v>
      </c>
    </row>
    <row r="40" spans="2:11" ht="16" x14ac:dyDescent="0.4">
      <c r="B40" s="83" t="s">
        <v>5333</v>
      </c>
      <c r="C40" s="83">
        <v>2022</v>
      </c>
      <c r="D40" s="83" t="s">
        <v>5334</v>
      </c>
      <c r="E40" s="83" t="s">
        <v>5335</v>
      </c>
      <c r="F40" s="83" t="s">
        <v>188</v>
      </c>
      <c r="G40" s="31">
        <v>11</v>
      </c>
      <c r="H40" s="83">
        <v>4</v>
      </c>
      <c r="I40" s="83"/>
      <c r="J40" s="111" t="s">
        <v>4069</v>
      </c>
      <c r="K40" s="1" t="s">
        <v>127</v>
      </c>
    </row>
    <row r="41" spans="2:11" ht="16" x14ac:dyDescent="0.4">
      <c r="B41" s="83" t="s">
        <v>5336</v>
      </c>
      <c r="C41" s="83">
        <v>2022</v>
      </c>
      <c r="D41" s="83" t="s">
        <v>5337</v>
      </c>
      <c r="E41" s="83" t="s">
        <v>5297</v>
      </c>
      <c r="F41" s="83" t="s">
        <v>659</v>
      </c>
      <c r="G41" s="31">
        <v>13</v>
      </c>
      <c r="H41" s="83">
        <v>3</v>
      </c>
      <c r="I41" s="83"/>
      <c r="J41" s="111" t="s">
        <v>4069</v>
      </c>
      <c r="K41" s="1" t="s">
        <v>127</v>
      </c>
    </row>
    <row r="42" spans="2:11" ht="16" x14ac:dyDescent="0.4">
      <c r="B42" s="83" t="s">
        <v>5338</v>
      </c>
      <c r="C42" s="83">
        <v>2022</v>
      </c>
      <c r="D42" s="83" t="s">
        <v>5339</v>
      </c>
      <c r="E42" s="83" t="s">
        <v>4529</v>
      </c>
      <c r="F42" s="83" t="s">
        <v>659</v>
      </c>
      <c r="G42" s="31">
        <v>13</v>
      </c>
      <c r="H42" s="83">
        <v>1</v>
      </c>
      <c r="I42" s="83"/>
      <c r="J42" s="111" t="s">
        <v>4069</v>
      </c>
      <c r="K42" s="1" t="s">
        <v>127</v>
      </c>
    </row>
    <row r="43" spans="2:11" ht="16" x14ac:dyDescent="0.4">
      <c r="B43" s="83" t="s">
        <v>5340</v>
      </c>
      <c r="C43" s="83">
        <v>2022</v>
      </c>
      <c r="D43" s="83" t="s">
        <v>5341</v>
      </c>
      <c r="E43" s="83" t="s">
        <v>5342</v>
      </c>
      <c r="F43" s="83" t="s">
        <v>659</v>
      </c>
      <c r="G43" s="31">
        <v>13</v>
      </c>
      <c r="H43" s="83">
        <v>1</v>
      </c>
      <c r="I43" s="83"/>
      <c r="J43" s="111" t="s">
        <v>4069</v>
      </c>
      <c r="K43" s="1" t="s">
        <v>127</v>
      </c>
    </row>
    <row r="44" spans="2:11" ht="16" x14ac:dyDescent="0.4">
      <c r="B44" s="83" t="s">
        <v>5343</v>
      </c>
      <c r="C44" s="83">
        <v>2022</v>
      </c>
      <c r="D44" s="83" t="s">
        <v>5344</v>
      </c>
      <c r="E44" s="83" t="s">
        <v>4387</v>
      </c>
      <c r="F44" s="83" t="s">
        <v>1891</v>
      </c>
      <c r="G44" s="31">
        <v>6</v>
      </c>
      <c r="H44" s="83">
        <v>1</v>
      </c>
      <c r="I44" s="83"/>
      <c r="J44" s="111" t="s">
        <v>4069</v>
      </c>
      <c r="K44" s="1" t="s">
        <v>127</v>
      </c>
    </row>
    <row r="45" spans="2:11" ht="16" x14ac:dyDescent="0.4">
      <c r="B45" s="83" t="s">
        <v>5345</v>
      </c>
      <c r="C45" s="83">
        <v>2022</v>
      </c>
      <c r="D45" s="83" t="s">
        <v>5346</v>
      </c>
      <c r="E45" s="83" t="s">
        <v>4355</v>
      </c>
      <c r="F45" s="83" t="s">
        <v>315</v>
      </c>
      <c r="G45" s="31">
        <v>6</v>
      </c>
      <c r="H45" s="83">
        <v>56</v>
      </c>
      <c r="I45" s="83"/>
      <c r="J45" s="111" t="s">
        <v>4069</v>
      </c>
      <c r="K45" s="1" t="s">
        <v>127</v>
      </c>
    </row>
    <row r="46" spans="2:11" ht="16" x14ac:dyDescent="0.4">
      <c r="B46" s="83" t="s">
        <v>5347</v>
      </c>
      <c r="C46" s="83">
        <v>2022</v>
      </c>
      <c r="D46" s="83" t="s">
        <v>5348</v>
      </c>
      <c r="E46" s="83" t="s">
        <v>4271</v>
      </c>
      <c r="F46" s="83" t="s">
        <v>2955</v>
      </c>
      <c r="G46" s="31">
        <v>12</v>
      </c>
      <c r="H46" s="83">
        <v>1</v>
      </c>
      <c r="I46" s="83"/>
      <c r="J46" s="111" t="s">
        <v>4069</v>
      </c>
      <c r="K46" s="1" t="s">
        <v>127</v>
      </c>
    </row>
    <row r="47" spans="2:11" ht="16" x14ac:dyDescent="0.4">
      <c r="B47" s="83" t="s">
        <v>5349</v>
      </c>
      <c r="C47" s="83">
        <v>2022</v>
      </c>
      <c r="D47" s="83" t="s">
        <v>5350</v>
      </c>
      <c r="E47" s="83" t="s">
        <v>4271</v>
      </c>
      <c r="F47" s="83" t="s">
        <v>2955</v>
      </c>
      <c r="G47" s="31">
        <v>12</v>
      </c>
      <c r="H47" s="83">
        <v>1</v>
      </c>
      <c r="I47" s="83"/>
      <c r="J47" s="111" t="s">
        <v>4069</v>
      </c>
      <c r="K47" s="1" t="s">
        <v>127</v>
      </c>
    </row>
    <row r="48" spans="2:11" ht="16" x14ac:dyDescent="0.4">
      <c r="B48" s="83" t="s">
        <v>5351</v>
      </c>
      <c r="C48" s="83">
        <v>2022</v>
      </c>
      <c r="D48" s="83" t="s">
        <v>5324</v>
      </c>
      <c r="E48" s="83" t="s">
        <v>5270</v>
      </c>
      <c r="F48" s="83" t="s">
        <v>3376</v>
      </c>
      <c r="G48" s="31">
        <v>3</v>
      </c>
      <c r="H48" s="83">
        <v>12000</v>
      </c>
      <c r="I48" s="83"/>
      <c r="J48" s="111" t="s">
        <v>4069</v>
      </c>
      <c r="K48" s="1" t="s">
        <v>127</v>
      </c>
    </row>
    <row r="49" spans="2:11" ht="16" x14ac:dyDescent="0.4">
      <c r="B49" s="83" t="s">
        <v>5352</v>
      </c>
      <c r="C49" s="83">
        <v>2022</v>
      </c>
      <c r="D49" s="83" t="s">
        <v>5353</v>
      </c>
      <c r="E49" s="83" t="s">
        <v>4308</v>
      </c>
      <c r="F49" s="83" t="s">
        <v>4201</v>
      </c>
      <c r="G49" s="31">
        <v>2</v>
      </c>
      <c r="H49" s="83">
        <v>27</v>
      </c>
      <c r="I49" s="83"/>
      <c r="J49" s="111" t="s">
        <v>4069</v>
      </c>
      <c r="K49" s="1" t="s">
        <v>127</v>
      </c>
    </row>
    <row r="50" spans="2:11" ht="16" x14ac:dyDescent="0.4">
      <c r="B50" s="83" t="s">
        <v>5354</v>
      </c>
      <c r="C50" s="83">
        <v>2022</v>
      </c>
      <c r="D50" s="83" t="s">
        <v>5355</v>
      </c>
      <c r="E50" s="83" t="s">
        <v>4277</v>
      </c>
      <c r="F50" s="83" t="s">
        <v>188</v>
      </c>
      <c r="G50" s="31">
        <v>11</v>
      </c>
      <c r="H50" s="83">
        <v>12</v>
      </c>
      <c r="I50" s="83"/>
      <c r="J50" s="111" t="s">
        <v>4069</v>
      </c>
      <c r="K50" s="1" t="s">
        <v>127</v>
      </c>
    </row>
    <row r="51" spans="2:11" ht="16" x14ac:dyDescent="0.4">
      <c r="B51" s="83" t="s">
        <v>5356</v>
      </c>
      <c r="C51" s="83">
        <v>2022</v>
      </c>
      <c r="D51" s="83" t="s">
        <v>5357</v>
      </c>
      <c r="E51" s="83" t="s">
        <v>5265</v>
      </c>
      <c r="F51" s="83" t="s">
        <v>608</v>
      </c>
      <c r="G51" s="31">
        <v>10</v>
      </c>
      <c r="H51" s="83">
        <v>6</v>
      </c>
      <c r="I51" s="83"/>
      <c r="J51" s="111" t="s">
        <v>4069</v>
      </c>
      <c r="K51" s="1" t="s">
        <v>127</v>
      </c>
    </row>
    <row r="52" spans="2:11" ht="16" x14ac:dyDescent="0.4">
      <c r="B52" s="83" t="s">
        <v>5358</v>
      </c>
      <c r="C52" s="83">
        <v>2022</v>
      </c>
      <c r="D52" s="83" t="s">
        <v>5359</v>
      </c>
      <c r="E52" s="83" t="s">
        <v>4354</v>
      </c>
      <c r="F52" s="83" t="s">
        <v>4218</v>
      </c>
      <c r="G52" s="31">
        <v>6</v>
      </c>
      <c r="H52" s="83">
        <v>93</v>
      </c>
      <c r="I52" s="83"/>
      <c r="J52" s="111" t="s">
        <v>4069</v>
      </c>
      <c r="K52" s="1" t="s">
        <v>127</v>
      </c>
    </row>
    <row r="53" spans="2:11" ht="16" x14ac:dyDescent="0.4">
      <c r="B53" s="83" t="s">
        <v>5360</v>
      </c>
      <c r="C53" s="83">
        <v>2022</v>
      </c>
      <c r="D53" s="83" t="s">
        <v>5361</v>
      </c>
      <c r="E53" s="83" t="s">
        <v>4380</v>
      </c>
      <c r="F53" s="83" t="s">
        <v>315</v>
      </c>
      <c r="G53" s="31">
        <v>6</v>
      </c>
      <c r="H53" s="83">
        <v>200</v>
      </c>
      <c r="I53" s="83"/>
      <c r="J53" s="111" t="s">
        <v>4069</v>
      </c>
      <c r="K53" s="1" t="s">
        <v>127</v>
      </c>
    </row>
    <row r="54" spans="2:11" ht="16" x14ac:dyDescent="0.4">
      <c r="B54" s="83" t="s">
        <v>5362</v>
      </c>
      <c r="C54" s="83">
        <v>2022</v>
      </c>
      <c r="D54" s="83" t="s">
        <v>5316</v>
      </c>
      <c r="E54" s="83" t="s">
        <v>4380</v>
      </c>
      <c r="F54" s="83" t="s">
        <v>315</v>
      </c>
      <c r="G54" s="31">
        <v>6</v>
      </c>
      <c r="H54" s="83">
        <v>16</v>
      </c>
      <c r="I54" s="83"/>
      <c r="J54" s="111" t="s">
        <v>4069</v>
      </c>
      <c r="K54" s="1" t="s">
        <v>127</v>
      </c>
    </row>
    <row r="55" spans="2:11" ht="16" x14ac:dyDescent="0.4">
      <c r="B55" s="83" t="s">
        <v>5363</v>
      </c>
      <c r="C55" s="83">
        <v>2022</v>
      </c>
      <c r="D55" s="83" t="s">
        <v>5364</v>
      </c>
      <c r="E55" s="83" t="s">
        <v>4308</v>
      </c>
      <c r="F55" s="83" t="s">
        <v>4201</v>
      </c>
      <c r="G55" s="31">
        <v>2</v>
      </c>
      <c r="H55" s="83">
        <v>113</v>
      </c>
      <c r="I55" s="83"/>
      <c r="J55" s="111" t="s">
        <v>4069</v>
      </c>
      <c r="K55" s="1" t="s">
        <v>127</v>
      </c>
    </row>
    <row r="56" spans="2:11" ht="16" x14ac:dyDescent="0.4">
      <c r="B56" s="83" t="s">
        <v>5365</v>
      </c>
      <c r="C56" s="83">
        <v>2022</v>
      </c>
      <c r="D56" s="83" t="s">
        <v>5366</v>
      </c>
      <c r="E56" s="83" t="s">
        <v>4349</v>
      </c>
      <c r="F56" s="83" t="s">
        <v>4201</v>
      </c>
      <c r="G56" s="31">
        <v>2</v>
      </c>
      <c r="H56" s="83">
        <v>60</v>
      </c>
      <c r="I56" s="83"/>
      <c r="J56" s="111" t="s">
        <v>4069</v>
      </c>
      <c r="K56" s="1" t="s">
        <v>127</v>
      </c>
    </row>
    <row r="57" spans="2:11" ht="16" x14ac:dyDescent="0.4">
      <c r="B57" s="83" t="s">
        <v>5367</v>
      </c>
      <c r="C57" s="83">
        <v>2023</v>
      </c>
      <c r="D57" s="83" t="s">
        <v>5368</v>
      </c>
      <c r="E57" s="83" t="s">
        <v>5369</v>
      </c>
      <c r="F57" s="83" t="s">
        <v>2955</v>
      </c>
      <c r="G57" s="31">
        <v>12</v>
      </c>
      <c r="H57" s="83">
        <v>1</v>
      </c>
      <c r="I57" s="83"/>
      <c r="J57" s="96" t="s">
        <v>4116</v>
      </c>
      <c r="K57" s="1" t="s">
        <v>127</v>
      </c>
    </row>
    <row r="58" spans="2:11" ht="16" x14ac:dyDescent="0.4">
      <c r="B58" s="83" t="s">
        <v>5370</v>
      </c>
      <c r="C58" s="83">
        <v>2023</v>
      </c>
      <c r="D58" s="83" t="s">
        <v>5371</v>
      </c>
      <c r="E58" s="83" t="s">
        <v>4379</v>
      </c>
      <c r="F58" s="83" t="s">
        <v>188</v>
      </c>
      <c r="G58" s="31">
        <v>11</v>
      </c>
      <c r="H58" s="83">
        <v>3</v>
      </c>
      <c r="I58" s="83"/>
      <c r="J58" s="96" t="s">
        <v>5372</v>
      </c>
      <c r="K58" s="1" t="s">
        <v>127</v>
      </c>
    </row>
    <row r="59" spans="2:11" ht="16" x14ac:dyDescent="0.4">
      <c r="B59" s="83" t="s">
        <v>5373</v>
      </c>
      <c r="C59" s="83">
        <v>2023</v>
      </c>
      <c r="D59" s="83" t="s">
        <v>5374</v>
      </c>
      <c r="E59" s="83" t="s">
        <v>4379</v>
      </c>
      <c r="F59" s="83" t="s">
        <v>188</v>
      </c>
      <c r="G59" s="31">
        <v>11</v>
      </c>
      <c r="H59" s="83">
        <v>2</v>
      </c>
      <c r="I59" s="83"/>
      <c r="J59" s="96" t="s">
        <v>5375</v>
      </c>
      <c r="K59" s="1" t="s">
        <v>127</v>
      </c>
    </row>
    <row r="60" spans="2:11" ht="16" x14ac:dyDescent="0.4">
      <c r="B60" s="83" t="s">
        <v>5376</v>
      </c>
      <c r="C60" s="83">
        <v>2023</v>
      </c>
      <c r="D60" s="83" t="s">
        <v>5377</v>
      </c>
      <c r="E60" s="83" t="s">
        <v>5378</v>
      </c>
      <c r="F60" s="83" t="s">
        <v>608</v>
      </c>
      <c r="G60" s="31">
        <v>10</v>
      </c>
      <c r="H60" s="83">
        <v>5</v>
      </c>
      <c r="I60" s="83"/>
      <c r="J60" s="96" t="s">
        <v>5379</v>
      </c>
      <c r="K60" s="1" t="s">
        <v>127</v>
      </c>
    </row>
    <row r="61" spans="2:11" ht="16" x14ac:dyDescent="0.4">
      <c r="B61" s="83" t="s">
        <v>5380</v>
      </c>
      <c r="C61" s="83">
        <v>2023</v>
      </c>
      <c r="D61" s="83" t="s">
        <v>5381</v>
      </c>
      <c r="E61" s="83" t="s">
        <v>5265</v>
      </c>
      <c r="F61" s="83" t="s">
        <v>608</v>
      </c>
      <c r="G61" s="31">
        <v>10</v>
      </c>
      <c r="H61" s="83">
        <v>5</v>
      </c>
      <c r="I61" s="83"/>
      <c r="J61" s="96" t="s">
        <v>5382</v>
      </c>
      <c r="K61" s="1" t="s">
        <v>127</v>
      </c>
    </row>
    <row r="62" spans="2:11" ht="16" x14ac:dyDescent="0.4">
      <c r="B62" s="83" t="s">
        <v>5383</v>
      </c>
      <c r="C62" s="83">
        <v>2023</v>
      </c>
      <c r="D62" s="83" t="s">
        <v>5384</v>
      </c>
      <c r="E62" s="83" t="s">
        <v>286</v>
      </c>
      <c r="F62" s="83" t="s">
        <v>287</v>
      </c>
      <c r="G62" s="31">
        <v>16</v>
      </c>
      <c r="H62" s="83">
        <v>180</v>
      </c>
      <c r="I62" s="83"/>
      <c r="J62" s="96" t="s">
        <v>5385</v>
      </c>
      <c r="K62" s="1" t="s">
        <v>127</v>
      </c>
    </row>
    <row r="63" spans="2:11" ht="16" x14ac:dyDescent="0.4">
      <c r="B63" s="83" t="s">
        <v>5386</v>
      </c>
      <c r="C63" s="83">
        <v>2023</v>
      </c>
      <c r="D63" s="83" t="s">
        <v>5387</v>
      </c>
      <c r="E63" s="83" t="s">
        <v>4308</v>
      </c>
      <c r="F63" s="83" t="s">
        <v>4201</v>
      </c>
      <c r="G63" s="31">
        <v>2</v>
      </c>
      <c r="H63" s="83">
        <v>22</v>
      </c>
      <c r="I63" s="83"/>
      <c r="J63" s="96" t="s">
        <v>5388</v>
      </c>
      <c r="K63" s="1" t="s">
        <v>127</v>
      </c>
    </row>
    <row r="64" spans="2:11" ht="16" x14ac:dyDescent="0.4">
      <c r="B64" s="83" t="s">
        <v>5389</v>
      </c>
      <c r="C64" s="83">
        <v>2023</v>
      </c>
      <c r="D64" s="83" t="s">
        <v>5390</v>
      </c>
      <c r="E64" s="83" t="s">
        <v>4308</v>
      </c>
      <c r="F64" s="83" t="s">
        <v>4201</v>
      </c>
      <c r="G64" s="31">
        <v>2</v>
      </c>
      <c r="H64" s="83">
        <v>123</v>
      </c>
      <c r="I64" s="83"/>
      <c r="J64" s="96" t="s">
        <v>5391</v>
      </c>
      <c r="K64" s="1" t="s">
        <v>127</v>
      </c>
    </row>
    <row r="65" spans="2:11" ht="16" x14ac:dyDescent="0.4">
      <c r="B65" s="83" t="s">
        <v>5392</v>
      </c>
      <c r="C65" s="83">
        <v>2023</v>
      </c>
      <c r="D65" s="83" t="s">
        <v>5393</v>
      </c>
      <c r="E65" s="83" t="s">
        <v>4349</v>
      </c>
      <c r="F65" s="83" t="s">
        <v>4201</v>
      </c>
      <c r="G65" s="31">
        <v>2</v>
      </c>
      <c r="H65" s="83">
        <v>119</v>
      </c>
      <c r="I65" s="83"/>
      <c r="J65" s="96" t="s">
        <v>5394</v>
      </c>
      <c r="K65" s="1" t="s">
        <v>127</v>
      </c>
    </row>
    <row r="66" spans="2:11" ht="16" x14ac:dyDescent="0.4">
      <c r="B66" s="83" t="s">
        <v>5395</v>
      </c>
      <c r="C66" s="83">
        <v>2023</v>
      </c>
      <c r="D66" s="83" t="s">
        <v>5396</v>
      </c>
      <c r="E66" s="83" t="s">
        <v>4308</v>
      </c>
      <c r="F66" s="83" t="s">
        <v>4201</v>
      </c>
      <c r="G66" s="31">
        <v>2</v>
      </c>
      <c r="H66" s="83">
        <v>1</v>
      </c>
      <c r="I66" s="83"/>
      <c r="J66" s="96" t="s">
        <v>5397</v>
      </c>
      <c r="K66" s="1" t="s">
        <v>127</v>
      </c>
    </row>
    <row r="67" spans="2:11" ht="16" x14ac:dyDescent="0.4">
      <c r="B67" s="83" t="s">
        <v>5398</v>
      </c>
      <c r="C67" s="83">
        <v>2023</v>
      </c>
      <c r="D67" s="83" t="s">
        <v>5399</v>
      </c>
      <c r="E67" s="83" t="s">
        <v>3882</v>
      </c>
      <c r="F67" s="83" t="s">
        <v>1105</v>
      </c>
      <c r="G67" s="31">
        <v>1</v>
      </c>
      <c r="H67" s="83">
        <v>18</v>
      </c>
      <c r="I67" s="83"/>
      <c r="J67" s="96" t="s">
        <v>5400</v>
      </c>
      <c r="K67" s="1" t="s">
        <v>127</v>
      </c>
    </row>
    <row r="68" spans="2:11" ht="16" x14ac:dyDescent="0.4">
      <c r="B68" s="83" t="s">
        <v>5401</v>
      </c>
      <c r="C68" s="83">
        <v>2023</v>
      </c>
      <c r="D68" s="83" t="s">
        <v>5402</v>
      </c>
      <c r="E68" s="83" t="s">
        <v>4349</v>
      </c>
      <c r="F68" s="83" t="s">
        <v>4201</v>
      </c>
      <c r="G68" s="31">
        <v>2</v>
      </c>
      <c r="H68" s="83">
        <v>104</v>
      </c>
      <c r="I68" s="83"/>
      <c r="J68" s="96" t="s">
        <v>5403</v>
      </c>
      <c r="K68" s="1" t="s">
        <v>127</v>
      </c>
    </row>
    <row r="69" spans="2:11" ht="16" x14ac:dyDescent="0.4">
      <c r="B69" s="83" t="s">
        <v>5404</v>
      </c>
      <c r="C69" s="83">
        <v>2023</v>
      </c>
      <c r="D69" s="83" t="s">
        <v>5405</v>
      </c>
      <c r="E69" s="83" t="s">
        <v>4534</v>
      </c>
      <c r="F69" s="83" t="s">
        <v>287</v>
      </c>
      <c r="G69" s="31">
        <v>16</v>
      </c>
      <c r="H69" s="83">
        <v>5</v>
      </c>
      <c r="I69" s="83"/>
      <c r="J69" s="96" t="s">
        <v>5406</v>
      </c>
      <c r="K69" s="1" t="s">
        <v>127</v>
      </c>
    </row>
    <row r="70" spans="2:11" ht="16" x14ac:dyDescent="0.4">
      <c r="B70" s="83" t="s">
        <v>5407</v>
      </c>
      <c r="C70" s="83">
        <v>2023</v>
      </c>
      <c r="D70" s="83" t="s">
        <v>5408</v>
      </c>
      <c r="E70" s="83" t="s">
        <v>4308</v>
      </c>
      <c r="F70" s="83" t="s">
        <v>4201</v>
      </c>
      <c r="G70" s="31">
        <v>2</v>
      </c>
      <c r="H70" s="83">
        <v>60</v>
      </c>
      <c r="I70" s="83"/>
      <c r="J70" s="96" t="s">
        <v>5409</v>
      </c>
      <c r="K70" s="1" t="s">
        <v>127</v>
      </c>
    </row>
    <row r="71" spans="2:11" ht="16" x14ac:dyDescent="0.4">
      <c r="B71" s="83" t="s">
        <v>5410</v>
      </c>
      <c r="C71" s="83">
        <v>2023</v>
      </c>
      <c r="D71" s="83" t="s">
        <v>5411</v>
      </c>
      <c r="E71" s="83" t="s">
        <v>5412</v>
      </c>
      <c r="F71" s="83" t="s">
        <v>287</v>
      </c>
      <c r="G71" s="31">
        <v>16</v>
      </c>
      <c r="H71" s="83">
        <v>34</v>
      </c>
      <c r="I71" s="83"/>
      <c r="J71" s="96" t="s">
        <v>5413</v>
      </c>
      <c r="K71" s="1" t="s">
        <v>127</v>
      </c>
    </row>
    <row r="72" spans="2:11" ht="16" x14ac:dyDescent="0.4">
      <c r="B72" s="83" t="s">
        <v>5414</v>
      </c>
      <c r="C72" s="83">
        <v>2023</v>
      </c>
      <c r="D72" s="83" t="s">
        <v>5415</v>
      </c>
      <c r="E72" s="83" t="s">
        <v>5416</v>
      </c>
      <c r="F72" s="83" t="s">
        <v>287</v>
      </c>
      <c r="G72" s="31">
        <v>16</v>
      </c>
      <c r="H72" s="83">
        <v>38</v>
      </c>
      <c r="I72" s="83"/>
      <c r="J72" s="96" t="s">
        <v>5417</v>
      </c>
      <c r="K72" s="1" t="s">
        <v>127</v>
      </c>
    </row>
    <row r="73" spans="2:11" ht="16" x14ac:dyDescent="0.4">
      <c r="B73" s="83" t="s">
        <v>5418</v>
      </c>
      <c r="C73" s="83">
        <v>2023</v>
      </c>
      <c r="D73" s="83" t="s">
        <v>5419</v>
      </c>
      <c r="E73" s="83" t="s">
        <v>4380</v>
      </c>
      <c r="F73" s="83" t="s">
        <v>315</v>
      </c>
      <c r="G73" s="31">
        <v>6</v>
      </c>
      <c r="H73" s="83">
        <v>200</v>
      </c>
      <c r="I73" s="83"/>
      <c r="J73" s="96" t="s">
        <v>5420</v>
      </c>
      <c r="K73" s="1" t="s">
        <v>127</v>
      </c>
    </row>
    <row r="74" spans="2:11" ht="16" x14ac:dyDescent="0.4">
      <c r="B74" s="83" t="s">
        <v>5421</v>
      </c>
      <c r="C74" s="83">
        <v>2023</v>
      </c>
      <c r="D74" s="151" t="s">
        <v>5422</v>
      </c>
      <c r="E74" s="83" t="s">
        <v>5270</v>
      </c>
      <c r="F74" s="83" t="s">
        <v>3376</v>
      </c>
      <c r="G74" s="31">
        <v>3</v>
      </c>
      <c r="H74" s="83">
        <v>8660</v>
      </c>
      <c r="I74" s="83"/>
      <c r="J74" s="96" t="s">
        <v>5423</v>
      </c>
      <c r="K74" s="1" t="s">
        <v>127</v>
      </c>
    </row>
    <row r="75" spans="2:11" ht="16" x14ac:dyDescent="0.4">
      <c r="B75" s="83" t="s">
        <v>5424</v>
      </c>
      <c r="C75" s="83">
        <v>2023</v>
      </c>
      <c r="D75" s="83" t="s">
        <v>5425</v>
      </c>
      <c r="E75" s="83" t="s">
        <v>4012</v>
      </c>
      <c r="F75" s="83" t="s">
        <v>4211</v>
      </c>
      <c r="G75" s="31">
        <v>9</v>
      </c>
      <c r="H75" s="83">
        <v>1</v>
      </c>
      <c r="I75" s="83"/>
      <c r="J75" s="96" t="s">
        <v>5426</v>
      </c>
      <c r="K75" s="1" t="s">
        <v>127</v>
      </c>
    </row>
    <row r="76" spans="2:11" ht="16" x14ac:dyDescent="0.4">
      <c r="B76" s="83" t="s">
        <v>5427</v>
      </c>
      <c r="C76" s="83">
        <v>2023</v>
      </c>
      <c r="D76" s="83" t="s">
        <v>5428</v>
      </c>
      <c r="E76" s="83" t="s">
        <v>4300</v>
      </c>
      <c r="F76" s="83" t="s">
        <v>2955</v>
      </c>
      <c r="G76" s="31">
        <v>12</v>
      </c>
      <c r="H76" s="83">
        <v>1</v>
      </c>
      <c r="I76" s="83"/>
      <c r="J76" s="96" t="s">
        <v>5429</v>
      </c>
      <c r="K76" s="1" t="s">
        <v>127</v>
      </c>
    </row>
    <row r="77" spans="2:11" ht="16" x14ac:dyDescent="0.4">
      <c r="B77" s="83" t="s">
        <v>5430</v>
      </c>
      <c r="C77" s="83">
        <v>2023</v>
      </c>
      <c r="D77" s="83" t="s">
        <v>5431</v>
      </c>
      <c r="E77" s="83" t="s">
        <v>5432</v>
      </c>
      <c r="F77" s="83" t="s">
        <v>2955</v>
      </c>
      <c r="G77" s="31">
        <v>12</v>
      </c>
      <c r="H77" s="83">
        <v>1</v>
      </c>
      <c r="I77" s="83"/>
      <c r="J77" s="96" t="s">
        <v>5433</v>
      </c>
      <c r="K77" s="1" t="s">
        <v>127</v>
      </c>
    </row>
    <row r="78" spans="2:11" ht="16" x14ac:dyDescent="0.4">
      <c r="B78" s="83" t="s">
        <v>5434</v>
      </c>
      <c r="C78" s="83">
        <v>2023</v>
      </c>
      <c r="D78" s="83" t="s">
        <v>5435</v>
      </c>
      <c r="E78" s="83" t="s">
        <v>5436</v>
      </c>
      <c r="F78" s="83" t="s">
        <v>2955</v>
      </c>
      <c r="G78" s="31">
        <v>12</v>
      </c>
      <c r="H78" s="83">
        <v>20</v>
      </c>
      <c r="I78" s="83"/>
      <c r="J78" s="96" t="s">
        <v>5437</v>
      </c>
      <c r="K78" s="1" t="s">
        <v>127</v>
      </c>
    </row>
    <row r="79" spans="2:11" ht="16" x14ac:dyDescent="0.4">
      <c r="B79" s="83" t="s">
        <v>5438</v>
      </c>
      <c r="C79" s="83">
        <v>2023</v>
      </c>
      <c r="D79" s="83" t="s">
        <v>5439</v>
      </c>
      <c r="E79" s="83" t="s">
        <v>4525</v>
      </c>
      <c r="F79" s="83" t="s">
        <v>1891</v>
      </c>
      <c r="G79" s="31">
        <v>6</v>
      </c>
      <c r="H79" s="83">
        <v>31</v>
      </c>
      <c r="I79" s="83"/>
      <c r="J79" s="96" t="s">
        <v>5440</v>
      </c>
      <c r="K79" s="1" t="s">
        <v>127</v>
      </c>
    </row>
    <row r="80" spans="2:11" ht="16" x14ac:dyDescent="0.4">
      <c r="B80" s="83" t="s">
        <v>5441</v>
      </c>
      <c r="C80" s="83">
        <v>2023</v>
      </c>
      <c r="D80" s="83" t="s">
        <v>5442</v>
      </c>
      <c r="E80" s="83" t="s">
        <v>5443</v>
      </c>
      <c r="F80" s="83" t="s">
        <v>188</v>
      </c>
      <c r="G80" s="31">
        <v>11</v>
      </c>
      <c r="H80" s="83">
        <v>3</v>
      </c>
      <c r="I80" s="83"/>
      <c r="J80" s="96" t="s">
        <v>5444</v>
      </c>
      <c r="K80" s="1" t="s">
        <v>127</v>
      </c>
    </row>
    <row r="81" spans="2:11" ht="16" x14ac:dyDescent="0.4">
      <c r="B81" s="83" t="s">
        <v>5445</v>
      </c>
      <c r="C81" s="83">
        <v>2023</v>
      </c>
      <c r="D81" s="83" t="s">
        <v>5326</v>
      </c>
      <c r="E81" s="83" t="s">
        <v>4277</v>
      </c>
      <c r="F81" s="83" t="s">
        <v>188</v>
      </c>
      <c r="G81" s="31">
        <v>11</v>
      </c>
      <c r="H81" s="83">
        <v>13</v>
      </c>
      <c r="I81" s="83"/>
      <c r="J81" s="96" t="s">
        <v>5446</v>
      </c>
      <c r="K81" s="1" t="s">
        <v>127</v>
      </c>
    </row>
    <row r="82" spans="2:11" ht="16" x14ac:dyDescent="0.4">
      <c r="B82" s="83" t="s">
        <v>5447</v>
      </c>
      <c r="C82" s="83">
        <v>2023</v>
      </c>
      <c r="D82" s="83" t="s">
        <v>5448</v>
      </c>
      <c r="E82" s="83" t="s">
        <v>4277</v>
      </c>
      <c r="F82" s="83" t="s">
        <v>188</v>
      </c>
      <c r="G82" s="31">
        <v>11</v>
      </c>
      <c r="H82" s="83">
        <v>13</v>
      </c>
      <c r="I82" s="83"/>
      <c r="J82" s="96" t="s">
        <v>5449</v>
      </c>
      <c r="K82" s="1" t="s">
        <v>127</v>
      </c>
    </row>
    <row r="83" spans="2:11" ht="16" x14ac:dyDescent="0.4">
      <c r="B83" s="83" t="s">
        <v>5450</v>
      </c>
      <c r="C83" s="83">
        <v>2023</v>
      </c>
      <c r="D83" s="83" t="s">
        <v>5451</v>
      </c>
      <c r="E83" s="83" t="s">
        <v>5452</v>
      </c>
      <c r="F83" s="83" t="s">
        <v>188</v>
      </c>
      <c r="G83" s="31">
        <v>11</v>
      </c>
      <c r="H83" s="83">
        <v>9</v>
      </c>
      <c r="I83" s="83"/>
      <c r="J83" s="96" t="s">
        <v>5453</v>
      </c>
      <c r="K83" s="1" t="s">
        <v>127</v>
      </c>
    </row>
    <row r="84" spans="2:11" ht="16" x14ac:dyDescent="0.4">
      <c r="B84" s="83" t="s">
        <v>5454</v>
      </c>
      <c r="C84" s="83">
        <v>2023</v>
      </c>
      <c r="D84" s="83" t="s">
        <v>5455</v>
      </c>
      <c r="E84" s="83" t="s">
        <v>4354</v>
      </c>
      <c r="F84" s="83" t="s">
        <v>4218</v>
      </c>
      <c r="G84" s="31">
        <v>6</v>
      </c>
      <c r="H84" s="83">
        <v>37</v>
      </c>
      <c r="I84" s="83"/>
      <c r="J84" s="96" t="s">
        <v>5456</v>
      </c>
      <c r="K84" s="1" t="s">
        <v>127</v>
      </c>
    </row>
    <row r="85" spans="2:11" ht="16" x14ac:dyDescent="0.4">
      <c r="B85" s="83" t="s">
        <v>5457</v>
      </c>
      <c r="C85" s="83">
        <v>2023</v>
      </c>
      <c r="D85" s="83" t="s">
        <v>5458</v>
      </c>
      <c r="E85" s="83" t="s">
        <v>5459</v>
      </c>
      <c r="F85" s="83" t="s">
        <v>2955</v>
      </c>
      <c r="G85" s="31">
        <v>12</v>
      </c>
      <c r="H85" s="83">
        <v>1</v>
      </c>
      <c r="I85" s="83"/>
      <c r="J85" s="96" t="s">
        <v>5460</v>
      </c>
      <c r="K85" s="1" t="s">
        <v>127</v>
      </c>
    </row>
    <row r="86" spans="2:11" ht="16" x14ac:dyDescent="0.4">
      <c r="B86" s="83" t="s">
        <v>5461</v>
      </c>
      <c r="C86" s="83">
        <v>2023</v>
      </c>
      <c r="D86" s="83" t="s">
        <v>5462</v>
      </c>
      <c r="E86" s="83" t="s">
        <v>5463</v>
      </c>
      <c r="F86" s="83" t="s">
        <v>2580</v>
      </c>
      <c r="G86" s="31">
        <v>7</v>
      </c>
      <c r="H86" s="83">
        <v>100</v>
      </c>
      <c r="I86" s="83"/>
      <c r="J86" s="96" t="s">
        <v>5464</v>
      </c>
      <c r="K86" s="1" t="s">
        <v>127</v>
      </c>
    </row>
    <row r="87" spans="2:11" ht="16" x14ac:dyDescent="0.4">
      <c r="B87" s="83" t="s">
        <v>5465</v>
      </c>
      <c r="C87" s="83">
        <v>2023</v>
      </c>
      <c r="D87" s="83" t="s">
        <v>5466</v>
      </c>
      <c r="E87" s="83" t="s">
        <v>4354</v>
      </c>
      <c r="F87" s="83" t="s">
        <v>4218</v>
      </c>
      <c r="G87" s="31">
        <v>6</v>
      </c>
      <c r="H87" s="83">
        <v>30</v>
      </c>
      <c r="I87" s="83"/>
      <c r="J87" s="96" t="s">
        <v>5467</v>
      </c>
      <c r="K87" s="1" t="s">
        <v>127</v>
      </c>
    </row>
    <row r="88" spans="2:11" ht="16" x14ac:dyDescent="0.4">
      <c r="B88" s="83" t="s">
        <v>5468</v>
      </c>
      <c r="C88" s="83">
        <v>2023</v>
      </c>
      <c r="D88" s="83" t="s">
        <v>5469</v>
      </c>
      <c r="E88" s="83" t="s">
        <v>4354</v>
      </c>
      <c r="F88" s="83" t="s">
        <v>4218</v>
      </c>
      <c r="G88" s="31">
        <v>6</v>
      </c>
      <c r="H88" s="83">
        <v>77</v>
      </c>
      <c r="I88" s="83"/>
      <c r="J88" s="96" t="s">
        <v>5470</v>
      </c>
      <c r="K88" s="1" t="s">
        <v>127</v>
      </c>
    </row>
    <row r="89" spans="2:11" ht="16" x14ac:dyDescent="0.4">
      <c r="B89" s="83" t="s">
        <v>5471</v>
      </c>
      <c r="C89" s="83">
        <v>2023</v>
      </c>
      <c r="D89" s="83" t="s">
        <v>5472</v>
      </c>
      <c r="E89" s="83" t="s">
        <v>4533</v>
      </c>
      <c r="F89" s="83" t="s">
        <v>287</v>
      </c>
      <c r="G89" s="31">
        <v>16</v>
      </c>
      <c r="H89" s="83">
        <v>1</v>
      </c>
      <c r="I89" s="83"/>
      <c r="J89" s="96" t="s">
        <v>5473</v>
      </c>
      <c r="K89" s="1" t="s">
        <v>127</v>
      </c>
    </row>
    <row r="90" spans="2:11" ht="16" x14ac:dyDescent="0.4">
      <c r="B90" s="83" t="s">
        <v>5474</v>
      </c>
      <c r="C90" s="83">
        <v>2024</v>
      </c>
      <c r="D90" s="83" t="s">
        <v>5475</v>
      </c>
      <c r="E90" s="83" t="s">
        <v>4379</v>
      </c>
      <c r="F90" s="83" t="s">
        <v>188</v>
      </c>
      <c r="G90" s="31">
        <v>11</v>
      </c>
      <c r="H90" s="83">
        <v>2</v>
      </c>
      <c r="I90" s="83"/>
      <c r="J90" s="96" t="s">
        <v>4152</v>
      </c>
      <c r="K90" s="1" t="s">
        <v>127</v>
      </c>
    </row>
    <row r="91" spans="2:11" ht="16" x14ac:dyDescent="0.4">
      <c r="B91" s="83" t="s">
        <v>5476</v>
      </c>
      <c r="C91" s="83">
        <v>2024</v>
      </c>
      <c r="D91" s="83" t="s">
        <v>5381</v>
      </c>
      <c r="E91" s="83" t="s">
        <v>5265</v>
      </c>
      <c r="F91" s="83" t="s">
        <v>608</v>
      </c>
      <c r="G91" s="31">
        <v>10</v>
      </c>
      <c r="H91" s="83">
        <v>2</v>
      </c>
      <c r="I91" s="83"/>
      <c r="J91" s="96" t="s">
        <v>5477</v>
      </c>
      <c r="K91" s="1" t="s">
        <v>127</v>
      </c>
    </row>
    <row r="92" spans="2:11" ht="16" x14ac:dyDescent="0.4">
      <c r="B92" s="83" t="s">
        <v>5478</v>
      </c>
      <c r="C92" s="83">
        <v>2024</v>
      </c>
      <c r="D92" s="83" t="s">
        <v>5326</v>
      </c>
      <c r="E92" s="83" t="s">
        <v>4277</v>
      </c>
      <c r="F92" s="83" t="s">
        <v>188</v>
      </c>
      <c r="G92" s="31">
        <v>11</v>
      </c>
      <c r="H92" s="83">
        <v>13</v>
      </c>
      <c r="I92" s="83"/>
      <c r="J92" s="96" t="s">
        <v>5479</v>
      </c>
      <c r="K92" s="1" t="s">
        <v>127</v>
      </c>
    </row>
    <row r="93" spans="2:11" ht="16" x14ac:dyDescent="0.4">
      <c r="B93" s="83" t="s">
        <v>5480</v>
      </c>
      <c r="C93" s="83">
        <v>2024</v>
      </c>
      <c r="D93" s="83" t="s">
        <v>5481</v>
      </c>
      <c r="E93" s="83" t="s">
        <v>4277</v>
      </c>
      <c r="F93" s="83" t="s">
        <v>188</v>
      </c>
      <c r="G93" s="31">
        <v>11</v>
      </c>
      <c r="H93" s="83">
        <v>10</v>
      </c>
      <c r="I93" s="83"/>
      <c r="J93" s="96" t="s">
        <v>5482</v>
      </c>
      <c r="K93" s="1" t="s">
        <v>127</v>
      </c>
    </row>
    <row r="94" spans="2:11" ht="16" x14ac:dyDescent="0.4">
      <c r="B94" s="83" t="s">
        <v>5483</v>
      </c>
      <c r="C94" s="83">
        <v>2024</v>
      </c>
      <c r="D94" s="83" t="s">
        <v>5484</v>
      </c>
      <c r="E94" s="83" t="s">
        <v>4331</v>
      </c>
      <c r="F94" s="83" t="s">
        <v>3376</v>
      </c>
      <c r="G94" s="31">
        <v>3</v>
      </c>
      <c r="H94" s="83">
        <v>12</v>
      </c>
      <c r="I94" s="83"/>
      <c r="J94" s="96" t="s">
        <v>5485</v>
      </c>
      <c r="K94" s="1" t="s">
        <v>127</v>
      </c>
    </row>
    <row r="95" spans="2:11" ht="16" x14ac:dyDescent="0.4">
      <c r="B95" s="83" t="s">
        <v>5486</v>
      </c>
      <c r="C95" s="83">
        <v>2024</v>
      </c>
      <c r="D95" s="83" t="s">
        <v>5487</v>
      </c>
      <c r="E95" s="83" t="s">
        <v>3882</v>
      </c>
      <c r="F95" s="83" t="s">
        <v>1105</v>
      </c>
      <c r="G95" s="31">
        <v>1</v>
      </c>
      <c r="H95" s="83">
        <v>21</v>
      </c>
      <c r="I95" s="83"/>
      <c r="J95" s="96" t="s">
        <v>5488</v>
      </c>
      <c r="K95" s="1" t="s">
        <v>127</v>
      </c>
    </row>
    <row r="96" spans="2:11" ht="16" x14ac:dyDescent="0.4">
      <c r="B96" s="83" t="s">
        <v>5489</v>
      </c>
      <c r="C96" s="83">
        <v>2024</v>
      </c>
      <c r="D96" s="83" t="s">
        <v>5490</v>
      </c>
      <c r="E96" s="83" t="s">
        <v>4308</v>
      </c>
      <c r="F96" s="83" t="s">
        <v>4201</v>
      </c>
      <c r="G96" s="31">
        <v>2</v>
      </c>
      <c r="H96" s="83">
        <v>282</v>
      </c>
      <c r="I96" s="83"/>
      <c r="J96" s="96" t="s">
        <v>5491</v>
      </c>
      <c r="K96" s="1" t="s">
        <v>127</v>
      </c>
    </row>
    <row r="97" spans="2:11" ht="16" x14ac:dyDescent="0.4">
      <c r="B97" s="83" t="s">
        <v>5492</v>
      </c>
      <c r="C97" s="83">
        <v>2024</v>
      </c>
      <c r="D97" s="83" t="s">
        <v>5493</v>
      </c>
      <c r="E97" s="83" t="s">
        <v>4349</v>
      </c>
      <c r="F97" s="83" t="s">
        <v>4201</v>
      </c>
      <c r="G97" s="31">
        <v>2</v>
      </c>
      <c r="H97" s="83">
        <v>22</v>
      </c>
      <c r="I97" s="83"/>
      <c r="J97" s="96" t="s">
        <v>5494</v>
      </c>
      <c r="K97" s="1" t="s">
        <v>127</v>
      </c>
    </row>
    <row r="98" spans="2:11" ht="16" x14ac:dyDescent="0.4">
      <c r="B98" s="83" t="s">
        <v>5495</v>
      </c>
      <c r="C98" s="83">
        <v>2024</v>
      </c>
      <c r="D98" s="83" t="s">
        <v>5496</v>
      </c>
      <c r="E98" s="83" t="s">
        <v>4534</v>
      </c>
      <c r="F98" s="83" t="s">
        <v>287</v>
      </c>
      <c r="G98" s="31">
        <v>16</v>
      </c>
      <c r="H98" s="83">
        <v>4</v>
      </c>
      <c r="I98" s="83"/>
      <c r="J98" s="96" t="s">
        <v>5497</v>
      </c>
      <c r="K98" s="1" t="s">
        <v>127</v>
      </c>
    </row>
    <row r="99" spans="2:11" ht="16" x14ac:dyDescent="0.4">
      <c r="B99" s="83" t="s">
        <v>5498</v>
      </c>
      <c r="C99" s="83">
        <v>2024</v>
      </c>
      <c r="D99" s="83" t="s">
        <v>5499</v>
      </c>
      <c r="E99" s="83" t="s">
        <v>4308</v>
      </c>
      <c r="F99" s="83" t="s">
        <v>4201</v>
      </c>
      <c r="G99" s="31">
        <v>2</v>
      </c>
      <c r="H99" s="83">
        <v>102</v>
      </c>
      <c r="I99" s="83"/>
      <c r="J99" s="96" t="s">
        <v>5500</v>
      </c>
      <c r="K99" s="1" t="s">
        <v>127</v>
      </c>
    </row>
    <row r="100" spans="2:11" ht="16" x14ac:dyDescent="0.4">
      <c r="B100" s="83" t="s">
        <v>5501</v>
      </c>
      <c r="C100" s="83">
        <v>2024</v>
      </c>
      <c r="D100" s="83" t="s">
        <v>5502</v>
      </c>
      <c r="E100" s="83" t="s">
        <v>4380</v>
      </c>
      <c r="F100" s="83" t="s">
        <v>315</v>
      </c>
      <c r="G100" s="31">
        <v>6</v>
      </c>
      <c r="H100" s="83">
        <v>1</v>
      </c>
      <c r="I100" s="83"/>
      <c r="J100" s="96" t="s">
        <v>5503</v>
      </c>
      <c r="K100" s="1" t="s">
        <v>127</v>
      </c>
    </row>
    <row r="101" spans="2:11" ht="16" x14ac:dyDescent="0.4">
      <c r="B101" s="83" t="s">
        <v>5504</v>
      </c>
      <c r="C101" s="83">
        <v>2024</v>
      </c>
      <c r="D101" s="83" t="s">
        <v>5505</v>
      </c>
      <c r="E101" s="83" t="s">
        <v>5270</v>
      </c>
      <c r="F101" s="83" t="s">
        <v>3376</v>
      </c>
      <c r="G101" s="31">
        <v>3</v>
      </c>
      <c r="H101" s="83">
        <v>8000</v>
      </c>
      <c r="I101" s="83"/>
      <c r="J101" s="96" t="s">
        <v>5506</v>
      </c>
      <c r="K101" s="1" t="s">
        <v>127</v>
      </c>
    </row>
    <row r="102" spans="2:11" ht="16" x14ac:dyDescent="0.4">
      <c r="B102" s="83" t="s">
        <v>5507</v>
      </c>
      <c r="C102" s="83">
        <v>2024</v>
      </c>
      <c r="D102" s="83" t="s">
        <v>5508</v>
      </c>
      <c r="E102" s="83" t="s">
        <v>4271</v>
      </c>
      <c r="F102" s="83" t="s">
        <v>2955</v>
      </c>
      <c r="G102" s="31">
        <v>12</v>
      </c>
      <c r="H102" s="83">
        <v>1</v>
      </c>
      <c r="I102" s="83"/>
      <c r="J102" s="96" t="s">
        <v>5509</v>
      </c>
      <c r="K102" s="1" t="s">
        <v>127</v>
      </c>
    </row>
    <row r="103" spans="2:11" ht="16" x14ac:dyDescent="0.4">
      <c r="B103" s="83" t="s">
        <v>5510</v>
      </c>
      <c r="C103" s="83">
        <v>2024</v>
      </c>
      <c r="D103" s="83" t="s">
        <v>5511</v>
      </c>
      <c r="E103" s="83" t="s">
        <v>4300</v>
      </c>
      <c r="F103" s="83" t="s">
        <v>2955</v>
      </c>
      <c r="G103" s="31">
        <v>12</v>
      </c>
      <c r="H103" s="83">
        <v>1</v>
      </c>
      <c r="I103" s="83"/>
      <c r="J103" s="96" t="s">
        <v>5512</v>
      </c>
      <c r="K103" s="1" t="s">
        <v>127</v>
      </c>
    </row>
    <row r="104" spans="2:11" ht="16" x14ac:dyDescent="0.4">
      <c r="B104" s="83" t="s">
        <v>5513</v>
      </c>
      <c r="C104" s="83">
        <v>2024</v>
      </c>
      <c r="D104" s="83" t="s">
        <v>5514</v>
      </c>
      <c r="E104" s="83" t="s">
        <v>4012</v>
      </c>
      <c r="F104" s="83" t="s">
        <v>4211</v>
      </c>
      <c r="G104" s="31">
        <v>9</v>
      </c>
      <c r="H104" s="83">
        <v>2</v>
      </c>
      <c r="I104" s="83"/>
      <c r="J104" s="96" t="s">
        <v>5515</v>
      </c>
      <c r="K104" s="1" t="s">
        <v>127</v>
      </c>
    </row>
    <row r="105" spans="2:11" ht="16" x14ac:dyDescent="0.4">
      <c r="B105" s="83" t="s">
        <v>5516</v>
      </c>
      <c r="C105" s="83">
        <v>2024</v>
      </c>
      <c r="D105" s="83" t="s">
        <v>5517</v>
      </c>
      <c r="E105" s="83" t="s">
        <v>4525</v>
      </c>
      <c r="F105" s="83" t="s">
        <v>1891</v>
      </c>
      <c r="G105" s="31">
        <v>6</v>
      </c>
      <c r="H105" s="83">
        <v>1</v>
      </c>
      <c r="I105" s="83"/>
      <c r="J105" s="96" t="s">
        <v>5518</v>
      </c>
      <c r="K105" s="1" t="s">
        <v>127</v>
      </c>
    </row>
    <row r="106" spans="2:11" ht="16" x14ac:dyDescent="0.4">
      <c r="B106" s="83" t="s">
        <v>5519</v>
      </c>
      <c r="C106" s="83">
        <v>2024</v>
      </c>
      <c r="D106" s="83" t="s">
        <v>5520</v>
      </c>
      <c r="E106" s="83" t="s">
        <v>5436</v>
      </c>
      <c r="F106" s="83" t="s">
        <v>2955</v>
      </c>
      <c r="G106" s="31">
        <v>12</v>
      </c>
      <c r="H106" s="83">
        <v>2</v>
      </c>
      <c r="I106" s="83"/>
      <c r="J106" s="96" t="s">
        <v>5521</v>
      </c>
      <c r="K106" s="1" t="s">
        <v>127</v>
      </c>
    </row>
    <row r="107" spans="2:11" ht="16" x14ac:dyDescent="0.4">
      <c r="B107" s="83" t="s">
        <v>5522</v>
      </c>
      <c r="C107" s="83">
        <v>2024</v>
      </c>
      <c r="D107" s="83" t="s">
        <v>5523</v>
      </c>
      <c r="E107" s="83" t="s">
        <v>998</v>
      </c>
      <c r="F107" s="83" t="s">
        <v>999</v>
      </c>
      <c r="G107" s="31">
        <v>4</v>
      </c>
      <c r="H107" s="83">
        <v>1</v>
      </c>
      <c r="I107" s="83"/>
      <c r="J107" s="96" t="s">
        <v>5524</v>
      </c>
      <c r="K107" s="1" t="s">
        <v>127</v>
      </c>
    </row>
    <row r="108" spans="2:11" ht="16" x14ac:dyDescent="0.4">
      <c r="B108" s="83" t="s">
        <v>5525</v>
      </c>
      <c r="C108" s="83">
        <v>2024</v>
      </c>
      <c r="D108" s="83" t="s">
        <v>5526</v>
      </c>
      <c r="E108" s="83" t="s">
        <v>4535</v>
      </c>
      <c r="F108" s="83" t="s">
        <v>4218</v>
      </c>
      <c r="G108" s="31">
        <v>6</v>
      </c>
      <c r="H108" s="83">
        <v>2</v>
      </c>
      <c r="I108" s="83"/>
      <c r="J108" s="96" t="s">
        <v>5527</v>
      </c>
      <c r="K108" s="1" t="s">
        <v>127</v>
      </c>
    </row>
    <row r="109" spans="2:11" ht="16" x14ac:dyDescent="0.4">
      <c r="B109" s="83" t="s">
        <v>5528</v>
      </c>
      <c r="C109" s="83">
        <v>2024</v>
      </c>
      <c r="D109" s="83" t="s">
        <v>5529</v>
      </c>
      <c r="E109" s="83" t="s">
        <v>4354</v>
      </c>
      <c r="F109" s="83" t="s">
        <v>4218</v>
      </c>
      <c r="G109" s="31">
        <v>6</v>
      </c>
      <c r="H109" s="83">
        <v>1</v>
      </c>
      <c r="I109" s="83"/>
      <c r="J109" s="96" t="s">
        <v>5530</v>
      </c>
      <c r="K109" s="1" t="s">
        <v>127</v>
      </c>
    </row>
    <row r="110" spans="2:11" ht="16" x14ac:dyDescent="0.4">
      <c r="B110" s="83" t="s">
        <v>5531</v>
      </c>
      <c r="C110" s="83">
        <v>2024</v>
      </c>
      <c r="D110" s="83" t="s">
        <v>5532</v>
      </c>
      <c r="E110" s="83" t="s">
        <v>4354</v>
      </c>
      <c r="F110" s="83" t="s">
        <v>4218</v>
      </c>
      <c r="G110" s="31">
        <v>6</v>
      </c>
      <c r="H110" s="83">
        <v>1</v>
      </c>
      <c r="I110" s="83"/>
      <c r="J110" s="96" t="s">
        <v>5533</v>
      </c>
      <c r="K110" s="1" t="s">
        <v>127</v>
      </c>
    </row>
    <row r="111" spans="2:11" ht="16" x14ac:dyDescent="0.4">
      <c r="B111" s="83" t="s">
        <v>5534</v>
      </c>
      <c r="C111" s="83">
        <v>2024</v>
      </c>
      <c r="D111" s="83" t="s">
        <v>5535</v>
      </c>
      <c r="E111" s="83" t="s">
        <v>5536</v>
      </c>
      <c r="F111" s="83" t="s">
        <v>2955</v>
      </c>
      <c r="G111" s="31">
        <v>12</v>
      </c>
      <c r="H111" s="83">
        <v>1</v>
      </c>
      <c r="I111" s="83"/>
      <c r="J111" s="96" t="s">
        <v>5537</v>
      </c>
      <c r="K111" s="1" t="s">
        <v>127</v>
      </c>
    </row>
    <row r="112" spans="2:11" ht="16" x14ac:dyDescent="0.4">
      <c r="B112" s="83" t="s">
        <v>5538</v>
      </c>
      <c r="C112" s="83">
        <v>2024</v>
      </c>
      <c r="D112" s="83" t="s">
        <v>5535</v>
      </c>
      <c r="E112" s="83" t="s">
        <v>5536</v>
      </c>
      <c r="F112" s="83" t="s">
        <v>2955</v>
      </c>
      <c r="G112" s="31">
        <v>12</v>
      </c>
      <c r="H112" s="83">
        <v>2</v>
      </c>
      <c r="I112" s="83"/>
      <c r="J112" s="96" t="s">
        <v>5539</v>
      </c>
      <c r="K112" s="1" t="s">
        <v>127</v>
      </c>
    </row>
    <row r="113" spans="2:11" ht="16" x14ac:dyDescent="0.4">
      <c r="B113" s="83" t="s">
        <v>5540</v>
      </c>
      <c r="C113" s="83">
        <v>2024</v>
      </c>
      <c r="D113" s="83" t="s">
        <v>5541</v>
      </c>
      <c r="E113" s="83" t="s">
        <v>4536</v>
      </c>
      <c r="F113" s="83" t="s">
        <v>4290</v>
      </c>
      <c r="G113" s="31">
        <v>15</v>
      </c>
      <c r="H113" s="83">
        <v>1</v>
      </c>
      <c r="I113" s="83"/>
      <c r="J113" s="96" t="s">
        <v>5542</v>
      </c>
      <c r="K113" s="1" t="s">
        <v>127</v>
      </c>
    </row>
    <row r="114" spans="2:11" ht="16" x14ac:dyDescent="0.4">
      <c r="B114" s="83" t="s">
        <v>5543</v>
      </c>
      <c r="C114" s="83">
        <v>2024</v>
      </c>
      <c r="D114" s="83" t="s">
        <v>5472</v>
      </c>
      <c r="E114" s="83" t="s">
        <v>4533</v>
      </c>
      <c r="F114" s="83" t="s">
        <v>287</v>
      </c>
      <c r="G114" s="31">
        <v>16</v>
      </c>
      <c r="H114" s="83">
        <v>1</v>
      </c>
      <c r="I114" s="83"/>
      <c r="J114" s="96" t="s">
        <v>5544</v>
      </c>
      <c r="K114" s="1" t="s">
        <v>127</v>
      </c>
    </row>
    <row r="115" spans="2:11" ht="16" x14ac:dyDescent="0.4">
      <c r="B115" s="83" t="s">
        <v>5545</v>
      </c>
      <c r="C115" s="83">
        <v>2025</v>
      </c>
      <c r="D115" s="83" t="s">
        <v>5546</v>
      </c>
      <c r="E115" s="83" t="s">
        <v>5547</v>
      </c>
      <c r="F115" s="83" t="s">
        <v>2955</v>
      </c>
      <c r="G115" s="31">
        <v>12</v>
      </c>
      <c r="H115" s="83">
        <v>1</v>
      </c>
      <c r="I115" s="83"/>
      <c r="J115" s="96" t="s">
        <v>4180</v>
      </c>
      <c r="K115" s="1" t="s">
        <v>127</v>
      </c>
    </row>
    <row r="116" spans="2:11" ht="16" x14ac:dyDescent="0.4">
      <c r="B116" s="83" t="s">
        <v>5548</v>
      </c>
      <c r="C116" s="83">
        <v>2025</v>
      </c>
      <c r="D116" s="83" t="s">
        <v>5549</v>
      </c>
      <c r="E116" s="83" t="s">
        <v>4379</v>
      </c>
      <c r="F116" s="83" t="s">
        <v>188</v>
      </c>
      <c r="G116" s="31">
        <v>11</v>
      </c>
      <c r="H116" s="83">
        <v>1</v>
      </c>
      <c r="I116" s="83"/>
      <c r="J116" s="96" t="s">
        <v>5550</v>
      </c>
      <c r="K116" s="1" t="s">
        <v>127</v>
      </c>
    </row>
    <row r="117" spans="2:11" ht="16" x14ac:dyDescent="0.4">
      <c r="B117" s="83" t="s">
        <v>5551</v>
      </c>
      <c r="C117" s="83">
        <v>2025</v>
      </c>
      <c r="D117" s="83" t="s">
        <v>5552</v>
      </c>
      <c r="E117" s="83" t="s">
        <v>4379</v>
      </c>
      <c r="F117" s="83" t="s">
        <v>188</v>
      </c>
      <c r="G117" s="31">
        <v>11</v>
      </c>
      <c r="H117" s="83">
        <v>2</v>
      </c>
      <c r="I117" s="83"/>
      <c r="J117" s="96" t="s">
        <v>5553</v>
      </c>
      <c r="K117" s="1" t="s">
        <v>127</v>
      </c>
    </row>
    <row r="118" spans="2:11" ht="16" x14ac:dyDescent="0.4">
      <c r="B118" s="83" t="s">
        <v>5554</v>
      </c>
      <c r="C118" s="83">
        <v>2025</v>
      </c>
      <c r="D118" s="83" t="s">
        <v>5555</v>
      </c>
      <c r="E118" s="83" t="s">
        <v>5265</v>
      </c>
      <c r="F118" s="83" t="s">
        <v>608</v>
      </c>
      <c r="G118" s="31">
        <v>10</v>
      </c>
      <c r="H118" s="83">
        <v>5</v>
      </c>
      <c r="I118" s="83"/>
      <c r="J118" s="96" t="s">
        <v>5556</v>
      </c>
      <c r="K118" s="1" t="s">
        <v>127</v>
      </c>
    </row>
    <row r="119" spans="2:11" ht="16" x14ac:dyDescent="0.4">
      <c r="B119" s="83" t="s">
        <v>5557</v>
      </c>
      <c r="C119" s="83">
        <v>2025</v>
      </c>
      <c r="D119" s="83" t="s">
        <v>5558</v>
      </c>
      <c r="E119" s="83" t="s">
        <v>5559</v>
      </c>
      <c r="F119" s="83" t="s">
        <v>287</v>
      </c>
      <c r="G119" s="31">
        <v>16</v>
      </c>
      <c r="H119" s="83"/>
      <c r="I119" s="83"/>
      <c r="J119" s="96" t="s">
        <v>5560</v>
      </c>
      <c r="K119" s="1" t="s">
        <v>127</v>
      </c>
    </row>
    <row r="120" spans="2:11" ht="16" x14ac:dyDescent="0.4">
      <c r="B120" s="83" t="s">
        <v>5561</v>
      </c>
      <c r="C120" s="83">
        <v>2025</v>
      </c>
      <c r="D120" s="83" t="s">
        <v>5562</v>
      </c>
      <c r="E120" s="83" t="s">
        <v>4271</v>
      </c>
      <c r="F120" s="83" t="s">
        <v>2955</v>
      </c>
      <c r="G120" s="31">
        <v>12</v>
      </c>
      <c r="H120" s="83">
        <v>1</v>
      </c>
      <c r="I120" s="83"/>
      <c r="J120" s="96" t="s">
        <v>5563</v>
      </c>
      <c r="K120" s="1" t="s">
        <v>127</v>
      </c>
    </row>
    <row r="121" spans="2:11" ht="16" x14ac:dyDescent="0.4">
      <c r="B121" s="83" t="s">
        <v>5564</v>
      </c>
      <c r="C121" s="83">
        <v>2025</v>
      </c>
      <c r="D121" s="83" t="s">
        <v>5565</v>
      </c>
      <c r="E121" s="83" t="s">
        <v>4012</v>
      </c>
      <c r="F121" s="83" t="s">
        <v>4211</v>
      </c>
      <c r="G121" s="31">
        <v>9</v>
      </c>
      <c r="H121" s="83">
        <v>2</v>
      </c>
      <c r="I121" s="83"/>
      <c r="J121" s="96" t="s">
        <v>5566</v>
      </c>
      <c r="K121" s="1" t="s">
        <v>127</v>
      </c>
    </row>
    <row r="122" spans="2:11" ht="16" x14ac:dyDescent="0.4">
      <c r="B122" s="83" t="s">
        <v>5567</v>
      </c>
      <c r="C122" s="83">
        <v>2025</v>
      </c>
      <c r="D122" s="83" t="s">
        <v>5568</v>
      </c>
      <c r="E122" s="83" t="s">
        <v>5265</v>
      </c>
      <c r="F122" s="83" t="s">
        <v>188</v>
      </c>
      <c r="G122" s="31">
        <v>11</v>
      </c>
      <c r="H122" s="83">
        <v>2</v>
      </c>
      <c r="I122" s="83"/>
      <c r="J122" s="96" t="s">
        <v>5569</v>
      </c>
      <c r="K122" s="1" t="s">
        <v>127</v>
      </c>
    </row>
    <row r="123" spans="2:11" ht="16" x14ac:dyDescent="0.4">
      <c r="B123" s="83" t="s">
        <v>5570</v>
      </c>
      <c r="C123" s="83">
        <v>2025</v>
      </c>
      <c r="D123" s="83" t="s">
        <v>5481</v>
      </c>
      <c r="E123" s="83" t="s">
        <v>4277</v>
      </c>
      <c r="F123" s="83" t="s">
        <v>188</v>
      </c>
      <c r="G123" s="31">
        <v>11</v>
      </c>
      <c r="H123" s="83">
        <v>12</v>
      </c>
      <c r="I123" s="83"/>
      <c r="J123" s="96" t="s">
        <v>5571</v>
      </c>
      <c r="K123" s="1" t="s">
        <v>127</v>
      </c>
    </row>
    <row r="124" spans="2:11" ht="16" x14ac:dyDescent="0.4">
      <c r="B124" s="83" t="s">
        <v>5572</v>
      </c>
      <c r="C124" s="83">
        <v>2025</v>
      </c>
      <c r="D124" s="83" t="s">
        <v>5326</v>
      </c>
      <c r="E124" s="83" t="s">
        <v>4277</v>
      </c>
      <c r="F124" s="83" t="s">
        <v>188</v>
      </c>
      <c r="G124" s="31">
        <v>11</v>
      </c>
      <c r="H124" s="83">
        <v>14</v>
      </c>
      <c r="I124" s="83"/>
      <c r="J124" s="96" t="s">
        <v>5573</v>
      </c>
      <c r="K124" s="1" t="s">
        <v>127</v>
      </c>
    </row>
    <row r="125" spans="2:11" ht="16" x14ac:dyDescent="0.4">
      <c r="B125" s="83" t="s">
        <v>5574</v>
      </c>
      <c r="C125" s="83">
        <v>2025</v>
      </c>
      <c r="D125" s="83" t="s">
        <v>5575</v>
      </c>
      <c r="E125" s="83" t="s">
        <v>5576</v>
      </c>
      <c r="F125" s="83" t="s">
        <v>188</v>
      </c>
      <c r="G125" s="31">
        <v>11</v>
      </c>
      <c r="H125" s="83">
        <v>7</v>
      </c>
      <c r="I125" s="83"/>
      <c r="J125" s="96" t="s">
        <v>5577</v>
      </c>
      <c r="K125" s="1" t="s">
        <v>127</v>
      </c>
    </row>
    <row r="126" spans="2:11" ht="16" x14ac:dyDescent="0.4">
      <c r="B126" s="83" t="s">
        <v>5578</v>
      </c>
      <c r="C126" s="83">
        <v>2025</v>
      </c>
      <c r="D126" s="83" t="s">
        <v>5579</v>
      </c>
      <c r="E126" s="83" t="s">
        <v>4379</v>
      </c>
      <c r="F126" s="83" t="s">
        <v>188</v>
      </c>
      <c r="G126" s="31">
        <v>11</v>
      </c>
      <c r="H126" s="83">
        <v>1</v>
      </c>
      <c r="I126" s="83"/>
      <c r="J126" s="96" t="s">
        <v>5580</v>
      </c>
      <c r="K126" s="1" t="s">
        <v>127</v>
      </c>
    </row>
    <row r="127" spans="2:11" ht="16" x14ac:dyDescent="0.4">
      <c r="B127" s="83" t="s">
        <v>5581</v>
      </c>
      <c r="C127" s="83">
        <v>2025</v>
      </c>
      <c r="D127" s="83" t="s">
        <v>5582</v>
      </c>
      <c r="E127" s="83" t="s">
        <v>4493</v>
      </c>
      <c r="F127" s="83" t="s">
        <v>608</v>
      </c>
      <c r="G127" s="31">
        <v>10</v>
      </c>
      <c r="H127" s="83">
        <v>6</v>
      </c>
      <c r="I127" s="83"/>
      <c r="J127" s="96" t="s">
        <v>5583</v>
      </c>
      <c r="K127" s="1" t="s">
        <v>127</v>
      </c>
    </row>
    <row r="128" spans="2:11" ht="16" x14ac:dyDescent="0.4">
      <c r="B128" s="83" t="s">
        <v>5584</v>
      </c>
      <c r="C128" s="83">
        <v>2025</v>
      </c>
      <c r="D128" s="83" t="s">
        <v>5585</v>
      </c>
      <c r="E128" s="83" t="s">
        <v>4534</v>
      </c>
      <c r="F128" s="83" t="s">
        <v>287</v>
      </c>
      <c r="G128" s="31">
        <v>16</v>
      </c>
      <c r="H128" s="83">
        <v>28</v>
      </c>
      <c r="I128" s="83"/>
      <c r="J128" s="96" t="s">
        <v>5586</v>
      </c>
      <c r="K128" s="1" t="s">
        <v>127</v>
      </c>
    </row>
    <row r="129" spans="2:11" ht="16" x14ac:dyDescent="0.4">
      <c r="B129" s="83" t="s">
        <v>5587</v>
      </c>
      <c r="C129" s="83">
        <v>2025</v>
      </c>
      <c r="D129" s="83" t="s">
        <v>5588</v>
      </c>
      <c r="E129" s="83" t="s">
        <v>4349</v>
      </c>
      <c r="F129" s="83" t="s">
        <v>4201</v>
      </c>
      <c r="G129" s="31">
        <v>2</v>
      </c>
      <c r="H129" s="83">
        <v>30</v>
      </c>
      <c r="I129" s="83"/>
      <c r="J129" s="96" t="s">
        <v>5589</v>
      </c>
      <c r="K129" s="1" t="s">
        <v>127</v>
      </c>
    </row>
    <row r="130" spans="2:11" ht="16" x14ac:dyDescent="0.4">
      <c r="B130" s="83" t="s">
        <v>5590</v>
      </c>
      <c r="C130" s="83">
        <v>2025</v>
      </c>
      <c r="D130" s="83" t="s">
        <v>5591</v>
      </c>
      <c r="E130" s="83" t="s">
        <v>5273</v>
      </c>
      <c r="F130" s="83" t="s">
        <v>4201</v>
      </c>
      <c r="G130" s="31">
        <v>2</v>
      </c>
      <c r="H130" s="83">
        <v>73</v>
      </c>
      <c r="I130" s="83"/>
      <c r="J130" s="96" t="s">
        <v>5592</v>
      </c>
      <c r="K130" s="1" t="s">
        <v>127</v>
      </c>
    </row>
    <row r="131" spans="2:11" ht="16" x14ac:dyDescent="0.4">
      <c r="B131" s="83" t="s">
        <v>5593</v>
      </c>
      <c r="C131" s="83">
        <v>2025</v>
      </c>
      <c r="D131" s="83" t="s">
        <v>5594</v>
      </c>
      <c r="E131" s="83" t="s">
        <v>5595</v>
      </c>
      <c r="F131" s="83" t="s">
        <v>4201</v>
      </c>
      <c r="G131" s="31">
        <v>2</v>
      </c>
      <c r="H131" s="83">
        <v>308</v>
      </c>
      <c r="I131" s="83"/>
      <c r="J131" s="96" t="s">
        <v>5596</v>
      </c>
      <c r="K131" s="1" t="s">
        <v>127</v>
      </c>
    </row>
    <row r="132" spans="2:11" ht="16" x14ac:dyDescent="0.4">
      <c r="B132" s="83" t="s">
        <v>5597</v>
      </c>
      <c r="C132" s="83">
        <v>2025</v>
      </c>
      <c r="D132" s="83" t="s">
        <v>5598</v>
      </c>
      <c r="E132" s="83" t="s">
        <v>4308</v>
      </c>
      <c r="F132" s="83" t="s">
        <v>4201</v>
      </c>
      <c r="G132" s="31">
        <v>2</v>
      </c>
      <c r="H132" s="83">
        <v>103</v>
      </c>
      <c r="I132" s="83"/>
      <c r="J132" s="96" t="s">
        <v>5599</v>
      </c>
      <c r="K132" s="1" t="s">
        <v>127</v>
      </c>
    </row>
    <row r="133" spans="2:11" ht="16" x14ac:dyDescent="0.4">
      <c r="B133" s="83" t="s">
        <v>5600</v>
      </c>
      <c r="C133" s="83">
        <v>2025</v>
      </c>
      <c r="D133" s="83" t="s">
        <v>5601</v>
      </c>
      <c r="E133" s="83" t="s">
        <v>4308</v>
      </c>
      <c r="F133" s="83" t="s">
        <v>4201</v>
      </c>
      <c r="G133" s="31">
        <v>2</v>
      </c>
      <c r="H133" s="83">
        <v>4</v>
      </c>
      <c r="I133" s="83"/>
      <c r="J133" s="96" t="s">
        <v>5602</v>
      </c>
      <c r="K133" s="1" t="s">
        <v>127</v>
      </c>
    </row>
    <row r="134" spans="2:11" ht="16" x14ac:dyDescent="0.4">
      <c r="B134" s="83" t="s">
        <v>5603</v>
      </c>
      <c r="C134" s="83">
        <v>2025</v>
      </c>
      <c r="D134" s="83" t="s">
        <v>5505</v>
      </c>
      <c r="E134" s="83" t="s">
        <v>5270</v>
      </c>
      <c r="F134" s="83" t="s">
        <v>1311</v>
      </c>
      <c r="G134" s="31">
        <v>8</v>
      </c>
      <c r="H134" s="83">
        <v>8000</v>
      </c>
      <c r="I134" s="83"/>
      <c r="J134" s="96" t="s">
        <v>5604</v>
      </c>
      <c r="K134" s="1" t="s">
        <v>127</v>
      </c>
    </row>
    <row r="135" spans="2:11" ht="16" x14ac:dyDescent="0.4">
      <c r="B135" s="83" t="s">
        <v>5605</v>
      </c>
      <c r="C135" s="83">
        <v>2025</v>
      </c>
      <c r="D135" s="83" t="s">
        <v>5606</v>
      </c>
      <c r="E135" s="83" t="s">
        <v>5436</v>
      </c>
      <c r="F135" s="83" t="s">
        <v>2955</v>
      </c>
      <c r="G135" s="31">
        <v>12</v>
      </c>
      <c r="H135" s="83"/>
      <c r="I135" s="83"/>
      <c r="J135" s="96" t="s">
        <v>5607</v>
      </c>
      <c r="K135" s="1" t="s">
        <v>127</v>
      </c>
    </row>
    <row r="136" spans="2:11" ht="16" x14ac:dyDescent="0.4">
      <c r="B136" s="83" t="s">
        <v>5608</v>
      </c>
      <c r="C136" s="83">
        <v>2025</v>
      </c>
      <c r="D136" s="83" t="s">
        <v>5609</v>
      </c>
      <c r="E136" s="83" t="s">
        <v>4525</v>
      </c>
      <c r="F136" s="83" t="s">
        <v>1891</v>
      </c>
      <c r="G136" s="31">
        <v>6</v>
      </c>
      <c r="H136" s="83"/>
      <c r="I136" s="83"/>
      <c r="J136" s="96" t="s">
        <v>5610</v>
      </c>
      <c r="K136" s="1" t="s">
        <v>127</v>
      </c>
    </row>
    <row r="137" spans="2:11" ht="16" x14ac:dyDescent="0.4">
      <c r="B137" s="65" t="s">
        <v>5611</v>
      </c>
      <c r="C137" s="65">
        <v>2025</v>
      </c>
      <c r="D137" s="65" t="s">
        <v>5612</v>
      </c>
      <c r="E137" s="65" t="s">
        <v>4542</v>
      </c>
      <c r="F137" s="65" t="s">
        <v>315</v>
      </c>
      <c r="G137" s="148">
        <v>6</v>
      </c>
      <c r="H137" s="65"/>
      <c r="I137" s="65"/>
      <c r="J137" s="152" t="s">
        <v>5613</v>
      </c>
      <c r="K137" s="1" t="s">
        <v>127</v>
      </c>
    </row>
  </sheetData>
  <mergeCells count="1">
    <mergeCell ref="B4:F4"/>
  </mergeCells>
  <hyperlinks>
    <hyperlink ref="J7" r:id="rId1" xr:uid="{6DBA3896-3AD9-47E2-8B80-8EDBD4007D89}"/>
    <hyperlink ref="J8:J20" r:id="rId2" display="https://prod-site-internet-minarm-admin.cloud.defense.gouv.fr/sites/default/files/dga/021_chiffres_cles_DGA_2020_numerique.pdf" xr:uid="{37C1BB5E-BA3F-4A4F-A435-6F2C75BFEBC9}"/>
    <hyperlink ref="J21" r:id="rId3" xr:uid="{638CD6B0-1D70-4C08-AC84-6D533CA3E1CA}"/>
    <hyperlink ref="J22:J35" r:id="rId4" display="https://prod-site-internet-minarm-admin.cloud.defense.gouv.fr/sites/default/files/dga/022_chiffres_cles_DGA_num_fr.pdf" xr:uid="{EE5289D2-A996-442E-AB90-755FB9CCA9DF}"/>
    <hyperlink ref="J36" r:id="rId5" xr:uid="{45D3C555-1AE7-44FE-B215-61B131373D68}"/>
    <hyperlink ref="J37:J56" r:id="rId6" display="https://prod-site-internet-minarm-admin.cloud.defense.gouv.fr/sites/default/files/dga/023_chiffres_cles_DGA.pdf" xr:uid="{AB78CE73-D55D-4A45-B93E-D81CD49C0D05}"/>
    <hyperlink ref="J57" r:id="rId7" display="https://www.budget.gouv.fr/documentation/file-download/18462" xr:uid="{849C9C8D-00B1-4CE9-BC5B-2B894A4943DB}"/>
    <hyperlink ref="J58:J89" r:id="rId8" display="https://www.budget.gouv.fr/documentation/file-download/18462" xr:uid="{6623F2EE-7759-49ED-B723-345F0C5B083A}"/>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F2085-B7EC-4713-9475-2BEE318A553F}">
  <sheetPr codeName="Sheet5">
    <tabColor theme="3" tint="0.749992370372631"/>
  </sheetPr>
  <dimension ref="A2:AJ92"/>
  <sheetViews>
    <sheetView workbookViewId="0"/>
  </sheetViews>
  <sheetFormatPr baseColWidth="10" defaultColWidth="8.75" defaultRowHeight="15.5" x14ac:dyDescent="0.35"/>
  <cols>
    <col min="1" max="1" width="8.75" style="1"/>
    <col min="2" max="2" width="13.5" style="1" customWidth="1"/>
    <col min="3" max="32" width="24.25" style="1" customWidth="1"/>
    <col min="33" max="33" width="8.75" style="1" customWidth="1"/>
    <col min="34" max="36" width="24.25" style="1" customWidth="1"/>
    <col min="37" max="16384" width="8.75" style="1"/>
  </cols>
  <sheetData>
    <row r="2" spans="1:36" ht="25.9" customHeight="1" x14ac:dyDescent="0.7">
      <c r="B2" s="16" t="s">
        <v>4222</v>
      </c>
      <c r="G2"/>
      <c r="AJ2" s="5"/>
    </row>
    <row r="3" spans="1:36" x14ac:dyDescent="0.35">
      <c r="Z3" s="5"/>
      <c r="AJ3" s="5"/>
    </row>
    <row r="4" spans="1:36" ht="64.900000000000006" customHeight="1" x14ac:dyDescent="0.35">
      <c r="B4" s="232" t="s">
        <v>4223</v>
      </c>
      <c r="C4" s="232"/>
      <c r="D4" s="232"/>
      <c r="E4" s="232"/>
      <c r="F4" s="232"/>
      <c r="G4" s="232"/>
      <c r="Z4" s="5"/>
      <c r="AJ4" s="5"/>
    </row>
    <row r="6" spans="1:36" ht="21" customHeight="1" x14ac:dyDescent="0.35">
      <c r="B6" s="68" t="s">
        <v>4197</v>
      </c>
      <c r="C6" s="69" t="s">
        <v>2967</v>
      </c>
      <c r="D6" s="69" t="s">
        <v>4198</v>
      </c>
      <c r="E6" s="69" t="s">
        <v>188</v>
      </c>
      <c r="F6" s="69" t="s">
        <v>4199</v>
      </c>
      <c r="G6" s="69" t="s">
        <v>999</v>
      </c>
      <c r="H6" s="69" t="s">
        <v>4200</v>
      </c>
      <c r="I6" s="69" t="s">
        <v>4201</v>
      </c>
      <c r="J6" s="69" t="s">
        <v>4202</v>
      </c>
      <c r="K6" s="69" t="s">
        <v>3376</v>
      </c>
      <c r="L6" s="69" t="s">
        <v>4203</v>
      </c>
      <c r="M6" s="69" t="s">
        <v>2580</v>
      </c>
      <c r="N6" s="69" t="s">
        <v>4204</v>
      </c>
      <c r="O6" s="69" t="s">
        <v>608</v>
      </c>
      <c r="P6" s="69" t="s">
        <v>4205</v>
      </c>
      <c r="Q6" s="69" t="s">
        <v>1311</v>
      </c>
      <c r="R6" s="69" t="s">
        <v>4206</v>
      </c>
      <c r="S6" s="69" t="s">
        <v>4207</v>
      </c>
      <c r="T6" s="69" t="s">
        <v>4208</v>
      </c>
      <c r="U6" s="69" t="s">
        <v>4209</v>
      </c>
      <c r="V6" s="69" t="s">
        <v>4210</v>
      </c>
      <c r="W6" s="69" t="s">
        <v>4211</v>
      </c>
      <c r="X6" s="69" t="s">
        <v>4212</v>
      </c>
      <c r="Y6" s="69" t="s">
        <v>4213</v>
      </c>
      <c r="Z6" s="69" t="s">
        <v>4214</v>
      </c>
      <c r="AA6" s="69" t="s">
        <v>659</v>
      </c>
      <c r="AB6" s="69" t="s">
        <v>4215</v>
      </c>
      <c r="AC6" s="69" t="s">
        <v>2955</v>
      </c>
      <c r="AD6" s="69" t="s">
        <v>4216</v>
      </c>
      <c r="AE6" s="69" t="s">
        <v>287</v>
      </c>
      <c r="AF6" s="69" t="s">
        <v>4217</v>
      </c>
      <c r="AG6" s="69"/>
      <c r="AH6" s="69" t="s">
        <v>315</v>
      </c>
      <c r="AI6" s="69" t="s">
        <v>4218</v>
      </c>
      <c r="AJ6" s="69" t="s">
        <v>1891</v>
      </c>
    </row>
    <row r="7" spans="1:36" x14ac:dyDescent="0.35">
      <c r="A7" s="20">
        <v>201901</v>
      </c>
      <c r="B7" s="17">
        <v>43466</v>
      </c>
      <c r="C7" s="15">
        <f>(SUMIFS('MAIN DATA, Orders'!$U:$U,'MAIN DATA, Orders'!$Y:$Y,$A7,'MAIN DATA, Orders'!$D:$D,"Poland",'MAIN DATA, Orders'!$I:$I,"Air defence system")/1000000000)</f>
        <v>0</v>
      </c>
      <c r="D7" s="15">
        <f>(SUMIFS('MAIN DATA, Orders'!$U:$U,'MAIN DATA, Orders'!$Y:$Y,$A7,'MAIN DATA, Orders'!$D:$D,"Poland",'MAIN DATA, Orders'!$I:$I,"Development - Air defence system")/1000000000)</f>
        <v>0</v>
      </c>
      <c r="E7" s="15">
        <f>(SUMIFS('MAIN DATA, Orders'!$U:$U,'MAIN DATA, Orders'!$Y:$Y,$A7,'MAIN DATA, Orders'!$D:$D,"Poland",'MAIN DATA, Orders'!$I:$I,"Aircraft")/1000000000)</f>
        <v>0</v>
      </c>
      <c r="F7" s="15">
        <f>(SUMIFS('MAIN DATA, Orders'!$U:$U,'MAIN DATA, Orders'!$Y:$Y,$A7,'MAIN DATA, Orders'!$D:$D,"Poland",'MAIN DATA, Orders'!$I:$I,"Development - Aircraft")/1000000000)</f>
        <v>0</v>
      </c>
      <c r="G7" s="15">
        <f>(SUMIFS('MAIN DATA, Orders'!$U:$U,'MAIN DATA, Orders'!$Y:$Y,$A7,'MAIN DATA, Orders'!$D:$D,"Poland",'MAIN DATA, Orders'!$I:$I,"Ammunition")/1000000000)</f>
        <v>0</v>
      </c>
      <c r="H7" s="15">
        <f>(SUMIFS('MAIN DATA, Orders'!$U:$U,'MAIN DATA, Orders'!$Y:$Y,$A7,'MAIN DATA, Orders'!$D:$D,"Poland",'MAIN DATA, Orders'!$I:$I,"Development - Ammunition")/1000000000)</f>
        <v>0</v>
      </c>
      <c r="I7" s="15">
        <f>(SUMIFS('MAIN DATA, Orders'!$U:$U,'MAIN DATA, Orders'!$Y:$Y,$A7,'MAIN DATA, Orders'!$D:$D,"Poland",'MAIN DATA, Orders'!$I:$I,"Armoured vehicle")/1000000000)</f>
        <v>0</v>
      </c>
      <c r="J7" s="15">
        <f>(SUMIFS('MAIN DATA, Orders'!$U:$U,'MAIN DATA, Orders'!$Y:$Y,$A7,'MAIN DATA, Orders'!$D:$D,"Poland",'MAIN DATA, Orders'!$I:$I,"Development - Armoured vehicle")/1000000000)</f>
        <v>0</v>
      </c>
      <c r="K7" s="15">
        <f>(SUMIFS('MAIN DATA, Orders'!$U:$U,'MAIN DATA, Orders'!$Y:$Y,$A7,'MAIN DATA, Orders'!$D:$D,"Poland",'MAIN DATA, Orders'!$I:$I,"Artillery")/1000000000)</f>
        <v>0</v>
      </c>
      <c r="L7" s="15">
        <f>(SUMIFS('MAIN DATA, Orders'!$U:$U,'MAIN DATA, Orders'!$Y:$Y,$A7,'MAIN DATA, Orders'!$D:$D,"Poland",'MAIN DATA, Orders'!$I:$I,"Development - Artillery")/1000000000)</f>
        <v>0</v>
      </c>
      <c r="M7" s="15">
        <f>(SUMIFS('MAIN DATA, Orders'!$U:$U,'MAIN DATA, Orders'!$Y:$Y,$A7,'MAIN DATA, Orders'!$D:$D,"Poland",'MAIN DATA, Orders'!$I:$I,"Drone")/1000000000)</f>
        <v>0</v>
      </c>
      <c r="N7" s="15">
        <f>(SUMIFS('MAIN DATA, Orders'!$U:$U,'MAIN DATA, Orders'!$Y:$Y,$A7,'MAIN DATA, Orders'!$D:$D,"Poland",'MAIN DATA, Orders'!$I:$I,"Development - Drone")/1000000000)</f>
        <v>0</v>
      </c>
      <c r="O7" s="15">
        <f>(SUMIFS('MAIN DATA, Orders'!$U:$U,'MAIN DATA, Orders'!$Y:$Y,$A7,'MAIN DATA, Orders'!$D:$D,"Poland",'MAIN DATA, Orders'!$I:$I,"Helicopter")/1000000000)</f>
        <v>0.15901898734177214</v>
      </c>
      <c r="P7" s="15">
        <f>(SUMIFS('MAIN DATA, Orders'!$U:$U,'MAIN DATA, Orders'!$Y:$Y,$A7,'MAIN DATA, Orders'!$D:$D,"Poland",'MAIN DATA, Orders'!$I:$I,"Development - Helicopter")/1000000000)</f>
        <v>0</v>
      </c>
      <c r="Q7" s="15">
        <f>(SUMIFS('MAIN DATA, Orders'!$U:$U,'MAIN DATA, Orders'!$Y:$Y,$A7,'MAIN DATA, Orders'!$D:$D,"Poland",'MAIN DATA, Orders'!$I:$I,"Infantry")/1000000000)</f>
        <v>0</v>
      </c>
      <c r="R7" s="15">
        <f>(SUMIFS('MAIN DATA, Orders'!$U:$U,'MAIN DATA, Orders'!$Y:$Y,$A7,'MAIN DATA, Orders'!$D:$D,"Poland",'MAIN DATA, Orders'!$I:$I,"Development - Infantry")/1000000000)</f>
        <v>0</v>
      </c>
      <c r="S7" s="15">
        <f>(SUMIFS('MAIN DATA, Orders'!$U:$U,'MAIN DATA, Orders'!$Y:$Y,$A7,'MAIN DATA, Orders'!$D:$D,"Poland",'MAIN DATA, Orders'!$I:$I,"Tank")/1000000000)</f>
        <v>0</v>
      </c>
      <c r="T7" s="15">
        <f>(SUMIFS('MAIN DATA, Orders'!$U:$U,'MAIN DATA, Orders'!$Y:$Y,$A7,'MAIN DATA, Orders'!$D:$D,"Poland",'MAIN DATA, Orders'!$I:$I,"Development - Tank")/1000000000)</f>
        <v>0</v>
      </c>
      <c r="U7" s="15">
        <f>(SUMIFS('MAIN DATA, Orders'!$U:$U,'MAIN DATA, Orders'!$Y:$Y,$A7,'MAIN DATA, Orders'!$D:$D,"Poland",'MAIN DATA, Orders'!$I:$I,"Maintenance")/1000000000)</f>
        <v>0</v>
      </c>
      <c r="V7" s="15">
        <f>(SUMIFS('MAIN DATA, Orders'!$U:$U,'MAIN DATA, Orders'!$Y:$Y,$A7,'MAIN DATA, Orders'!$D:$D,"Poland",'MAIN DATA, Orders'!$I:$I,"Development - Maintenance")/1000000000)</f>
        <v>0</v>
      </c>
      <c r="W7" s="15">
        <f>(SUMIFS('MAIN DATA, Orders'!$U:$U,'MAIN DATA, Orders'!$Y:$Y,$A7,'MAIN DATA, Orders'!$D:$D,"Poland",'MAIN DATA, Orders'!$I:$I,"Mine")/1000000000)</f>
        <v>0</v>
      </c>
      <c r="X7" s="15">
        <f>(SUMIFS('MAIN DATA, Orders'!$U:$U,'MAIN DATA, Orders'!$Y:$Y,$A7,'MAIN DATA, Orders'!$D:$D,"Poland",'MAIN DATA, Orders'!$I:$I,"Development - Mine")/1000000000)</f>
        <v>0</v>
      </c>
      <c r="Y7" s="15">
        <f>(SUMIFS('MAIN DATA, Orders'!$U:$U,'MAIN DATA, Orders'!$Y:$Y,$A7,'MAIN DATA, Orders'!$D:$D,"Poland",'MAIN DATA, Orders'!$J:$J,"6")/1000000000)</f>
        <v>0</v>
      </c>
      <c r="Z7" s="15" cm="1">
        <f t="array" ref="Z7">SUM(SUMIFS('MAIN DATA, Orders'!$U:$U,'MAIN DATA, Orders'!$Y:$Y,$A7,'MAIN DATA, Orders'!$D:$D,"Poland",'MAIN DATA, Orders'!$I:$I,{"Development - Missile (Land)","Development - Missile (Naval)","Development - Missile (Air)"})/1000000000)</f>
        <v>0</v>
      </c>
      <c r="AA7" s="15">
        <f>(SUMIFS('MAIN DATA, Orders'!$U:$U,'MAIN DATA, Orders'!$Y:$Y,$A7,'MAIN DATA, Orders'!$D:$D,"Poland",'MAIN DATA, Orders'!$I:$I,"Modernisation")/1000000000)</f>
        <v>0</v>
      </c>
      <c r="AB7" s="15">
        <f>(SUMIFS('MAIN DATA, Orders'!$U:$U,'MAIN DATA, Orders'!$Y:$Y,$A7,'MAIN DATA, Orders'!$D:$D,"Poland",'MAIN DATA, Orders'!$I:$I,"Development - Modernisation")/1000000000)</f>
        <v>0</v>
      </c>
      <c r="AC7" s="15">
        <f>(SUMIFS('MAIN DATA, Orders'!$U:$U,'MAIN DATA, Orders'!$Y:$Y,$A7,'MAIN DATA, Orders'!$D:$D,"Poland",'MAIN DATA, Orders'!$I:$I,"Naval")/1000000000)</f>
        <v>0</v>
      </c>
      <c r="AD7" s="15">
        <f>(SUMIFS('MAIN DATA, Orders'!$U:$U,'MAIN DATA, Orders'!$Y:$Y,$A7,'MAIN DATA, Orders'!$D:$D,"Poland",'MAIN DATA, Orders'!$I:$I,"Development - Naval")/1000000000)</f>
        <v>0</v>
      </c>
      <c r="AE7" s="15">
        <f>(SUMIFS('MAIN DATA, Orders'!$U:$U,'MAIN DATA, Orders'!$Y:$Y,$A7,'MAIN DATA, Orders'!$D:$D,"Poland",'MAIN DATA, Orders'!$I:$I,"Other")/1000000000)</f>
        <v>0</v>
      </c>
      <c r="AF7" s="15">
        <f>(SUMIFS('MAIN DATA, Orders'!$U:$U,'MAIN DATA, Orders'!$Y:$Y,$A7,'MAIN DATA, Orders'!$D:$D,"Poland",'MAIN DATA, Orders'!$I:$I,"Development - Other")/1000000000)</f>
        <v>0</v>
      </c>
      <c r="AH7" s="15" cm="1">
        <f t="array" ref="AH7">SUM(SUMIFS('MAIN DATA, Orders'!$U:$U,'MAIN DATA, Orders'!$Y:$Y,$A7,'MAIN DATA, Orders'!$D:$D,"Poland",'MAIN DATA, Orders'!$I:$I,{"Missile (Land)","Development - Missile (Land)"})/1000000000)</f>
        <v>0</v>
      </c>
      <c r="AI7" s="15" cm="1">
        <f t="array" ref="AI7">SUM(SUMIFS('MAIN DATA, Orders'!$U:$U,'MAIN DATA, Orders'!$Y:$Y,$A7,'MAIN DATA, Orders'!$D:$D,"Poland",'MAIN DATA, Orders'!$I:$I,{"Missile (Air)","Development - Missile (Air)"})/1000000000)</f>
        <v>0</v>
      </c>
      <c r="AJ7" s="15" cm="1">
        <f t="array" ref="AJ7">SUM(SUMIFS('MAIN DATA, Orders'!$U:$U,'MAIN DATA, Orders'!$Y:$Y,$A7,'MAIN DATA, Orders'!$D:$D,"Poland",'MAIN DATA, Orders'!$I:$I,{"Missile (Naval)","Development - Missile (Naval)"})/1000000000)</f>
        <v>0</v>
      </c>
    </row>
    <row r="8" spans="1:36" x14ac:dyDescent="0.35">
      <c r="A8" s="20">
        <v>201902</v>
      </c>
      <c r="B8" s="17">
        <v>43497</v>
      </c>
      <c r="C8" s="15">
        <f>(SUMIFS('MAIN DATA, Orders'!$U:$U,'MAIN DATA, Orders'!$Y:$Y,$A8,'MAIN DATA, Orders'!$D:$D,"Poland",'MAIN DATA, Orders'!$I:$I,"Air defence system")/1000000000)</f>
        <v>0</v>
      </c>
      <c r="D8" s="15">
        <f>(SUMIFS('MAIN DATA, Orders'!$U:$U,'MAIN DATA, Orders'!$Y:$Y,$A8,'MAIN DATA, Orders'!$D:$D,"Poland",'MAIN DATA, Orders'!$I:$I,"Development - Air defence system")/1000000000)</f>
        <v>0</v>
      </c>
      <c r="E8" s="15">
        <f>(SUMIFS('MAIN DATA, Orders'!$U:$U,'MAIN DATA, Orders'!$Y:$Y,$A8,'MAIN DATA, Orders'!$D:$D,"Poland",'MAIN DATA, Orders'!$I:$I,"Aircraft")/1000000000)</f>
        <v>0</v>
      </c>
      <c r="F8" s="15">
        <f>(SUMIFS('MAIN DATA, Orders'!$U:$U,'MAIN DATA, Orders'!$Y:$Y,$A8,'MAIN DATA, Orders'!$D:$D,"Poland",'MAIN DATA, Orders'!$I:$I,"Development - Aircraft")/1000000000)</f>
        <v>0</v>
      </c>
      <c r="G8" s="15">
        <f>(SUMIFS('MAIN DATA, Orders'!$U:$U,'MAIN DATA, Orders'!$Y:$Y,$A8,'MAIN DATA, Orders'!$D:$D,"Poland",'MAIN DATA, Orders'!$I:$I,"Ammunition")/1000000000)</f>
        <v>0</v>
      </c>
      <c r="H8" s="15">
        <f>(SUMIFS('MAIN DATA, Orders'!$U:$U,'MAIN DATA, Orders'!$Y:$Y,$A8,'MAIN DATA, Orders'!$D:$D,"Poland",'MAIN DATA, Orders'!$I:$I,"Development - Ammunition")/1000000000)</f>
        <v>0</v>
      </c>
      <c r="I8" s="15">
        <f>(SUMIFS('MAIN DATA, Orders'!$U:$U,'MAIN DATA, Orders'!$Y:$Y,$A8,'MAIN DATA, Orders'!$D:$D,"Poland",'MAIN DATA, Orders'!$I:$I,"Armoured vehicle")/1000000000)</f>
        <v>0</v>
      </c>
      <c r="J8" s="15">
        <f>(SUMIFS('MAIN DATA, Orders'!$U:$U,'MAIN DATA, Orders'!$Y:$Y,$A8,'MAIN DATA, Orders'!$D:$D,"Poland",'MAIN DATA, Orders'!$I:$I,"Development - Armoured vehicle")/1000000000)</f>
        <v>0</v>
      </c>
      <c r="K8" s="15">
        <f>(SUMIFS('MAIN DATA, Orders'!$U:$U,'MAIN DATA, Orders'!$Y:$Y,$A8,'MAIN DATA, Orders'!$D:$D,"Poland",'MAIN DATA, Orders'!$I:$I,"Artillery")/1000000000)</f>
        <v>0.36980794997766864</v>
      </c>
      <c r="L8" s="15">
        <f>(SUMIFS('MAIN DATA, Orders'!$U:$U,'MAIN DATA, Orders'!$Y:$Y,$A8,'MAIN DATA, Orders'!$D:$D,"Poland",'MAIN DATA, Orders'!$I:$I,"Development - Artillery")/1000000000)</f>
        <v>0</v>
      </c>
      <c r="M8" s="15">
        <f>(SUMIFS('MAIN DATA, Orders'!$U:$U,'MAIN DATA, Orders'!$Y:$Y,$A8,'MAIN DATA, Orders'!$D:$D,"Poland",'MAIN DATA, Orders'!$I:$I,"Drone")/1000000000)</f>
        <v>0</v>
      </c>
      <c r="N8" s="15">
        <f>(SUMIFS('MAIN DATA, Orders'!$U:$U,'MAIN DATA, Orders'!$Y:$Y,$A8,'MAIN DATA, Orders'!$D:$D,"Poland",'MAIN DATA, Orders'!$I:$I,"Development - Drone")/1000000000)</f>
        <v>0</v>
      </c>
      <c r="O8" s="15">
        <f>(SUMIFS('MAIN DATA, Orders'!$U:$U,'MAIN DATA, Orders'!$Y:$Y,$A8,'MAIN DATA, Orders'!$D:$D,"Poland",'MAIN DATA, Orders'!$I:$I,"Helicopter")/1000000000)</f>
        <v>0</v>
      </c>
      <c r="P8" s="15">
        <f>(SUMIFS('MAIN DATA, Orders'!$U:$U,'MAIN DATA, Orders'!$Y:$Y,$A8,'MAIN DATA, Orders'!$D:$D,"Poland",'MAIN DATA, Orders'!$I:$I,"Development - Helicopter")/1000000000)</f>
        <v>0</v>
      </c>
      <c r="Q8" s="15">
        <f>(SUMIFS('MAIN DATA, Orders'!$U:$U,'MAIN DATA, Orders'!$Y:$Y,$A8,'MAIN DATA, Orders'!$D:$D,"Poland",'MAIN DATA, Orders'!$I:$I,"Infantry")/1000000000)</f>
        <v>0</v>
      </c>
      <c r="R8" s="15">
        <f>(SUMIFS('MAIN DATA, Orders'!$U:$U,'MAIN DATA, Orders'!$Y:$Y,$A8,'MAIN DATA, Orders'!$D:$D,"Poland",'MAIN DATA, Orders'!$I:$I,"Development - Infantry")/1000000000)</f>
        <v>0</v>
      </c>
      <c r="S8" s="15">
        <f>(SUMIFS('MAIN DATA, Orders'!$U:$U,'MAIN DATA, Orders'!$Y:$Y,$A8,'MAIN DATA, Orders'!$D:$D,"Poland",'MAIN DATA, Orders'!$I:$I,"Tank")/1000000000)</f>
        <v>0</v>
      </c>
      <c r="T8" s="15">
        <f>(SUMIFS('MAIN DATA, Orders'!$U:$U,'MAIN DATA, Orders'!$Y:$Y,$A8,'MAIN DATA, Orders'!$D:$D,"Poland",'MAIN DATA, Orders'!$I:$I,"Development - Tank")/1000000000)</f>
        <v>0</v>
      </c>
      <c r="U8" s="15">
        <f>(SUMIFS('MAIN DATA, Orders'!$U:$U,'MAIN DATA, Orders'!$Y:$Y,$A8,'MAIN DATA, Orders'!$D:$D,"Poland",'MAIN DATA, Orders'!$I:$I,"Maintenance")/1000000000)</f>
        <v>0</v>
      </c>
      <c r="V8" s="15">
        <f>(SUMIFS('MAIN DATA, Orders'!$U:$U,'MAIN DATA, Orders'!$Y:$Y,$A8,'MAIN DATA, Orders'!$D:$D,"Poland",'MAIN DATA, Orders'!$I:$I,"Development - Maintenance")/1000000000)</f>
        <v>0</v>
      </c>
      <c r="W8" s="15">
        <f>(SUMIFS('MAIN DATA, Orders'!$U:$U,'MAIN DATA, Orders'!$Y:$Y,$A8,'MAIN DATA, Orders'!$D:$D,"Poland",'MAIN DATA, Orders'!$I:$I,"Mine")/1000000000)</f>
        <v>0</v>
      </c>
      <c r="X8" s="15">
        <f>(SUMIFS('MAIN DATA, Orders'!$U:$U,'MAIN DATA, Orders'!$Y:$Y,$A8,'MAIN DATA, Orders'!$D:$D,"Poland",'MAIN DATA, Orders'!$I:$I,"Development - Mine")/1000000000)</f>
        <v>0</v>
      </c>
      <c r="Y8" s="15">
        <f>(SUMIFS('MAIN DATA, Orders'!$U:$U,'MAIN DATA, Orders'!$Y:$Y,$A8,'MAIN DATA, Orders'!$D:$D,"Poland",'MAIN DATA, Orders'!$J:$J,"6")/1000000000)</f>
        <v>0</v>
      </c>
      <c r="Z8" s="15" cm="1">
        <f t="array" ref="Z8">SUM(SUMIFS('MAIN DATA, Orders'!$U:$U,'MAIN DATA, Orders'!$Y:$Y,$A8,'MAIN DATA, Orders'!$D:$D,"Poland",'MAIN DATA, Orders'!$I:$I,{"Development - Missile (Land)","Development - Missile (Naval)","Development - Missile (Air)"})/1000000000)</f>
        <v>0</v>
      </c>
      <c r="AA8" s="15">
        <f>(SUMIFS('MAIN DATA, Orders'!$U:$U,'MAIN DATA, Orders'!$Y:$Y,$A8,'MAIN DATA, Orders'!$D:$D,"Poland",'MAIN DATA, Orders'!$I:$I,"Modernisation")/1000000000)</f>
        <v>0.69806403574087861</v>
      </c>
      <c r="AB8" s="15">
        <f>(SUMIFS('MAIN DATA, Orders'!$U:$U,'MAIN DATA, Orders'!$Y:$Y,$A8,'MAIN DATA, Orders'!$D:$D,"Poland",'MAIN DATA, Orders'!$I:$I,"Development - Modernisation")/1000000000)</f>
        <v>0</v>
      </c>
      <c r="AC8" s="15">
        <f>(SUMIFS('MAIN DATA, Orders'!$U:$U,'MAIN DATA, Orders'!$Y:$Y,$A8,'MAIN DATA, Orders'!$D:$D,"Poland",'MAIN DATA, Orders'!$I:$I,"Naval")/1000000000)</f>
        <v>0</v>
      </c>
      <c r="AD8" s="15">
        <f>(SUMIFS('MAIN DATA, Orders'!$U:$U,'MAIN DATA, Orders'!$Y:$Y,$A8,'MAIN DATA, Orders'!$D:$D,"Poland",'MAIN DATA, Orders'!$I:$I,"Development - Naval")/1000000000)</f>
        <v>0</v>
      </c>
      <c r="AE8" s="15">
        <f>(SUMIFS('MAIN DATA, Orders'!$U:$U,'MAIN DATA, Orders'!$Y:$Y,$A8,'MAIN DATA, Orders'!$D:$D,"Poland",'MAIN DATA, Orders'!$I:$I,"Other")/1000000000)</f>
        <v>0</v>
      </c>
      <c r="AF8" s="15">
        <f>(SUMIFS('MAIN DATA, Orders'!$U:$U,'MAIN DATA, Orders'!$Y:$Y,$A8,'MAIN DATA, Orders'!$D:$D,"Poland",'MAIN DATA, Orders'!$I:$I,"Development - Other")/1000000000)</f>
        <v>0</v>
      </c>
      <c r="AH8" s="15" cm="1">
        <f t="array" ref="AH8">SUM(SUMIFS('MAIN DATA, Orders'!$U:$U,'MAIN DATA, Orders'!$Y:$Y,$A8,'MAIN DATA, Orders'!$D:$D,"Poland",'MAIN DATA, Orders'!$I:$I,{"Missile (Land)","Development - Missile (Land)"})/1000000000)</f>
        <v>0</v>
      </c>
      <c r="AI8" s="15" cm="1">
        <f t="array" ref="AI8">SUM(SUMIFS('MAIN DATA, Orders'!$U:$U,'MAIN DATA, Orders'!$Y:$Y,$A8,'MAIN DATA, Orders'!$D:$D,"Poland",'MAIN DATA, Orders'!$I:$I,{"Missile (Air)","Development - Missile (Air)"})/1000000000)</f>
        <v>0</v>
      </c>
      <c r="AJ8" s="15" cm="1">
        <f t="array" ref="AJ8">SUM(SUMIFS('MAIN DATA, Orders'!$U:$U,'MAIN DATA, Orders'!$Y:$Y,$A8,'MAIN DATA, Orders'!$D:$D,"Poland",'MAIN DATA, Orders'!$I:$I,{"Missile (Naval)","Development - Missile (Naval)"})/1000000000)</f>
        <v>0</v>
      </c>
    </row>
    <row r="9" spans="1:36" x14ac:dyDescent="0.35">
      <c r="A9" s="20">
        <v>201903</v>
      </c>
      <c r="B9" s="17">
        <v>43525</v>
      </c>
      <c r="C9" s="15">
        <f>(SUMIFS('MAIN DATA, Orders'!$U:$U,'MAIN DATA, Orders'!$Y:$Y,$A9,'MAIN DATA, Orders'!$D:$D,"Poland",'MAIN DATA, Orders'!$I:$I,"Air defence system")/1000000000)</f>
        <v>0.16864389426656737</v>
      </c>
      <c r="D9" s="15">
        <f>(SUMIFS('MAIN DATA, Orders'!$U:$U,'MAIN DATA, Orders'!$Y:$Y,$A9,'MAIN DATA, Orders'!$D:$D,"Poland",'MAIN DATA, Orders'!$I:$I,"Development - Air defence system")/1000000000)</f>
        <v>0</v>
      </c>
      <c r="E9" s="15">
        <f>(SUMIFS('MAIN DATA, Orders'!$U:$U,'MAIN DATA, Orders'!$Y:$Y,$A9,'MAIN DATA, Orders'!$D:$D,"Poland",'MAIN DATA, Orders'!$I:$I,"Aircraft")/1000000000)</f>
        <v>0</v>
      </c>
      <c r="F9" s="15">
        <f>(SUMIFS('MAIN DATA, Orders'!$U:$U,'MAIN DATA, Orders'!$Y:$Y,$A9,'MAIN DATA, Orders'!$D:$D,"Poland",'MAIN DATA, Orders'!$I:$I,"Development - Aircraft")/1000000000)</f>
        <v>0</v>
      </c>
      <c r="G9" s="15">
        <f>(SUMIFS('MAIN DATA, Orders'!$U:$U,'MAIN DATA, Orders'!$Y:$Y,$A9,'MAIN DATA, Orders'!$D:$D,"Poland",'MAIN DATA, Orders'!$I:$I,"Ammunition")/1000000000)</f>
        <v>0</v>
      </c>
      <c r="H9" s="15">
        <f>(SUMIFS('MAIN DATA, Orders'!$U:$U,'MAIN DATA, Orders'!$Y:$Y,$A9,'MAIN DATA, Orders'!$D:$D,"Poland",'MAIN DATA, Orders'!$I:$I,"Development - Ammunition")/1000000000)</f>
        <v>0</v>
      </c>
      <c r="I9" s="15">
        <f>(SUMIFS('MAIN DATA, Orders'!$U:$U,'MAIN DATA, Orders'!$Y:$Y,$A9,'MAIN DATA, Orders'!$D:$D,"Poland",'MAIN DATA, Orders'!$I:$I,"Armoured vehicle")/1000000000)</f>
        <v>0</v>
      </c>
      <c r="J9" s="15">
        <f>(SUMIFS('MAIN DATA, Orders'!$U:$U,'MAIN DATA, Orders'!$Y:$Y,$A9,'MAIN DATA, Orders'!$D:$D,"Poland",'MAIN DATA, Orders'!$I:$I,"Development - Armoured vehicle")/1000000000)</f>
        <v>0</v>
      </c>
      <c r="K9" s="15">
        <f>(SUMIFS('MAIN DATA, Orders'!$U:$U,'MAIN DATA, Orders'!$Y:$Y,$A9,'MAIN DATA, Orders'!$D:$D,"Poland",'MAIN DATA, Orders'!$I:$I,"Artillery")/1000000000)</f>
        <v>0</v>
      </c>
      <c r="L9" s="15">
        <f>(SUMIFS('MAIN DATA, Orders'!$U:$U,'MAIN DATA, Orders'!$Y:$Y,$A9,'MAIN DATA, Orders'!$D:$D,"Poland",'MAIN DATA, Orders'!$I:$I,"Development - Artillery")/1000000000)</f>
        <v>0</v>
      </c>
      <c r="M9" s="15">
        <f>(SUMIFS('MAIN DATA, Orders'!$U:$U,'MAIN DATA, Orders'!$Y:$Y,$A9,'MAIN DATA, Orders'!$D:$D,"Poland",'MAIN DATA, Orders'!$I:$I,"Drone")/1000000000)</f>
        <v>0</v>
      </c>
      <c r="N9" s="15">
        <f>(SUMIFS('MAIN DATA, Orders'!$U:$U,'MAIN DATA, Orders'!$Y:$Y,$A9,'MAIN DATA, Orders'!$D:$D,"Poland",'MAIN DATA, Orders'!$I:$I,"Development - Drone")/1000000000)</f>
        <v>0</v>
      </c>
      <c r="O9" s="15">
        <f>(SUMIFS('MAIN DATA, Orders'!$U:$U,'MAIN DATA, Orders'!$Y:$Y,$A9,'MAIN DATA, Orders'!$D:$D,"Poland",'MAIN DATA, Orders'!$I:$I,"Helicopter")/1000000000)</f>
        <v>0</v>
      </c>
      <c r="P9" s="15">
        <f>(SUMIFS('MAIN DATA, Orders'!$U:$U,'MAIN DATA, Orders'!$Y:$Y,$A9,'MAIN DATA, Orders'!$D:$D,"Poland",'MAIN DATA, Orders'!$I:$I,"Development - Helicopter")/1000000000)</f>
        <v>0</v>
      </c>
      <c r="Q9" s="15">
        <f>(SUMIFS('MAIN DATA, Orders'!$U:$U,'MAIN DATA, Orders'!$Y:$Y,$A9,'MAIN DATA, Orders'!$D:$D,"Poland",'MAIN DATA, Orders'!$I:$I,"Infantry")/1000000000)</f>
        <v>0</v>
      </c>
      <c r="R9" s="15">
        <f>(SUMIFS('MAIN DATA, Orders'!$U:$U,'MAIN DATA, Orders'!$Y:$Y,$A9,'MAIN DATA, Orders'!$D:$D,"Poland",'MAIN DATA, Orders'!$I:$I,"Development - Infantry")/1000000000)</f>
        <v>0</v>
      </c>
      <c r="S9" s="15">
        <f>(SUMIFS('MAIN DATA, Orders'!$U:$U,'MAIN DATA, Orders'!$Y:$Y,$A9,'MAIN DATA, Orders'!$D:$D,"Poland",'MAIN DATA, Orders'!$I:$I,"Tank")/1000000000)</f>
        <v>0</v>
      </c>
      <c r="T9" s="15">
        <f>(SUMIFS('MAIN DATA, Orders'!$U:$U,'MAIN DATA, Orders'!$Y:$Y,$A9,'MAIN DATA, Orders'!$D:$D,"Poland",'MAIN DATA, Orders'!$I:$I,"Development - Tank")/1000000000)</f>
        <v>0</v>
      </c>
      <c r="U9" s="15">
        <f>(SUMIFS('MAIN DATA, Orders'!$U:$U,'MAIN DATA, Orders'!$Y:$Y,$A9,'MAIN DATA, Orders'!$D:$D,"Poland",'MAIN DATA, Orders'!$I:$I,"Maintenance")/1000000000)</f>
        <v>0</v>
      </c>
      <c r="V9" s="15">
        <f>(SUMIFS('MAIN DATA, Orders'!$U:$U,'MAIN DATA, Orders'!$Y:$Y,$A9,'MAIN DATA, Orders'!$D:$D,"Poland",'MAIN DATA, Orders'!$I:$I,"Development - Maintenance")/1000000000)</f>
        <v>0</v>
      </c>
      <c r="W9" s="15">
        <f>(SUMIFS('MAIN DATA, Orders'!$U:$U,'MAIN DATA, Orders'!$Y:$Y,$A9,'MAIN DATA, Orders'!$D:$D,"Poland",'MAIN DATA, Orders'!$I:$I,"Mine")/1000000000)</f>
        <v>0</v>
      </c>
      <c r="X9" s="15">
        <f>(SUMIFS('MAIN DATA, Orders'!$U:$U,'MAIN DATA, Orders'!$Y:$Y,$A9,'MAIN DATA, Orders'!$D:$D,"Poland",'MAIN DATA, Orders'!$I:$I,"Development - Mine")/1000000000)</f>
        <v>0</v>
      </c>
      <c r="Y9" s="15">
        <f>(SUMIFS('MAIN DATA, Orders'!$U:$U,'MAIN DATA, Orders'!$Y:$Y,$A9,'MAIN DATA, Orders'!$D:$D,"Poland",'MAIN DATA, Orders'!$J:$J,"6")/1000000000)</f>
        <v>0</v>
      </c>
      <c r="Z9" s="15" cm="1">
        <f t="array" ref="Z9">SUM(SUMIFS('MAIN DATA, Orders'!$U:$U,'MAIN DATA, Orders'!$Y:$Y,$A9,'MAIN DATA, Orders'!$D:$D,"Poland",'MAIN DATA, Orders'!$I:$I,{"Development - Missile (Land)","Development - Missile (Naval)","Development - Missile (Air)"})/1000000000)</f>
        <v>0</v>
      </c>
      <c r="AA9" s="15">
        <f>(SUMIFS('MAIN DATA, Orders'!$U:$U,'MAIN DATA, Orders'!$Y:$Y,$A9,'MAIN DATA, Orders'!$D:$D,"Poland",'MAIN DATA, Orders'!$I:$I,"Modernisation")/1000000000)</f>
        <v>0</v>
      </c>
      <c r="AB9" s="15">
        <f>(SUMIFS('MAIN DATA, Orders'!$U:$U,'MAIN DATA, Orders'!$Y:$Y,$A9,'MAIN DATA, Orders'!$D:$D,"Poland",'MAIN DATA, Orders'!$I:$I,"Development - Modernisation")/1000000000)</f>
        <v>0</v>
      </c>
      <c r="AC9" s="15">
        <f>(SUMIFS('MAIN DATA, Orders'!$U:$U,'MAIN DATA, Orders'!$Y:$Y,$A9,'MAIN DATA, Orders'!$D:$D,"Poland",'MAIN DATA, Orders'!$I:$I,"Naval")/1000000000)</f>
        <v>0</v>
      </c>
      <c r="AD9" s="15">
        <f>(SUMIFS('MAIN DATA, Orders'!$U:$U,'MAIN DATA, Orders'!$Y:$Y,$A9,'MAIN DATA, Orders'!$D:$D,"Poland",'MAIN DATA, Orders'!$I:$I,"Development - Naval")/1000000000)</f>
        <v>0</v>
      </c>
      <c r="AE9" s="15">
        <f>(SUMIFS('MAIN DATA, Orders'!$U:$U,'MAIN DATA, Orders'!$Y:$Y,$A9,'MAIN DATA, Orders'!$D:$D,"Poland",'MAIN DATA, Orders'!$I:$I,"Other")/1000000000)</f>
        <v>0</v>
      </c>
      <c r="AF9" s="15">
        <f>(SUMIFS('MAIN DATA, Orders'!$U:$U,'MAIN DATA, Orders'!$Y:$Y,$A9,'MAIN DATA, Orders'!$D:$D,"Poland",'MAIN DATA, Orders'!$I:$I,"Development - Other")/1000000000)</f>
        <v>0</v>
      </c>
      <c r="AH9" s="15" cm="1">
        <f t="array" ref="AH9">SUM(SUMIFS('MAIN DATA, Orders'!$U:$U,'MAIN DATA, Orders'!$Y:$Y,$A9,'MAIN DATA, Orders'!$D:$D,"Poland",'MAIN DATA, Orders'!$I:$I,{"Missile (Land)","Development - Missile (Land)"})/1000000000)</f>
        <v>0</v>
      </c>
      <c r="AI9" s="15" cm="1">
        <f t="array" ref="AI9">SUM(SUMIFS('MAIN DATA, Orders'!$U:$U,'MAIN DATA, Orders'!$Y:$Y,$A9,'MAIN DATA, Orders'!$D:$D,"Poland",'MAIN DATA, Orders'!$I:$I,{"Missile (Air)","Development - Missile (Air)"})/1000000000)</f>
        <v>0</v>
      </c>
      <c r="AJ9" s="15" cm="1">
        <f t="array" ref="AJ9">SUM(SUMIFS('MAIN DATA, Orders'!$U:$U,'MAIN DATA, Orders'!$Y:$Y,$A9,'MAIN DATA, Orders'!$D:$D,"Poland",'MAIN DATA, Orders'!$I:$I,{"Missile (Naval)","Development - Missile (Naval)"})/1000000000)</f>
        <v>0</v>
      </c>
    </row>
    <row r="10" spans="1:36" x14ac:dyDescent="0.35">
      <c r="A10" s="20">
        <v>201904</v>
      </c>
      <c r="B10" s="17">
        <v>43556</v>
      </c>
      <c r="C10" s="15">
        <f>(SUMIFS('MAIN DATA, Orders'!$U:$U,'MAIN DATA, Orders'!$Y:$Y,$A10,'MAIN DATA, Orders'!$D:$D,"Poland",'MAIN DATA, Orders'!$I:$I,"Air defence system")/1000000000)</f>
        <v>0</v>
      </c>
      <c r="D10" s="15">
        <f>(SUMIFS('MAIN DATA, Orders'!$U:$U,'MAIN DATA, Orders'!$Y:$Y,$A10,'MAIN DATA, Orders'!$D:$D,"Poland",'MAIN DATA, Orders'!$I:$I,"Development - Air defence system")/1000000000)</f>
        <v>0</v>
      </c>
      <c r="E10" s="15">
        <f>(SUMIFS('MAIN DATA, Orders'!$U:$U,'MAIN DATA, Orders'!$Y:$Y,$A10,'MAIN DATA, Orders'!$D:$D,"Poland",'MAIN DATA, Orders'!$I:$I,"Aircraft")/1000000000)</f>
        <v>0</v>
      </c>
      <c r="F10" s="15">
        <f>(SUMIFS('MAIN DATA, Orders'!$U:$U,'MAIN DATA, Orders'!$Y:$Y,$A10,'MAIN DATA, Orders'!$D:$D,"Poland",'MAIN DATA, Orders'!$I:$I,"Development - Aircraft")/1000000000)</f>
        <v>0</v>
      </c>
      <c r="G10" s="15">
        <f>(SUMIFS('MAIN DATA, Orders'!$U:$U,'MAIN DATA, Orders'!$Y:$Y,$A10,'MAIN DATA, Orders'!$D:$D,"Poland",'MAIN DATA, Orders'!$I:$I,"Ammunition")/1000000000)</f>
        <v>0</v>
      </c>
      <c r="H10" s="15">
        <f>(SUMIFS('MAIN DATA, Orders'!$U:$U,'MAIN DATA, Orders'!$Y:$Y,$A10,'MAIN DATA, Orders'!$D:$D,"Poland",'MAIN DATA, Orders'!$I:$I,"Development - Ammunition")/1000000000)</f>
        <v>0</v>
      </c>
      <c r="I10" s="15">
        <f>(SUMIFS('MAIN DATA, Orders'!$U:$U,'MAIN DATA, Orders'!$Y:$Y,$A10,'MAIN DATA, Orders'!$D:$D,"Poland",'MAIN DATA, Orders'!$I:$I,"Armoured vehicle")/1000000000)</f>
        <v>0</v>
      </c>
      <c r="J10" s="15">
        <f>(SUMIFS('MAIN DATA, Orders'!$U:$U,'MAIN DATA, Orders'!$Y:$Y,$A10,'MAIN DATA, Orders'!$D:$D,"Poland",'MAIN DATA, Orders'!$I:$I,"Development - Armoured vehicle")/1000000000)</f>
        <v>0</v>
      </c>
      <c r="K10" s="15">
        <f>(SUMIFS('MAIN DATA, Orders'!$U:$U,'MAIN DATA, Orders'!$Y:$Y,$A10,'MAIN DATA, Orders'!$D:$D,"Poland",'MAIN DATA, Orders'!$I:$I,"Artillery")/1000000000)</f>
        <v>0</v>
      </c>
      <c r="L10" s="15">
        <f>(SUMIFS('MAIN DATA, Orders'!$U:$U,'MAIN DATA, Orders'!$Y:$Y,$A10,'MAIN DATA, Orders'!$D:$D,"Poland",'MAIN DATA, Orders'!$I:$I,"Development - Artillery")/1000000000)</f>
        <v>0</v>
      </c>
      <c r="M10" s="15">
        <f>(SUMIFS('MAIN DATA, Orders'!$U:$U,'MAIN DATA, Orders'!$Y:$Y,$A10,'MAIN DATA, Orders'!$D:$D,"Poland",'MAIN DATA, Orders'!$I:$I,"Drone")/1000000000)</f>
        <v>0</v>
      </c>
      <c r="N10" s="15">
        <f>(SUMIFS('MAIN DATA, Orders'!$U:$U,'MAIN DATA, Orders'!$Y:$Y,$A10,'MAIN DATA, Orders'!$D:$D,"Poland",'MAIN DATA, Orders'!$I:$I,"Development - Drone")/1000000000)</f>
        <v>0</v>
      </c>
      <c r="O10" s="15">
        <f>(SUMIFS('MAIN DATA, Orders'!$U:$U,'MAIN DATA, Orders'!$Y:$Y,$A10,'MAIN DATA, Orders'!$D:$D,"Poland",'MAIN DATA, Orders'!$I:$I,"Helicopter")/1000000000)</f>
        <v>0</v>
      </c>
      <c r="P10" s="15">
        <f>(SUMIFS('MAIN DATA, Orders'!$U:$U,'MAIN DATA, Orders'!$Y:$Y,$A10,'MAIN DATA, Orders'!$D:$D,"Poland",'MAIN DATA, Orders'!$I:$I,"Development - Helicopter")/1000000000)</f>
        <v>0</v>
      </c>
      <c r="Q10" s="15">
        <f>(SUMIFS('MAIN DATA, Orders'!$U:$U,'MAIN DATA, Orders'!$Y:$Y,$A10,'MAIN DATA, Orders'!$D:$D,"Poland",'MAIN DATA, Orders'!$I:$I,"Infantry")/1000000000)</f>
        <v>0</v>
      </c>
      <c r="R10" s="15">
        <f>(SUMIFS('MAIN DATA, Orders'!$U:$U,'MAIN DATA, Orders'!$Y:$Y,$A10,'MAIN DATA, Orders'!$D:$D,"Poland",'MAIN DATA, Orders'!$I:$I,"Development - Infantry")/1000000000)</f>
        <v>0</v>
      </c>
      <c r="S10" s="15">
        <f>(SUMIFS('MAIN DATA, Orders'!$U:$U,'MAIN DATA, Orders'!$Y:$Y,$A10,'MAIN DATA, Orders'!$D:$D,"Poland",'MAIN DATA, Orders'!$I:$I,"Tank")/1000000000)</f>
        <v>0</v>
      </c>
      <c r="T10" s="15">
        <f>(SUMIFS('MAIN DATA, Orders'!$U:$U,'MAIN DATA, Orders'!$Y:$Y,$A10,'MAIN DATA, Orders'!$D:$D,"Poland",'MAIN DATA, Orders'!$I:$I,"Development - Tank")/1000000000)</f>
        <v>0</v>
      </c>
      <c r="U10" s="15">
        <f>(SUMIFS('MAIN DATA, Orders'!$U:$U,'MAIN DATA, Orders'!$Y:$Y,$A10,'MAIN DATA, Orders'!$D:$D,"Poland",'MAIN DATA, Orders'!$I:$I,"Maintenance")/1000000000)</f>
        <v>0</v>
      </c>
      <c r="V10" s="15">
        <f>(SUMIFS('MAIN DATA, Orders'!$U:$U,'MAIN DATA, Orders'!$Y:$Y,$A10,'MAIN DATA, Orders'!$D:$D,"Poland",'MAIN DATA, Orders'!$I:$I,"Development - Maintenance")/1000000000)</f>
        <v>0</v>
      </c>
      <c r="W10" s="15">
        <f>(SUMIFS('MAIN DATA, Orders'!$U:$U,'MAIN DATA, Orders'!$Y:$Y,$A10,'MAIN DATA, Orders'!$D:$D,"Poland",'MAIN DATA, Orders'!$I:$I,"Mine")/1000000000)</f>
        <v>0</v>
      </c>
      <c r="X10" s="15">
        <f>(SUMIFS('MAIN DATA, Orders'!$U:$U,'MAIN DATA, Orders'!$Y:$Y,$A10,'MAIN DATA, Orders'!$D:$D,"Poland",'MAIN DATA, Orders'!$I:$I,"Development - Mine")/1000000000)</f>
        <v>0</v>
      </c>
      <c r="Y10" s="15">
        <f>(SUMIFS('MAIN DATA, Orders'!$U:$U,'MAIN DATA, Orders'!$Y:$Y,$A10,'MAIN DATA, Orders'!$D:$D,"Poland",'MAIN DATA, Orders'!$J:$J,"6")/1000000000)</f>
        <v>0</v>
      </c>
      <c r="Z10" s="15" cm="1">
        <f t="array" ref="Z10">SUM(SUMIFS('MAIN DATA, Orders'!$U:$U,'MAIN DATA, Orders'!$Y:$Y,$A10,'MAIN DATA, Orders'!$D:$D,"Poland",'MAIN DATA, Orders'!$I:$I,{"Development - Missile (Land)","Development - Missile (Naval)","Development - Missile (Air)"})/1000000000)</f>
        <v>0</v>
      </c>
      <c r="AA10" s="15">
        <f>(SUMIFS('MAIN DATA, Orders'!$U:$U,'MAIN DATA, Orders'!$Y:$Y,$A10,'MAIN DATA, Orders'!$D:$D,"Poland",'MAIN DATA, Orders'!$I:$I,"Modernisation")/1000000000)</f>
        <v>0</v>
      </c>
      <c r="AB10" s="15">
        <f>(SUMIFS('MAIN DATA, Orders'!$U:$U,'MAIN DATA, Orders'!$Y:$Y,$A10,'MAIN DATA, Orders'!$D:$D,"Poland",'MAIN DATA, Orders'!$I:$I,"Development - Modernisation")/1000000000)</f>
        <v>0</v>
      </c>
      <c r="AC10" s="15">
        <f>(SUMIFS('MAIN DATA, Orders'!$U:$U,'MAIN DATA, Orders'!$Y:$Y,$A10,'MAIN DATA, Orders'!$D:$D,"Poland",'MAIN DATA, Orders'!$I:$I,"Naval")/1000000000)</f>
        <v>0.4760523899385703</v>
      </c>
      <c r="AD10" s="15">
        <f>(SUMIFS('MAIN DATA, Orders'!$U:$U,'MAIN DATA, Orders'!$Y:$Y,$A10,'MAIN DATA, Orders'!$D:$D,"Poland",'MAIN DATA, Orders'!$I:$I,"Development - Naval")/1000000000)</f>
        <v>0</v>
      </c>
      <c r="AE10" s="15">
        <f>(SUMIFS('MAIN DATA, Orders'!$U:$U,'MAIN DATA, Orders'!$Y:$Y,$A10,'MAIN DATA, Orders'!$D:$D,"Poland",'MAIN DATA, Orders'!$I:$I,"Other")/1000000000)</f>
        <v>0</v>
      </c>
      <c r="AF10" s="15">
        <f>(SUMIFS('MAIN DATA, Orders'!$U:$U,'MAIN DATA, Orders'!$Y:$Y,$A10,'MAIN DATA, Orders'!$D:$D,"Poland",'MAIN DATA, Orders'!$I:$I,"Development - Other")/1000000000)</f>
        <v>0</v>
      </c>
      <c r="AH10" s="15" cm="1">
        <f t="array" ref="AH10">SUM(SUMIFS('MAIN DATA, Orders'!$U:$U,'MAIN DATA, Orders'!$Y:$Y,$A10,'MAIN DATA, Orders'!$D:$D,"Poland",'MAIN DATA, Orders'!$I:$I,{"Missile (Land)","Development - Missile (Land)"})/1000000000)</f>
        <v>0</v>
      </c>
      <c r="AI10" s="15" cm="1">
        <f t="array" ref="AI10">SUM(SUMIFS('MAIN DATA, Orders'!$U:$U,'MAIN DATA, Orders'!$Y:$Y,$A10,'MAIN DATA, Orders'!$D:$D,"Poland",'MAIN DATA, Orders'!$I:$I,{"Missile (Air)","Development - Missile (Air)"})/1000000000)</f>
        <v>0</v>
      </c>
      <c r="AJ10" s="15" cm="1">
        <f t="array" ref="AJ10">SUM(SUMIFS('MAIN DATA, Orders'!$U:$U,'MAIN DATA, Orders'!$Y:$Y,$A10,'MAIN DATA, Orders'!$D:$D,"Poland",'MAIN DATA, Orders'!$I:$I,{"Missile (Naval)","Development - Missile (Naval)"})/1000000000)</f>
        <v>0</v>
      </c>
    </row>
    <row r="11" spans="1:36" x14ac:dyDescent="0.35">
      <c r="A11" s="20">
        <v>201905</v>
      </c>
      <c r="B11" s="17">
        <v>43586</v>
      </c>
      <c r="C11" s="15">
        <f>(SUMIFS('MAIN DATA, Orders'!$U:$U,'MAIN DATA, Orders'!$Y:$Y,$A11,'MAIN DATA, Orders'!$D:$D,"Poland",'MAIN DATA, Orders'!$I:$I,"Air defence system")/1000000000)</f>
        <v>3.9768344657483246E-2</v>
      </c>
      <c r="D11" s="15">
        <f>(SUMIFS('MAIN DATA, Orders'!$U:$U,'MAIN DATA, Orders'!$Y:$Y,$A11,'MAIN DATA, Orders'!$D:$D,"Poland",'MAIN DATA, Orders'!$I:$I,"Development - Air defence system")/1000000000)</f>
        <v>0</v>
      </c>
      <c r="E11" s="15">
        <f>(SUMIFS('MAIN DATA, Orders'!$U:$U,'MAIN DATA, Orders'!$Y:$Y,$A11,'MAIN DATA, Orders'!$D:$D,"Poland",'MAIN DATA, Orders'!$I:$I,"Aircraft")/1000000000)</f>
        <v>0</v>
      </c>
      <c r="F11" s="15">
        <f>(SUMIFS('MAIN DATA, Orders'!$U:$U,'MAIN DATA, Orders'!$Y:$Y,$A11,'MAIN DATA, Orders'!$D:$D,"Poland",'MAIN DATA, Orders'!$I:$I,"Development - Aircraft")/1000000000)</f>
        <v>0</v>
      </c>
      <c r="G11" s="15">
        <f>(SUMIFS('MAIN DATA, Orders'!$U:$U,'MAIN DATA, Orders'!$Y:$Y,$A11,'MAIN DATA, Orders'!$D:$D,"Poland",'MAIN DATA, Orders'!$I:$I,"Ammunition")/1000000000)</f>
        <v>0</v>
      </c>
      <c r="H11" s="15">
        <f>(SUMIFS('MAIN DATA, Orders'!$U:$U,'MAIN DATA, Orders'!$Y:$Y,$A11,'MAIN DATA, Orders'!$D:$D,"Poland",'MAIN DATA, Orders'!$I:$I,"Development - Ammunition")/1000000000)</f>
        <v>0</v>
      </c>
      <c r="I11" s="15">
        <f>(SUMIFS('MAIN DATA, Orders'!$U:$U,'MAIN DATA, Orders'!$Y:$Y,$A11,'MAIN DATA, Orders'!$D:$D,"Poland",'MAIN DATA, Orders'!$I:$I,"Armoured vehicle")/1000000000)</f>
        <v>0</v>
      </c>
      <c r="J11" s="15">
        <f>(SUMIFS('MAIN DATA, Orders'!$U:$U,'MAIN DATA, Orders'!$Y:$Y,$A11,'MAIN DATA, Orders'!$D:$D,"Poland",'MAIN DATA, Orders'!$I:$I,"Development - Armoured vehicle")/1000000000)</f>
        <v>0</v>
      </c>
      <c r="K11" s="15">
        <f>(SUMIFS('MAIN DATA, Orders'!$U:$U,'MAIN DATA, Orders'!$Y:$Y,$A11,'MAIN DATA, Orders'!$D:$D,"Poland",'MAIN DATA, Orders'!$I:$I,"Artillery")/1000000000)</f>
        <v>0</v>
      </c>
      <c r="L11" s="15">
        <f>(SUMIFS('MAIN DATA, Orders'!$U:$U,'MAIN DATA, Orders'!$Y:$Y,$A11,'MAIN DATA, Orders'!$D:$D,"Poland",'MAIN DATA, Orders'!$I:$I,"Development - Artillery")/1000000000)</f>
        <v>0</v>
      </c>
      <c r="M11" s="15">
        <f>(SUMIFS('MAIN DATA, Orders'!$U:$U,'MAIN DATA, Orders'!$Y:$Y,$A11,'MAIN DATA, Orders'!$D:$D,"Poland",'MAIN DATA, Orders'!$I:$I,"Drone")/1000000000)</f>
        <v>0</v>
      </c>
      <c r="N11" s="15">
        <f>(SUMIFS('MAIN DATA, Orders'!$U:$U,'MAIN DATA, Orders'!$Y:$Y,$A11,'MAIN DATA, Orders'!$D:$D,"Poland",'MAIN DATA, Orders'!$I:$I,"Development - Drone")/1000000000)</f>
        <v>0</v>
      </c>
      <c r="O11" s="15">
        <f>(SUMIFS('MAIN DATA, Orders'!$U:$U,'MAIN DATA, Orders'!$Y:$Y,$A11,'MAIN DATA, Orders'!$D:$D,"Poland",'MAIN DATA, Orders'!$I:$I,"Helicopter")/1000000000)</f>
        <v>0</v>
      </c>
      <c r="P11" s="15">
        <f>(SUMIFS('MAIN DATA, Orders'!$U:$U,'MAIN DATA, Orders'!$Y:$Y,$A11,'MAIN DATA, Orders'!$D:$D,"Poland",'MAIN DATA, Orders'!$I:$I,"Development - Helicopter")/1000000000)</f>
        <v>0</v>
      </c>
      <c r="Q11" s="15">
        <f>(SUMIFS('MAIN DATA, Orders'!$U:$U,'MAIN DATA, Orders'!$Y:$Y,$A11,'MAIN DATA, Orders'!$D:$D,"Poland",'MAIN DATA, Orders'!$I:$I,"Infantry")/1000000000)</f>
        <v>0</v>
      </c>
      <c r="R11" s="15">
        <f>(SUMIFS('MAIN DATA, Orders'!$U:$U,'MAIN DATA, Orders'!$Y:$Y,$A11,'MAIN DATA, Orders'!$D:$D,"Poland",'MAIN DATA, Orders'!$I:$I,"Development - Infantry")/1000000000)</f>
        <v>0</v>
      </c>
      <c r="S11" s="15">
        <f>(SUMIFS('MAIN DATA, Orders'!$U:$U,'MAIN DATA, Orders'!$Y:$Y,$A11,'MAIN DATA, Orders'!$D:$D,"Poland",'MAIN DATA, Orders'!$I:$I,"Tank")/1000000000)</f>
        <v>0</v>
      </c>
      <c r="T11" s="15">
        <f>(SUMIFS('MAIN DATA, Orders'!$U:$U,'MAIN DATA, Orders'!$Y:$Y,$A11,'MAIN DATA, Orders'!$D:$D,"Poland",'MAIN DATA, Orders'!$I:$I,"Development - Tank")/1000000000)</f>
        <v>0</v>
      </c>
      <c r="U11" s="15">
        <f>(SUMIFS('MAIN DATA, Orders'!$U:$U,'MAIN DATA, Orders'!$Y:$Y,$A11,'MAIN DATA, Orders'!$D:$D,"Poland",'MAIN DATA, Orders'!$I:$I,"Maintenance")/1000000000)</f>
        <v>0</v>
      </c>
      <c r="V11" s="15">
        <f>(SUMIFS('MAIN DATA, Orders'!$U:$U,'MAIN DATA, Orders'!$Y:$Y,$A11,'MAIN DATA, Orders'!$D:$D,"Poland",'MAIN DATA, Orders'!$I:$I,"Development - Maintenance")/1000000000)</f>
        <v>0</v>
      </c>
      <c r="W11" s="15">
        <f>(SUMIFS('MAIN DATA, Orders'!$U:$U,'MAIN DATA, Orders'!$Y:$Y,$A11,'MAIN DATA, Orders'!$D:$D,"Poland",'MAIN DATA, Orders'!$I:$I,"Mine")/1000000000)</f>
        <v>0</v>
      </c>
      <c r="X11" s="15">
        <f>(SUMIFS('MAIN DATA, Orders'!$U:$U,'MAIN DATA, Orders'!$Y:$Y,$A11,'MAIN DATA, Orders'!$D:$D,"Poland",'MAIN DATA, Orders'!$I:$I,"Development - Mine")/1000000000)</f>
        <v>0</v>
      </c>
      <c r="Y11" s="15">
        <f>(SUMIFS('MAIN DATA, Orders'!$U:$U,'MAIN DATA, Orders'!$Y:$Y,$A11,'MAIN DATA, Orders'!$D:$D,"Poland",'MAIN DATA, Orders'!$J:$J,"6")/1000000000)</f>
        <v>0</v>
      </c>
      <c r="Z11" s="15" cm="1">
        <f t="array" ref="Z11">SUM(SUMIFS('MAIN DATA, Orders'!$U:$U,'MAIN DATA, Orders'!$Y:$Y,$A11,'MAIN DATA, Orders'!$D:$D,"Poland",'MAIN DATA, Orders'!$I:$I,{"Development - Missile (Land)","Development - Missile (Naval)","Development - Missile (Air)"})/1000000000)</f>
        <v>0</v>
      </c>
      <c r="AA11" s="15">
        <f>(SUMIFS('MAIN DATA, Orders'!$U:$U,'MAIN DATA, Orders'!$Y:$Y,$A11,'MAIN DATA, Orders'!$D:$D,"Poland",'MAIN DATA, Orders'!$I:$I,"Modernisation")/1000000000)</f>
        <v>0</v>
      </c>
      <c r="AB11" s="15">
        <f>(SUMIFS('MAIN DATA, Orders'!$U:$U,'MAIN DATA, Orders'!$Y:$Y,$A11,'MAIN DATA, Orders'!$D:$D,"Poland",'MAIN DATA, Orders'!$I:$I,"Development - Modernisation")/1000000000)</f>
        <v>0</v>
      </c>
      <c r="AC11" s="15">
        <f>(SUMIFS('MAIN DATA, Orders'!$U:$U,'MAIN DATA, Orders'!$Y:$Y,$A11,'MAIN DATA, Orders'!$D:$D,"Poland",'MAIN DATA, Orders'!$I:$I,"Naval")/1000000000)</f>
        <v>0</v>
      </c>
      <c r="AD11" s="15">
        <f>(SUMIFS('MAIN DATA, Orders'!$U:$U,'MAIN DATA, Orders'!$Y:$Y,$A11,'MAIN DATA, Orders'!$D:$D,"Poland",'MAIN DATA, Orders'!$I:$I,"Development - Naval")/1000000000)</f>
        <v>0</v>
      </c>
      <c r="AE11" s="15">
        <f>(SUMIFS('MAIN DATA, Orders'!$U:$U,'MAIN DATA, Orders'!$Y:$Y,$A11,'MAIN DATA, Orders'!$D:$D,"Poland",'MAIN DATA, Orders'!$I:$I,"Other")/1000000000)</f>
        <v>0</v>
      </c>
      <c r="AF11" s="15">
        <f>(SUMIFS('MAIN DATA, Orders'!$U:$U,'MAIN DATA, Orders'!$Y:$Y,$A11,'MAIN DATA, Orders'!$D:$D,"Poland",'MAIN DATA, Orders'!$I:$I,"Development - Other")/1000000000)</f>
        <v>0</v>
      </c>
      <c r="AH11" s="15" cm="1">
        <f t="array" ref="AH11">SUM(SUMIFS('MAIN DATA, Orders'!$U:$U,'MAIN DATA, Orders'!$Y:$Y,$A11,'MAIN DATA, Orders'!$D:$D,"Poland",'MAIN DATA, Orders'!$I:$I,{"Missile (Land)","Development - Missile (Land)"})/1000000000)</f>
        <v>0</v>
      </c>
      <c r="AI11" s="15" cm="1">
        <f t="array" ref="AI11">SUM(SUMIFS('MAIN DATA, Orders'!$U:$U,'MAIN DATA, Orders'!$Y:$Y,$A11,'MAIN DATA, Orders'!$D:$D,"Poland",'MAIN DATA, Orders'!$I:$I,{"Missile (Air)","Development - Missile (Air)"})/1000000000)</f>
        <v>0</v>
      </c>
      <c r="AJ11" s="15" cm="1">
        <f t="array" ref="AJ11">SUM(SUMIFS('MAIN DATA, Orders'!$U:$U,'MAIN DATA, Orders'!$Y:$Y,$A11,'MAIN DATA, Orders'!$D:$D,"Poland",'MAIN DATA, Orders'!$I:$I,{"Missile (Naval)","Development - Missile (Naval)"})/1000000000)</f>
        <v>0</v>
      </c>
    </row>
    <row r="12" spans="1:36" x14ac:dyDescent="0.35">
      <c r="A12" s="20">
        <v>201906</v>
      </c>
      <c r="B12" s="17">
        <v>43617</v>
      </c>
      <c r="C12" s="15">
        <f>(SUMIFS('MAIN DATA, Orders'!$U:$U,'MAIN DATA, Orders'!$Y:$Y,$A12,'MAIN DATA, Orders'!$D:$D,"Poland",'MAIN DATA, Orders'!$I:$I,"Air defence system")/1000000000)</f>
        <v>0</v>
      </c>
      <c r="D12" s="15">
        <f>(SUMIFS('MAIN DATA, Orders'!$U:$U,'MAIN DATA, Orders'!$Y:$Y,$A12,'MAIN DATA, Orders'!$D:$D,"Poland",'MAIN DATA, Orders'!$I:$I,"Development - Air defence system")/1000000000)</f>
        <v>0</v>
      </c>
      <c r="E12" s="15">
        <f>(SUMIFS('MAIN DATA, Orders'!$U:$U,'MAIN DATA, Orders'!$Y:$Y,$A12,'MAIN DATA, Orders'!$D:$D,"Poland",'MAIN DATA, Orders'!$I:$I,"Aircraft")/1000000000)</f>
        <v>0</v>
      </c>
      <c r="F12" s="15">
        <f>(SUMIFS('MAIN DATA, Orders'!$U:$U,'MAIN DATA, Orders'!$Y:$Y,$A12,'MAIN DATA, Orders'!$D:$D,"Poland",'MAIN DATA, Orders'!$I:$I,"Development - Aircraft")/1000000000)</f>
        <v>0</v>
      </c>
      <c r="G12" s="15">
        <f>(SUMIFS('MAIN DATA, Orders'!$U:$U,'MAIN DATA, Orders'!$Y:$Y,$A12,'MAIN DATA, Orders'!$D:$D,"Poland",'MAIN DATA, Orders'!$I:$I,"Ammunition")/1000000000)</f>
        <v>0</v>
      </c>
      <c r="H12" s="15">
        <f>(SUMIFS('MAIN DATA, Orders'!$U:$U,'MAIN DATA, Orders'!$Y:$Y,$A12,'MAIN DATA, Orders'!$D:$D,"Poland",'MAIN DATA, Orders'!$I:$I,"Development - Ammunition")/1000000000)</f>
        <v>0</v>
      </c>
      <c r="I12" s="15">
        <f>(SUMIFS('MAIN DATA, Orders'!$U:$U,'MAIN DATA, Orders'!$Y:$Y,$A12,'MAIN DATA, Orders'!$D:$D,"Poland",'MAIN DATA, Orders'!$I:$I,"Armoured vehicle")/1000000000)</f>
        <v>0</v>
      </c>
      <c r="J12" s="15">
        <f>(SUMIFS('MAIN DATA, Orders'!$U:$U,'MAIN DATA, Orders'!$Y:$Y,$A12,'MAIN DATA, Orders'!$D:$D,"Poland",'MAIN DATA, Orders'!$I:$I,"Development - Armoured vehicle")/1000000000)</f>
        <v>0</v>
      </c>
      <c r="K12" s="15">
        <f>(SUMIFS('MAIN DATA, Orders'!$U:$U,'MAIN DATA, Orders'!$Y:$Y,$A12,'MAIN DATA, Orders'!$D:$D,"Poland",'MAIN DATA, Orders'!$I:$I,"Artillery")/1000000000)</f>
        <v>0</v>
      </c>
      <c r="L12" s="15">
        <f>(SUMIFS('MAIN DATA, Orders'!$U:$U,'MAIN DATA, Orders'!$Y:$Y,$A12,'MAIN DATA, Orders'!$D:$D,"Poland",'MAIN DATA, Orders'!$I:$I,"Development - Artillery")/1000000000)</f>
        <v>0</v>
      </c>
      <c r="M12" s="15">
        <f>(SUMIFS('MAIN DATA, Orders'!$U:$U,'MAIN DATA, Orders'!$Y:$Y,$A12,'MAIN DATA, Orders'!$D:$D,"Poland",'MAIN DATA, Orders'!$I:$I,"Drone")/1000000000)</f>
        <v>0</v>
      </c>
      <c r="N12" s="15">
        <f>(SUMIFS('MAIN DATA, Orders'!$U:$U,'MAIN DATA, Orders'!$Y:$Y,$A12,'MAIN DATA, Orders'!$D:$D,"Poland",'MAIN DATA, Orders'!$I:$I,"Development - Drone")/1000000000)</f>
        <v>0</v>
      </c>
      <c r="O12" s="15">
        <f>(SUMIFS('MAIN DATA, Orders'!$U:$U,'MAIN DATA, Orders'!$Y:$Y,$A12,'MAIN DATA, Orders'!$D:$D,"Poland",'MAIN DATA, Orders'!$I:$I,"Helicopter")/1000000000)</f>
        <v>0</v>
      </c>
      <c r="P12" s="15">
        <f>(SUMIFS('MAIN DATA, Orders'!$U:$U,'MAIN DATA, Orders'!$Y:$Y,$A12,'MAIN DATA, Orders'!$D:$D,"Poland",'MAIN DATA, Orders'!$I:$I,"Development - Helicopter")/1000000000)</f>
        <v>0</v>
      </c>
      <c r="Q12" s="15">
        <f>(SUMIFS('MAIN DATA, Orders'!$U:$U,'MAIN DATA, Orders'!$Y:$Y,$A12,'MAIN DATA, Orders'!$D:$D,"Poland",'MAIN DATA, Orders'!$I:$I,"Infantry")/1000000000)</f>
        <v>0</v>
      </c>
      <c r="R12" s="15">
        <f>(SUMIFS('MAIN DATA, Orders'!$U:$U,'MAIN DATA, Orders'!$Y:$Y,$A12,'MAIN DATA, Orders'!$D:$D,"Poland",'MAIN DATA, Orders'!$I:$I,"Development - Infantry")/1000000000)</f>
        <v>0</v>
      </c>
      <c r="S12" s="15">
        <f>(SUMIFS('MAIN DATA, Orders'!$U:$U,'MAIN DATA, Orders'!$Y:$Y,$A12,'MAIN DATA, Orders'!$D:$D,"Poland",'MAIN DATA, Orders'!$I:$I,"Tank")/1000000000)</f>
        <v>0</v>
      </c>
      <c r="T12" s="15">
        <f>(SUMIFS('MAIN DATA, Orders'!$U:$U,'MAIN DATA, Orders'!$Y:$Y,$A12,'MAIN DATA, Orders'!$D:$D,"Poland",'MAIN DATA, Orders'!$I:$I,"Development - Tank")/1000000000)</f>
        <v>0</v>
      </c>
      <c r="U12" s="15">
        <f>(SUMIFS('MAIN DATA, Orders'!$U:$U,'MAIN DATA, Orders'!$Y:$Y,$A12,'MAIN DATA, Orders'!$D:$D,"Poland",'MAIN DATA, Orders'!$I:$I,"Maintenance")/1000000000)</f>
        <v>0</v>
      </c>
      <c r="V12" s="15">
        <f>(SUMIFS('MAIN DATA, Orders'!$U:$U,'MAIN DATA, Orders'!$Y:$Y,$A12,'MAIN DATA, Orders'!$D:$D,"Poland",'MAIN DATA, Orders'!$I:$I,"Development - Maintenance")/1000000000)</f>
        <v>0</v>
      </c>
      <c r="W12" s="15">
        <f>(SUMIFS('MAIN DATA, Orders'!$U:$U,'MAIN DATA, Orders'!$Y:$Y,$A12,'MAIN DATA, Orders'!$D:$D,"Poland",'MAIN DATA, Orders'!$I:$I,"Mine")/1000000000)</f>
        <v>0</v>
      </c>
      <c r="X12" s="15">
        <f>(SUMIFS('MAIN DATA, Orders'!$U:$U,'MAIN DATA, Orders'!$Y:$Y,$A12,'MAIN DATA, Orders'!$D:$D,"Poland",'MAIN DATA, Orders'!$I:$I,"Development - Mine")/1000000000)</f>
        <v>0</v>
      </c>
      <c r="Y12" s="15">
        <f>(SUMIFS('MAIN DATA, Orders'!$U:$U,'MAIN DATA, Orders'!$Y:$Y,$A12,'MAIN DATA, Orders'!$D:$D,"Poland",'MAIN DATA, Orders'!$J:$J,"6")/1000000000)</f>
        <v>0</v>
      </c>
      <c r="Z12" s="15" cm="1">
        <f t="array" ref="Z12">SUM(SUMIFS('MAIN DATA, Orders'!$U:$U,'MAIN DATA, Orders'!$Y:$Y,$A12,'MAIN DATA, Orders'!$D:$D,"Poland",'MAIN DATA, Orders'!$I:$I,{"Development - Missile (Land)","Development - Missile (Naval)","Development - Missile (Air)"})/1000000000)</f>
        <v>0</v>
      </c>
      <c r="AA12" s="15">
        <f>(SUMIFS('MAIN DATA, Orders'!$U:$U,'MAIN DATA, Orders'!$Y:$Y,$A12,'MAIN DATA, Orders'!$D:$D,"Poland",'MAIN DATA, Orders'!$I:$I,"Modernisation")/1000000000)</f>
        <v>0</v>
      </c>
      <c r="AB12" s="15">
        <f>(SUMIFS('MAIN DATA, Orders'!$U:$U,'MAIN DATA, Orders'!$Y:$Y,$A12,'MAIN DATA, Orders'!$D:$D,"Poland",'MAIN DATA, Orders'!$I:$I,"Development - Modernisation")/1000000000)</f>
        <v>0</v>
      </c>
      <c r="AC12" s="15">
        <f>(SUMIFS('MAIN DATA, Orders'!$U:$U,'MAIN DATA, Orders'!$Y:$Y,$A12,'MAIN DATA, Orders'!$D:$D,"Poland",'MAIN DATA, Orders'!$I:$I,"Naval")/1000000000)</f>
        <v>0</v>
      </c>
      <c r="AD12" s="15">
        <f>(SUMIFS('MAIN DATA, Orders'!$U:$U,'MAIN DATA, Orders'!$Y:$Y,$A12,'MAIN DATA, Orders'!$D:$D,"Poland",'MAIN DATA, Orders'!$I:$I,"Development - Naval")/1000000000)</f>
        <v>0</v>
      </c>
      <c r="AE12" s="15">
        <f>(SUMIFS('MAIN DATA, Orders'!$U:$U,'MAIN DATA, Orders'!$Y:$Y,$A12,'MAIN DATA, Orders'!$D:$D,"Poland",'MAIN DATA, Orders'!$I:$I,"Other")/1000000000)</f>
        <v>0</v>
      </c>
      <c r="AF12" s="15">
        <f>(SUMIFS('MAIN DATA, Orders'!$U:$U,'MAIN DATA, Orders'!$Y:$Y,$A12,'MAIN DATA, Orders'!$D:$D,"Poland",'MAIN DATA, Orders'!$I:$I,"Development - Other")/1000000000)</f>
        <v>0</v>
      </c>
      <c r="AH12" s="15" cm="1">
        <f t="array" ref="AH12">SUM(SUMIFS('MAIN DATA, Orders'!$U:$U,'MAIN DATA, Orders'!$Y:$Y,$A12,'MAIN DATA, Orders'!$D:$D,"Poland",'MAIN DATA, Orders'!$I:$I,{"Missile (Land)","Development - Missile (Land)"})/1000000000)</f>
        <v>0</v>
      </c>
      <c r="AI12" s="15" cm="1">
        <f t="array" ref="AI12">SUM(SUMIFS('MAIN DATA, Orders'!$U:$U,'MAIN DATA, Orders'!$Y:$Y,$A12,'MAIN DATA, Orders'!$D:$D,"Poland",'MAIN DATA, Orders'!$I:$I,{"Missile (Air)","Development - Missile (Air)"})/1000000000)</f>
        <v>0</v>
      </c>
      <c r="AJ12" s="15" cm="1">
        <f t="array" ref="AJ12">SUM(SUMIFS('MAIN DATA, Orders'!$U:$U,'MAIN DATA, Orders'!$Y:$Y,$A12,'MAIN DATA, Orders'!$D:$D,"Poland",'MAIN DATA, Orders'!$I:$I,{"Missile (Naval)","Development - Missile (Naval)"})/1000000000)</f>
        <v>0</v>
      </c>
    </row>
    <row r="13" spans="1:36" x14ac:dyDescent="0.35">
      <c r="A13" s="20">
        <v>201907</v>
      </c>
      <c r="B13" s="17">
        <v>43647</v>
      </c>
      <c r="C13" s="15">
        <f>(SUMIFS('MAIN DATA, Orders'!$U:$U,'MAIN DATA, Orders'!$Y:$Y,$A13,'MAIN DATA, Orders'!$D:$D,"Poland",'MAIN DATA, Orders'!$I:$I,"Air defence system")/1000000000)</f>
        <v>0</v>
      </c>
      <c r="D13" s="15">
        <f>(SUMIFS('MAIN DATA, Orders'!$U:$U,'MAIN DATA, Orders'!$Y:$Y,$A13,'MAIN DATA, Orders'!$D:$D,"Poland",'MAIN DATA, Orders'!$I:$I,"Development - Air defence system")/1000000000)</f>
        <v>0</v>
      </c>
      <c r="E13" s="15">
        <f>(SUMIFS('MAIN DATA, Orders'!$U:$U,'MAIN DATA, Orders'!$Y:$Y,$A13,'MAIN DATA, Orders'!$D:$D,"Poland",'MAIN DATA, Orders'!$I:$I,"Aircraft")/1000000000)</f>
        <v>0</v>
      </c>
      <c r="F13" s="15">
        <f>(SUMIFS('MAIN DATA, Orders'!$U:$U,'MAIN DATA, Orders'!$Y:$Y,$A13,'MAIN DATA, Orders'!$D:$D,"Poland",'MAIN DATA, Orders'!$I:$I,"Development - Aircraft")/1000000000)</f>
        <v>0</v>
      </c>
      <c r="G13" s="15">
        <f>(SUMIFS('MAIN DATA, Orders'!$U:$U,'MAIN DATA, Orders'!$Y:$Y,$A13,'MAIN DATA, Orders'!$D:$D,"Poland",'MAIN DATA, Orders'!$I:$I,"Ammunition")/1000000000)</f>
        <v>0</v>
      </c>
      <c r="H13" s="15">
        <f>(SUMIFS('MAIN DATA, Orders'!$U:$U,'MAIN DATA, Orders'!$Y:$Y,$A13,'MAIN DATA, Orders'!$D:$D,"Poland",'MAIN DATA, Orders'!$I:$I,"Development - Ammunition")/1000000000)</f>
        <v>0</v>
      </c>
      <c r="I13" s="15">
        <f>(SUMIFS('MAIN DATA, Orders'!$U:$U,'MAIN DATA, Orders'!$Y:$Y,$A13,'MAIN DATA, Orders'!$D:$D,"Poland",'MAIN DATA, Orders'!$I:$I,"Armoured vehicle")/1000000000)</f>
        <v>0</v>
      </c>
      <c r="J13" s="15">
        <f>(SUMIFS('MAIN DATA, Orders'!$U:$U,'MAIN DATA, Orders'!$Y:$Y,$A13,'MAIN DATA, Orders'!$D:$D,"Poland",'MAIN DATA, Orders'!$I:$I,"Development - Armoured vehicle")/1000000000)</f>
        <v>0</v>
      </c>
      <c r="K13" s="15">
        <f>(SUMIFS('MAIN DATA, Orders'!$U:$U,'MAIN DATA, Orders'!$Y:$Y,$A13,'MAIN DATA, Orders'!$D:$D,"Poland",'MAIN DATA, Orders'!$I:$I,"Artillery")/1000000000)</f>
        <v>0</v>
      </c>
      <c r="L13" s="15">
        <f>(SUMIFS('MAIN DATA, Orders'!$U:$U,'MAIN DATA, Orders'!$Y:$Y,$A13,'MAIN DATA, Orders'!$D:$D,"Poland",'MAIN DATA, Orders'!$I:$I,"Development - Artillery")/1000000000)</f>
        <v>0</v>
      </c>
      <c r="M13" s="15">
        <f>(SUMIFS('MAIN DATA, Orders'!$U:$U,'MAIN DATA, Orders'!$Y:$Y,$A13,'MAIN DATA, Orders'!$D:$D,"Poland",'MAIN DATA, Orders'!$I:$I,"Drone")/1000000000)</f>
        <v>0</v>
      </c>
      <c r="N13" s="15">
        <f>(SUMIFS('MAIN DATA, Orders'!$U:$U,'MAIN DATA, Orders'!$Y:$Y,$A13,'MAIN DATA, Orders'!$D:$D,"Poland",'MAIN DATA, Orders'!$I:$I,"Development - Drone")/1000000000)</f>
        <v>0</v>
      </c>
      <c r="O13" s="15">
        <f>(SUMIFS('MAIN DATA, Orders'!$U:$U,'MAIN DATA, Orders'!$Y:$Y,$A13,'MAIN DATA, Orders'!$D:$D,"Poland",'MAIN DATA, Orders'!$I:$I,"Helicopter")/1000000000)</f>
        <v>0</v>
      </c>
      <c r="P13" s="15">
        <f>(SUMIFS('MAIN DATA, Orders'!$U:$U,'MAIN DATA, Orders'!$Y:$Y,$A13,'MAIN DATA, Orders'!$D:$D,"Poland",'MAIN DATA, Orders'!$I:$I,"Development - Helicopter")/1000000000)</f>
        <v>0</v>
      </c>
      <c r="Q13" s="15">
        <f>(SUMIFS('MAIN DATA, Orders'!$U:$U,'MAIN DATA, Orders'!$Y:$Y,$A13,'MAIN DATA, Orders'!$D:$D,"Poland",'MAIN DATA, Orders'!$I:$I,"Infantry")/1000000000)</f>
        <v>0</v>
      </c>
      <c r="R13" s="15">
        <f>(SUMIFS('MAIN DATA, Orders'!$U:$U,'MAIN DATA, Orders'!$Y:$Y,$A13,'MAIN DATA, Orders'!$D:$D,"Poland",'MAIN DATA, Orders'!$I:$I,"Development - Infantry")/1000000000)</f>
        <v>0</v>
      </c>
      <c r="S13" s="15">
        <f>(SUMIFS('MAIN DATA, Orders'!$U:$U,'MAIN DATA, Orders'!$Y:$Y,$A13,'MAIN DATA, Orders'!$D:$D,"Poland",'MAIN DATA, Orders'!$I:$I,"Tank")/1000000000)</f>
        <v>0.40720402084884583</v>
      </c>
      <c r="T13" s="15">
        <f>(SUMIFS('MAIN DATA, Orders'!$U:$U,'MAIN DATA, Orders'!$Y:$Y,$A13,'MAIN DATA, Orders'!$D:$D,"Poland",'MAIN DATA, Orders'!$I:$I,"Development - Tank")/1000000000)</f>
        <v>0</v>
      </c>
      <c r="U13" s="15">
        <f>(SUMIFS('MAIN DATA, Orders'!$U:$U,'MAIN DATA, Orders'!$Y:$Y,$A13,'MAIN DATA, Orders'!$D:$D,"Poland",'MAIN DATA, Orders'!$I:$I,"Maintenance")/1000000000)</f>
        <v>0</v>
      </c>
      <c r="V13" s="15">
        <f>(SUMIFS('MAIN DATA, Orders'!$U:$U,'MAIN DATA, Orders'!$Y:$Y,$A13,'MAIN DATA, Orders'!$D:$D,"Poland",'MAIN DATA, Orders'!$I:$I,"Development - Maintenance")/1000000000)</f>
        <v>0</v>
      </c>
      <c r="W13" s="15">
        <f>(SUMIFS('MAIN DATA, Orders'!$U:$U,'MAIN DATA, Orders'!$Y:$Y,$A13,'MAIN DATA, Orders'!$D:$D,"Poland",'MAIN DATA, Orders'!$I:$I,"Mine")/1000000000)</f>
        <v>0</v>
      </c>
      <c r="X13" s="15">
        <f>(SUMIFS('MAIN DATA, Orders'!$U:$U,'MAIN DATA, Orders'!$Y:$Y,$A13,'MAIN DATA, Orders'!$D:$D,"Poland",'MAIN DATA, Orders'!$I:$I,"Development - Mine")/1000000000)</f>
        <v>0</v>
      </c>
      <c r="Y13" s="15">
        <f>(SUMIFS('MAIN DATA, Orders'!$U:$U,'MAIN DATA, Orders'!$Y:$Y,$A13,'MAIN DATA, Orders'!$D:$D,"Poland",'MAIN DATA, Orders'!$J:$J,"6")/1000000000)</f>
        <v>0</v>
      </c>
      <c r="Z13" s="15" cm="1">
        <f t="array" ref="Z13">SUM(SUMIFS('MAIN DATA, Orders'!$U:$U,'MAIN DATA, Orders'!$Y:$Y,$A13,'MAIN DATA, Orders'!$D:$D,"Poland",'MAIN DATA, Orders'!$I:$I,{"Development - Missile (Land)","Development - Missile (Naval)","Development - Missile (Air)"})/1000000000)</f>
        <v>0</v>
      </c>
      <c r="AA13" s="15">
        <f>(SUMIFS('MAIN DATA, Orders'!$U:$U,'MAIN DATA, Orders'!$Y:$Y,$A13,'MAIN DATA, Orders'!$D:$D,"Poland",'MAIN DATA, Orders'!$I:$I,"Modernisation")/1000000000)</f>
        <v>0</v>
      </c>
      <c r="AB13" s="15">
        <f>(SUMIFS('MAIN DATA, Orders'!$U:$U,'MAIN DATA, Orders'!$Y:$Y,$A13,'MAIN DATA, Orders'!$D:$D,"Poland",'MAIN DATA, Orders'!$I:$I,"Development - Modernisation")/1000000000)</f>
        <v>0</v>
      </c>
      <c r="AC13" s="15">
        <f>(SUMIFS('MAIN DATA, Orders'!$U:$U,'MAIN DATA, Orders'!$Y:$Y,$A13,'MAIN DATA, Orders'!$D:$D,"Poland",'MAIN DATA, Orders'!$I:$I,"Naval")/1000000000)</f>
        <v>0</v>
      </c>
      <c r="AD13" s="15">
        <f>(SUMIFS('MAIN DATA, Orders'!$U:$U,'MAIN DATA, Orders'!$Y:$Y,$A13,'MAIN DATA, Orders'!$D:$D,"Poland",'MAIN DATA, Orders'!$I:$I,"Development - Naval")/1000000000)</f>
        <v>0</v>
      </c>
      <c r="AE13" s="15">
        <f>(SUMIFS('MAIN DATA, Orders'!$U:$U,'MAIN DATA, Orders'!$Y:$Y,$A13,'MAIN DATA, Orders'!$D:$D,"Poland",'MAIN DATA, Orders'!$I:$I,"Other")/1000000000)</f>
        <v>1.3223659717051377E-2</v>
      </c>
      <c r="AF13" s="15">
        <f>(SUMIFS('MAIN DATA, Orders'!$U:$U,'MAIN DATA, Orders'!$Y:$Y,$A13,'MAIN DATA, Orders'!$D:$D,"Poland",'MAIN DATA, Orders'!$I:$I,"Development - Other")/1000000000)</f>
        <v>0</v>
      </c>
      <c r="AH13" s="15" cm="1">
        <f t="array" ref="AH13">SUM(SUMIFS('MAIN DATA, Orders'!$U:$U,'MAIN DATA, Orders'!$Y:$Y,$A13,'MAIN DATA, Orders'!$D:$D,"Poland",'MAIN DATA, Orders'!$I:$I,{"Missile (Land)","Development - Missile (Land)"})/1000000000)</f>
        <v>0</v>
      </c>
      <c r="AI13" s="15" cm="1">
        <f t="array" ref="AI13">SUM(SUMIFS('MAIN DATA, Orders'!$U:$U,'MAIN DATA, Orders'!$Y:$Y,$A13,'MAIN DATA, Orders'!$D:$D,"Poland",'MAIN DATA, Orders'!$I:$I,{"Missile (Air)","Development - Missile (Air)"})/1000000000)</f>
        <v>0</v>
      </c>
      <c r="AJ13" s="15" cm="1">
        <f t="array" ref="AJ13">SUM(SUMIFS('MAIN DATA, Orders'!$U:$U,'MAIN DATA, Orders'!$Y:$Y,$A13,'MAIN DATA, Orders'!$D:$D,"Poland",'MAIN DATA, Orders'!$I:$I,{"Missile (Naval)","Development - Missile (Naval)"})/1000000000)</f>
        <v>0</v>
      </c>
    </row>
    <row r="14" spans="1:36" x14ac:dyDescent="0.35">
      <c r="A14" s="20">
        <v>201908</v>
      </c>
      <c r="B14" s="17">
        <v>43678</v>
      </c>
      <c r="C14" s="15">
        <f>(SUMIFS('MAIN DATA, Orders'!$U:$U,'MAIN DATA, Orders'!$Y:$Y,$A14,'MAIN DATA, Orders'!$D:$D,"Poland",'MAIN DATA, Orders'!$I:$I,"Air defence system")/1000000000)</f>
        <v>0</v>
      </c>
      <c r="D14" s="15">
        <f>(SUMIFS('MAIN DATA, Orders'!$U:$U,'MAIN DATA, Orders'!$Y:$Y,$A14,'MAIN DATA, Orders'!$D:$D,"Poland",'MAIN DATA, Orders'!$I:$I,"Development - Air defence system")/1000000000)</f>
        <v>0</v>
      </c>
      <c r="E14" s="15">
        <f>(SUMIFS('MAIN DATA, Orders'!$U:$U,'MAIN DATA, Orders'!$Y:$Y,$A14,'MAIN DATA, Orders'!$D:$D,"Poland",'MAIN DATA, Orders'!$I:$I,"Aircraft")/1000000000)</f>
        <v>0</v>
      </c>
      <c r="F14" s="15">
        <f>(SUMIFS('MAIN DATA, Orders'!$U:$U,'MAIN DATA, Orders'!$Y:$Y,$A14,'MAIN DATA, Orders'!$D:$D,"Poland",'MAIN DATA, Orders'!$I:$I,"Development - Aircraft")/1000000000)</f>
        <v>0</v>
      </c>
      <c r="G14" s="15">
        <f>(SUMIFS('MAIN DATA, Orders'!$U:$U,'MAIN DATA, Orders'!$Y:$Y,$A14,'MAIN DATA, Orders'!$D:$D,"Poland",'MAIN DATA, Orders'!$I:$I,"Ammunition")/1000000000)</f>
        <v>0</v>
      </c>
      <c r="H14" s="15">
        <f>(SUMIFS('MAIN DATA, Orders'!$U:$U,'MAIN DATA, Orders'!$Y:$Y,$A14,'MAIN DATA, Orders'!$D:$D,"Poland",'MAIN DATA, Orders'!$I:$I,"Development - Ammunition")/1000000000)</f>
        <v>0</v>
      </c>
      <c r="I14" s="15">
        <f>(SUMIFS('MAIN DATA, Orders'!$U:$U,'MAIN DATA, Orders'!$Y:$Y,$A14,'MAIN DATA, Orders'!$D:$D,"Poland",'MAIN DATA, Orders'!$I:$I,"Armoured vehicle")/1000000000)</f>
        <v>0</v>
      </c>
      <c r="J14" s="15">
        <f>(SUMIFS('MAIN DATA, Orders'!$U:$U,'MAIN DATA, Orders'!$Y:$Y,$A14,'MAIN DATA, Orders'!$D:$D,"Poland",'MAIN DATA, Orders'!$I:$I,"Development - Armoured vehicle")/1000000000)</f>
        <v>0</v>
      </c>
      <c r="K14" s="15">
        <f>(SUMIFS('MAIN DATA, Orders'!$U:$U,'MAIN DATA, Orders'!$Y:$Y,$A14,'MAIN DATA, Orders'!$D:$D,"Poland",'MAIN DATA, Orders'!$I:$I,"Artillery")/1000000000)</f>
        <v>0</v>
      </c>
      <c r="L14" s="15">
        <f>(SUMIFS('MAIN DATA, Orders'!$U:$U,'MAIN DATA, Orders'!$Y:$Y,$A14,'MAIN DATA, Orders'!$D:$D,"Poland",'MAIN DATA, Orders'!$I:$I,"Development - Artillery")/1000000000)</f>
        <v>0</v>
      </c>
      <c r="M14" s="15">
        <f>(SUMIFS('MAIN DATA, Orders'!$U:$U,'MAIN DATA, Orders'!$Y:$Y,$A14,'MAIN DATA, Orders'!$D:$D,"Poland",'MAIN DATA, Orders'!$I:$I,"Drone")/1000000000)</f>
        <v>0</v>
      </c>
      <c r="N14" s="15">
        <f>(SUMIFS('MAIN DATA, Orders'!$U:$U,'MAIN DATA, Orders'!$Y:$Y,$A14,'MAIN DATA, Orders'!$D:$D,"Poland",'MAIN DATA, Orders'!$I:$I,"Development - Drone")/1000000000)</f>
        <v>0</v>
      </c>
      <c r="O14" s="15">
        <f>(SUMIFS('MAIN DATA, Orders'!$U:$U,'MAIN DATA, Orders'!$Y:$Y,$A14,'MAIN DATA, Orders'!$D:$D,"Poland",'MAIN DATA, Orders'!$I:$I,"Helicopter")/1000000000)</f>
        <v>0</v>
      </c>
      <c r="P14" s="15">
        <f>(SUMIFS('MAIN DATA, Orders'!$U:$U,'MAIN DATA, Orders'!$Y:$Y,$A14,'MAIN DATA, Orders'!$D:$D,"Poland",'MAIN DATA, Orders'!$I:$I,"Development - Helicopter")/1000000000)</f>
        <v>0</v>
      </c>
      <c r="Q14" s="15">
        <f>(SUMIFS('MAIN DATA, Orders'!$U:$U,'MAIN DATA, Orders'!$Y:$Y,$A14,'MAIN DATA, Orders'!$D:$D,"Poland",'MAIN DATA, Orders'!$I:$I,"Infantry")/1000000000)</f>
        <v>0</v>
      </c>
      <c r="R14" s="15">
        <f>(SUMIFS('MAIN DATA, Orders'!$U:$U,'MAIN DATA, Orders'!$Y:$Y,$A14,'MAIN DATA, Orders'!$D:$D,"Poland",'MAIN DATA, Orders'!$I:$I,"Development - Infantry")/1000000000)</f>
        <v>0</v>
      </c>
      <c r="S14" s="15">
        <f>(SUMIFS('MAIN DATA, Orders'!$U:$U,'MAIN DATA, Orders'!$Y:$Y,$A14,'MAIN DATA, Orders'!$D:$D,"Poland",'MAIN DATA, Orders'!$I:$I,"Tank")/1000000000)</f>
        <v>0</v>
      </c>
      <c r="T14" s="15">
        <f>(SUMIFS('MAIN DATA, Orders'!$U:$U,'MAIN DATA, Orders'!$Y:$Y,$A14,'MAIN DATA, Orders'!$D:$D,"Poland",'MAIN DATA, Orders'!$I:$I,"Development - Tank")/1000000000)</f>
        <v>0</v>
      </c>
      <c r="U14" s="15">
        <f>(SUMIFS('MAIN DATA, Orders'!$U:$U,'MAIN DATA, Orders'!$Y:$Y,$A14,'MAIN DATA, Orders'!$D:$D,"Poland",'MAIN DATA, Orders'!$I:$I,"Maintenance")/1000000000)</f>
        <v>0</v>
      </c>
      <c r="V14" s="15">
        <f>(SUMIFS('MAIN DATA, Orders'!$U:$U,'MAIN DATA, Orders'!$Y:$Y,$A14,'MAIN DATA, Orders'!$D:$D,"Poland",'MAIN DATA, Orders'!$I:$I,"Development - Maintenance")/1000000000)</f>
        <v>0</v>
      </c>
      <c r="W14" s="15">
        <f>(SUMIFS('MAIN DATA, Orders'!$U:$U,'MAIN DATA, Orders'!$Y:$Y,$A14,'MAIN DATA, Orders'!$D:$D,"Poland",'MAIN DATA, Orders'!$I:$I,"Mine")/1000000000)</f>
        <v>0</v>
      </c>
      <c r="X14" s="15">
        <f>(SUMIFS('MAIN DATA, Orders'!$U:$U,'MAIN DATA, Orders'!$Y:$Y,$A14,'MAIN DATA, Orders'!$D:$D,"Poland",'MAIN DATA, Orders'!$I:$I,"Development - Mine")/1000000000)</f>
        <v>0</v>
      </c>
      <c r="Y14" s="15">
        <f>(SUMIFS('MAIN DATA, Orders'!$U:$U,'MAIN DATA, Orders'!$Y:$Y,$A14,'MAIN DATA, Orders'!$D:$D,"Poland",'MAIN DATA, Orders'!$J:$J,"6")/1000000000)</f>
        <v>0</v>
      </c>
      <c r="Z14" s="15" cm="1">
        <f t="array" ref="Z14">SUM(SUMIFS('MAIN DATA, Orders'!$U:$U,'MAIN DATA, Orders'!$Y:$Y,$A14,'MAIN DATA, Orders'!$D:$D,"Poland",'MAIN DATA, Orders'!$I:$I,{"Development - Missile (Land)","Development - Missile (Naval)","Development - Missile (Air)"})/1000000000)</f>
        <v>0</v>
      </c>
      <c r="AA14" s="15">
        <f>(SUMIFS('MAIN DATA, Orders'!$U:$U,'MAIN DATA, Orders'!$Y:$Y,$A14,'MAIN DATA, Orders'!$D:$D,"Poland",'MAIN DATA, Orders'!$I:$I,"Modernisation")/1000000000)</f>
        <v>0</v>
      </c>
      <c r="AB14" s="15">
        <f>(SUMIFS('MAIN DATA, Orders'!$U:$U,'MAIN DATA, Orders'!$Y:$Y,$A14,'MAIN DATA, Orders'!$D:$D,"Poland",'MAIN DATA, Orders'!$I:$I,"Development - Modernisation")/1000000000)</f>
        <v>0</v>
      </c>
      <c r="AC14" s="15">
        <f>(SUMIFS('MAIN DATA, Orders'!$U:$U,'MAIN DATA, Orders'!$Y:$Y,$A14,'MAIN DATA, Orders'!$D:$D,"Poland",'MAIN DATA, Orders'!$I:$I,"Naval")/1000000000)</f>
        <v>0</v>
      </c>
      <c r="AD14" s="15">
        <f>(SUMIFS('MAIN DATA, Orders'!$U:$U,'MAIN DATA, Orders'!$Y:$Y,$A14,'MAIN DATA, Orders'!$D:$D,"Poland",'MAIN DATA, Orders'!$I:$I,"Development - Naval")/1000000000)</f>
        <v>0</v>
      </c>
      <c r="AE14" s="15">
        <f>(SUMIFS('MAIN DATA, Orders'!$U:$U,'MAIN DATA, Orders'!$Y:$Y,$A14,'MAIN DATA, Orders'!$D:$D,"Poland",'MAIN DATA, Orders'!$I:$I,"Other")/1000000000)</f>
        <v>0</v>
      </c>
      <c r="AF14" s="15">
        <f>(SUMIFS('MAIN DATA, Orders'!$U:$U,'MAIN DATA, Orders'!$Y:$Y,$A14,'MAIN DATA, Orders'!$D:$D,"Poland",'MAIN DATA, Orders'!$I:$I,"Development - Other")/1000000000)</f>
        <v>0</v>
      </c>
      <c r="AH14" s="15" cm="1">
        <f t="array" ref="AH14">SUM(SUMIFS('MAIN DATA, Orders'!$U:$U,'MAIN DATA, Orders'!$Y:$Y,$A14,'MAIN DATA, Orders'!$D:$D,"Poland",'MAIN DATA, Orders'!$I:$I,{"Missile (Land)","Development - Missile (Land)"})/1000000000)</f>
        <v>0</v>
      </c>
      <c r="AI14" s="15" cm="1">
        <f t="array" ref="AI14">SUM(SUMIFS('MAIN DATA, Orders'!$U:$U,'MAIN DATA, Orders'!$Y:$Y,$A14,'MAIN DATA, Orders'!$D:$D,"Poland",'MAIN DATA, Orders'!$I:$I,{"Missile (Air)","Development - Missile (Air)"})/1000000000)</f>
        <v>0</v>
      </c>
      <c r="AJ14" s="15" cm="1">
        <f t="array" ref="AJ14">SUM(SUMIFS('MAIN DATA, Orders'!$U:$U,'MAIN DATA, Orders'!$Y:$Y,$A14,'MAIN DATA, Orders'!$D:$D,"Poland",'MAIN DATA, Orders'!$I:$I,{"Missile (Naval)","Development - Missile (Naval)"})/1000000000)</f>
        <v>0</v>
      </c>
    </row>
    <row r="15" spans="1:36" x14ac:dyDescent="0.35">
      <c r="A15" s="20">
        <v>201909</v>
      </c>
      <c r="B15" s="17">
        <v>43709</v>
      </c>
      <c r="C15" s="15">
        <f>(SUMIFS('MAIN DATA, Orders'!$U:$U,'MAIN DATA, Orders'!$Y:$Y,$A15,'MAIN DATA, Orders'!$D:$D,"Poland",'MAIN DATA, Orders'!$I:$I,"Air defence system")/1000000000)</f>
        <v>0</v>
      </c>
      <c r="D15" s="15">
        <f>(SUMIFS('MAIN DATA, Orders'!$U:$U,'MAIN DATA, Orders'!$Y:$Y,$A15,'MAIN DATA, Orders'!$D:$D,"Poland",'MAIN DATA, Orders'!$I:$I,"Development - Air defence system")/1000000000)</f>
        <v>0</v>
      </c>
      <c r="E15" s="15">
        <f>(SUMIFS('MAIN DATA, Orders'!$U:$U,'MAIN DATA, Orders'!$Y:$Y,$A15,'MAIN DATA, Orders'!$D:$D,"Poland",'MAIN DATA, Orders'!$I:$I,"Aircraft")/1000000000)</f>
        <v>0</v>
      </c>
      <c r="F15" s="15">
        <f>(SUMIFS('MAIN DATA, Orders'!$U:$U,'MAIN DATA, Orders'!$Y:$Y,$A15,'MAIN DATA, Orders'!$D:$D,"Poland",'MAIN DATA, Orders'!$I:$I,"Development - Aircraft")/1000000000)</f>
        <v>0</v>
      </c>
      <c r="G15" s="15">
        <f>(SUMIFS('MAIN DATA, Orders'!$U:$U,'MAIN DATA, Orders'!$Y:$Y,$A15,'MAIN DATA, Orders'!$D:$D,"Poland",'MAIN DATA, Orders'!$I:$I,"Ammunition")/1000000000)</f>
        <v>5.8172002978406547E-3</v>
      </c>
      <c r="H15" s="15">
        <f>(SUMIFS('MAIN DATA, Orders'!$U:$U,'MAIN DATA, Orders'!$Y:$Y,$A15,'MAIN DATA, Orders'!$D:$D,"Poland",'MAIN DATA, Orders'!$I:$I,"Development - Ammunition")/1000000000)</f>
        <v>0</v>
      </c>
      <c r="I15" s="15">
        <f>(SUMIFS('MAIN DATA, Orders'!$U:$U,'MAIN DATA, Orders'!$Y:$Y,$A15,'MAIN DATA, Orders'!$D:$D,"Poland",'MAIN DATA, Orders'!$I:$I,"Armoured vehicle")/1000000000)</f>
        <v>0</v>
      </c>
      <c r="J15" s="15">
        <f>(SUMIFS('MAIN DATA, Orders'!$U:$U,'MAIN DATA, Orders'!$Y:$Y,$A15,'MAIN DATA, Orders'!$D:$D,"Poland",'MAIN DATA, Orders'!$I:$I,"Development - Armoured vehicle")/1000000000)</f>
        <v>0</v>
      </c>
      <c r="K15" s="15">
        <f>(SUMIFS('MAIN DATA, Orders'!$U:$U,'MAIN DATA, Orders'!$Y:$Y,$A15,'MAIN DATA, Orders'!$D:$D,"Poland",'MAIN DATA, Orders'!$I:$I,"Artillery")/1000000000)</f>
        <v>0</v>
      </c>
      <c r="L15" s="15">
        <f>(SUMIFS('MAIN DATA, Orders'!$U:$U,'MAIN DATA, Orders'!$Y:$Y,$A15,'MAIN DATA, Orders'!$D:$D,"Poland",'MAIN DATA, Orders'!$I:$I,"Development - Artillery")/1000000000)</f>
        <v>0</v>
      </c>
      <c r="M15" s="15">
        <f>(SUMIFS('MAIN DATA, Orders'!$U:$U,'MAIN DATA, Orders'!$Y:$Y,$A15,'MAIN DATA, Orders'!$D:$D,"Poland",'MAIN DATA, Orders'!$I:$I,"Drone")/1000000000)</f>
        <v>0</v>
      </c>
      <c r="N15" s="15">
        <f>(SUMIFS('MAIN DATA, Orders'!$U:$U,'MAIN DATA, Orders'!$Y:$Y,$A15,'MAIN DATA, Orders'!$D:$D,"Poland",'MAIN DATA, Orders'!$I:$I,"Development - Drone")/1000000000)</f>
        <v>0</v>
      </c>
      <c r="O15" s="15">
        <f>(SUMIFS('MAIN DATA, Orders'!$U:$U,'MAIN DATA, Orders'!$Y:$Y,$A15,'MAIN DATA, Orders'!$D:$D,"Poland",'MAIN DATA, Orders'!$I:$I,"Helicopter")/1000000000)</f>
        <v>2.3152457185405807E-2</v>
      </c>
      <c r="P15" s="15">
        <f>(SUMIFS('MAIN DATA, Orders'!$U:$U,'MAIN DATA, Orders'!$Y:$Y,$A15,'MAIN DATA, Orders'!$D:$D,"Poland",'MAIN DATA, Orders'!$I:$I,"Development - Helicopter")/1000000000)</f>
        <v>0</v>
      </c>
      <c r="Q15" s="15">
        <f>(SUMIFS('MAIN DATA, Orders'!$U:$U,'MAIN DATA, Orders'!$Y:$Y,$A15,'MAIN DATA, Orders'!$D:$D,"Poland",'MAIN DATA, Orders'!$I:$I,"Infantry")/1000000000)</f>
        <v>0</v>
      </c>
      <c r="R15" s="15">
        <f>(SUMIFS('MAIN DATA, Orders'!$U:$U,'MAIN DATA, Orders'!$Y:$Y,$A15,'MAIN DATA, Orders'!$D:$D,"Poland",'MAIN DATA, Orders'!$I:$I,"Development - Infantry")/1000000000)</f>
        <v>0</v>
      </c>
      <c r="S15" s="15">
        <f>(SUMIFS('MAIN DATA, Orders'!$U:$U,'MAIN DATA, Orders'!$Y:$Y,$A15,'MAIN DATA, Orders'!$D:$D,"Poland",'MAIN DATA, Orders'!$I:$I,"Tank")/1000000000)</f>
        <v>0</v>
      </c>
      <c r="T15" s="15">
        <f>(SUMIFS('MAIN DATA, Orders'!$U:$U,'MAIN DATA, Orders'!$Y:$Y,$A15,'MAIN DATA, Orders'!$D:$D,"Poland",'MAIN DATA, Orders'!$I:$I,"Development - Tank")/1000000000)</f>
        <v>0</v>
      </c>
      <c r="U15" s="15">
        <f>(SUMIFS('MAIN DATA, Orders'!$U:$U,'MAIN DATA, Orders'!$Y:$Y,$A15,'MAIN DATA, Orders'!$D:$D,"Poland",'MAIN DATA, Orders'!$I:$I,"Maintenance")/1000000000)</f>
        <v>0</v>
      </c>
      <c r="V15" s="15">
        <f>(SUMIFS('MAIN DATA, Orders'!$U:$U,'MAIN DATA, Orders'!$Y:$Y,$A15,'MAIN DATA, Orders'!$D:$D,"Poland",'MAIN DATA, Orders'!$I:$I,"Development - Maintenance")/1000000000)</f>
        <v>0</v>
      </c>
      <c r="W15" s="15">
        <f>(SUMIFS('MAIN DATA, Orders'!$U:$U,'MAIN DATA, Orders'!$Y:$Y,$A15,'MAIN DATA, Orders'!$D:$D,"Poland",'MAIN DATA, Orders'!$I:$I,"Mine")/1000000000)</f>
        <v>0</v>
      </c>
      <c r="X15" s="15">
        <f>(SUMIFS('MAIN DATA, Orders'!$U:$U,'MAIN DATA, Orders'!$Y:$Y,$A15,'MAIN DATA, Orders'!$D:$D,"Poland",'MAIN DATA, Orders'!$I:$I,"Development - Mine")/1000000000)</f>
        <v>0</v>
      </c>
      <c r="Y15" s="15">
        <f>(SUMIFS('MAIN DATA, Orders'!$U:$U,'MAIN DATA, Orders'!$Y:$Y,$A15,'MAIN DATA, Orders'!$D:$D,"Poland",'MAIN DATA, Orders'!$J:$J,"6")/1000000000)</f>
        <v>0</v>
      </c>
      <c r="Z15" s="15" cm="1">
        <f t="array" ref="Z15">SUM(SUMIFS('MAIN DATA, Orders'!$U:$U,'MAIN DATA, Orders'!$Y:$Y,$A15,'MAIN DATA, Orders'!$D:$D,"Poland",'MAIN DATA, Orders'!$I:$I,{"Development - Missile (Land)","Development - Missile (Naval)","Development - Missile (Air)"})/1000000000)</f>
        <v>0</v>
      </c>
      <c r="AA15" s="15">
        <f>(SUMIFS('MAIN DATA, Orders'!$U:$U,'MAIN DATA, Orders'!$Y:$Y,$A15,'MAIN DATA, Orders'!$D:$D,"Poland",'MAIN DATA, Orders'!$I:$I,"Modernisation")/1000000000)</f>
        <v>0</v>
      </c>
      <c r="AB15" s="15">
        <f>(SUMIFS('MAIN DATA, Orders'!$U:$U,'MAIN DATA, Orders'!$Y:$Y,$A15,'MAIN DATA, Orders'!$D:$D,"Poland",'MAIN DATA, Orders'!$I:$I,"Development - Modernisation")/1000000000)</f>
        <v>0</v>
      </c>
      <c r="AC15" s="15">
        <f>(SUMIFS('MAIN DATA, Orders'!$U:$U,'MAIN DATA, Orders'!$Y:$Y,$A15,'MAIN DATA, Orders'!$D:$D,"Poland",'MAIN DATA, Orders'!$I:$I,"Naval")/1000000000)</f>
        <v>0</v>
      </c>
      <c r="AD15" s="15">
        <f>(SUMIFS('MAIN DATA, Orders'!$U:$U,'MAIN DATA, Orders'!$Y:$Y,$A15,'MAIN DATA, Orders'!$D:$D,"Poland",'MAIN DATA, Orders'!$I:$I,"Development - Naval")/1000000000)</f>
        <v>0</v>
      </c>
      <c r="AE15" s="15">
        <f>(SUMIFS('MAIN DATA, Orders'!$U:$U,'MAIN DATA, Orders'!$Y:$Y,$A15,'MAIN DATA, Orders'!$D:$D,"Poland",'MAIN DATA, Orders'!$I:$I,"Other")/1000000000)</f>
        <v>0</v>
      </c>
      <c r="AF15" s="15">
        <f>(SUMIFS('MAIN DATA, Orders'!$U:$U,'MAIN DATA, Orders'!$Y:$Y,$A15,'MAIN DATA, Orders'!$D:$D,"Poland",'MAIN DATA, Orders'!$I:$I,"Development - Other")/1000000000)</f>
        <v>0</v>
      </c>
      <c r="AH15" s="15" cm="1">
        <f t="array" ref="AH15">SUM(SUMIFS('MAIN DATA, Orders'!$U:$U,'MAIN DATA, Orders'!$Y:$Y,$A15,'MAIN DATA, Orders'!$D:$D,"Poland",'MAIN DATA, Orders'!$I:$I,{"Missile (Land)","Development - Missile (Land)"})/1000000000)</f>
        <v>0</v>
      </c>
      <c r="AI15" s="15" cm="1">
        <f t="array" ref="AI15">SUM(SUMIFS('MAIN DATA, Orders'!$U:$U,'MAIN DATA, Orders'!$Y:$Y,$A15,'MAIN DATA, Orders'!$D:$D,"Poland",'MAIN DATA, Orders'!$I:$I,{"Missile (Air)","Development - Missile (Air)"})/1000000000)</f>
        <v>0</v>
      </c>
      <c r="AJ15" s="15" cm="1">
        <f t="array" ref="AJ15">SUM(SUMIFS('MAIN DATA, Orders'!$U:$U,'MAIN DATA, Orders'!$Y:$Y,$A15,'MAIN DATA, Orders'!$D:$D,"Poland",'MAIN DATA, Orders'!$I:$I,{"Missile (Naval)","Development - Missile (Naval)"})/1000000000)</f>
        <v>0</v>
      </c>
    </row>
    <row r="16" spans="1:36" x14ac:dyDescent="0.35">
      <c r="A16" s="20">
        <v>201910</v>
      </c>
      <c r="B16" s="17">
        <v>43739</v>
      </c>
      <c r="C16" s="15">
        <f>(SUMIFS('MAIN DATA, Orders'!$U:$U,'MAIN DATA, Orders'!$Y:$Y,$A16,'MAIN DATA, Orders'!$D:$D,"Poland",'MAIN DATA, Orders'!$I:$I,"Air defence system")/1000000000)</f>
        <v>0</v>
      </c>
      <c r="D16" s="15">
        <f>(SUMIFS('MAIN DATA, Orders'!$U:$U,'MAIN DATA, Orders'!$Y:$Y,$A16,'MAIN DATA, Orders'!$D:$D,"Poland",'MAIN DATA, Orders'!$I:$I,"Development - Air defence system")/1000000000)</f>
        <v>0</v>
      </c>
      <c r="E16" s="15">
        <f>(SUMIFS('MAIN DATA, Orders'!$U:$U,'MAIN DATA, Orders'!$Y:$Y,$A16,'MAIN DATA, Orders'!$D:$D,"Poland",'MAIN DATA, Orders'!$I:$I,"Aircraft")/1000000000)</f>
        <v>0</v>
      </c>
      <c r="F16" s="15">
        <f>(SUMIFS('MAIN DATA, Orders'!$U:$U,'MAIN DATA, Orders'!$Y:$Y,$A16,'MAIN DATA, Orders'!$D:$D,"Poland",'MAIN DATA, Orders'!$I:$I,"Development - Aircraft")/1000000000)</f>
        <v>0</v>
      </c>
      <c r="G16" s="15">
        <f>(SUMIFS('MAIN DATA, Orders'!$U:$U,'MAIN DATA, Orders'!$Y:$Y,$A16,'MAIN DATA, Orders'!$D:$D,"Poland",'MAIN DATA, Orders'!$I:$I,"Ammunition")/1000000000)</f>
        <v>0</v>
      </c>
      <c r="H16" s="15">
        <f>(SUMIFS('MAIN DATA, Orders'!$U:$U,'MAIN DATA, Orders'!$Y:$Y,$A16,'MAIN DATA, Orders'!$D:$D,"Poland",'MAIN DATA, Orders'!$I:$I,"Development - Ammunition")/1000000000)</f>
        <v>0</v>
      </c>
      <c r="I16" s="15">
        <f>(SUMIFS('MAIN DATA, Orders'!$U:$U,'MAIN DATA, Orders'!$Y:$Y,$A16,'MAIN DATA, Orders'!$D:$D,"Poland",'MAIN DATA, Orders'!$I:$I,"Armoured vehicle")/1000000000)</f>
        <v>0</v>
      </c>
      <c r="J16" s="15">
        <f>(SUMIFS('MAIN DATA, Orders'!$U:$U,'MAIN DATA, Orders'!$Y:$Y,$A16,'MAIN DATA, Orders'!$D:$D,"Poland",'MAIN DATA, Orders'!$I:$I,"Development - Armoured vehicle")/1000000000)</f>
        <v>0</v>
      </c>
      <c r="K16" s="15">
        <f>(SUMIFS('MAIN DATA, Orders'!$U:$U,'MAIN DATA, Orders'!$Y:$Y,$A16,'MAIN DATA, Orders'!$D:$D,"Poland",'MAIN DATA, Orders'!$I:$I,"Artillery")/1000000000)</f>
        <v>6.4105547282204023E-2</v>
      </c>
      <c r="L16" s="15">
        <f>(SUMIFS('MAIN DATA, Orders'!$U:$U,'MAIN DATA, Orders'!$Y:$Y,$A16,'MAIN DATA, Orders'!$D:$D,"Poland",'MAIN DATA, Orders'!$I:$I,"Development - Artillery")/1000000000)</f>
        <v>0</v>
      </c>
      <c r="M16" s="15">
        <f>(SUMIFS('MAIN DATA, Orders'!$U:$U,'MAIN DATA, Orders'!$Y:$Y,$A16,'MAIN DATA, Orders'!$D:$D,"Poland",'MAIN DATA, Orders'!$I:$I,"Drone")/1000000000)</f>
        <v>0</v>
      </c>
      <c r="N16" s="15">
        <f>(SUMIFS('MAIN DATA, Orders'!$U:$U,'MAIN DATA, Orders'!$Y:$Y,$A16,'MAIN DATA, Orders'!$D:$D,"Poland",'MAIN DATA, Orders'!$I:$I,"Development - Drone")/1000000000)</f>
        <v>0</v>
      </c>
      <c r="O16" s="15">
        <f>(SUMIFS('MAIN DATA, Orders'!$U:$U,'MAIN DATA, Orders'!$Y:$Y,$A16,'MAIN DATA, Orders'!$D:$D,"Poland",'MAIN DATA, Orders'!$I:$I,"Helicopter")/1000000000)</f>
        <v>0</v>
      </c>
      <c r="P16" s="15">
        <f>(SUMIFS('MAIN DATA, Orders'!$U:$U,'MAIN DATA, Orders'!$Y:$Y,$A16,'MAIN DATA, Orders'!$D:$D,"Poland",'MAIN DATA, Orders'!$I:$I,"Development - Helicopter")/1000000000)</f>
        <v>0</v>
      </c>
      <c r="Q16" s="15">
        <f>(SUMIFS('MAIN DATA, Orders'!$U:$U,'MAIN DATA, Orders'!$Y:$Y,$A16,'MAIN DATA, Orders'!$D:$D,"Poland",'MAIN DATA, Orders'!$I:$I,"Infantry")/1000000000)</f>
        <v>0</v>
      </c>
      <c r="R16" s="15">
        <f>(SUMIFS('MAIN DATA, Orders'!$U:$U,'MAIN DATA, Orders'!$Y:$Y,$A16,'MAIN DATA, Orders'!$D:$D,"Poland",'MAIN DATA, Orders'!$I:$I,"Development - Infantry")/1000000000)</f>
        <v>0</v>
      </c>
      <c r="S16" s="15">
        <f>(SUMIFS('MAIN DATA, Orders'!$U:$U,'MAIN DATA, Orders'!$Y:$Y,$A16,'MAIN DATA, Orders'!$D:$D,"Poland",'MAIN DATA, Orders'!$I:$I,"Tank")/1000000000)</f>
        <v>0</v>
      </c>
      <c r="T16" s="15">
        <f>(SUMIFS('MAIN DATA, Orders'!$U:$U,'MAIN DATA, Orders'!$Y:$Y,$A16,'MAIN DATA, Orders'!$D:$D,"Poland",'MAIN DATA, Orders'!$I:$I,"Development - Tank")/1000000000)</f>
        <v>0</v>
      </c>
      <c r="U16" s="15">
        <f>(SUMIFS('MAIN DATA, Orders'!$U:$U,'MAIN DATA, Orders'!$Y:$Y,$A16,'MAIN DATA, Orders'!$D:$D,"Poland",'MAIN DATA, Orders'!$I:$I,"Maintenance")/1000000000)</f>
        <v>0</v>
      </c>
      <c r="V16" s="15">
        <f>(SUMIFS('MAIN DATA, Orders'!$U:$U,'MAIN DATA, Orders'!$Y:$Y,$A16,'MAIN DATA, Orders'!$D:$D,"Poland",'MAIN DATA, Orders'!$I:$I,"Development - Maintenance")/1000000000)</f>
        <v>0</v>
      </c>
      <c r="W16" s="15">
        <f>(SUMIFS('MAIN DATA, Orders'!$U:$U,'MAIN DATA, Orders'!$Y:$Y,$A16,'MAIN DATA, Orders'!$D:$D,"Poland",'MAIN DATA, Orders'!$I:$I,"Mine")/1000000000)</f>
        <v>0</v>
      </c>
      <c r="X16" s="15">
        <f>(SUMIFS('MAIN DATA, Orders'!$U:$U,'MAIN DATA, Orders'!$Y:$Y,$A16,'MAIN DATA, Orders'!$D:$D,"Poland",'MAIN DATA, Orders'!$I:$I,"Development - Mine")/1000000000)</f>
        <v>0</v>
      </c>
      <c r="Y16" s="15">
        <f>(SUMIFS('MAIN DATA, Orders'!$U:$U,'MAIN DATA, Orders'!$Y:$Y,$A16,'MAIN DATA, Orders'!$D:$D,"Poland",'MAIN DATA, Orders'!$J:$J,"6")/1000000000)</f>
        <v>0</v>
      </c>
      <c r="Z16" s="15" cm="1">
        <f t="array" ref="Z16">SUM(SUMIFS('MAIN DATA, Orders'!$U:$U,'MAIN DATA, Orders'!$Y:$Y,$A16,'MAIN DATA, Orders'!$D:$D,"Poland",'MAIN DATA, Orders'!$I:$I,{"Development - Missile (Land)","Development - Missile (Naval)","Development - Missile (Air)"})/1000000000)</f>
        <v>0</v>
      </c>
      <c r="AA16" s="15">
        <f>(SUMIFS('MAIN DATA, Orders'!$U:$U,'MAIN DATA, Orders'!$Y:$Y,$A16,'MAIN DATA, Orders'!$D:$D,"Poland",'MAIN DATA, Orders'!$I:$I,"Modernisation")/1000000000)</f>
        <v>0</v>
      </c>
      <c r="AB16" s="15">
        <f>(SUMIFS('MAIN DATA, Orders'!$U:$U,'MAIN DATA, Orders'!$Y:$Y,$A16,'MAIN DATA, Orders'!$D:$D,"Poland",'MAIN DATA, Orders'!$I:$I,"Development - Modernisation")/1000000000)</f>
        <v>0</v>
      </c>
      <c r="AC16" s="15">
        <f>(SUMIFS('MAIN DATA, Orders'!$U:$U,'MAIN DATA, Orders'!$Y:$Y,$A16,'MAIN DATA, Orders'!$D:$D,"Poland",'MAIN DATA, Orders'!$I:$I,"Naval")/1000000000)</f>
        <v>0</v>
      </c>
      <c r="AD16" s="15">
        <f>(SUMIFS('MAIN DATA, Orders'!$U:$U,'MAIN DATA, Orders'!$Y:$Y,$A16,'MAIN DATA, Orders'!$D:$D,"Poland",'MAIN DATA, Orders'!$I:$I,"Development - Naval")/1000000000)</f>
        <v>0</v>
      </c>
      <c r="AE16" s="15">
        <f>(SUMIFS('MAIN DATA, Orders'!$U:$U,'MAIN DATA, Orders'!$Y:$Y,$A16,'MAIN DATA, Orders'!$D:$D,"Poland",'MAIN DATA, Orders'!$I:$I,"Other")/1000000000)</f>
        <v>0</v>
      </c>
      <c r="AF16" s="15">
        <f>(SUMIFS('MAIN DATA, Orders'!$U:$U,'MAIN DATA, Orders'!$Y:$Y,$A16,'MAIN DATA, Orders'!$D:$D,"Poland",'MAIN DATA, Orders'!$I:$I,"Development - Other")/1000000000)</f>
        <v>0</v>
      </c>
      <c r="AH16" s="15" cm="1">
        <f t="array" ref="AH16">SUM(SUMIFS('MAIN DATA, Orders'!$U:$U,'MAIN DATA, Orders'!$Y:$Y,$A16,'MAIN DATA, Orders'!$D:$D,"Poland",'MAIN DATA, Orders'!$I:$I,{"Missile (Land)","Development - Missile (Land)"})/1000000000)</f>
        <v>0</v>
      </c>
      <c r="AI16" s="15" cm="1">
        <f t="array" ref="AI16">SUM(SUMIFS('MAIN DATA, Orders'!$U:$U,'MAIN DATA, Orders'!$Y:$Y,$A16,'MAIN DATA, Orders'!$D:$D,"Poland",'MAIN DATA, Orders'!$I:$I,{"Missile (Air)","Development - Missile (Air)"})/1000000000)</f>
        <v>0</v>
      </c>
      <c r="AJ16" s="15" cm="1">
        <f t="array" ref="AJ16">SUM(SUMIFS('MAIN DATA, Orders'!$U:$U,'MAIN DATA, Orders'!$Y:$Y,$A16,'MAIN DATA, Orders'!$D:$D,"Poland",'MAIN DATA, Orders'!$I:$I,{"Missile (Naval)","Development - Missile (Naval)"})/1000000000)</f>
        <v>0</v>
      </c>
    </row>
    <row r="17" spans="1:36" x14ac:dyDescent="0.35">
      <c r="A17" s="20">
        <v>201911</v>
      </c>
      <c r="B17" s="17">
        <v>43770</v>
      </c>
      <c r="C17" s="15">
        <f>(SUMIFS('MAIN DATA, Orders'!$U:$U,'MAIN DATA, Orders'!$Y:$Y,$A17,'MAIN DATA, Orders'!$D:$D,"Poland",'MAIN DATA, Orders'!$I:$I,"Air defence system")/1000000000)</f>
        <v>0</v>
      </c>
      <c r="D17" s="15">
        <f>(SUMIFS('MAIN DATA, Orders'!$U:$U,'MAIN DATA, Orders'!$Y:$Y,$A17,'MAIN DATA, Orders'!$D:$D,"Poland",'MAIN DATA, Orders'!$I:$I,"Development - Air defence system")/1000000000)</f>
        <v>0</v>
      </c>
      <c r="E17" s="15">
        <f>(SUMIFS('MAIN DATA, Orders'!$U:$U,'MAIN DATA, Orders'!$Y:$Y,$A17,'MAIN DATA, Orders'!$D:$D,"Poland",'MAIN DATA, Orders'!$I:$I,"Aircraft")/1000000000)</f>
        <v>0</v>
      </c>
      <c r="F17" s="15">
        <f>(SUMIFS('MAIN DATA, Orders'!$U:$U,'MAIN DATA, Orders'!$Y:$Y,$A17,'MAIN DATA, Orders'!$D:$D,"Poland",'MAIN DATA, Orders'!$I:$I,"Development - Aircraft")/1000000000)</f>
        <v>0</v>
      </c>
      <c r="G17" s="15">
        <f>(SUMIFS('MAIN DATA, Orders'!$U:$U,'MAIN DATA, Orders'!$Y:$Y,$A17,'MAIN DATA, Orders'!$D:$D,"Poland",'MAIN DATA, Orders'!$I:$I,"Ammunition")/1000000000)</f>
        <v>0.10005584512285927</v>
      </c>
      <c r="H17" s="15">
        <f>(SUMIFS('MAIN DATA, Orders'!$U:$U,'MAIN DATA, Orders'!$Y:$Y,$A17,'MAIN DATA, Orders'!$D:$D,"Poland",'MAIN DATA, Orders'!$I:$I,"Development - Ammunition")/1000000000)</f>
        <v>0</v>
      </c>
      <c r="I17" s="15">
        <f>(SUMIFS('MAIN DATA, Orders'!$U:$U,'MAIN DATA, Orders'!$Y:$Y,$A17,'MAIN DATA, Orders'!$D:$D,"Poland",'MAIN DATA, Orders'!$I:$I,"Armoured vehicle")/1000000000)</f>
        <v>0</v>
      </c>
      <c r="J17" s="15">
        <f>(SUMIFS('MAIN DATA, Orders'!$U:$U,'MAIN DATA, Orders'!$Y:$Y,$A17,'MAIN DATA, Orders'!$D:$D,"Poland",'MAIN DATA, Orders'!$I:$I,"Development - Armoured vehicle")/1000000000)</f>
        <v>0</v>
      </c>
      <c r="K17" s="15">
        <f>(SUMIFS('MAIN DATA, Orders'!$U:$U,'MAIN DATA, Orders'!$Y:$Y,$A17,'MAIN DATA, Orders'!$D:$D,"Poland",'MAIN DATA, Orders'!$I:$I,"Artillery")/1000000000)</f>
        <v>0</v>
      </c>
      <c r="L17" s="15">
        <f>(SUMIFS('MAIN DATA, Orders'!$U:$U,'MAIN DATA, Orders'!$Y:$Y,$A17,'MAIN DATA, Orders'!$D:$D,"Poland",'MAIN DATA, Orders'!$I:$I,"Development - Artillery")/1000000000)</f>
        <v>0</v>
      </c>
      <c r="M17" s="15">
        <f>(SUMIFS('MAIN DATA, Orders'!$U:$U,'MAIN DATA, Orders'!$Y:$Y,$A17,'MAIN DATA, Orders'!$D:$D,"Poland",'MAIN DATA, Orders'!$I:$I,"Drone")/1000000000)</f>
        <v>0</v>
      </c>
      <c r="N17" s="15">
        <f>(SUMIFS('MAIN DATA, Orders'!$U:$U,'MAIN DATA, Orders'!$Y:$Y,$A17,'MAIN DATA, Orders'!$D:$D,"Poland",'MAIN DATA, Orders'!$I:$I,"Development - Drone")/1000000000)</f>
        <v>0</v>
      </c>
      <c r="O17" s="15">
        <f>(SUMIFS('MAIN DATA, Orders'!$U:$U,'MAIN DATA, Orders'!$Y:$Y,$A17,'MAIN DATA, Orders'!$D:$D,"Poland",'MAIN DATA, Orders'!$I:$I,"Helicopter")/1000000000)</f>
        <v>0</v>
      </c>
      <c r="P17" s="15">
        <f>(SUMIFS('MAIN DATA, Orders'!$U:$U,'MAIN DATA, Orders'!$Y:$Y,$A17,'MAIN DATA, Orders'!$D:$D,"Poland",'MAIN DATA, Orders'!$I:$I,"Development - Helicopter")/1000000000)</f>
        <v>0</v>
      </c>
      <c r="Q17" s="15">
        <f>(SUMIFS('MAIN DATA, Orders'!$U:$U,'MAIN DATA, Orders'!$Y:$Y,$A17,'MAIN DATA, Orders'!$D:$D,"Poland",'MAIN DATA, Orders'!$I:$I,"Infantry")/1000000000)</f>
        <v>0</v>
      </c>
      <c r="R17" s="15">
        <f>(SUMIFS('MAIN DATA, Orders'!$U:$U,'MAIN DATA, Orders'!$Y:$Y,$A17,'MAIN DATA, Orders'!$D:$D,"Poland",'MAIN DATA, Orders'!$I:$I,"Development - Infantry")/1000000000)</f>
        <v>0</v>
      </c>
      <c r="S17" s="15">
        <f>(SUMIFS('MAIN DATA, Orders'!$U:$U,'MAIN DATA, Orders'!$Y:$Y,$A17,'MAIN DATA, Orders'!$D:$D,"Poland",'MAIN DATA, Orders'!$I:$I,"Tank")/1000000000)</f>
        <v>0</v>
      </c>
      <c r="T17" s="15">
        <f>(SUMIFS('MAIN DATA, Orders'!$U:$U,'MAIN DATA, Orders'!$Y:$Y,$A17,'MAIN DATA, Orders'!$D:$D,"Poland",'MAIN DATA, Orders'!$I:$I,"Development - Tank")/1000000000)</f>
        <v>0</v>
      </c>
      <c r="U17" s="15">
        <f>(SUMIFS('MAIN DATA, Orders'!$U:$U,'MAIN DATA, Orders'!$Y:$Y,$A17,'MAIN DATA, Orders'!$D:$D,"Poland",'MAIN DATA, Orders'!$I:$I,"Maintenance")/1000000000)</f>
        <v>0</v>
      </c>
      <c r="V17" s="15">
        <f>(SUMIFS('MAIN DATA, Orders'!$U:$U,'MAIN DATA, Orders'!$Y:$Y,$A17,'MAIN DATA, Orders'!$D:$D,"Poland",'MAIN DATA, Orders'!$I:$I,"Development - Maintenance")/1000000000)</f>
        <v>0</v>
      </c>
      <c r="W17" s="15">
        <f>(SUMIFS('MAIN DATA, Orders'!$U:$U,'MAIN DATA, Orders'!$Y:$Y,$A17,'MAIN DATA, Orders'!$D:$D,"Poland",'MAIN DATA, Orders'!$I:$I,"Mine")/1000000000)</f>
        <v>0</v>
      </c>
      <c r="X17" s="15">
        <f>(SUMIFS('MAIN DATA, Orders'!$U:$U,'MAIN DATA, Orders'!$Y:$Y,$A17,'MAIN DATA, Orders'!$D:$D,"Poland",'MAIN DATA, Orders'!$I:$I,"Development - Mine")/1000000000)</f>
        <v>0</v>
      </c>
      <c r="Y17" s="15">
        <f>(SUMIFS('MAIN DATA, Orders'!$U:$U,'MAIN DATA, Orders'!$Y:$Y,$A17,'MAIN DATA, Orders'!$D:$D,"Poland",'MAIN DATA, Orders'!$J:$J,"6")/1000000000)</f>
        <v>0</v>
      </c>
      <c r="Z17" s="15" cm="1">
        <f t="array" ref="Z17">SUM(SUMIFS('MAIN DATA, Orders'!$U:$U,'MAIN DATA, Orders'!$Y:$Y,$A17,'MAIN DATA, Orders'!$D:$D,"Poland",'MAIN DATA, Orders'!$I:$I,{"Development - Missile (Land)","Development - Missile (Naval)","Development - Missile (Air)"})/1000000000)</f>
        <v>0</v>
      </c>
      <c r="AA17" s="15">
        <f>(SUMIFS('MAIN DATA, Orders'!$U:$U,'MAIN DATA, Orders'!$Y:$Y,$A17,'MAIN DATA, Orders'!$D:$D,"Poland",'MAIN DATA, Orders'!$I:$I,"Modernisation")/1000000000)</f>
        <v>0</v>
      </c>
      <c r="AB17" s="15">
        <f>(SUMIFS('MAIN DATA, Orders'!$U:$U,'MAIN DATA, Orders'!$Y:$Y,$A17,'MAIN DATA, Orders'!$D:$D,"Poland",'MAIN DATA, Orders'!$I:$I,"Development - Modernisation")/1000000000)</f>
        <v>0</v>
      </c>
      <c r="AC17" s="15">
        <f>(SUMIFS('MAIN DATA, Orders'!$U:$U,'MAIN DATA, Orders'!$Y:$Y,$A17,'MAIN DATA, Orders'!$D:$D,"Poland",'MAIN DATA, Orders'!$I:$I,"Naval")/1000000000)</f>
        <v>0</v>
      </c>
      <c r="AD17" s="15">
        <f>(SUMIFS('MAIN DATA, Orders'!$U:$U,'MAIN DATA, Orders'!$Y:$Y,$A17,'MAIN DATA, Orders'!$D:$D,"Poland",'MAIN DATA, Orders'!$I:$I,"Development - Naval")/1000000000)</f>
        <v>0</v>
      </c>
      <c r="AE17" s="15">
        <f>(SUMIFS('MAIN DATA, Orders'!$U:$U,'MAIN DATA, Orders'!$Y:$Y,$A17,'MAIN DATA, Orders'!$D:$D,"Poland",'MAIN DATA, Orders'!$I:$I,"Other")/1000000000)</f>
        <v>0</v>
      </c>
      <c r="AF17" s="15">
        <f>(SUMIFS('MAIN DATA, Orders'!$U:$U,'MAIN DATA, Orders'!$Y:$Y,$A17,'MAIN DATA, Orders'!$D:$D,"Poland",'MAIN DATA, Orders'!$I:$I,"Development - Other")/1000000000)</f>
        <v>0</v>
      </c>
      <c r="AH17" s="15" cm="1">
        <f t="array" ref="AH17">SUM(SUMIFS('MAIN DATA, Orders'!$U:$U,'MAIN DATA, Orders'!$Y:$Y,$A17,'MAIN DATA, Orders'!$D:$D,"Poland",'MAIN DATA, Orders'!$I:$I,{"Missile (Land)","Development - Missile (Land)"})/1000000000)</f>
        <v>0</v>
      </c>
      <c r="AI17" s="15" cm="1">
        <f t="array" ref="AI17">SUM(SUMIFS('MAIN DATA, Orders'!$U:$U,'MAIN DATA, Orders'!$Y:$Y,$A17,'MAIN DATA, Orders'!$D:$D,"Poland",'MAIN DATA, Orders'!$I:$I,{"Missile (Air)","Development - Missile (Air)"})/1000000000)</f>
        <v>0</v>
      </c>
      <c r="AJ17" s="15" cm="1">
        <f t="array" ref="AJ17">SUM(SUMIFS('MAIN DATA, Orders'!$U:$U,'MAIN DATA, Orders'!$Y:$Y,$A17,'MAIN DATA, Orders'!$D:$D,"Poland",'MAIN DATA, Orders'!$I:$I,{"Missile (Naval)","Development - Missile (Naval)"})/1000000000)</f>
        <v>0</v>
      </c>
    </row>
    <row r="18" spans="1:36" x14ac:dyDescent="0.35">
      <c r="A18" s="20">
        <v>201912</v>
      </c>
      <c r="B18" s="17">
        <v>43800</v>
      </c>
      <c r="C18" s="15">
        <f>(SUMIFS('MAIN DATA, Orders'!$U:$U,'MAIN DATA, Orders'!$Y:$Y,$A18,'MAIN DATA, Orders'!$D:$D,"Poland",'MAIN DATA, Orders'!$I:$I,"Air defence system")/1000000000)</f>
        <v>0</v>
      </c>
      <c r="D18" s="15">
        <f>(SUMIFS('MAIN DATA, Orders'!$U:$U,'MAIN DATA, Orders'!$Y:$Y,$A18,'MAIN DATA, Orders'!$D:$D,"Poland",'MAIN DATA, Orders'!$I:$I,"Development - Air defence system")/1000000000)</f>
        <v>0</v>
      </c>
      <c r="E18" s="15">
        <f>(SUMIFS('MAIN DATA, Orders'!$U:$U,'MAIN DATA, Orders'!$Y:$Y,$A18,'MAIN DATA, Orders'!$D:$D,"Poland",'MAIN DATA, Orders'!$I:$I,"Aircraft")/1000000000)</f>
        <v>0</v>
      </c>
      <c r="F18" s="15">
        <f>(SUMIFS('MAIN DATA, Orders'!$U:$U,'MAIN DATA, Orders'!$Y:$Y,$A18,'MAIN DATA, Orders'!$D:$D,"Poland",'MAIN DATA, Orders'!$I:$I,"Development - Aircraft")/1000000000)</f>
        <v>0</v>
      </c>
      <c r="G18" s="15">
        <f>(SUMIFS('MAIN DATA, Orders'!$U:$U,'MAIN DATA, Orders'!$Y:$Y,$A18,'MAIN DATA, Orders'!$D:$D,"Poland",'MAIN DATA, Orders'!$I:$I,"Ammunition")/1000000000)</f>
        <v>0</v>
      </c>
      <c r="H18" s="15">
        <f>(SUMIFS('MAIN DATA, Orders'!$U:$U,'MAIN DATA, Orders'!$Y:$Y,$A18,'MAIN DATA, Orders'!$D:$D,"Poland",'MAIN DATA, Orders'!$I:$I,"Development - Ammunition")/1000000000)</f>
        <v>0</v>
      </c>
      <c r="I18" s="15">
        <f>(SUMIFS('MAIN DATA, Orders'!$U:$U,'MAIN DATA, Orders'!$Y:$Y,$A18,'MAIN DATA, Orders'!$D:$D,"Poland",'MAIN DATA, Orders'!$I:$I,"Armoured vehicle")/1000000000)</f>
        <v>0</v>
      </c>
      <c r="J18" s="15">
        <f>(SUMIFS('MAIN DATA, Orders'!$U:$U,'MAIN DATA, Orders'!$Y:$Y,$A18,'MAIN DATA, Orders'!$D:$D,"Poland",'MAIN DATA, Orders'!$I:$I,"Development - Armoured vehicle")/1000000000)</f>
        <v>0</v>
      </c>
      <c r="K18" s="15">
        <f>(SUMIFS('MAIN DATA, Orders'!$U:$U,'MAIN DATA, Orders'!$Y:$Y,$A18,'MAIN DATA, Orders'!$D:$D,"Poland",'MAIN DATA, Orders'!$I:$I,"Artillery")/1000000000)</f>
        <v>0</v>
      </c>
      <c r="L18" s="15">
        <f>(SUMIFS('MAIN DATA, Orders'!$U:$U,'MAIN DATA, Orders'!$Y:$Y,$A18,'MAIN DATA, Orders'!$D:$D,"Poland",'MAIN DATA, Orders'!$I:$I,"Development - Artillery")/1000000000)</f>
        <v>0</v>
      </c>
      <c r="M18" s="15">
        <f>(SUMIFS('MAIN DATA, Orders'!$U:$U,'MAIN DATA, Orders'!$Y:$Y,$A18,'MAIN DATA, Orders'!$D:$D,"Poland",'MAIN DATA, Orders'!$I:$I,"Drone")/1000000000)</f>
        <v>0</v>
      </c>
      <c r="N18" s="15">
        <f>(SUMIFS('MAIN DATA, Orders'!$U:$U,'MAIN DATA, Orders'!$Y:$Y,$A18,'MAIN DATA, Orders'!$D:$D,"Poland",'MAIN DATA, Orders'!$I:$I,"Development - Drone")/1000000000)</f>
        <v>0</v>
      </c>
      <c r="O18" s="15">
        <f>(SUMIFS('MAIN DATA, Orders'!$U:$U,'MAIN DATA, Orders'!$Y:$Y,$A18,'MAIN DATA, Orders'!$D:$D,"Poland",'MAIN DATA, Orders'!$I:$I,"Helicopter")/1000000000)</f>
        <v>0</v>
      </c>
      <c r="P18" s="15">
        <f>(SUMIFS('MAIN DATA, Orders'!$U:$U,'MAIN DATA, Orders'!$Y:$Y,$A18,'MAIN DATA, Orders'!$D:$D,"Poland",'MAIN DATA, Orders'!$I:$I,"Development - Helicopter")/1000000000)</f>
        <v>0</v>
      </c>
      <c r="Q18" s="15">
        <f>(SUMIFS('MAIN DATA, Orders'!$U:$U,'MAIN DATA, Orders'!$Y:$Y,$A18,'MAIN DATA, Orders'!$D:$D,"Poland",'MAIN DATA, Orders'!$I:$I,"Infantry")/1000000000)</f>
        <v>0</v>
      </c>
      <c r="R18" s="15">
        <f>(SUMIFS('MAIN DATA, Orders'!$U:$U,'MAIN DATA, Orders'!$Y:$Y,$A18,'MAIN DATA, Orders'!$D:$D,"Poland",'MAIN DATA, Orders'!$I:$I,"Development - Infantry")/1000000000)</f>
        <v>0</v>
      </c>
      <c r="S18" s="15">
        <f>(SUMIFS('MAIN DATA, Orders'!$U:$U,'MAIN DATA, Orders'!$Y:$Y,$A18,'MAIN DATA, Orders'!$D:$D,"Poland",'MAIN DATA, Orders'!$I:$I,"Tank")/1000000000)</f>
        <v>0</v>
      </c>
      <c r="T18" s="15">
        <f>(SUMIFS('MAIN DATA, Orders'!$U:$U,'MAIN DATA, Orders'!$Y:$Y,$A18,'MAIN DATA, Orders'!$D:$D,"Poland",'MAIN DATA, Orders'!$I:$I,"Development - Tank")/1000000000)</f>
        <v>0</v>
      </c>
      <c r="U18" s="15">
        <f>(SUMIFS('MAIN DATA, Orders'!$U:$U,'MAIN DATA, Orders'!$Y:$Y,$A18,'MAIN DATA, Orders'!$D:$D,"Poland",'MAIN DATA, Orders'!$I:$I,"Maintenance")/1000000000)</f>
        <v>0</v>
      </c>
      <c r="V18" s="15">
        <f>(SUMIFS('MAIN DATA, Orders'!$U:$U,'MAIN DATA, Orders'!$Y:$Y,$A18,'MAIN DATA, Orders'!$D:$D,"Poland",'MAIN DATA, Orders'!$I:$I,"Development - Maintenance")/1000000000)</f>
        <v>0</v>
      </c>
      <c r="W18" s="15">
        <f>(SUMIFS('MAIN DATA, Orders'!$U:$U,'MAIN DATA, Orders'!$Y:$Y,$A18,'MAIN DATA, Orders'!$D:$D,"Poland",'MAIN DATA, Orders'!$I:$I,"Mine")/1000000000)</f>
        <v>0</v>
      </c>
      <c r="X18" s="15">
        <f>(SUMIFS('MAIN DATA, Orders'!$U:$U,'MAIN DATA, Orders'!$Y:$Y,$A18,'MAIN DATA, Orders'!$D:$D,"Poland",'MAIN DATA, Orders'!$I:$I,"Development - Mine")/1000000000)</f>
        <v>0</v>
      </c>
      <c r="Y18" s="15">
        <f>(SUMIFS('MAIN DATA, Orders'!$U:$U,'MAIN DATA, Orders'!$Y:$Y,$A18,'MAIN DATA, Orders'!$D:$D,"Poland",'MAIN DATA, Orders'!$J:$J,"6")/1000000000)</f>
        <v>0</v>
      </c>
      <c r="Z18" s="15" cm="1">
        <f t="array" ref="Z18">SUM(SUMIFS('MAIN DATA, Orders'!$U:$U,'MAIN DATA, Orders'!$Y:$Y,$A18,'MAIN DATA, Orders'!$D:$D,"Poland",'MAIN DATA, Orders'!$I:$I,{"Development - Missile (Land)","Development - Missile (Naval)","Development - Missile (Air)"})/1000000000)</f>
        <v>0</v>
      </c>
      <c r="AA18" s="15">
        <f>(SUMIFS('MAIN DATA, Orders'!$U:$U,'MAIN DATA, Orders'!$Y:$Y,$A18,'MAIN DATA, Orders'!$D:$D,"Poland",'MAIN DATA, Orders'!$I:$I,"Modernisation")/1000000000)</f>
        <v>0</v>
      </c>
      <c r="AB18" s="15">
        <f>(SUMIFS('MAIN DATA, Orders'!$U:$U,'MAIN DATA, Orders'!$Y:$Y,$A18,'MAIN DATA, Orders'!$D:$D,"Poland",'MAIN DATA, Orders'!$I:$I,"Development - Modernisation")/1000000000)</f>
        <v>0</v>
      </c>
      <c r="AC18" s="15">
        <f>(SUMIFS('MAIN DATA, Orders'!$U:$U,'MAIN DATA, Orders'!$Y:$Y,$A18,'MAIN DATA, Orders'!$D:$D,"Poland",'MAIN DATA, Orders'!$I:$I,"Naval")/1000000000)</f>
        <v>0</v>
      </c>
      <c r="AD18" s="15">
        <f>(SUMIFS('MAIN DATA, Orders'!$U:$U,'MAIN DATA, Orders'!$Y:$Y,$A18,'MAIN DATA, Orders'!$D:$D,"Poland",'MAIN DATA, Orders'!$I:$I,"Development - Naval")/1000000000)</f>
        <v>0</v>
      </c>
      <c r="AE18" s="15">
        <f>(SUMIFS('MAIN DATA, Orders'!$U:$U,'MAIN DATA, Orders'!$Y:$Y,$A18,'MAIN DATA, Orders'!$D:$D,"Poland",'MAIN DATA, Orders'!$I:$I,"Other")/1000000000)</f>
        <v>0</v>
      </c>
      <c r="AF18" s="15">
        <f>(SUMIFS('MAIN DATA, Orders'!$U:$U,'MAIN DATA, Orders'!$Y:$Y,$A18,'MAIN DATA, Orders'!$D:$D,"Poland",'MAIN DATA, Orders'!$I:$I,"Development - Other")/1000000000)</f>
        <v>0</v>
      </c>
      <c r="AH18" s="15" cm="1">
        <f t="array" ref="AH18">SUM(SUMIFS('MAIN DATA, Orders'!$U:$U,'MAIN DATA, Orders'!$Y:$Y,$A18,'MAIN DATA, Orders'!$D:$D,"Poland",'MAIN DATA, Orders'!$I:$I,{"Missile (Land)","Development - Missile (Land)"})/1000000000)</f>
        <v>0</v>
      </c>
      <c r="AI18" s="15" cm="1">
        <f t="array" ref="AI18">SUM(SUMIFS('MAIN DATA, Orders'!$U:$U,'MAIN DATA, Orders'!$Y:$Y,$A18,'MAIN DATA, Orders'!$D:$D,"Poland",'MAIN DATA, Orders'!$I:$I,{"Missile (Air)","Development - Missile (Air)"})/1000000000)</f>
        <v>0</v>
      </c>
      <c r="AJ18" s="15" cm="1">
        <f t="array" ref="AJ18">SUM(SUMIFS('MAIN DATA, Orders'!$U:$U,'MAIN DATA, Orders'!$Y:$Y,$A18,'MAIN DATA, Orders'!$D:$D,"Poland",'MAIN DATA, Orders'!$I:$I,{"Missile (Naval)","Development - Missile (Naval)"})/1000000000)</f>
        <v>0</v>
      </c>
    </row>
    <row r="19" spans="1:36" x14ac:dyDescent="0.35">
      <c r="A19" s="20">
        <v>202001</v>
      </c>
      <c r="B19" s="17">
        <v>43831</v>
      </c>
      <c r="C19" s="15">
        <f>(SUMIFS('MAIN DATA, Orders'!$U:$U,'MAIN DATA, Orders'!$Y:$Y,$A19,'MAIN DATA, Orders'!$D:$D,"Poland",'MAIN DATA, Orders'!$I:$I,"Air defence system")/1000000000)</f>
        <v>0</v>
      </c>
      <c r="D19" s="15">
        <f>(SUMIFS('MAIN DATA, Orders'!$U:$U,'MAIN DATA, Orders'!$Y:$Y,$A19,'MAIN DATA, Orders'!$D:$D,"Poland",'MAIN DATA, Orders'!$I:$I,"Development - Air defence system")/1000000000)</f>
        <v>0</v>
      </c>
      <c r="E19" s="15">
        <f>(SUMIFS('MAIN DATA, Orders'!$U:$U,'MAIN DATA, Orders'!$Y:$Y,$A19,'MAIN DATA, Orders'!$D:$D,"Poland",'MAIN DATA, Orders'!$I:$I,"Aircraft")/1000000000)</f>
        <v>4.0273157065312555</v>
      </c>
      <c r="F19" s="15">
        <f>(SUMIFS('MAIN DATA, Orders'!$U:$U,'MAIN DATA, Orders'!$Y:$Y,$A19,'MAIN DATA, Orders'!$D:$D,"Poland",'MAIN DATA, Orders'!$I:$I,"Development - Aircraft")/1000000000)</f>
        <v>0</v>
      </c>
      <c r="G19" s="15">
        <f>(SUMIFS('MAIN DATA, Orders'!$U:$U,'MAIN DATA, Orders'!$Y:$Y,$A19,'MAIN DATA, Orders'!$D:$D,"Poland",'MAIN DATA, Orders'!$I:$I,"Ammunition")/1000000000)</f>
        <v>0</v>
      </c>
      <c r="H19" s="15">
        <f>(SUMIFS('MAIN DATA, Orders'!$U:$U,'MAIN DATA, Orders'!$Y:$Y,$A19,'MAIN DATA, Orders'!$D:$D,"Poland",'MAIN DATA, Orders'!$I:$I,"Development - Ammunition")/1000000000)</f>
        <v>0</v>
      </c>
      <c r="I19" s="15">
        <f>(SUMIFS('MAIN DATA, Orders'!$U:$U,'MAIN DATA, Orders'!$Y:$Y,$A19,'MAIN DATA, Orders'!$D:$D,"Poland",'MAIN DATA, Orders'!$I:$I,"Armoured vehicle")/1000000000)</f>
        <v>0</v>
      </c>
      <c r="J19" s="15">
        <f>(SUMIFS('MAIN DATA, Orders'!$U:$U,'MAIN DATA, Orders'!$Y:$Y,$A19,'MAIN DATA, Orders'!$D:$D,"Poland",'MAIN DATA, Orders'!$I:$I,"Development - Armoured vehicle")/1000000000)</f>
        <v>0</v>
      </c>
      <c r="K19" s="15">
        <f>(SUMIFS('MAIN DATA, Orders'!$U:$U,'MAIN DATA, Orders'!$Y:$Y,$A19,'MAIN DATA, Orders'!$D:$D,"Poland",'MAIN DATA, Orders'!$I:$I,"Artillery")/1000000000)</f>
        <v>0</v>
      </c>
      <c r="L19" s="15">
        <f>(SUMIFS('MAIN DATA, Orders'!$U:$U,'MAIN DATA, Orders'!$Y:$Y,$A19,'MAIN DATA, Orders'!$D:$D,"Poland",'MAIN DATA, Orders'!$I:$I,"Development - Artillery")/1000000000)</f>
        <v>0</v>
      </c>
      <c r="M19" s="15">
        <f>(SUMIFS('MAIN DATA, Orders'!$U:$U,'MAIN DATA, Orders'!$Y:$Y,$A19,'MAIN DATA, Orders'!$D:$D,"Poland",'MAIN DATA, Orders'!$I:$I,"Drone")/1000000000)</f>
        <v>0</v>
      </c>
      <c r="N19" s="15">
        <f>(SUMIFS('MAIN DATA, Orders'!$U:$U,'MAIN DATA, Orders'!$Y:$Y,$A19,'MAIN DATA, Orders'!$D:$D,"Poland",'MAIN DATA, Orders'!$I:$I,"Development - Drone")/1000000000)</f>
        <v>0</v>
      </c>
      <c r="O19" s="15">
        <f>(SUMIFS('MAIN DATA, Orders'!$U:$U,'MAIN DATA, Orders'!$Y:$Y,$A19,'MAIN DATA, Orders'!$D:$D,"Poland",'MAIN DATA, Orders'!$I:$I,"Helicopter")/1000000000)</f>
        <v>0</v>
      </c>
      <c r="P19" s="15">
        <f>(SUMIFS('MAIN DATA, Orders'!$U:$U,'MAIN DATA, Orders'!$Y:$Y,$A19,'MAIN DATA, Orders'!$D:$D,"Poland",'MAIN DATA, Orders'!$I:$I,"Development - Helicopter")/1000000000)</f>
        <v>0</v>
      </c>
      <c r="Q19" s="15">
        <f>(SUMIFS('MAIN DATA, Orders'!$U:$U,'MAIN DATA, Orders'!$Y:$Y,$A19,'MAIN DATA, Orders'!$D:$D,"Poland",'MAIN DATA, Orders'!$I:$I,"Infantry")/1000000000)</f>
        <v>0</v>
      </c>
      <c r="R19" s="15">
        <f>(SUMIFS('MAIN DATA, Orders'!$U:$U,'MAIN DATA, Orders'!$Y:$Y,$A19,'MAIN DATA, Orders'!$D:$D,"Poland",'MAIN DATA, Orders'!$I:$I,"Development - Infantry")/1000000000)</f>
        <v>0</v>
      </c>
      <c r="S19" s="15">
        <f>(SUMIFS('MAIN DATA, Orders'!$U:$U,'MAIN DATA, Orders'!$Y:$Y,$A19,'MAIN DATA, Orders'!$D:$D,"Poland",'MAIN DATA, Orders'!$I:$I,"Tank")/1000000000)</f>
        <v>0</v>
      </c>
      <c r="T19" s="15">
        <f>(SUMIFS('MAIN DATA, Orders'!$U:$U,'MAIN DATA, Orders'!$Y:$Y,$A19,'MAIN DATA, Orders'!$D:$D,"Poland",'MAIN DATA, Orders'!$I:$I,"Development - Tank")/1000000000)</f>
        <v>0</v>
      </c>
      <c r="U19" s="15">
        <f>(SUMIFS('MAIN DATA, Orders'!$U:$U,'MAIN DATA, Orders'!$Y:$Y,$A19,'MAIN DATA, Orders'!$D:$D,"Poland",'MAIN DATA, Orders'!$I:$I,"Maintenance")/1000000000)</f>
        <v>0</v>
      </c>
      <c r="V19" s="15">
        <f>(SUMIFS('MAIN DATA, Orders'!$U:$U,'MAIN DATA, Orders'!$Y:$Y,$A19,'MAIN DATA, Orders'!$D:$D,"Poland",'MAIN DATA, Orders'!$I:$I,"Development - Maintenance")/1000000000)</f>
        <v>0</v>
      </c>
      <c r="W19" s="15">
        <f>(SUMIFS('MAIN DATA, Orders'!$U:$U,'MAIN DATA, Orders'!$Y:$Y,$A19,'MAIN DATA, Orders'!$D:$D,"Poland",'MAIN DATA, Orders'!$I:$I,"Mine")/1000000000)</f>
        <v>0</v>
      </c>
      <c r="X19" s="15">
        <f>(SUMIFS('MAIN DATA, Orders'!$U:$U,'MAIN DATA, Orders'!$Y:$Y,$A19,'MAIN DATA, Orders'!$D:$D,"Poland",'MAIN DATA, Orders'!$I:$I,"Development - Mine")/1000000000)</f>
        <v>0</v>
      </c>
      <c r="Y19" s="15">
        <f>(SUMIFS('MAIN DATA, Orders'!$U:$U,'MAIN DATA, Orders'!$Y:$Y,$A19,'MAIN DATA, Orders'!$D:$D,"Poland",'MAIN DATA, Orders'!$J:$J,"6")/1000000000)</f>
        <v>0</v>
      </c>
      <c r="Z19" s="15" cm="1">
        <f t="array" ref="Z19">SUM(SUMIFS('MAIN DATA, Orders'!$U:$U,'MAIN DATA, Orders'!$Y:$Y,$A19,'MAIN DATA, Orders'!$D:$D,"Poland",'MAIN DATA, Orders'!$I:$I,{"Development - Missile (Land)","Development - Missile (Naval)","Development - Missile (Air)"})/1000000000)</f>
        <v>0</v>
      </c>
      <c r="AA19" s="15">
        <f>(SUMIFS('MAIN DATA, Orders'!$U:$U,'MAIN DATA, Orders'!$Y:$Y,$A19,'MAIN DATA, Orders'!$D:$D,"Poland",'MAIN DATA, Orders'!$I:$I,"Modernisation")/1000000000)</f>
        <v>0</v>
      </c>
      <c r="AB19" s="15">
        <f>(SUMIFS('MAIN DATA, Orders'!$U:$U,'MAIN DATA, Orders'!$Y:$Y,$A19,'MAIN DATA, Orders'!$D:$D,"Poland",'MAIN DATA, Orders'!$I:$I,"Development - Modernisation")/1000000000)</f>
        <v>0</v>
      </c>
      <c r="AC19" s="15">
        <f>(SUMIFS('MAIN DATA, Orders'!$U:$U,'MAIN DATA, Orders'!$Y:$Y,$A19,'MAIN DATA, Orders'!$D:$D,"Poland",'MAIN DATA, Orders'!$I:$I,"Naval")/1000000000)</f>
        <v>0</v>
      </c>
      <c r="AD19" s="15">
        <f>(SUMIFS('MAIN DATA, Orders'!$U:$U,'MAIN DATA, Orders'!$Y:$Y,$A19,'MAIN DATA, Orders'!$D:$D,"Poland",'MAIN DATA, Orders'!$I:$I,"Development - Naval")/1000000000)</f>
        <v>0</v>
      </c>
      <c r="AE19" s="15">
        <f>(SUMIFS('MAIN DATA, Orders'!$U:$U,'MAIN DATA, Orders'!$Y:$Y,$A19,'MAIN DATA, Orders'!$D:$D,"Poland",'MAIN DATA, Orders'!$I:$I,"Other")/1000000000)</f>
        <v>0</v>
      </c>
      <c r="AF19" s="15">
        <f>(SUMIFS('MAIN DATA, Orders'!$U:$U,'MAIN DATA, Orders'!$Y:$Y,$A19,'MAIN DATA, Orders'!$D:$D,"Poland",'MAIN DATA, Orders'!$I:$I,"Development - Other")/1000000000)</f>
        <v>0</v>
      </c>
      <c r="AG19" s="15"/>
      <c r="AH19" s="15" cm="1">
        <f t="array" ref="AH19">SUM(SUMIFS('MAIN DATA, Orders'!$U:$U,'MAIN DATA, Orders'!$Y:$Y,$A19,'MAIN DATA, Orders'!$D:$D,"Poland",'MAIN DATA, Orders'!$I:$I,{"Missile (Land)","Development - Missile (Land)"})/1000000000)</f>
        <v>0</v>
      </c>
      <c r="AI19" s="15" cm="1">
        <f t="array" ref="AI19">SUM(SUMIFS('MAIN DATA, Orders'!$U:$U,'MAIN DATA, Orders'!$Y:$Y,$A19,'MAIN DATA, Orders'!$D:$D,"Poland",'MAIN DATA, Orders'!$I:$I,{"Missile (Air)","Development - Missile (Air)"})/1000000000)</f>
        <v>0</v>
      </c>
      <c r="AJ19" s="15" cm="1">
        <f t="array" ref="AJ19">SUM(SUMIFS('MAIN DATA, Orders'!$U:$U,'MAIN DATA, Orders'!$Y:$Y,$A19,'MAIN DATA, Orders'!$D:$D,"Poland",'MAIN DATA, Orders'!$I:$I,{"Missile (Naval)","Development - Missile (Naval)"})/1000000000)</f>
        <v>0</v>
      </c>
    </row>
    <row r="20" spans="1:36" x14ac:dyDescent="0.35">
      <c r="A20" s="20">
        <v>202002</v>
      </c>
      <c r="B20" s="17">
        <v>43862</v>
      </c>
      <c r="C20" s="15">
        <f>(SUMIFS('MAIN DATA, Orders'!$U:$U,'MAIN DATA, Orders'!$Y:$Y,$A20,'MAIN DATA, Orders'!$D:$D,"Poland",'MAIN DATA, Orders'!$I:$I,"Air defence system")/1000000000)</f>
        <v>0</v>
      </c>
      <c r="D20" s="15">
        <f>(SUMIFS('MAIN DATA, Orders'!$U:$U,'MAIN DATA, Orders'!$Y:$Y,$A20,'MAIN DATA, Orders'!$D:$D,"Poland",'MAIN DATA, Orders'!$I:$I,"Development - Air defence system")/1000000000)</f>
        <v>0</v>
      </c>
      <c r="E20" s="15">
        <f>(SUMIFS('MAIN DATA, Orders'!$U:$U,'MAIN DATA, Orders'!$Y:$Y,$A20,'MAIN DATA, Orders'!$D:$D,"Poland",'MAIN DATA, Orders'!$I:$I,"Aircraft")/1000000000)</f>
        <v>0</v>
      </c>
      <c r="F20" s="15">
        <f>(SUMIFS('MAIN DATA, Orders'!$U:$U,'MAIN DATA, Orders'!$Y:$Y,$A20,'MAIN DATA, Orders'!$D:$D,"Poland",'MAIN DATA, Orders'!$I:$I,"Development - Aircraft")/1000000000)</f>
        <v>0</v>
      </c>
      <c r="G20" s="15">
        <f>(SUMIFS('MAIN DATA, Orders'!$U:$U,'MAIN DATA, Orders'!$Y:$Y,$A20,'MAIN DATA, Orders'!$D:$D,"Poland",'MAIN DATA, Orders'!$I:$I,"Ammunition")/1000000000)</f>
        <v>0</v>
      </c>
      <c r="H20" s="15">
        <f>(SUMIFS('MAIN DATA, Orders'!$U:$U,'MAIN DATA, Orders'!$Y:$Y,$A20,'MAIN DATA, Orders'!$D:$D,"Poland",'MAIN DATA, Orders'!$I:$I,"Development - Ammunition")/1000000000)</f>
        <v>0</v>
      </c>
      <c r="I20" s="15">
        <f>(SUMIFS('MAIN DATA, Orders'!$U:$U,'MAIN DATA, Orders'!$Y:$Y,$A20,'MAIN DATA, Orders'!$D:$D,"Poland",'MAIN DATA, Orders'!$I:$I,"Armoured vehicle")/1000000000)</f>
        <v>0</v>
      </c>
      <c r="J20" s="15">
        <f>(SUMIFS('MAIN DATA, Orders'!$U:$U,'MAIN DATA, Orders'!$Y:$Y,$A20,'MAIN DATA, Orders'!$D:$D,"Poland",'MAIN DATA, Orders'!$I:$I,"Development - Armoured vehicle")/1000000000)</f>
        <v>0</v>
      </c>
      <c r="K20" s="15">
        <f>(SUMIFS('MAIN DATA, Orders'!$U:$U,'MAIN DATA, Orders'!$Y:$Y,$A20,'MAIN DATA, Orders'!$D:$D,"Poland",'MAIN DATA, Orders'!$I:$I,"Artillery")/1000000000)</f>
        <v>0</v>
      </c>
      <c r="L20" s="15">
        <f>(SUMIFS('MAIN DATA, Orders'!$U:$U,'MAIN DATA, Orders'!$Y:$Y,$A20,'MAIN DATA, Orders'!$D:$D,"Poland",'MAIN DATA, Orders'!$I:$I,"Development - Artillery")/1000000000)</f>
        <v>0</v>
      </c>
      <c r="M20" s="15">
        <f>(SUMIFS('MAIN DATA, Orders'!$U:$U,'MAIN DATA, Orders'!$Y:$Y,$A20,'MAIN DATA, Orders'!$D:$D,"Poland",'MAIN DATA, Orders'!$I:$I,"Drone")/1000000000)</f>
        <v>0</v>
      </c>
      <c r="N20" s="15">
        <f>(SUMIFS('MAIN DATA, Orders'!$U:$U,'MAIN DATA, Orders'!$Y:$Y,$A20,'MAIN DATA, Orders'!$D:$D,"Poland",'MAIN DATA, Orders'!$I:$I,"Development - Drone")/1000000000)</f>
        <v>0</v>
      </c>
      <c r="O20" s="15">
        <f>(SUMIFS('MAIN DATA, Orders'!$U:$U,'MAIN DATA, Orders'!$Y:$Y,$A20,'MAIN DATA, Orders'!$D:$D,"Poland",'MAIN DATA, Orders'!$I:$I,"Helicopter")/1000000000)</f>
        <v>0</v>
      </c>
      <c r="P20" s="15">
        <f>(SUMIFS('MAIN DATA, Orders'!$U:$U,'MAIN DATA, Orders'!$Y:$Y,$A20,'MAIN DATA, Orders'!$D:$D,"Poland",'MAIN DATA, Orders'!$I:$I,"Development - Helicopter")/1000000000)</f>
        <v>0</v>
      </c>
      <c r="Q20" s="15">
        <f>(SUMIFS('MAIN DATA, Orders'!$U:$U,'MAIN DATA, Orders'!$Y:$Y,$A20,'MAIN DATA, Orders'!$D:$D,"Poland",'MAIN DATA, Orders'!$I:$I,"Infantry")/1000000000)</f>
        <v>0</v>
      </c>
      <c r="R20" s="15">
        <f>(SUMIFS('MAIN DATA, Orders'!$U:$U,'MAIN DATA, Orders'!$Y:$Y,$A20,'MAIN DATA, Orders'!$D:$D,"Poland",'MAIN DATA, Orders'!$I:$I,"Development - Infantry")/1000000000)</f>
        <v>0</v>
      </c>
      <c r="S20" s="15">
        <f>(SUMIFS('MAIN DATA, Orders'!$U:$U,'MAIN DATA, Orders'!$Y:$Y,$A20,'MAIN DATA, Orders'!$D:$D,"Poland",'MAIN DATA, Orders'!$I:$I,"Tank")/1000000000)</f>
        <v>0</v>
      </c>
      <c r="T20" s="15">
        <f>(SUMIFS('MAIN DATA, Orders'!$U:$U,'MAIN DATA, Orders'!$Y:$Y,$A20,'MAIN DATA, Orders'!$D:$D,"Poland",'MAIN DATA, Orders'!$I:$I,"Development - Tank")/1000000000)</f>
        <v>0</v>
      </c>
      <c r="U20" s="15">
        <f>(SUMIFS('MAIN DATA, Orders'!$U:$U,'MAIN DATA, Orders'!$Y:$Y,$A20,'MAIN DATA, Orders'!$D:$D,"Poland",'MAIN DATA, Orders'!$I:$I,"Maintenance")/1000000000)</f>
        <v>0</v>
      </c>
      <c r="V20" s="15">
        <f>(SUMIFS('MAIN DATA, Orders'!$U:$U,'MAIN DATA, Orders'!$Y:$Y,$A20,'MAIN DATA, Orders'!$D:$D,"Poland",'MAIN DATA, Orders'!$I:$I,"Development - Maintenance")/1000000000)</f>
        <v>0</v>
      </c>
      <c r="W20" s="15">
        <f>(SUMIFS('MAIN DATA, Orders'!$U:$U,'MAIN DATA, Orders'!$Y:$Y,$A20,'MAIN DATA, Orders'!$D:$D,"Poland",'MAIN DATA, Orders'!$I:$I,"Mine")/1000000000)</f>
        <v>0</v>
      </c>
      <c r="X20" s="15">
        <f>(SUMIFS('MAIN DATA, Orders'!$U:$U,'MAIN DATA, Orders'!$Y:$Y,$A20,'MAIN DATA, Orders'!$D:$D,"Poland",'MAIN DATA, Orders'!$I:$I,"Development - Mine")/1000000000)</f>
        <v>0</v>
      </c>
      <c r="Y20" s="15">
        <f>(SUMIFS('MAIN DATA, Orders'!$U:$U,'MAIN DATA, Orders'!$Y:$Y,$A20,'MAIN DATA, Orders'!$D:$D,"Poland",'MAIN DATA, Orders'!$J:$J,"6")/1000000000)</f>
        <v>0</v>
      </c>
      <c r="Z20" s="15" cm="1">
        <f t="array" ref="Z20">SUM(SUMIFS('MAIN DATA, Orders'!$U:$U,'MAIN DATA, Orders'!$Y:$Y,$A20,'MAIN DATA, Orders'!$D:$D,"Poland",'MAIN DATA, Orders'!$I:$I,{"Development - Missile (Land)","Development - Missile (Naval)","Development - Missile (Air)"})/1000000000)</f>
        <v>0</v>
      </c>
      <c r="AA20" s="15">
        <f>(SUMIFS('MAIN DATA, Orders'!$U:$U,'MAIN DATA, Orders'!$Y:$Y,$A20,'MAIN DATA, Orders'!$D:$D,"Poland",'MAIN DATA, Orders'!$I:$I,"Modernisation")/1000000000)</f>
        <v>0</v>
      </c>
      <c r="AB20" s="15">
        <f>(SUMIFS('MAIN DATA, Orders'!$U:$U,'MAIN DATA, Orders'!$Y:$Y,$A20,'MAIN DATA, Orders'!$D:$D,"Poland",'MAIN DATA, Orders'!$I:$I,"Development - Modernisation")/1000000000)</f>
        <v>0</v>
      </c>
      <c r="AC20" s="15">
        <f>(SUMIFS('MAIN DATA, Orders'!$U:$U,'MAIN DATA, Orders'!$Y:$Y,$A20,'MAIN DATA, Orders'!$D:$D,"Poland",'MAIN DATA, Orders'!$I:$I,"Naval")/1000000000)</f>
        <v>0</v>
      </c>
      <c r="AD20" s="15">
        <f>(SUMIFS('MAIN DATA, Orders'!$U:$U,'MAIN DATA, Orders'!$Y:$Y,$A20,'MAIN DATA, Orders'!$D:$D,"Poland",'MAIN DATA, Orders'!$I:$I,"Development - Naval")/1000000000)</f>
        <v>0</v>
      </c>
      <c r="AE20" s="15">
        <f>(SUMIFS('MAIN DATA, Orders'!$U:$U,'MAIN DATA, Orders'!$Y:$Y,$A20,'MAIN DATA, Orders'!$D:$D,"Poland",'MAIN DATA, Orders'!$I:$I,"Other")/1000000000)</f>
        <v>0</v>
      </c>
      <c r="AF20" s="15">
        <f>(SUMIFS('MAIN DATA, Orders'!$U:$U,'MAIN DATA, Orders'!$Y:$Y,$A20,'MAIN DATA, Orders'!$D:$D,"Poland",'MAIN DATA, Orders'!$I:$I,"Development - Other")/1000000000)</f>
        <v>0</v>
      </c>
      <c r="AG20" s="15"/>
      <c r="AH20" s="15" cm="1">
        <f t="array" ref="AH20">SUM(SUMIFS('MAIN DATA, Orders'!$U:$U,'MAIN DATA, Orders'!$Y:$Y,$A20,'MAIN DATA, Orders'!$D:$D,"Poland",'MAIN DATA, Orders'!$I:$I,{"Missile (Land)","Development - Missile (Land)"})/1000000000)</f>
        <v>0</v>
      </c>
      <c r="AI20" s="15" cm="1">
        <f t="array" ref="AI20">SUM(SUMIFS('MAIN DATA, Orders'!$U:$U,'MAIN DATA, Orders'!$Y:$Y,$A20,'MAIN DATA, Orders'!$D:$D,"Poland",'MAIN DATA, Orders'!$I:$I,{"Missile (Air)","Development - Missile (Air)"})/1000000000)</f>
        <v>0</v>
      </c>
      <c r="AJ20" s="15" cm="1">
        <f t="array" ref="AJ20">SUM(SUMIFS('MAIN DATA, Orders'!$U:$U,'MAIN DATA, Orders'!$Y:$Y,$A20,'MAIN DATA, Orders'!$D:$D,"Poland",'MAIN DATA, Orders'!$I:$I,{"Missile (Naval)","Development - Missile (Naval)"})/1000000000)</f>
        <v>0</v>
      </c>
    </row>
    <row r="21" spans="1:36" x14ac:dyDescent="0.35">
      <c r="A21" s="20">
        <v>202003</v>
      </c>
      <c r="B21" s="17">
        <v>43891</v>
      </c>
      <c r="C21" s="15">
        <f>(SUMIFS('MAIN DATA, Orders'!$U:$U,'MAIN DATA, Orders'!$Y:$Y,$A21,'MAIN DATA, Orders'!$D:$D,"Poland",'MAIN DATA, Orders'!$I:$I,"Air defence system")/1000000000)</f>
        <v>0</v>
      </c>
      <c r="D21" s="15">
        <f>(SUMIFS('MAIN DATA, Orders'!$U:$U,'MAIN DATA, Orders'!$Y:$Y,$A21,'MAIN DATA, Orders'!$D:$D,"Poland",'MAIN DATA, Orders'!$I:$I,"Development - Air defence system")/1000000000)</f>
        <v>0</v>
      </c>
      <c r="E21" s="15">
        <f>(SUMIFS('MAIN DATA, Orders'!$U:$U,'MAIN DATA, Orders'!$Y:$Y,$A21,'MAIN DATA, Orders'!$D:$D,"Poland",'MAIN DATA, Orders'!$I:$I,"Aircraft")/1000000000)</f>
        <v>0</v>
      </c>
      <c r="F21" s="15">
        <f>(SUMIFS('MAIN DATA, Orders'!$U:$U,'MAIN DATA, Orders'!$Y:$Y,$A21,'MAIN DATA, Orders'!$D:$D,"Poland",'MAIN DATA, Orders'!$I:$I,"Development - Aircraft")/1000000000)</f>
        <v>0</v>
      </c>
      <c r="G21" s="15">
        <f>(SUMIFS('MAIN DATA, Orders'!$U:$U,'MAIN DATA, Orders'!$Y:$Y,$A21,'MAIN DATA, Orders'!$D:$D,"Poland",'MAIN DATA, Orders'!$I:$I,"Ammunition")/1000000000)</f>
        <v>0</v>
      </c>
      <c r="H21" s="15">
        <f>(SUMIFS('MAIN DATA, Orders'!$U:$U,'MAIN DATA, Orders'!$Y:$Y,$A21,'MAIN DATA, Orders'!$D:$D,"Poland",'MAIN DATA, Orders'!$I:$I,"Development - Ammunition")/1000000000)</f>
        <v>0</v>
      </c>
      <c r="I21" s="15">
        <f>(SUMIFS('MAIN DATA, Orders'!$U:$U,'MAIN DATA, Orders'!$Y:$Y,$A21,'MAIN DATA, Orders'!$D:$D,"Poland",'MAIN DATA, Orders'!$I:$I,"Armoured vehicle")/1000000000)</f>
        <v>0</v>
      </c>
      <c r="J21" s="15">
        <f>(SUMIFS('MAIN DATA, Orders'!$U:$U,'MAIN DATA, Orders'!$Y:$Y,$A21,'MAIN DATA, Orders'!$D:$D,"Poland",'MAIN DATA, Orders'!$I:$I,"Development - Armoured vehicle")/1000000000)</f>
        <v>0</v>
      </c>
      <c r="K21" s="15">
        <f>(SUMIFS('MAIN DATA, Orders'!$U:$U,'MAIN DATA, Orders'!$Y:$Y,$A21,'MAIN DATA, Orders'!$D:$D,"Poland",'MAIN DATA, Orders'!$I:$I,"Artillery")/1000000000)</f>
        <v>0</v>
      </c>
      <c r="L21" s="15">
        <f>(SUMIFS('MAIN DATA, Orders'!$U:$U,'MAIN DATA, Orders'!$Y:$Y,$A21,'MAIN DATA, Orders'!$D:$D,"Poland",'MAIN DATA, Orders'!$I:$I,"Development - Artillery")/1000000000)</f>
        <v>0</v>
      </c>
      <c r="M21" s="15">
        <f>(SUMIFS('MAIN DATA, Orders'!$U:$U,'MAIN DATA, Orders'!$Y:$Y,$A21,'MAIN DATA, Orders'!$D:$D,"Poland",'MAIN DATA, Orders'!$I:$I,"Drone")/1000000000)</f>
        <v>0</v>
      </c>
      <c r="N21" s="15">
        <f>(SUMIFS('MAIN DATA, Orders'!$U:$U,'MAIN DATA, Orders'!$Y:$Y,$A21,'MAIN DATA, Orders'!$D:$D,"Poland",'MAIN DATA, Orders'!$I:$I,"Development - Drone")/1000000000)</f>
        <v>0</v>
      </c>
      <c r="O21" s="15">
        <f>(SUMIFS('MAIN DATA, Orders'!$U:$U,'MAIN DATA, Orders'!$Y:$Y,$A21,'MAIN DATA, Orders'!$D:$D,"Poland",'MAIN DATA, Orders'!$I:$I,"Helicopter")/1000000000)</f>
        <v>0</v>
      </c>
      <c r="P21" s="15">
        <f>(SUMIFS('MAIN DATA, Orders'!$U:$U,'MAIN DATA, Orders'!$Y:$Y,$A21,'MAIN DATA, Orders'!$D:$D,"Poland",'MAIN DATA, Orders'!$I:$I,"Development - Helicopter")/1000000000)</f>
        <v>0</v>
      </c>
      <c r="Q21" s="15">
        <f>(SUMIFS('MAIN DATA, Orders'!$U:$U,'MAIN DATA, Orders'!$Y:$Y,$A21,'MAIN DATA, Orders'!$D:$D,"Poland",'MAIN DATA, Orders'!$I:$I,"Infantry")/1000000000)</f>
        <v>0</v>
      </c>
      <c r="R21" s="15">
        <f>(SUMIFS('MAIN DATA, Orders'!$U:$U,'MAIN DATA, Orders'!$Y:$Y,$A21,'MAIN DATA, Orders'!$D:$D,"Poland",'MAIN DATA, Orders'!$I:$I,"Development - Infantry")/1000000000)</f>
        <v>0</v>
      </c>
      <c r="S21" s="15">
        <f>(SUMIFS('MAIN DATA, Orders'!$U:$U,'MAIN DATA, Orders'!$Y:$Y,$A21,'MAIN DATA, Orders'!$D:$D,"Poland",'MAIN DATA, Orders'!$I:$I,"Tank")/1000000000)</f>
        <v>0</v>
      </c>
      <c r="T21" s="15">
        <f>(SUMIFS('MAIN DATA, Orders'!$U:$U,'MAIN DATA, Orders'!$Y:$Y,$A21,'MAIN DATA, Orders'!$D:$D,"Poland",'MAIN DATA, Orders'!$I:$I,"Development - Tank")/1000000000)</f>
        <v>0</v>
      </c>
      <c r="U21" s="15">
        <f>(SUMIFS('MAIN DATA, Orders'!$U:$U,'MAIN DATA, Orders'!$Y:$Y,$A21,'MAIN DATA, Orders'!$D:$D,"Poland",'MAIN DATA, Orders'!$I:$I,"Maintenance")/1000000000)</f>
        <v>0</v>
      </c>
      <c r="V21" s="15">
        <f>(SUMIFS('MAIN DATA, Orders'!$U:$U,'MAIN DATA, Orders'!$Y:$Y,$A21,'MAIN DATA, Orders'!$D:$D,"Poland",'MAIN DATA, Orders'!$I:$I,"Development - Maintenance")/1000000000)</f>
        <v>0</v>
      </c>
      <c r="W21" s="15">
        <f>(SUMIFS('MAIN DATA, Orders'!$U:$U,'MAIN DATA, Orders'!$Y:$Y,$A21,'MAIN DATA, Orders'!$D:$D,"Poland",'MAIN DATA, Orders'!$I:$I,"Mine")/1000000000)</f>
        <v>0</v>
      </c>
      <c r="X21" s="15">
        <f>(SUMIFS('MAIN DATA, Orders'!$U:$U,'MAIN DATA, Orders'!$Y:$Y,$A21,'MAIN DATA, Orders'!$D:$D,"Poland",'MAIN DATA, Orders'!$I:$I,"Development - Mine")/1000000000)</f>
        <v>0</v>
      </c>
      <c r="Y21" s="15">
        <f>(SUMIFS('MAIN DATA, Orders'!$U:$U,'MAIN DATA, Orders'!$Y:$Y,$A21,'MAIN DATA, Orders'!$D:$D,"Poland",'MAIN DATA, Orders'!$J:$J,"6")/1000000000)</f>
        <v>0</v>
      </c>
      <c r="Z21" s="15" cm="1">
        <f t="array" ref="Z21">SUM(SUMIFS('MAIN DATA, Orders'!$U:$U,'MAIN DATA, Orders'!$Y:$Y,$A21,'MAIN DATA, Orders'!$D:$D,"Poland",'MAIN DATA, Orders'!$I:$I,{"Development - Missile (Land)","Development - Missile (Naval)","Development - Missile (Air)"})/1000000000)</f>
        <v>0</v>
      </c>
      <c r="AA21" s="15">
        <f>(SUMIFS('MAIN DATA, Orders'!$U:$U,'MAIN DATA, Orders'!$Y:$Y,$A21,'MAIN DATA, Orders'!$D:$D,"Poland",'MAIN DATA, Orders'!$I:$I,"Modernisation")/1000000000)</f>
        <v>0</v>
      </c>
      <c r="AB21" s="15">
        <f>(SUMIFS('MAIN DATA, Orders'!$U:$U,'MAIN DATA, Orders'!$Y:$Y,$A21,'MAIN DATA, Orders'!$D:$D,"Poland",'MAIN DATA, Orders'!$I:$I,"Development - Modernisation")/1000000000)</f>
        <v>0</v>
      </c>
      <c r="AC21" s="15">
        <f>(SUMIFS('MAIN DATA, Orders'!$U:$U,'MAIN DATA, Orders'!$Y:$Y,$A21,'MAIN DATA, Orders'!$D:$D,"Poland",'MAIN DATA, Orders'!$I:$I,"Naval")/1000000000)</f>
        <v>0</v>
      </c>
      <c r="AD21" s="15">
        <f>(SUMIFS('MAIN DATA, Orders'!$U:$U,'MAIN DATA, Orders'!$Y:$Y,$A21,'MAIN DATA, Orders'!$D:$D,"Poland",'MAIN DATA, Orders'!$I:$I,"Development - Naval")/1000000000)</f>
        <v>0</v>
      </c>
      <c r="AE21" s="15">
        <f>(SUMIFS('MAIN DATA, Orders'!$U:$U,'MAIN DATA, Orders'!$Y:$Y,$A21,'MAIN DATA, Orders'!$D:$D,"Poland",'MAIN DATA, Orders'!$I:$I,"Other")/1000000000)</f>
        <v>0</v>
      </c>
      <c r="AF21" s="15">
        <f>(SUMIFS('MAIN DATA, Orders'!$U:$U,'MAIN DATA, Orders'!$Y:$Y,$A21,'MAIN DATA, Orders'!$D:$D,"Poland",'MAIN DATA, Orders'!$I:$I,"Development - Other")/1000000000)</f>
        <v>0</v>
      </c>
      <c r="AG21" s="15"/>
      <c r="AH21" s="15" cm="1">
        <f t="array" ref="AH21">SUM(SUMIFS('MAIN DATA, Orders'!$U:$U,'MAIN DATA, Orders'!$Y:$Y,$A21,'MAIN DATA, Orders'!$D:$D,"Poland",'MAIN DATA, Orders'!$I:$I,{"Missile (Land)","Development - Missile (Land)"})/1000000000)</f>
        <v>0</v>
      </c>
      <c r="AI21" s="15" cm="1">
        <f t="array" ref="AI21">SUM(SUMIFS('MAIN DATA, Orders'!$U:$U,'MAIN DATA, Orders'!$Y:$Y,$A21,'MAIN DATA, Orders'!$D:$D,"Poland",'MAIN DATA, Orders'!$I:$I,{"Missile (Air)","Development - Missile (Air)"})/1000000000)</f>
        <v>0</v>
      </c>
      <c r="AJ21" s="15" cm="1">
        <f t="array" ref="AJ21">SUM(SUMIFS('MAIN DATA, Orders'!$U:$U,'MAIN DATA, Orders'!$Y:$Y,$A21,'MAIN DATA, Orders'!$D:$D,"Poland",'MAIN DATA, Orders'!$I:$I,{"Missile (Naval)","Development - Missile (Naval)"})/1000000000)</f>
        <v>0</v>
      </c>
    </row>
    <row r="22" spans="1:36" x14ac:dyDescent="0.35">
      <c r="A22" s="20">
        <v>202004</v>
      </c>
      <c r="B22" s="17">
        <v>43922</v>
      </c>
      <c r="C22" s="15">
        <f>(SUMIFS('MAIN DATA, Orders'!$U:$U,'MAIN DATA, Orders'!$Y:$Y,$A22,'MAIN DATA, Orders'!$D:$D,"Poland",'MAIN DATA, Orders'!$I:$I,"Air defence system")/1000000000)</f>
        <v>0</v>
      </c>
      <c r="D22" s="15">
        <f>(SUMIFS('MAIN DATA, Orders'!$U:$U,'MAIN DATA, Orders'!$Y:$Y,$A22,'MAIN DATA, Orders'!$D:$D,"Poland",'MAIN DATA, Orders'!$I:$I,"Development - Air defence system")/1000000000)</f>
        <v>0</v>
      </c>
      <c r="E22" s="15">
        <f>(SUMIFS('MAIN DATA, Orders'!$U:$U,'MAIN DATA, Orders'!$Y:$Y,$A22,'MAIN DATA, Orders'!$D:$D,"Poland",'MAIN DATA, Orders'!$I:$I,"Aircraft")/1000000000)</f>
        <v>0</v>
      </c>
      <c r="F22" s="15">
        <f>(SUMIFS('MAIN DATA, Orders'!$U:$U,'MAIN DATA, Orders'!$Y:$Y,$A22,'MAIN DATA, Orders'!$D:$D,"Poland",'MAIN DATA, Orders'!$I:$I,"Development - Aircraft")/1000000000)</f>
        <v>0</v>
      </c>
      <c r="G22" s="15">
        <f>(SUMIFS('MAIN DATA, Orders'!$U:$U,'MAIN DATA, Orders'!$Y:$Y,$A22,'MAIN DATA, Orders'!$D:$D,"Poland",'MAIN DATA, Orders'!$I:$I,"Ammunition")/1000000000)</f>
        <v>0</v>
      </c>
      <c r="H22" s="15">
        <f>(SUMIFS('MAIN DATA, Orders'!$U:$U,'MAIN DATA, Orders'!$Y:$Y,$A22,'MAIN DATA, Orders'!$D:$D,"Poland",'MAIN DATA, Orders'!$I:$I,"Development - Ammunition")/1000000000)</f>
        <v>0</v>
      </c>
      <c r="I22" s="15">
        <f>(SUMIFS('MAIN DATA, Orders'!$U:$U,'MAIN DATA, Orders'!$Y:$Y,$A22,'MAIN DATA, Orders'!$D:$D,"Poland",'MAIN DATA, Orders'!$I:$I,"Armoured vehicle")/1000000000)</f>
        <v>0</v>
      </c>
      <c r="J22" s="15">
        <f>(SUMIFS('MAIN DATA, Orders'!$U:$U,'MAIN DATA, Orders'!$Y:$Y,$A22,'MAIN DATA, Orders'!$D:$D,"Poland",'MAIN DATA, Orders'!$I:$I,"Development - Armoured vehicle")/1000000000)</f>
        <v>0</v>
      </c>
      <c r="K22" s="15">
        <f>(SUMIFS('MAIN DATA, Orders'!$U:$U,'MAIN DATA, Orders'!$Y:$Y,$A22,'MAIN DATA, Orders'!$D:$D,"Poland",'MAIN DATA, Orders'!$I:$I,"Artillery")/1000000000)</f>
        <v>0</v>
      </c>
      <c r="L22" s="15">
        <f>(SUMIFS('MAIN DATA, Orders'!$U:$U,'MAIN DATA, Orders'!$Y:$Y,$A22,'MAIN DATA, Orders'!$D:$D,"Poland",'MAIN DATA, Orders'!$I:$I,"Development - Artillery")/1000000000)</f>
        <v>0</v>
      </c>
      <c r="M22" s="15">
        <f>(SUMIFS('MAIN DATA, Orders'!$U:$U,'MAIN DATA, Orders'!$Y:$Y,$A22,'MAIN DATA, Orders'!$D:$D,"Poland",'MAIN DATA, Orders'!$I:$I,"Drone")/1000000000)</f>
        <v>0</v>
      </c>
      <c r="N22" s="15">
        <f>(SUMIFS('MAIN DATA, Orders'!$U:$U,'MAIN DATA, Orders'!$Y:$Y,$A22,'MAIN DATA, Orders'!$D:$D,"Poland",'MAIN DATA, Orders'!$I:$I,"Development - Drone")/1000000000)</f>
        <v>0</v>
      </c>
      <c r="O22" s="15">
        <f>(SUMIFS('MAIN DATA, Orders'!$U:$U,'MAIN DATA, Orders'!$Y:$Y,$A22,'MAIN DATA, Orders'!$D:$D,"Poland",'MAIN DATA, Orders'!$I:$I,"Helicopter")/1000000000)</f>
        <v>0</v>
      </c>
      <c r="P22" s="15">
        <f>(SUMIFS('MAIN DATA, Orders'!$U:$U,'MAIN DATA, Orders'!$Y:$Y,$A22,'MAIN DATA, Orders'!$D:$D,"Poland",'MAIN DATA, Orders'!$I:$I,"Development - Helicopter")/1000000000)</f>
        <v>0</v>
      </c>
      <c r="Q22" s="15">
        <f>(SUMIFS('MAIN DATA, Orders'!$U:$U,'MAIN DATA, Orders'!$Y:$Y,$A22,'MAIN DATA, Orders'!$D:$D,"Poland",'MAIN DATA, Orders'!$I:$I,"Infantry")/1000000000)</f>
        <v>0</v>
      </c>
      <c r="R22" s="15">
        <f>(SUMIFS('MAIN DATA, Orders'!$U:$U,'MAIN DATA, Orders'!$Y:$Y,$A22,'MAIN DATA, Orders'!$D:$D,"Poland",'MAIN DATA, Orders'!$I:$I,"Development - Infantry")/1000000000)</f>
        <v>0</v>
      </c>
      <c r="S22" s="15">
        <f>(SUMIFS('MAIN DATA, Orders'!$U:$U,'MAIN DATA, Orders'!$Y:$Y,$A22,'MAIN DATA, Orders'!$D:$D,"Poland",'MAIN DATA, Orders'!$I:$I,"Tank")/1000000000)</f>
        <v>0</v>
      </c>
      <c r="T22" s="15">
        <f>(SUMIFS('MAIN DATA, Orders'!$U:$U,'MAIN DATA, Orders'!$Y:$Y,$A22,'MAIN DATA, Orders'!$D:$D,"Poland",'MAIN DATA, Orders'!$I:$I,"Development - Tank")/1000000000)</f>
        <v>0</v>
      </c>
      <c r="U22" s="15">
        <f>(SUMIFS('MAIN DATA, Orders'!$U:$U,'MAIN DATA, Orders'!$Y:$Y,$A22,'MAIN DATA, Orders'!$D:$D,"Poland",'MAIN DATA, Orders'!$I:$I,"Maintenance")/1000000000)</f>
        <v>0</v>
      </c>
      <c r="V22" s="15">
        <f>(SUMIFS('MAIN DATA, Orders'!$U:$U,'MAIN DATA, Orders'!$Y:$Y,$A22,'MAIN DATA, Orders'!$D:$D,"Poland",'MAIN DATA, Orders'!$I:$I,"Development - Maintenance")/1000000000)</f>
        <v>0</v>
      </c>
      <c r="W22" s="15">
        <f>(SUMIFS('MAIN DATA, Orders'!$U:$U,'MAIN DATA, Orders'!$Y:$Y,$A22,'MAIN DATA, Orders'!$D:$D,"Poland",'MAIN DATA, Orders'!$I:$I,"Mine")/1000000000)</f>
        <v>0</v>
      </c>
      <c r="X22" s="15">
        <f>(SUMIFS('MAIN DATA, Orders'!$U:$U,'MAIN DATA, Orders'!$Y:$Y,$A22,'MAIN DATA, Orders'!$D:$D,"Poland",'MAIN DATA, Orders'!$I:$I,"Development - Mine")/1000000000)</f>
        <v>0</v>
      </c>
      <c r="Y22" s="15">
        <f>(SUMIFS('MAIN DATA, Orders'!$U:$U,'MAIN DATA, Orders'!$Y:$Y,$A22,'MAIN DATA, Orders'!$D:$D,"Poland",'MAIN DATA, Orders'!$J:$J,"6")/1000000000)</f>
        <v>0</v>
      </c>
      <c r="Z22" s="15" cm="1">
        <f t="array" ref="Z22">SUM(SUMIFS('MAIN DATA, Orders'!$U:$U,'MAIN DATA, Orders'!$Y:$Y,$A22,'MAIN DATA, Orders'!$D:$D,"Poland",'MAIN DATA, Orders'!$I:$I,{"Development - Missile (Land)","Development - Missile (Naval)","Development - Missile (Air)"})/1000000000)</f>
        <v>0</v>
      </c>
      <c r="AA22" s="15">
        <f>(SUMIFS('MAIN DATA, Orders'!$U:$U,'MAIN DATA, Orders'!$Y:$Y,$A22,'MAIN DATA, Orders'!$D:$D,"Poland",'MAIN DATA, Orders'!$I:$I,"Modernisation")/1000000000)</f>
        <v>0</v>
      </c>
      <c r="AB22" s="15">
        <f>(SUMIFS('MAIN DATA, Orders'!$U:$U,'MAIN DATA, Orders'!$Y:$Y,$A22,'MAIN DATA, Orders'!$D:$D,"Poland",'MAIN DATA, Orders'!$I:$I,"Development - Modernisation")/1000000000)</f>
        <v>0</v>
      </c>
      <c r="AC22" s="15">
        <f>(SUMIFS('MAIN DATA, Orders'!$U:$U,'MAIN DATA, Orders'!$Y:$Y,$A22,'MAIN DATA, Orders'!$D:$D,"Poland",'MAIN DATA, Orders'!$I:$I,"Naval")/1000000000)</f>
        <v>0</v>
      </c>
      <c r="AD22" s="15">
        <f>(SUMIFS('MAIN DATA, Orders'!$U:$U,'MAIN DATA, Orders'!$Y:$Y,$A22,'MAIN DATA, Orders'!$D:$D,"Poland",'MAIN DATA, Orders'!$I:$I,"Development - Naval")/1000000000)</f>
        <v>0</v>
      </c>
      <c r="AE22" s="15">
        <f>(SUMIFS('MAIN DATA, Orders'!$U:$U,'MAIN DATA, Orders'!$Y:$Y,$A22,'MAIN DATA, Orders'!$D:$D,"Poland",'MAIN DATA, Orders'!$I:$I,"Other")/1000000000)</f>
        <v>0</v>
      </c>
      <c r="AF22" s="15">
        <f>(SUMIFS('MAIN DATA, Orders'!$U:$U,'MAIN DATA, Orders'!$Y:$Y,$A22,'MAIN DATA, Orders'!$D:$D,"Poland",'MAIN DATA, Orders'!$I:$I,"Development - Other")/1000000000)</f>
        <v>0</v>
      </c>
      <c r="AG22" s="15"/>
      <c r="AH22" s="15" cm="1">
        <f t="array" ref="AH22">SUM(SUMIFS('MAIN DATA, Orders'!$U:$U,'MAIN DATA, Orders'!$Y:$Y,$A22,'MAIN DATA, Orders'!$D:$D,"Poland",'MAIN DATA, Orders'!$I:$I,{"Missile (Land)","Development - Missile (Land)"})/1000000000)</f>
        <v>0</v>
      </c>
      <c r="AI22" s="15" cm="1">
        <f t="array" ref="AI22">SUM(SUMIFS('MAIN DATA, Orders'!$U:$U,'MAIN DATA, Orders'!$Y:$Y,$A22,'MAIN DATA, Orders'!$D:$D,"Poland",'MAIN DATA, Orders'!$I:$I,{"Missile (Air)","Development - Missile (Air)"})/1000000000)</f>
        <v>0</v>
      </c>
      <c r="AJ22" s="15" cm="1">
        <f t="array" ref="AJ22">SUM(SUMIFS('MAIN DATA, Orders'!$U:$U,'MAIN DATA, Orders'!$Y:$Y,$A22,'MAIN DATA, Orders'!$D:$D,"Poland",'MAIN DATA, Orders'!$I:$I,{"Missile (Naval)","Development - Missile (Naval)"})/1000000000)</f>
        <v>0</v>
      </c>
    </row>
    <row r="23" spans="1:36" x14ac:dyDescent="0.35">
      <c r="A23" s="20">
        <v>202005</v>
      </c>
      <c r="B23" s="17">
        <v>43952</v>
      </c>
      <c r="C23" s="15">
        <f>(SUMIFS('MAIN DATA, Orders'!$U:$U,'MAIN DATA, Orders'!$Y:$Y,$A23,'MAIN DATA, Orders'!$D:$D,"Poland",'MAIN DATA, Orders'!$I:$I,"Air defence system")/1000000000)</f>
        <v>0</v>
      </c>
      <c r="D23" s="15">
        <f>(SUMIFS('MAIN DATA, Orders'!$U:$U,'MAIN DATA, Orders'!$Y:$Y,$A23,'MAIN DATA, Orders'!$D:$D,"Poland",'MAIN DATA, Orders'!$I:$I,"Development - Air defence system")/1000000000)</f>
        <v>0</v>
      </c>
      <c r="E23" s="15">
        <f>(SUMIFS('MAIN DATA, Orders'!$U:$U,'MAIN DATA, Orders'!$Y:$Y,$A23,'MAIN DATA, Orders'!$D:$D,"Poland",'MAIN DATA, Orders'!$I:$I,"Aircraft")/1000000000)</f>
        <v>0</v>
      </c>
      <c r="F23" s="15">
        <f>(SUMIFS('MAIN DATA, Orders'!$U:$U,'MAIN DATA, Orders'!$Y:$Y,$A23,'MAIN DATA, Orders'!$D:$D,"Poland",'MAIN DATA, Orders'!$I:$I,"Development - Aircraft")/1000000000)</f>
        <v>0</v>
      </c>
      <c r="G23" s="15">
        <f>(SUMIFS('MAIN DATA, Orders'!$U:$U,'MAIN DATA, Orders'!$Y:$Y,$A23,'MAIN DATA, Orders'!$D:$D,"Poland",'MAIN DATA, Orders'!$I:$I,"Ammunition")/1000000000)</f>
        <v>0</v>
      </c>
      <c r="H23" s="15">
        <f>(SUMIFS('MAIN DATA, Orders'!$U:$U,'MAIN DATA, Orders'!$Y:$Y,$A23,'MAIN DATA, Orders'!$D:$D,"Poland",'MAIN DATA, Orders'!$I:$I,"Development - Ammunition")/1000000000)</f>
        <v>0</v>
      </c>
      <c r="I23" s="15">
        <f>(SUMIFS('MAIN DATA, Orders'!$U:$U,'MAIN DATA, Orders'!$Y:$Y,$A23,'MAIN DATA, Orders'!$D:$D,"Poland",'MAIN DATA, Orders'!$I:$I,"Armoured vehicle")/1000000000)</f>
        <v>0</v>
      </c>
      <c r="J23" s="15">
        <f>(SUMIFS('MAIN DATA, Orders'!$U:$U,'MAIN DATA, Orders'!$Y:$Y,$A23,'MAIN DATA, Orders'!$D:$D,"Poland",'MAIN DATA, Orders'!$I:$I,"Development - Armoured vehicle")/1000000000)</f>
        <v>0</v>
      </c>
      <c r="K23" s="15">
        <f>(SUMIFS('MAIN DATA, Orders'!$U:$U,'MAIN DATA, Orders'!$Y:$Y,$A23,'MAIN DATA, Orders'!$D:$D,"Poland",'MAIN DATA, Orders'!$I:$I,"Artillery")/1000000000)</f>
        <v>0.15824893090254333</v>
      </c>
      <c r="L23" s="15">
        <f>(SUMIFS('MAIN DATA, Orders'!$U:$U,'MAIN DATA, Orders'!$Y:$Y,$A23,'MAIN DATA, Orders'!$D:$D,"Poland",'MAIN DATA, Orders'!$I:$I,"Development - Artillery")/1000000000)</f>
        <v>0</v>
      </c>
      <c r="M23" s="15">
        <f>(SUMIFS('MAIN DATA, Orders'!$U:$U,'MAIN DATA, Orders'!$Y:$Y,$A23,'MAIN DATA, Orders'!$D:$D,"Poland",'MAIN DATA, Orders'!$I:$I,"Drone")/1000000000)</f>
        <v>0</v>
      </c>
      <c r="N23" s="15">
        <f>(SUMIFS('MAIN DATA, Orders'!$U:$U,'MAIN DATA, Orders'!$Y:$Y,$A23,'MAIN DATA, Orders'!$D:$D,"Poland",'MAIN DATA, Orders'!$I:$I,"Development - Drone")/1000000000)</f>
        <v>0</v>
      </c>
      <c r="O23" s="15">
        <f>(SUMIFS('MAIN DATA, Orders'!$U:$U,'MAIN DATA, Orders'!$Y:$Y,$A23,'MAIN DATA, Orders'!$D:$D,"Poland",'MAIN DATA, Orders'!$I:$I,"Helicopter")/1000000000)</f>
        <v>0</v>
      </c>
      <c r="P23" s="15">
        <f>(SUMIFS('MAIN DATA, Orders'!$U:$U,'MAIN DATA, Orders'!$Y:$Y,$A23,'MAIN DATA, Orders'!$D:$D,"Poland",'MAIN DATA, Orders'!$I:$I,"Development - Helicopter")/1000000000)</f>
        <v>0</v>
      </c>
      <c r="Q23" s="15">
        <f>(SUMIFS('MAIN DATA, Orders'!$U:$U,'MAIN DATA, Orders'!$Y:$Y,$A23,'MAIN DATA, Orders'!$D:$D,"Poland",'MAIN DATA, Orders'!$I:$I,"Infantry")/1000000000)</f>
        <v>0</v>
      </c>
      <c r="R23" s="15">
        <f>(SUMIFS('MAIN DATA, Orders'!$U:$U,'MAIN DATA, Orders'!$Y:$Y,$A23,'MAIN DATA, Orders'!$D:$D,"Poland",'MAIN DATA, Orders'!$I:$I,"Development - Infantry")/1000000000)</f>
        <v>0</v>
      </c>
      <c r="S23" s="15">
        <f>(SUMIFS('MAIN DATA, Orders'!$U:$U,'MAIN DATA, Orders'!$Y:$Y,$A23,'MAIN DATA, Orders'!$D:$D,"Poland",'MAIN DATA, Orders'!$I:$I,"Tank")/1000000000)</f>
        <v>0</v>
      </c>
      <c r="T23" s="15">
        <f>(SUMIFS('MAIN DATA, Orders'!$U:$U,'MAIN DATA, Orders'!$Y:$Y,$A23,'MAIN DATA, Orders'!$D:$D,"Poland",'MAIN DATA, Orders'!$I:$I,"Development - Tank")/1000000000)</f>
        <v>0</v>
      </c>
      <c r="U23" s="15">
        <f>(SUMIFS('MAIN DATA, Orders'!$U:$U,'MAIN DATA, Orders'!$Y:$Y,$A23,'MAIN DATA, Orders'!$D:$D,"Poland",'MAIN DATA, Orders'!$I:$I,"Maintenance")/1000000000)</f>
        <v>0</v>
      </c>
      <c r="V23" s="15">
        <f>(SUMIFS('MAIN DATA, Orders'!$U:$U,'MAIN DATA, Orders'!$Y:$Y,$A23,'MAIN DATA, Orders'!$D:$D,"Poland",'MAIN DATA, Orders'!$I:$I,"Development - Maintenance")/1000000000)</f>
        <v>0</v>
      </c>
      <c r="W23" s="15">
        <f>(SUMIFS('MAIN DATA, Orders'!$U:$U,'MAIN DATA, Orders'!$Y:$Y,$A23,'MAIN DATA, Orders'!$D:$D,"Poland",'MAIN DATA, Orders'!$I:$I,"Mine")/1000000000)</f>
        <v>0</v>
      </c>
      <c r="X23" s="15">
        <f>(SUMIFS('MAIN DATA, Orders'!$U:$U,'MAIN DATA, Orders'!$Y:$Y,$A23,'MAIN DATA, Orders'!$D:$D,"Poland",'MAIN DATA, Orders'!$I:$I,"Development - Mine")/1000000000)</f>
        <v>0</v>
      </c>
      <c r="Y23" s="15">
        <f>(SUMIFS('MAIN DATA, Orders'!$U:$U,'MAIN DATA, Orders'!$Y:$Y,$A23,'MAIN DATA, Orders'!$D:$D,"Poland",'MAIN DATA, Orders'!$J:$J,"6")/1000000000)</f>
        <v>0</v>
      </c>
      <c r="Z23" s="15" cm="1">
        <f t="array" ref="Z23">SUM(SUMIFS('MAIN DATA, Orders'!$U:$U,'MAIN DATA, Orders'!$Y:$Y,$A23,'MAIN DATA, Orders'!$D:$D,"Poland",'MAIN DATA, Orders'!$I:$I,{"Development - Missile (Land)","Development - Missile (Naval)","Development - Missile (Air)"})/1000000000)</f>
        <v>0</v>
      </c>
      <c r="AA23" s="15">
        <f>(SUMIFS('MAIN DATA, Orders'!$U:$U,'MAIN DATA, Orders'!$Y:$Y,$A23,'MAIN DATA, Orders'!$D:$D,"Poland",'MAIN DATA, Orders'!$I:$I,"Modernisation")/1000000000)</f>
        <v>0</v>
      </c>
      <c r="AB23" s="15">
        <f>(SUMIFS('MAIN DATA, Orders'!$U:$U,'MAIN DATA, Orders'!$Y:$Y,$A23,'MAIN DATA, Orders'!$D:$D,"Poland",'MAIN DATA, Orders'!$I:$I,"Development - Modernisation")/1000000000)</f>
        <v>0</v>
      </c>
      <c r="AC23" s="15">
        <f>(SUMIFS('MAIN DATA, Orders'!$U:$U,'MAIN DATA, Orders'!$Y:$Y,$A23,'MAIN DATA, Orders'!$D:$D,"Poland",'MAIN DATA, Orders'!$I:$I,"Naval")/1000000000)</f>
        <v>0</v>
      </c>
      <c r="AD23" s="15">
        <f>(SUMIFS('MAIN DATA, Orders'!$U:$U,'MAIN DATA, Orders'!$Y:$Y,$A23,'MAIN DATA, Orders'!$D:$D,"Poland",'MAIN DATA, Orders'!$I:$I,"Development - Naval")/1000000000)</f>
        <v>0</v>
      </c>
      <c r="AE23" s="15">
        <f>(SUMIFS('MAIN DATA, Orders'!$U:$U,'MAIN DATA, Orders'!$Y:$Y,$A23,'MAIN DATA, Orders'!$D:$D,"Poland",'MAIN DATA, Orders'!$I:$I,"Other")/1000000000)</f>
        <v>0</v>
      </c>
      <c r="AF23" s="15">
        <f>(SUMIFS('MAIN DATA, Orders'!$U:$U,'MAIN DATA, Orders'!$Y:$Y,$A23,'MAIN DATA, Orders'!$D:$D,"Poland",'MAIN DATA, Orders'!$I:$I,"Development - Other")/1000000000)</f>
        <v>0</v>
      </c>
      <c r="AG23" s="15"/>
      <c r="AH23" s="15" cm="1">
        <f t="array" ref="AH23">SUM(SUMIFS('MAIN DATA, Orders'!$U:$U,'MAIN DATA, Orders'!$Y:$Y,$A23,'MAIN DATA, Orders'!$D:$D,"Poland",'MAIN DATA, Orders'!$I:$I,{"Missile (Land)","Development - Missile (Land)"})/1000000000)</f>
        <v>0</v>
      </c>
      <c r="AI23" s="15" cm="1">
        <f t="array" ref="AI23">SUM(SUMIFS('MAIN DATA, Orders'!$U:$U,'MAIN DATA, Orders'!$Y:$Y,$A23,'MAIN DATA, Orders'!$D:$D,"Poland",'MAIN DATA, Orders'!$I:$I,{"Missile (Air)","Development - Missile (Air)"})/1000000000)</f>
        <v>0</v>
      </c>
      <c r="AJ23" s="15" cm="1">
        <f t="array" ref="AJ23">SUM(SUMIFS('MAIN DATA, Orders'!$U:$U,'MAIN DATA, Orders'!$Y:$Y,$A23,'MAIN DATA, Orders'!$D:$D,"Poland",'MAIN DATA, Orders'!$I:$I,{"Missile (Naval)","Development - Missile (Naval)"})/1000000000)</f>
        <v>0</v>
      </c>
    </row>
    <row r="24" spans="1:36" x14ac:dyDescent="0.35">
      <c r="A24" s="20">
        <v>202006</v>
      </c>
      <c r="B24" s="17">
        <v>43983</v>
      </c>
      <c r="C24" s="15">
        <f>(SUMIFS('MAIN DATA, Orders'!$U:$U,'MAIN DATA, Orders'!$Y:$Y,$A24,'MAIN DATA, Orders'!$D:$D,"Poland",'MAIN DATA, Orders'!$I:$I,"Air defence system")/1000000000)</f>
        <v>0</v>
      </c>
      <c r="D24" s="15">
        <f>(SUMIFS('MAIN DATA, Orders'!$U:$U,'MAIN DATA, Orders'!$Y:$Y,$A24,'MAIN DATA, Orders'!$D:$D,"Poland",'MAIN DATA, Orders'!$I:$I,"Development - Air defence system")/1000000000)</f>
        <v>0</v>
      </c>
      <c r="E24" s="15">
        <f>(SUMIFS('MAIN DATA, Orders'!$U:$U,'MAIN DATA, Orders'!$Y:$Y,$A24,'MAIN DATA, Orders'!$D:$D,"Poland",'MAIN DATA, Orders'!$I:$I,"Aircraft")/1000000000)</f>
        <v>0</v>
      </c>
      <c r="F24" s="15">
        <f>(SUMIFS('MAIN DATA, Orders'!$U:$U,'MAIN DATA, Orders'!$Y:$Y,$A24,'MAIN DATA, Orders'!$D:$D,"Poland",'MAIN DATA, Orders'!$I:$I,"Development - Aircraft")/1000000000)</f>
        <v>0</v>
      </c>
      <c r="G24" s="15">
        <f>(SUMIFS('MAIN DATA, Orders'!$U:$U,'MAIN DATA, Orders'!$Y:$Y,$A24,'MAIN DATA, Orders'!$D:$D,"Poland",'MAIN DATA, Orders'!$I:$I,"Ammunition")/1000000000)</f>
        <v>0</v>
      </c>
      <c r="H24" s="15">
        <f>(SUMIFS('MAIN DATA, Orders'!$U:$U,'MAIN DATA, Orders'!$Y:$Y,$A24,'MAIN DATA, Orders'!$D:$D,"Poland",'MAIN DATA, Orders'!$I:$I,"Development - Ammunition")/1000000000)</f>
        <v>0</v>
      </c>
      <c r="I24" s="15">
        <f>(SUMIFS('MAIN DATA, Orders'!$U:$U,'MAIN DATA, Orders'!$Y:$Y,$A24,'MAIN DATA, Orders'!$D:$D,"Poland",'MAIN DATA, Orders'!$I:$I,"Armoured vehicle")/1000000000)</f>
        <v>0</v>
      </c>
      <c r="J24" s="15">
        <f>(SUMIFS('MAIN DATA, Orders'!$U:$U,'MAIN DATA, Orders'!$Y:$Y,$A24,'MAIN DATA, Orders'!$D:$D,"Poland",'MAIN DATA, Orders'!$I:$I,"Development - Armoured vehicle")/1000000000)</f>
        <v>0</v>
      </c>
      <c r="K24" s="15">
        <f>(SUMIFS('MAIN DATA, Orders'!$U:$U,'MAIN DATA, Orders'!$Y:$Y,$A24,'MAIN DATA, Orders'!$D:$D,"Poland",'MAIN DATA, Orders'!$I:$I,"Artillery")/1000000000)</f>
        <v>0</v>
      </c>
      <c r="L24" s="15">
        <f>(SUMIFS('MAIN DATA, Orders'!$U:$U,'MAIN DATA, Orders'!$Y:$Y,$A24,'MAIN DATA, Orders'!$D:$D,"Poland",'MAIN DATA, Orders'!$I:$I,"Development - Artillery")/1000000000)</f>
        <v>0</v>
      </c>
      <c r="M24" s="15">
        <f>(SUMIFS('MAIN DATA, Orders'!$U:$U,'MAIN DATA, Orders'!$Y:$Y,$A24,'MAIN DATA, Orders'!$D:$D,"Poland",'MAIN DATA, Orders'!$I:$I,"Drone")/1000000000)</f>
        <v>0</v>
      </c>
      <c r="N24" s="15">
        <f>(SUMIFS('MAIN DATA, Orders'!$U:$U,'MAIN DATA, Orders'!$Y:$Y,$A24,'MAIN DATA, Orders'!$D:$D,"Poland",'MAIN DATA, Orders'!$I:$I,"Development - Drone")/1000000000)</f>
        <v>0</v>
      </c>
      <c r="O24" s="15">
        <f>(SUMIFS('MAIN DATA, Orders'!$U:$U,'MAIN DATA, Orders'!$Y:$Y,$A24,'MAIN DATA, Orders'!$D:$D,"Poland",'MAIN DATA, Orders'!$I:$I,"Helicopter")/1000000000)</f>
        <v>0</v>
      </c>
      <c r="P24" s="15">
        <f>(SUMIFS('MAIN DATA, Orders'!$U:$U,'MAIN DATA, Orders'!$Y:$Y,$A24,'MAIN DATA, Orders'!$D:$D,"Poland",'MAIN DATA, Orders'!$I:$I,"Development - Helicopter")/1000000000)</f>
        <v>0</v>
      </c>
      <c r="Q24" s="15">
        <f>(SUMIFS('MAIN DATA, Orders'!$U:$U,'MAIN DATA, Orders'!$Y:$Y,$A24,'MAIN DATA, Orders'!$D:$D,"Poland",'MAIN DATA, Orders'!$I:$I,"Infantry")/1000000000)</f>
        <v>0</v>
      </c>
      <c r="R24" s="15">
        <f>(SUMIFS('MAIN DATA, Orders'!$U:$U,'MAIN DATA, Orders'!$Y:$Y,$A24,'MAIN DATA, Orders'!$D:$D,"Poland",'MAIN DATA, Orders'!$I:$I,"Development - Infantry")/1000000000)</f>
        <v>0</v>
      </c>
      <c r="S24" s="15">
        <f>(SUMIFS('MAIN DATA, Orders'!$U:$U,'MAIN DATA, Orders'!$Y:$Y,$A24,'MAIN DATA, Orders'!$D:$D,"Poland",'MAIN DATA, Orders'!$I:$I,"Tank")/1000000000)</f>
        <v>0</v>
      </c>
      <c r="T24" s="15">
        <f>(SUMIFS('MAIN DATA, Orders'!$U:$U,'MAIN DATA, Orders'!$Y:$Y,$A24,'MAIN DATA, Orders'!$D:$D,"Poland",'MAIN DATA, Orders'!$I:$I,"Development - Tank")/1000000000)</f>
        <v>0</v>
      </c>
      <c r="U24" s="15">
        <f>(SUMIFS('MAIN DATA, Orders'!$U:$U,'MAIN DATA, Orders'!$Y:$Y,$A24,'MAIN DATA, Orders'!$D:$D,"Poland",'MAIN DATA, Orders'!$I:$I,"Maintenance")/1000000000)</f>
        <v>0</v>
      </c>
      <c r="V24" s="15">
        <f>(SUMIFS('MAIN DATA, Orders'!$U:$U,'MAIN DATA, Orders'!$Y:$Y,$A24,'MAIN DATA, Orders'!$D:$D,"Poland",'MAIN DATA, Orders'!$I:$I,"Development - Maintenance")/1000000000)</f>
        <v>0</v>
      </c>
      <c r="W24" s="15">
        <f>(SUMIFS('MAIN DATA, Orders'!$U:$U,'MAIN DATA, Orders'!$Y:$Y,$A24,'MAIN DATA, Orders'!$D:$D,"Poland",'MAIN DATA, Orders'!$I:$I,"Mine")/1000000000)</f>
        <v>0</v>
      </c>
      <c r="X24" s="15">
        <f>(SUMIFS('MAIN DATA, Orders'!$U:$U,'MAIN DATA, Orders'!$Y:$Y,$A24,'MAIN DATA, Orders'!$D:$D,"Poland",'MAIN DATA, Orders'!$I:$I,"Development - Mine")/1000000000)</f>
        <v>0</v>
      </c>
      <c r="Y24" s="15">
        <f>(SUMIFS('MAIN DATA, Orders'!$U:$U,'MAIN DATA, Orders'!$Y:$Y,$A24,'MAIN DATA, Orders'!$D:$D,"Poland",'MAIN DATA, Orders'!$J:$J,"6")/1000000000)</f>
        <v>0</v>
      </c>
      <c r="Z24" s="15" cm="1">
        <f t="array" ref="Z24">SUM(SUMIFS('MAIN DATA, Orders'!$U:$U,'MAIN DATA, Orders'!$Y:$Y,$A24,'MAIN DATA, Orders'!$D:$D,"Poland",'MAIN DATA, Orders'!$I:$I,{"Development - Missile (Land)","Development - Missile (Naval)","Development - Missile (Air)"})/1000000000)</f>
        <v>0</v>
      </c>
      <c r="AA24" s="15">
        <f>(SUMIFS('MAIN DATA, Orders'!$U:$U,'MAIN DATA, Orders'!$Y:$Y,$A24,'MAIN DATA, Orders'!$D:$D,"Poland",'MAIN DATA, Orders'!$I:$I,"Modernisation")/1000000000)</f>
        <v>0</v>
      </c>
      <c r="AB24" s="15">
        <f>(SUMIFS('MAIN DATA, Orders'!$U:$U,'MAIN DATA, Orders'!$Y:$Y,$A24,'MAIN DATA, Orders'!$D:$D,"Poland",'MAIN DATA, Orders'!$I:$I,"Development - Modernisation")/1000000000)</f>
        <v>0</v>
      </c>
      <c r="AC24" s="15">
        <f>(SUMIFS('MAIN DATA, Orders'!$U:$U,'MAIN DATA, Orders'!$Y:$Y,$A24,'MAIN DATA, Orders'!$D:$D,"Poland",'MAIN DATA, Orders'!$I:$I,"Naval")/1000000000)</f>
        <v>0</v>
      </c>
      <c r="AD24" s="15">
        <f>(SUMIFS('MAIN DATA, Orders'!$U:$U,'MAIN DATA, Orders'!$Y:$Y,$A24,'MAIN DATA, Orders'!$D:$D,"Poland",'MAIN DATA, Orders'!$I:$I,"Development - Naval")/1000000000)</f>
        <v>0</v>
      </c>
      <c r="AE24" s="15">
        <f>(SUMIFS('MAIN DATA, Orders'!$U:$U,'MAIN DATA, Orders'!$Y:$Y,$A24,'MAIN DATA, Orders'!$D:$D,"Poland",'MAIN DATA, Orders'!$I:$I,"Other")/1000000000)</f>
        <v>0</v>
      </c>
      <c r="AF24" s="15">
        <f>(SUMIFS('MAIN DATA, Orders'!$U:$U,'MAIN DATA, Orders'!$Y:$Y,$A24,'MAIN DATA, Orders'!$D:$D,"Poland",'MAIN DATA, Orders'!$I:$I,"Development - Other")/1000000000)</f>
        <v>0</v>
      </c>
      <c r="AG24" s="15"/>
      <c r="AH24" s="15" cm="1">
        <f t="array" ref="AH24">SUM(SUMIFS('MAIN DATA, Orders'!$U:$U,'MAIN DATA, Orders'!$Y:$Y,$A24,'MAIN DATA, Orders'!$D:$D,"Poland",'MAIN DATA, Orders'!$I:$I,{"Missile (Land)","Development - Missile (Land)"})/1000000000)</f>
        <v>0</v>
      </c>
      <c r="AI24" s="15" cm="1">
        <f t="array" ref="AI24">SUM(SUMIFS('MAIN DATA, Orders'!$U:$U,'MAIN DATA, Orders'!$Y:$Y,$A24,'MAIN DATA, Orders'!$D:$D,"Poland",'MAIN DATA, Orders'!$I:$I,{"Missile (Air)","Development - Missile (Air)"})/1000000000)</f>
        <v>0</v>
      </c>
      <c r="AJ24" s="15" cm="1">
        <f t="array" ref="AJ24">SUM(SUMIFS('MAIN DATA, Orders'!$U:$U,'MAIN DATA, Orders'!$Y:$Y,$A24,'MAIN DATA, Orders'!$D:$D,"Poland",'MAIN DATA, Orders'!$I:$I,{"Missile (Naval)","Development - Missile (Naval)"})/1000000000)</f>
        <v>0</v>
      </c>
    </row>
    <row r="25" spans="1:36" x14ac:dyDescent="0.35">
      <c r="A25" s="20">
        <v>202007</v>
      </c>
      <c r="B25" s="17">
        <v>44013</v>
      </c>
      <c r="C25" s="15">
        <f>(SUMIFS('MAIN DATA, Orders'!$U:$U,'MAIN DATA, Orders'!$Y:$Y,$A25,'MAIN DATA, Orders'!$D:$D,"Poland",'MAIN DATA, Orders'!$I:$I,"Air defence system")/1000000000)</f>
        <v>0</v>
      </c>
      <c r="D25" s="15">
        <f>(SUMIFS('MAIN DATA, Orders'!$U:$U,'MAIN DATA, Orders'!$Y:$Y,$A25,'MAIN DATA, Orders'!$D:$D,"Poland",'MAIN DATA, Orders'!$I:$I,"Development - Air defence system")/1000000000)</f>
        <v>0</v>
      </c>
      <c r="E25" s="15">
        <f>(SUMIFS('MAIN DATA, Orders'!$U:$U,'MAIN DATA, Orders'!$Y:$Y,$A25,'MAIN DATA, Orders'!$D:$D,"Poland",'MAIN DATA, Orders'!$I:$I,"Aircraft")/1000000000)</f>
        <v>0</v>
      </c>
      <c r="F25" s="15">
        <f>(SUMIFS('MAIN DATA, Orders'!$U:$U,'MAIN DATA, Orders'!$Y:$Y,$A25,'MAIN DATA, Orders'!$D:$D,"Poland",'MAIN DATA, Orders'!$I:$I,"Development - Aircraft")/1000000000)</f>
        <v>0</v>
      </c>
      <c r="G25" s="15">
        <f>(SUMIFS('MAIN DATA, Orders'!$U:$U,'MAIN DATA, Orders'!$Y:$Y,$A25,'MAIN DATA, Orders'!$D:$D,"Poland",'MAIN DATA, Orders'!$I:$I,"Ammunition")/1000000000)</f>
        <v>0</v>
      </c>
      <c r="H25" s="15">
        <f>(SUMIFS('MAIN DATA, Orders'!$U:$U,'MAIN DATA, Orders'!$Y:$Y,$A25,'MAIN DATA, Orders'!$D:$D,"Poland",'MAIN DATA, Orders'!$I:$I,"Development - Ammunition")/1000000000)</f>
        <v>0</v>
      </c>
      <c r="I25" s="15">
        <f>(SUMIFS('MAIN DATA, Orders'!$U:$U,'MAIN DATA, Orders'!$Y:$Y,$A25,'MAIN DATA, Orders'!$D:$D,"Poland",'MAIN DATA, Orders'!$I:$I,"Armoured vehicle")/1000000000)</f>
        <v>0</v>
      </c>
      <c r="J25" s="15">
        <f>(SUMIFS('MAIN DATA, Orders'!$U:$U,'MAIN DATA, Orders'!$Y:$Y,$A25,'MAIN DATA, Orders'!$D:$D,"Poland",'MAIN DATA, Orders'!$I:$I,"Development - Armoured vehicle")/1000000000)</f>
        <v>0</v>
      </c>
      <c r="K25" s="15">
        <f>(SUMIFS('MAIN DATA, Orders'!$U:$U,'MAIN DATA, Orders'!$Y:$Y,$A25,'MAIN DATA, Orders'!$D:$D,"Poland",'MAIN DATA, Orders'!$I:$I,"Artillery")/1000000000)</f>
        <v>0</v>
      </c>
      <c r="L25" s="15">
        <f>(SUMIFS('MAIN DATA, Orders'!$U:$U,'MAIN DATA, Orders'!$Y:$Y,$A25,'MAIN DATA, Orders'!$D:$D,"Poland",'MAIN DATA, Orders'!$I:$I,"Development - Artillery")/1000000000)</f>
        <v>0</v>
      </c>
      <c r="M25" s="15">
        <f>(SUMIFS('MAIN DATA, Orders'!$U:$U,'MAIN DATA, Orders'!$Y:$Y,$A25,'MAIN DATA, Orders'!$D:$D,"Poland",'MAIN DATA, Orders'!$I:$I,"Drone")/1000000000)</f>
        <v>0</v>
      </c>
      <c r="N25" s="15">
        <f>(SUMIFS('MAIN DATA, Orders'!$U:$U,'MAIN DATA, Orders'!$Y:$Y,$A25,'MAIN DATA, Orders'!$D:$D,"Poland",'MAIN DATA, Orders'!$I:$I,"Development - Drone")/1000000000)</f>
        <v>0</v>
      </c>
      <c r="O25" s="15">
        <f>(SUMIFS('MAIN DATA, Orders'!$U:$U,'MAIN DATA, Orders'!$Y:$Y,$A25,'MAIN DATA, Orders'!$D:$D,"Poland",'MAIN DATA, Orders'!$I:$I,"Helicopter")/1000000000)</f>
        <v>0</v>
      </c>
      <c r="P25" s="15">
        <f>(SUMIFS('MAIN DATA, Orders'!$U:$U,'MAIN DATA, Orders'!$Y:$Y,$A25,'MAIN DATA, Orders'!$D:$D,"Poland",'MAIN DATA, Orders'!$I:$I,"Development - Helicopter")/1000000000)</f>
        <v>0</v>
      </c>
      <c r="Q25" s="15">
        <f>(SUMIFS('MAIN DATA, Orders'!$U:$U,'MAIN DATA, Orders'!$Y:$Y,$A25,'MAIN DATA, Orders'!$D:$D,"Poland",'MAIN DATA, Orders'!$I:$I,"Infantry")/1000000000)</f>
        <v>3.9837947332883192E-2</v>
      </c>
      <c r="R25" s="15">
        <f>(SUMIFS('MAIN DATA, Orders'!$U:$U,'MAIN DATA, Orders'!$Y:$Y,$A25,'MAIN DATA, Orders'!$D:$D,"Poland",'MAIN DATA, Orders'!$I:$I,"Development - Infantry")/1000000000)</f>
        <v>0</v>
      </c>
      <c r="S25" s="15">
        <f>(SUMIFS('MAIN DATA, Orders'!$U:$U,'MAIN DATA, Orders'!$Y:$Y,$A25,'MAIN DATA, Orders'!$D:$D,"Poland",'MAIN DATA, Orders'!$I:$I,"Tank")/1000000000)</f>
        <v>0</v>
      </c>
      <c r="T25" s="15">
        <f>(SUMIFS('MAIN DATA, Orders'!$U:$U,'MAIN DATA, Orders'!$Y:$Y,$A25,'MAIN DATA, Orders'!$D:$D,"Poland",'MAIN DATA, Orders'!$I:$I,"Development - Tank")/1000000000)</f>
        <v>0</v>
      </c>
      <c r="U25" s="15">
        <f>(SUMIFS('MAIN DATA, Orders'!$U:$U,'MAIN DATA, Orders'!$Y:$Y,$A25,'MAIN DATA, Orders'!$D:$D,"Poland",'MAIN DATA, Orders'!$I:$I,"Maintenance")/1000000000)</f>
        <v>0</v>
      </c>
      <c r="V25" s="15">
        <f>(SUMIFS('MAIN DATA, Orders'!$U:$U,'MAIN DATA, Orders'!$Y:$Y,$A25,'MAIN DATA, Orders'!$D:$D,"Poland",'MAIN DATA, Orders'!$I:$I,"Development - Maintenance")/1000000000)</f>
        <v>0</v>
      </c>
      <c r="W25" s="15">
        <f>(SUMIFS('MAIN DATA, Orders'!$U:$U,'MAIN DATA, Orders'!$Y:$Y,$A25,'MAIN DATA, Orders'!$D:$D,"Poland",'MAIN DATA, Orders'!$I:$I,"Mine")/1000000000)</f>
        <v>0</v>
      </c>
      <c r="X25" s="15">
        <f>(SUMIFS('MAIN DATA, Orders'!$U:$U,'MAIN DATA, Orders'!$Y:$Y,$A25,'MAIN DATA, Orders'!$D:$D,"Poland",'MAIN DATA, Orders'!$I:$I,"Development - Mine")/1000000000)</f>
        <v>0</v>
      </c>
      <c r="Y25" s="15">
        <f>(SUMIFS('MAIN DATA, Orders'!$U:$U,'MAIN DATA, Orders'!$Y:$Y,$A25,'MAIN DATA, Orders'!$D:$D,"Poland",'MAIN DATA, Orders'!$J:$J,"6")/1000000000)</f>
        <v>0</v>
      </c>
      <c r="Z25" s="15" cm="1">
        <f t="array" ref="Z25">SUM(SUMIFS('MAIN DATA, Orders'!$U:$U,'MAIN DATA, Orders'!$Y:$Y,$A25,'MAIN DATA, Orders'!$D:$D,"Poland",'MAIN DATA, Orders'!$I:$I,{"Development - Missile (Land)","Development - Missile (Naval)","Development - Missile (Air)"})/1000000000)</f>
        <v>0</v>
      </c>
      <c r="AA25" s="15">
        <f>(SUMIFS('MAIN DATA, Orders'!$U:$U,'MAIN DATA, Orders'!$Y:$Y,$A25,'MAIN DATA, Orders'!$D:$D,"Poland",'MAIN DATA, Orders'!$I:$I,"Modernisation")/1000000000)</f>
        <v>0</v>
      </c>
      <c r="AB25" s="15">
        <f>(SUMIFS('MAIN DATA, Orders'!$U:$U,'MAIN DATA, Orders'!$Y:$Y,$A25,'MAIN DATA, Orders'!$D:$D,"Poland",'MAIN DATA, Orders'!$I:$I,"Development - Modernisation")/1000000000)</f>
        <v>0</v>
      </c>
      <c r="AC25" s="15">
        <f>(SUMIFS('MAIN DATA, Orders'!$U:$U,'MAIN DATA, Orders'!$Y:$Y,$A25,'MAIN DATA, Orders'!$D:$D,"Poland",'MAIN DATA, Orders'!$I:$I,"Naval")/1000000000)</f>
        <v>0</v>
      </c>
      <c r="AD25" s="15">
        <f>(SUMIFS('MAIN DATA, Orders'!$U:$U,'MAIN DATA, Orders'!$Y:$Y,$A25,'MAIN DATA, Orders'!$D:$D,"Poland",'MAIN DATA, Orders'!$I:$I,"Development - Naval")/1000000000)</f>
        <v>0</v>
      </c>
      <c r="AE25" s="15">
        <f>(SUMIFS('MAIN DATA, Orders'!$U:$U,'MAIN DATA, Orders'!$Y:$Y,$A25,'MAIN DATA, Orders'!$D:$D,"Poland",'MAIN DATA, Orders'!$I:$I,"Other")/1000000000)</f>
        <v>0</v>
      </c>
      <c r="AF25" s="15">
        <f>(SUMIFS('MAIN DATA, Orders'!$U:$U,'MAIN DATA, Orders'!$Y:$Y,$A25,'MAIN DATA, Orders'!$D:$D,"Poland",'MAIN DATA, Orders'!$I:$I,"Development - Other")/1000000000)</f>
        <v>0</v>
      </c>
      <c r="AG25" s="15"/>
      <c r="AH25" s="15" cm="1">
        <f t="array" ref="AH25">SUM(SUMIFS('MAIN DATA, Orders'!$U:$U,'MAIN DATA, Orders'!$Y:$Y,$A25,'MAIN DATA, Orders'!$D:$D,"Poland",'MAIN DATA, Orders'!$I:$I,{"Missile (Land)","Development - Missile (Land)"})/1000000000)</f>
        <v>0</v>
      </c>
      <c r="AI25" s="15" cm="1">
        <f t="array" ref="AI25">SUM(SUMIFS('MAIN DATA, Orders'!$U:$U,'MAIN DATA, Orders'!$Y:$Y,$A25,'MAIN DATA, Orders'!$D:$D,"Poland",'MAIN DATA, Orders'!$I:$I,{"Missile (Air)","Development - Missile (Air)"})/1000000000)</f>
        <v>0</v>
      </c>
      <c r="AJ25" s="15" cm="1">
        <f t="array" ref="AJ25">SUM(SUMIFS('MAIN DATA, Orders'!$U:$U,'MAIN DATA, Orders'!$Y:$Y,$A25,'MAIN DATA, Orders'!$D:$D,"Poland",'MAIN DATA, Orders'!$I:$I,{"Missile (Naval)","Development - Missile (Naval)"})/1000000000)</f>
        <v>0</v>
      </c>
    </row>
    <row r="26" spans="1:36" x14ac:dyDescent="0.35">
      <c r="A26" s="20">
        <v>202008</v>
      </c>
      <c r="B26" s="17">
        <v>44044</v>
      </c>
      <c r="C26" s="15">
        <f>(SUMIFS('MAIN DATA, Orders'!$U:$U,'MAIN DATA, Orders'!$Y:$Y,$A26,'MAIN DATA, Orders'!$D:$D,"Poland",'MAIN DATA, Orders'!$I:$I,"Air defence system")/1000000000)</f>
        <v>0</v>
      </c>
      <c r="D26" s="15">
        <f>(SUMIFS('MAIN DATA, Orders'!$U:$U,'MAIN DATA, Orders'!$Y:$Y,$A26,'MAIN DATA, Orders'!$D:$D,"Poland",'MAIN DATA, Orders'!$I:$I,"Development - Air defence system")/1000000000)</f>
        <v>0</v>
      </c>
      <c r="E26" s="15">
        <f>(SUMIFS('MAIN DATA, Orders'!$U:$U,'MAIN DATA, Orders'!$Y:$Y,$A26,'MAIN DATA, Orders'!$D:$D,"Poland",'MAIN DATA, Orders'!$I:$I,"Aircraft")/1000000000)</f>
        <v>0</v>
      </c>
      <c r="F26" s="15">
        <f>(SUMIFS('MAIN DATA, Orders'!$U:$U,'MAIN DATA, Orders'!$Y:$Y,$A26,'MAIN DATA, Orders'!$D:$D,"Poland",'MAIN DATA, Orders'!$I:$I,"Development - Aircraft")/1000000000)</f>
        <v>0</v>
      </c>
      <c r="G26" s="15">
        <f>(SUMIFS('MAIN DATA, Orders'!$U:$U,'MAIN DATA, Orders'!$Y:$Y,$A26,'MAIN DATA, Orders'!$D:$D,"Poland",'MAIN DATA, Orders'!$I:$I,"Ammunition")/1000000000)</f>
        <v>0</v>
      </c>
      <c r="H26" s="15">
        <f>(SUMIFS('MAIN DATA, Orders'!$U:$U,'MAIN DATA, Orders'!$Y:$Y,$A26,'MAIN DATA, Orders'!$D:$D,"Poland",'MAIN DATA, Orders'!$I:$I,"Development - Ammunition")/1000000000)</f>
        <v>0</v>
      </c>
      <c r="I26" s="15">
        <f>(SUMIFS('MAIN DATA, Orders'!$U:$U,'MAIN DATA, Orders'!$Y:$Y,$A26,'MAIN DATA, Orders'!$D:$D,"Poland",'MAIN DATA, Orders'!$I:$I,"Armoured vehicle")/1000000000)</f>
        <v>0</v>
      </c>
      <c r="J26" s="15">
        <f>(SUMIFS('MAIN DATA, Orders'!$U:$U,'MAIN DATA, Orders'!$Y:$Y,$A26,'MAIN DATA, Orders'!$D:$D,"Poland",'MAIN DATA, Orders'!$I:$I,"Development - Armoured vehicle")/1000000000)</f>
        <v>0</v>
      </c>
      <c r="K26" s="15">
        <f>(SUMIFS('MAIN DATA, Orders'!$U:$U,'MAIN DATA, Orders'!$Y:$Y,$A26,'MAIN DATA, Orders'!$D:$D,"Poland",'MAIN DATA, Orders'!$I:$I,"Artillery")/1000000000)</f>
        <v>0</v>
      </c>
      <c r="L26" s="15">
        <f>(SUMIFS('MAIN DATA, Orders'!$U:$U,'MAIN DATA, Orders'!$Y:$Y,$A26,'MAIN DATA, Orders'!$D:$D,"Poland",'MAIN DATA, Orders'!$I:$I,"Development - Artillery")/1000000000)</f>
        <v>0</v>
      </c>
      <c r="M26" s="15">
        <f>(SUMIFS('MAIN DATA, Orders'!$U:$U,'MAIN DATA, Orders'!$Y:$Y,$A26,'MAIN DATA, Orders'!$D:$D,"Poland",'MAIN DATA, Orders'!$I:$I,"Drone")/1000000000)</f>
        <v>0</v>
      </c>
      <c r="N26" s="15">
        <f>(SUMIFS('MAIN DATA, Orders'!$U:$U,'MAIN DATA, Orders'!$Y:$Y,$A26,'MAIN DATA, Orders'!$D:$D,"Poland",'MAIN DATA, Orders'!$I:$I,"Development - Drone")/1000000000)</f>
        <v>0</v>
      </c>
      <c r="O26" s="15">
        <f>(SUMIFS('MAIN DATA, Orders'!$U:$U,'MAIN DATA, Orders'!$Y:$Y,$A26,'MAIN DATA, Orders'!$D:$D,"Poland",'MAIN DATA, Orders'!$I:$I,"Helicopter")/1000000000)</f>
        <v>0</v>
      </c>
      <c r="P26" s="15">
        <f>(SUMIFS('MAIN DATA, Orders'!$U:$U,'MAIN DATA, Orders'!$Y:$Y,$A26,'MAIN DATA, Orders'!$D:$D,"Poland",'MAIN DATA, Orders'!$I:$I,"Development - Helicopter")/1000000000)</f>
        <v>0</v>
      </c>
      <c r="Q26" s="15">
        <f>(SUMIFS('MAIN DATA, Orders'!$U:$U,'MAIN DATA, Orders'!$Y:$Y,$A26,'MAIN DATA, Orders'!$D:$D,"Poland",'MAIN DATA, Orders'!$I:$I,"Infantry")/1000000000)</f>
        <v>0</v>
      </c>
      <c r="R26" s="15">
        <f>(SUMIFS('MAIN DATA, Orders'!$U:$U,'MAIN DATA, Orders'!$Y:$Y,$A26,'MAIN DATA, Orders'!$D:$D,"Poland",'MAIN DATA, Orders'!$I:$I,"Development - Infantry")/1000000000)</f>
        <v>0</v>
      </c>
      <c r="S26" s="15">
        <f>(SUMIFS('MAIN DATA, Orders'!$U:$U,'MAIN DATA, Orders'!$Y:$Y,$A26,'MAIN DATA, Orders'!$D:$D,"Poland",'MAIN DATA, Orders'!$I:$I,"Tank")/1000000000)</f>
        <v>0</v>
      </c>
      <c r="T26" s="15">
        <f>(SUMIFS('MAIN DATA, Orders'!$U:$U,'MAIN DATA, Orders'!$Y:$Y,$A26,'MAIN DATA, Orders'!$D:$D,"Poland",'MAIN DATA, Orders'!$I:$I,"Development - Tank")/1000000000)</f>
        <v>0</v>
      </c>
      <c r="U26" s="15">
        <f>(SUMIFS('MAIN DATA, Orders'!$U:$U,'MAIN DATA, Orders'!$Y:$Y,$A26,'MAIN DATA, Orders'!$D:$D,"Poland",'MAIN DATA, Orders'!$I:$I,"Maintenance")/1000000000)</f>
        <v>0</v>
      </c>
      <c r="V26" s="15">
        <f>(SUMIFS('MAIN DATA, Orders'!$U:$U,'MAIN DATA, Orders'!$Y:$Y,$A26,'MAIN DATA, Orders'!$D:$D,"Poland",'MAIN DATA, Orders'!$I:$I,"Development - Maintenance")/1000000000)</f>
        <v>0</v>
      </c>
      <c r="W26" s="15">
        <f>(SUMIFS('MAIN DATA, Orders'!$U:$U,'MAIN DATA, Orders'!$Y:$Y,$A26,'MAIN DATA, Orders'!$D:$D,"Poland",'MAIN DATA, Orders'!$I:$I,"Mine")/1000000000)</f>
        <v>0</v>
      </c>
      <c r="X26" s="15">
        <f>(SUMIFS('MAIN DATA, Orders'!$U:$U,'MAIN DATA, Orders'!$Y:$Y,$A26,'MAIN DATA, Orders'!$D:$D,"Poland",'MAIN DATA, Orders'!$I:$I,"Development - Mine")/1000000000)</f>
        <v>0</v>
      </c>
      <c r="Y26" s="15">
        <f>(SUMIFS('MAIN DATA, Orders'!$U:$U,'MAIN DATA, Orders'!$Y:$Y,$A26,'MAIN DATA, Orders'!$D:$D,"Poland",'MAIN DATA, Orders'!$J:$J,"6")/1000000000)</f>
        <v>0</v>
      </c>
      <c r="Z26" s="15" cm="1">
        <f t="array" ref="Z26">SUM(SUMIFS('MAIN DATA, Orders'!$U:$U,'MAIN DATA, Orders'!$Y:$Y,$A26,'MAIN DATA, Orders'!$D:$D,"Poland",'MAIN DATA, Orders'!$I:$I,{"Development - Missile (Land)","Development - Missile (Naval)","Development - Missile (Air)"})/1000000000)</f>
        <v>0</v>
      </c>
      <c r="AA26" s="15">
        <f>(SUMIFS('MAIN DATA, Orders'!$U:$U,'MAIN DATA, Orders'!$Y:$Y,$A26,'MAIN DATA, Orders'!$D:$D,"Poland",'MAIN DATA, Orders'!$I:$I,"Modernisation")/1000000000)</f>
        <v>0</v>
      </c>
      <c r="AB26" s="15">
        <f>(SUMIFS('MAIN DATA, Orders'!$U:$U,'MAIN DATA, Orders'!$Y:$Y,$A26,'MAIN DATA, Orders'!$D:$D,"Poland",'MAIN DATA, Orders'!$I:$I,"Development - Modernisation")/1000000000)</f>
        <v>0</v>
      </c>
      <c r="AC26" s="15">
        <f>(SUMIFS('MAIN DATA, Orders'!$U:$U,'MAIN DATA, Orders'!$Y:$Y,$A26,'MAIN DATA, Orders'!$D:$D,"Poland",'MAIN DATA, Orders'!$I:$I,"Naval")/1000000000)</f>
        <v>0</v>
      </c>
      <c r="AD26" s="15">
        <f>(SUMIFS('MAIN DATA, Orders'!$U:$U,'MAIN DATA, Orders'!$Y:$Y,$A26,'MAIN DATA, Orders'!$D:$D,"Poland",'MAIN DATA, Orders'!$I:$I,"Development - Naval")/1000000000)</f>
        <v>0</v>
      </c>
      <c r="AE26" s="15">
        <f>(SUMIFS('MAIN DATA, Orders'!$U:$U,'MAIN DATA, Orders'!$Y:$Y,$A26,'MAIN DATA, Orders'!$D:$D,"Poland",'MAIN DATA, Orders'!$I:$I,"Other")/1000000000)</f>
        <v>0</v>
      </c>
      <c r="AF26" s="15">
        <f>(SUMIFS('MAIN DATA, Orders'!$U:$U,'MAIN DATA, Orders'!$Y:$Y,$A26,'MAIN DATA, Orders'!$D:$D,"Poland",'MAIN DATA, Orders'!$I:$I,"Development - Other")/1000000000)</f>
        <v>0</v>
      </c>
      <c r="AG26" s="15"/>
      <c r="AH26" s="15" cm="1">
        <f t="array" ref="AH26">SUM(SUMIFS('MAIN DATA, Orders'!$U:$U,'MAIN DATA, Orders'!$Y:$Y,$A26,'MAIN DATA, Orders'!$D:$D,"Poland",'MAIN DATA, Orders'!$I:$I,{"Missile (Land)","Development - Missile (Land)"})/1000000000)</f>
        <v>0</v>
      </c>
      <c r="AI26" s="15" cm="1">
        <f t="array" ref="AI26">SUM(SUMIFS('MAIN DATA, Orders'!$U:$U,'MAIN DATA, Orders'!$Y:$Y,$A26,'MAIN DATA, Orders'!$D:$D,"Poland",'MAIN DATA, Orders'!$I:$I,{"Missile (Air)","Development - Missile (Air)"})/1000000000)</f>
        <v>0</v>
      </c>
      <c r="AJ26" s="15" cm="1">
        <f t="array" ref="AJ26">SUM(SUMIFS('MAIN DATA, Orders'!$U:$U,'MAIN DATA, Orders'!$Y:$Y,$A26,'MAIN DATA, Orders'!$D:$D,"Poland",'MAIN DATA, Orders'!$I:$I,{"Missile (Naval)","Development - Missile (Naval)"})/1000000000)</f>
        <v>0</v>
      </c>
    </row>
    <row r="27" spans="1:36" x14ac:dyDescent="0.35">
      <c r="A27" s="20">
        <v>202009</v>
      </c>
      <c r="B27" s="17">
        <v>44075</v>
      </c>
      <c r="C27" s="15">
        <f>(SUMIFS('MAIN DATA, Orders'!$U:$U,'MAIN DATA, Orders'!$Y:$Y,$A27,'MAIN DATA, Orders'!$D:$D,"Poland",'MAIN DATA, Orders'!$I:$I,"Air defence system")/1000000000)</f>
        <v>0</v>
      </c>
      <c r="D27" s="15">
        <f>(SUMIFS('MAIN DATA, Orders'!$U:$U,'MAIN DATA, Orders'!$Y:$Y,$A27,'MAIN DATA, Orders'!$D:$D,"Poland",'MAIN DATA, Orders'!$I:$I,"Development - Air defence system")/1000000000)</f>
        <v>0</v>
      </c>
      <c r="E27" s="15">
        <f>(SUMIFS('MAIN DATA, Orders'!$U:$U,'MAIN DATA, Orders'!$Y:$Y,$A27,'MAIN DATA, Orders'!$D:$D,"Poland",'MAIN DATA, Orders'!$I:$I,"Aircraft")/1000000000)</f>
        <v>0</v>
      </c>
      <c r="F27" s="15">
        <f>(SUMIFS('MAIN DATA, Orders'!$U:$U,'MAIN DATA, Orders'!$Y:$Y,$A27,'MAIN DATA, Orders'!$D:$D,"Poland",'MAIN DATA, Orders'!$I:$I,"Development - Aircraft")/1000000000)</f>
        <v>0</v>
      </c>
      <c r="G27" s="15">
        <f>(SUMIFS('MAIN DATA, Orders'!$U:$U,'MAIN DATA, Orders'!$Y:$Y,$A27,'MAIN DATA, Orders'!$D:$D,"Poland",'MAIN DATA, Orders'!$I:$I,"Ammunition")/1000000000)</f>
        <v>0</v>
      </c>
      <c r="H27" s="15">
        <f>(SUMIFS('MAIN DATA, Orders'!$U:$U,'MAIN DATA, Orders'!$Y:$Y,$A27,'MAIN DATA, Orders'!$D:$D,"Poland",'MAIN DATA, Orders'!$I:$I,"Development - Ammunition")/1000000000)</f>
        <v>0</v>
      </c>
      <c r="I27" s="15">
        <f>(SUMIFS('MAIN DATA, Orders'!$U:$U,'MAIN DATA, Orders'!$Y:$Y,$A27,'MAIN DATA, Orders'!$D:$D,"Poland",'MAIN DATA, Orders'!$I:$I,"Armoured vehicle")/1000000000)</f>
        <v>0</v>
      </c>
      <c r="J27" s="15">
        <f>(SUMIFS('MAIN DATA, Orders'!$U:$U,'MAIN DATA, Orders'!$Y:$Y,$A27,'MAIN DATA, Orders'!$D:$D,"Poland",'MAIN DATA, Orders'!$I:$I,"Development - Armoured vehicle")/1000000000)</f>
        <v>0</v>
      </c>
      <c r="K27" s="15">
        <f>(SUMIFS('MAIN DATA, Orders'!$U:$U,'MAIN DATA, Orders'!$Y:$Y,$A27,'MAIN DATA, Orders'!$D:$D,"Poland",'MAIN DATA, Orders'!$I:$I,"Artillery")/1000000000)</f>
        <v>0</v>
      </c>
      <c r="L27" s="15">
        <f>(SUMIFS('MAIN DATA, Orders'!$U:$U,'MAIN DATA, Orders'!$Y:$Y,$A27,'MAIN DATA, Orders'!$D:$D,"Poland",'MAIN DATA, Orders'!$I:$I,"Development - Artillery")/1000000000)</f>
        <v>0</v>
      </c>
      <c r="M27" s="15">
        <f>(SUMIFS('MAIN DATA, Orders'!$U:$U,'MAIN DATA, Orders'!$Y:$Y,$A27,'MAIN DATA, Orders'!$D:$D,"Poland",'MAIN DATA, Orders'!$I:$I,"Drone")/1000000000)</f>
        <v>0</v>
      </c>
      <c r="N27" s="15">
        <f>(SUMIFS('MAIN DATA, Orders'!$U:$U,'MAIN DATA, Orders'!$Y:$Y,$A27,'MAIN DATA, Orders'!$D:$D,"Poland",'MAIN DATA, Orders'!$I:$I,"Development - Drone")/1000000000)</f>
        <v>0</v>
      </c>
      <c r="O27" s="15">
        <f>(SUMIFS('MAIN DATA, Orders'!$U:$U,'MAIN DATA, Orders'!$Y:$Y,$A27,'MAIN DATA, Orders'!$D:$D,"Poland",'MAIN DATA, Orders'!$I:$I,"Helicopter")/1000000000)</f>
        <v>0</v>
      </c>
      <c r="P27" s="15">
        <f>(SUMIFS('MAIN DATA, Orders'!$U:$U,'MAIN DATA, Orders'!$Y:$Y,$A27,'MAIN DATA, Orders'!$D:$D,"Poland",'MAIN DATA, Orders'!$I:$I,"Development - Helicopter")/1000000000)</f>
        <v>0</v>
      </c>
      <c r="Q27" s="15">
        <f>(SUMIFS('MAIN DATA, Orders'!$U:$U,'MAIN DATA, Orders'!$Y:$Y,$A27,'MAIN DATA, Orders'!$D:$D,"Poland",'MAIN DATA, Orders'!$I:$I,"Infantry")/1000000000)</f>
        <v>0</v>
      </c>
      <c r="R27" s="15">
        <f>(SUMIFS('MAIN DATA, Orders'!$U:$U,'MAIN DATA, Orders'!$Y:$Y,$A27,'MAIN DATA, Orders'!$D:$D,"Poland",'MAIN DATA, Orders'!$I:$I,"Development - Infantry")/1000000000)</f>
        <v>0</v>
      </c>
      <c r="S27" s="15">
        <f>(SUMIFS('MAIN DATA, Orders'!$U:$U,'MAIN DATA, Orders'!$Y:$Y,$A27,'MAIN DATA, Orders'!$D:$D,"Poland",'MAIN DATA, Orders'!$I:$I,"Tank")/1000000000)</f>
        <v>0</v>
      </c>
      <c r="T27" s="15">
        <f>(SUMIFS('MAIN DATA, Orders'!$U:$U,'MAIN DATA, Orders'!$Y:$Y,$A27,'MAIN DATA, Orders'!$D:$D,"Poland",'MAIN DATA, Orders'!$I:$I,"Development - Tank")/1000000000)</f>
        <v>0</v>
      </c>
      <c r="U27" s="15">
        <f>(SUMIFS('MAIN DATA, Orders'!$U:$U,'MAIN DATA, Orders'!$Y:$Y,$A27,'MAIN DATA, Orders'!$D:$D,"Poland",'MAIN DATA, Orders'!$I:$I,"Maintenance")/1000000000)</f>
        <v>0</v>
      </c>
      <c r="V27" s="15">
        <f>(SUMIFS('MAIN DATA, Orders'!$U:$U,'MAIN DATA, Orders'!$Y:$Y,$A27,'MAIN DATA, Orders'!$D:$D,"Poland",'MAIN DATA, Orders'!$I:$I,"Development - Maintenance")/1000000000)</f>
        <v>0</v>
      </c>
      <c r="W27" s="15">
        <f>(SUMIFS('MAIN DATA, Orders'!$U:$U,'MAIN DATA, Orders'!$Y:$Y,$A27,'MAIN DATA, Orders'!$D:$D,"Poland",'MAIN DATA, Orders'!$I:$I,"Mine")/1000000000)</f>
        <v>0</v>
      </c>
      <c r="X27" s="15">
        <f>(SUMIFS('MAIN DATA, Orders'!$U:$U,'MAIN DATA, Orders'!$Y:$Y,$A27,'MAIN DATA, Orders'!$D:$D,"Poland",'MAIN DATA, Orders'!$I:$I,"Development - Mine")/1000000000)</f>
        <v>0</v>
      </c>
      <c r="Y27" s="15">
        <f>(SUMIFS('MAIN DATA, Orders'!$U:$U,'MAIN DATA, Orders'!$Y:$Y,$A27,'MAIN DATA, Orders'!$D:$D,"Poland",'MAIN DATA, Orders'!$J:$J,"6")/1000000000)</f>
        <v>0</v>
      </c>
      <c r="Z27" s="15" cm="1">
        <f t="array" ref="Z27">SUM(SUMIFS('MAIN DATA, Orders'!$U:$U,'MAIN DATA, Orders'!$Y:$Y,$A27,'MAIN DATA, Orders'!$D:$D,"Poland",'MAIN DATA, Orders'!$I:$I,{"Development - Missile (Land)","Development - Missile (Naval)","Development - Missile (Air)"})/1000000000)</f>
        <v>0</v>
      </c>
      <c r="AA27" s="15">
        <f>(SUMIFS('MAIN DATA, Orders'!$U:$U,'MAIN DATA, Orders'!$Y:$Y,$A27,'MAIN DATA, Orders'!$D:$D,"Poland",'MAIN DATA, Orders'!$I:$I,"Modernisation")/1000000000)</f>
        <v>0</v>
      </c>
      <c r="AB27" s="15">
        <f>(SUMIFS('MAIN DATA, Orders'!$U:$U,'MAIN DATA, Orders'!$Y:$Y,$A27,'MAIN DATA, Orders'!$D:$D,"Poland",'MAIN DATA, Orders'!$I:$I,"Development - Modernisation")/1000000000)</f>
        <v>0</v>
      </c>
      <c r="AC27" s="15">
        <f>(SUMIFS('MAIN DATA, Orders'!$U:$U,'MAIN DATA, Orders'!$Y:$Y,$A27,'MAIN DATA, Orders'!$D:$D,"Poland",'MAIN DATA, Orders'!$I:$I,"Naval")/1000000000)</f>
        <v>0</v>
      </c>
      <c r="AD27" s="15">
        <f>(SUMIFS('MAIN DATA, Orders'!$U:$U,'MAIN DATA, Orders'!$Y:$Y,$A27,'MAIN DATA, Orders'!$D:$D,"Poland",'MAIN DATA, Orders'!$I:$I,"Development - Naval")/1000000000)</f>
        <v>0</v>
      </c>
      <c r="AE27" s="15">
        <f>(SUMIFS('MAIN DATA, Orders'!$U:$U,'MAIN DATA, Orders'!$Y:$Y,$A27,'MAIN DATA, Orders'!$D:$D,"Poland",'MAIN DATA, Orders'!$I:$I,"Other")/1000000000)</f>
        <v>0</v>
      </c>
      <c r="AF27" s="15">
        <f>(SUMIFS('MAIN DATA, Orders'!$U:$U,'MAIN DATA, Orders'!$Y:$Y,$A27,'MAIN DATA, Orders'!$D:$D,"Poland",'MAIN DATA, Orders'!$I:$I,"Development - Other")/1000000000)</f>
        <v>0</v>
      </c>
      <c r="AG27" s="15"/>
      <c r="AH27" s="15" cm="1">
        <f t="array" ref="AH27">SUM(SUMIFS('MAIN DATA, Orders'!$U:$U,'MAIN DATA, Orders'!$Y:$Y,$A27,'MAIN DATA, Orders'!$D:$D,"Poland",'MAIN DATA, Orders'!$I:$I,{"Missile (Land)","Development - Missile (Land)"})/1000000000)</f>
        <v>0</v>
      </c>
      <c r="AI27" s="15" cm="1">
        <f t="array" ref="AI27">SUM(SUMIFS('MAIN DATA, Orders'!$U:$U,'MAIN DATA, Orders'!$Y:$Y,$A27,'MAIN DATA, Orders'!$D:$D,"Poland",'MAIN DATA, Orders'!$I:$I,{"Missile (Air)","Development - Missile (Air)"})/1000000000)</f>
        <v>0</v>
      </c>
      <c r="AJ27" s="15" cm="1">
        <f t="array" ref="AJ27">SUM(SUMIFS('MAIN DATA, Orders'!$U:$U,'MAIN DATA, Orders'!$Y:$Y,$A27,'MAIN DATA, Orders'!$D:$D,"Poland",'MAIN DATA, Orders'!$I:$I,{"Missile (Naval)","Development - Missile (Naval)"})/1000000000)</f>
        <v>0</v>
      </c>
    </row>
    <row r="28" spans="1:36" x14ac:dyDescent="0.35">
      <c r="A28" s="20">
        <v>202010</v>
      </c>
      <c r="B28" s="17">
        <v>44105</v>
      </c>
      <c r="C28" s="15">
        <f>(SUMIFS('MAIN DATA, Orders'!$U:$U,'MAIN DATA, Orders'!$Y:$Y,$A28,'MAIN DATA, Orders'!$D:$D,"Poland",'MAIN DATA, Orders'!$I:$I,"Air defence system")/1000000000)</f>
        <v>0</v>
      </c>
      <c r="D28" s="15">
        <f>(SUMIFS('MAIN DATA, Orders'!$U:$U,'MAIN DATA, Orders'!$Y:$Y,$A28,'MAIN DATA, Orders'!$D:$D,"Poland",'MAIN DATA, Orders'!$I:$I,"Development - Air defence system")/1000000000)</f>
        <v>0</v>
      </c>
      <c r="E28" s="15">
        <f>(SUMIFS('MAIN DATA, Orders'!$U:$U,'MAIN DATA, Orders'!$Y:$Y,$A28,'MAIN DATA, Orders'!$D:$D,"Poland",'MAIN DATA, Orders'!$I:$I,"Aircraft")/1000000000)</f>
        <v>0</v>
      </c>
      <c r="F28" s="15">
        <f>(SUMIFS('MAIN DATA, Orders'!$U:$U,'MAIN DATA, Orders'!$Y:$Y,$A28,'MAIN DATA, Orders'!$D:$D,"Poland",'MAIN DATA, Orders'!$I:$I,"Development - Aircraft")/1000000000)</f>
        <v>0</v>
      </c>
      <c r="G28" s="15">
        <f>(SUMIFS('MAIN DATA, Orders'!$U:$U,'MAIN DATA, Orders'!$Y:$Y,$A28,'MAIN DATA, Orders'!$D:$D,"Poland",'MAIN DATA, Orders'!$I:$I,"Ammunition")/1000000000)</f>
        <v>0</v>
      </c>
      <c r="H28" s="15">
        <f>(SUMIFS('MAIN DATA, Orders'!$U:$U,'MAIN DATA, Orders'!$Y:$Y,$A28,'MAIN DATA, Orders'!$D:$D,"Poland",'MAIN DATA, Orders'!$I:$I,"Development - Ammunition")/1000000000)</f>
        <v>0</v>
      </c>
      <c r="I28" s="15">
        <f>(SUMIFS('MAIN DATA, Orders'!$U:$U,'MAIN DATA, Orders'!$Y:$Y,$A28,'MAIN DATA, Orders'!$D:$D,"Poland",'MAIN DATA, Orders'!$I:$I,"Armoured vehicle")/1000000000)</f>
        <v>0</v>
      </c>
      <c r="J28" s="15">
        <f>(SUMIFS('MAIN DATA, Orders'!$U:$U,'MAIN DATA, Orders'!$Y:$Y,$A28,'MAIN DATA, Orders'!$D:$D,"Poland",'MAIN DATA, Orders'!$I:$I,"Development - Armoured vehicle")/1000000000)</f>
        <v>0</v>
      </c>
      <c r="K28" s="15">
        <f>(SUMIFS('MAIN DATA, Orders'!$U:$U,'MAIN DATA, Orders'!$Y:$Y,$A28,'MAIN DATA, Orders'!$D:$D,"Poland",'MAIN DATA, Orders'!$I:$I,"Artillery")/1000000000)</f>
        <v>0</v>
      </c>
      <c r="L28" s="15">
        <f>(SUMIFS('MAIN DATA, Orders'!$U:$U,'MAIN DATA, Orders'!$Y:$Y,$A28,'MAIN DATA, Orders'!$D:$D,"Poland",'MAIN DATA, Orders'!$I:$I,"Development - Artillery")/1000000000)</f>
        <v>0</v>
      </c>
      <c r="M28" s="15">
        <f>(SUMIFS('MAIN DATA, Orders'!$U:$U,'MAIN DATA, Orders'!$Y:$Y,$A28,'MAIN DATA, Orders'!$D:$D,"Poland",'MAIN DATA, Orders'!$I:$I,"Drone")/1000000000)</f>
        <v>0</v>
      </c>
      <c r="N28" s="15">
        <f>(SUMIFS('MAIN DATA, Orders'!$U:$U,'MAIN DATA, Orders'!$Y:$Y,$A28,'MAIN DATA, Orders'!$D:$D,"Poland",'MAIN DATA, Orders'!$I:$I,"Development - Drone")/1000000000)</f>
        <v>0</v>
      </c>
      <c r="O28" s="15">
        <f>(SUMIFS('MAIN DATA, Orders'!$U:$U,'MAIN DATA, Orders'!$Y:$Y,$A28,'MAIN DATA, Orders'!$D:$D,"Poland",'MAIN DATA, Orders'!$I:$I,"Helicopter")/1000000000)</f>
        <v>0</v>
      </c>
      <c r="P28" s="15">
        <f>(SUMIFS('MAIN DATA, Orders'!$U:$U,'MAIN DATA, Orders'!$Y:$Y,$A28,'MAIN DATA, Orders'!$D:$D,"Poland",'MAIN DATA, Orders'!$I:$I,"Development - Helicopter")/1000000000)</f>
        <v>0</v>
      </c>
      <c r="Q28" s="15">
        <f>(SUMIFS('MAIN DATA, Orders'!$U:$U,'MAIN DATA, Orders'!$Y:$Y,$A28,'MAIN DATA, Orders'!$D:$D,"Poland",'MAIN DATA, Orders'!$I:$I,"Infantry")/1000000000)</f>
        <v>0</v>
      </c>
      <c r="R28" s="15">
        <f>(SUMIFS('MAIN DATA, Orders'!$U:$U,'MAIN DATA, Orders'!$Y:$Y,$A28,'MAIN DATA, Orders'!$D:$D,"Poland",'MAIN DATA, Orders'!$I:$I,"Development - Infantry")/1000000000)</f>
        <v>0</v>
      </c>
      <c r="S28" s="15">
        <f>(SUMIFS('MAIN DATA, Orders'!$U:$U,'MAIN DATA, Orders'!$Y:$Y,$A28,'MAIN DATA, Orders'!$D:$D,"Poland",'MAIN DATA, Orders'!$I:$I,"Tank")/1000000000)</f>
        <v>0</v>
      </c>
      <c r="T28" s="15">
        <f>(SUMIFS('MAIN DATA, Orders'!$U:$U,'MAIN DATA, Orders'!$Y:$Y,$A28,'MAIN DATA, Orders'!$D:$D,"Poland",'MAIN DATA, Orders'!$I:$I,"Development - Tank")/1000000000)</f>
        <v>0</v>
      </c>
      <c r="U28" s="15">
        <f>(SUMIFS('MAIN DATA, Orders'!$U:$U,'MAIN DATA, Orders'!$Y:$Y,$A28,'MAIN DATA, Orders'!$D:$D,"Poland",'MAIN DATA, Orders'!$I:$I,"Maintenance")/1000000000)</f>
        <v>0</v>
      </c>
      <c r="V28" s="15">
        <f>(SUMIFS('MAIN DATA, Orders'!$U:$U,'MAIN DATA, Orders'!$Y:$Y,$A28,'MAIN DATA, Orders'!$D:$D,"Poland",'MAIN DATA, Orders'!$I:$I,"Development - Maintenance")/1000000000)</f>
        <v>0</v>
      </c>
      <c r="W28" s="15">
        <f>(SUMIFS('MAIN DATA, Orders'!$U:$U,'MAIN DATA, Orders'!$Y:$Y,$A28,'MAIN DATA, Orders'!$D:$D,"Poland",'MAIN DATA, Orders'!$I:$I,"Mine")/1000000000)</f>
        <v>0</v>
      </c>
      <c r="X28" s="15">
        <f>(SUMIFS('MAIN DATA, Orders'!$U:$U,'MAIN DATA, Orders'!$Y:$Y,$A28,'MAIN DATA, Orders'!$D:$D,"Poland",'MAIN DATA, Orders'!$I:$I,"Development - Mine")/1000000000)</f>
        <v>0</v>
      </c>
      <c r="Y28" s="15">
        <f>(SUMIFS('MAIN DATA, Orders'!$U:$U,'MAIN DATA, Orders'!$Y:$Y,$A28,'MAIN DATA, Orders'!$D:$D,"Poland",'MAIN DATA, Orders'!$J:$J,"6")/1000000000)</f>
        <v>0</v>
      </c>
      <c r="Z28" s="15" cm="1">
        <f t="array" ref="Z28">SUM(SUMIFS('MAIN DATA, Orders'!$U:$U,'MAIN DATA, Orders'!$Y:$Y,$A28,'MAIN DATA, Orders'!$D:$D,"Poland",'MAIN DATA, Orders'!$I:$I,{"Development - Missile (Land)","Development - Missile (Naval)","Development - Missile (Air)"})/1000000000)</f>
        <v>0</v>
      </c>
      <c r="AA28" s="15">
        <f>(SUMIFS('MAIN DATA, Orders'!$U:$U,'MAIN DATA, Orders'!$Y:$Y,$A28,'MAIN DATA, Orders'!$D:$D,"Poland",'MAIN DATA, Orders'!$I:$I,"Modernisation")/1000000000)</f>
        <v>0</v>
      </c>
      <c r="AB28" s="15">
        <f>(SUMIFS('MAIN DATA, Orders'!$U:$U,'MAIN DATA, Orders'!$Y:$Y,$A28,'MAIN DATA, Orders'!$D:$D,"Poland",'MAIN DATA, Orders'!$I:$I,"Development - Modernisation")/1000000000)</f>
        <v>0</v>
      </c>
      <c r="AC28" s="15">
        <f>(SUMIFS('MAIN DATA, Orders'!$U:$U,'MAIN DATA, Orders'!$Y:$Y,$A28,'MAIN DATA, Orders'!$D:$D,"Poland",'MAIN DATA, Orders'!$I:$I,"Naval")/1000000000)</f>
        <v>0</v>
      </c>
      <c r="AD28" s="15">
        <f>(SUMIFS('MAIN DATA, Orders'!$U:$U,'MAIN DATA, Orders'!$Y:$Y,$A28,'MAIN DATA, Orders'!$D:$D,"Poland",'MAIN DATA, Orders'!$I:$I,"Development - Naval")/1000000000)</f>
        <v>0</v>
      </c>
      <c r="AE28" s="15">
        <f>(SUMIFS('MAIN DATA, Orders'!$U:$U,'MAIN DATA, Orders'!$Y:$Y,$A28,'MAIN DATA, Orders'!$D:$D,"Poland",'MAIN DATA, Orders'!$I:$I,"Other")/1000000000)</f>
        <v>3.7362142696376326E-2</v>
      </c>
      <c r="AF28" s="15">
        <f>(SUMIFS('MAIN DATA, Orders'!$U:$U,'MAIN DATA, Orders'!$Y:$Y,$A28,'MAIN DATA, Orders'!$D:$D,"Poland",'MAIN DATA, Orders'!$I:$I,"Development - Other")/1000000000)</f>
        <v>0</v>
      </c>
      <c r="AG28" s="15"/>
      <c r="AH28" s="15" cm="1">
        <f t="array" ref="AH28">SUM(SUMIFS('MAIN DATA, Orders'!$U:$U,'MAIN DATA, Orders'!$Y:$Y,$A28,'MAIN DATA, Orders'!$D:$D,"Poland",'MAIN DATA, Orders'!$I:$I,{"Missile (Land)","Development - Missile (Land)"})/1000000000)</f>
        <v>0</v>
      </c>
      <c r="AI28" s="15" cm="1">
        <f t="array" ref="AI28">SUM(SUMIFS('MAIN DATA, Orders'!$U:$U,'MAIN DATA, Orders'!$Y:$Y,$A28,'MAIN DATA, Orders'!$D:$D,"Poland",'MAIN DATA, Orders'!$I:$I,{"Missile (Air)","Development - Missile (Air)"})/1000000000)</f>
        <v>0</v>
      </c>
      <c r="AJ28" s="15" cm="1">
        <f t="array" ref="AJ28">SUM(SUMIFS('MAIN DATA, Orders'!$U:$U,'MAIN DATA, Orders'!$Y:$Y,$A28,'MAIN DATA, Orders'!$D:$D,"Poland",'MAIN DATA, Orders'!$I:$I,{"Missile (Naval)","Development - Missile (Naval)"})/1000000000)</f>
        <v>0</v>
      </c>
    </row>
    <row r="29" spans="1:36" x14ac:dyDescent="0.35">
      <c r="A29" s="20">
        <v>202011</v>
      </c>
      <c r="B29" s="17">
        <v>44136</v>
      </c>
      <c r="C29" s="15">
        <f>(SUMIFS('MAIN DATA, Orders'!$U:$U,'MAIN DATA, Orders'!$Y:$Y,$A29,'MAIN DATA, Orders'!$D:$D,"Poland",'MAIN DATA, Orders'!$I:$I,"Air defence system")/1000000000)</f>
        <v>0</v>
      </c>
      <c r="D29" s="15">
        <f>(SUMIFS('MAIN DATA, Orders'!$U:$U,'MAIN DATA, Orders'!$Y:$Y,$A29,'MAIN DATA, Orders'!$D:$D,"Poland",'MAIN DATA, Orders'!$I:$I,"Development - Air defence system")/1000000000)</f>
        <v>0</v>
      </c>
      <c r="E29" s="15">
        <f>(SUMIFS('MAIN DATA, Orders'!$U:$U,'MAIN DATA, Orders'!$Y:$Y,$A29,'MAIN DATA, Orders'!$D:$D,"Poland",'MAIN DATA, Orders'!$I:$I,"Aircraft")/1000000000)</f>
        <v>0</v>
      </c>
      <c r="F29" s="15">
        <f>(SUMIFS('MAIN DATA, Orders'!$U:$U,'MAIN DATA, Orders'!$Y:$Y,$A29,'MAIN DATA, Orders'!$D:$D,"Poland",'MAIN DATA, Orders'!$I:$I,"Development - Aircraft")/1000000000)</f>
        <v>0</v>
      </c>
      <c r="G29" s="15">
        <f>(SUMIFS('MAIN DATA, Orders'!$U:$U,'MAIN DATA, Orders'!$Y:$Y,$A29,'MAIN DATA, Orders'!$D:$D,"Poland",'MAIN DATA, Orders'!$I:$I,"Ammunition")/1000000000)</f>
        <v>0</v>
      </c>
      <c r="H29" s="15">
        <f>(SUMIFS('MAIN DATA, Orders'!$U:$U,'MAIN DATA, Orders'!$Y:$Y,$A29,'MAIN DATA, Orders'!$D:$D,"Poland",'MAIN DATA, Orders'!$I:$I,"Development - Ammunition")/1000000000)</f>
        <v>0</v>
      </c>
      <c r="I29" s="15">
        <f>(SUMIFS('MAIN DATA, Orders'!$U:$U,'MAIN DATA, Orders'!$Y:$Y,$A29,'MAIN DATA, Orders'!$D:$D,"Poland",'MAIN DATA, Orders'!$I:$I,"Armoured vehicle")/1000000000)</f>
        <v>0</v>
      </c>
      <c r="J29" s="15">
        <f>(SUMIFS('MAIN DATA, Orders'!$U:$U,'MAIN DATA, Orders'!$Y:$Y,$A29,'MAIN DATA, Orders'!$D:$D,"Poland",'MAIN DATA, Orders'!$I:$I,"Development - Armoured vehicle")/1000000000)</f>
        <v>0</v>
      </c>
      <c r="K29" s="15">
        <f>(SUMIFS('MAIN DATA, Orders'!$U:$U,'MAIN DATA, Orders'!$Y:$Y,$A29,'MAIN DATA, Orders'!$D:$D,"Poland",'MAIN DATA, Orders'!$I:$I,"Artillery")/1000000000)</f>
        <v>0</v>
      </c>
      <c r="L29" s="15">
        <f>(SUMIFS('MAIN DATA, Orders'!$U:$U,'MAIN DATA, Orders'!$Y:$Y,$A29,'MAIN DATA, Orders'!$D:$D,"Poland",'MAIN DATA, Orders'!$I:$I,"Development - Artillery")/1000000000)</f>
        <v>0</v>
      </c>
      <c r="M29" s="15">
        <f>(SUMIFS('MAIN DATA, Orders'!$U:$U,'MAIN DATA, Orders'!$Y:$Y,$A29,'MAIN DATA, Orders'!$D:$D,"Poland",'MAIN DATA, Orders'!$I:$I,"Drone")/1000000000)</f>
        <v>0</v>
      </c>
      <c r="N29" s="15">
        <f>(SUMIFS('MAIN DATA, Orders'!$U:$U,'MAIN DATA, Orders'!$Y:$Y,$A29,'MAIN DATA, Orders'!$D:$D,"Poland",'MAIN DATA, Orders'!$I:$I,"Development - Drone")/1000000000)</f>
        <v>0</v>
      </c>
      <c r="O29" s="15">
        <f>(SUMIFS('MAIN DATA, Orders'!$U:$U,'MAIN DATA, Orders'!$Y:$Y,$A29,'MAIN DATA, Orders'!$D:$D,"Poland",'MAIN DATA, Orders'!$I:$I,"Helicopter")/1000000000)</f>
        <v>0</v>
      </c>
      <c r="P29" s="15">
        <f>(SUMIFS('MAIN DATA, Orders'!$U:$U,'MAIN DATA, Orders'!$Y:$Y,$A29,'MAIN DATA, Orders'!$D:$D,"Poland",'MAIN DATA, Orders'!$I:$I,"Development - Helicopter")/1000000000)</f>
        <v>0</v>
      </c>
      <c r="Q29" s="15">
        <f>(SUMIFS('MAIN DATA, Orders'!$U:$U,'MAIN DATA, Orders'!$Y:$Y,$A29,'MAIN DATA, Orders'!$D:$D,"Poland",'MAIN DATA, Orders'!$I:$I,"Infantry")/1000000000)</f>
        <v>0</v>
      </c>
      <c r="R29" s="15">
        <f>(SUMIFS('MAIN DATA, Orders'!$U:$U,'MAIN DATA, Orders'!$Y:$Y,$A29,'MAIN DATA, Orders'!$D:$D,"Poland",'MAIN DATA, Orders'!$I:$I,"Development - Infantry")/1000000000)</f>
        <v>0</v>
      </c>
      <c r="S29" s="15">
        <f>(SUMIFS('MAIN DATA, Orders'!$U:$U,'MAIN DATA, Orders'!$Y:$Y,$A29,'MAIN DATA, Orders'!$D:$D,"Poland",'MAIN DATA, Orders'!$I:$I,"Tank")/1000000000)</f>
        <v>0</v>
      </c>
      <c r="T29" s="15">
        <f>(SUMIFS('MAIN DATA, Orders'!$U:$U,'MAIN DATA, Orders'!$Y:$Y,$A29,'MAIN DATA, Orders'!$D:$D,"Poland",'MAIN DATA, Orders'!$I:$I,"Development - Tank")/1000000000)</f>
        <v>0</v>
      </c>
      <c r="U29" s="15">
        <f>(SUMIFS('MAIN DATA, Orders'!$U:$U,'MAIN DATA, Orders'!$Y:$Y,$A29,'MAIN DATA, Orders'!$D:$D,"Poland",'MAIN DATA, Orders'!$I:$I,"Maintenance")/1000000000)</f>
        <v>0</v>
      </c>
      <c r="V29" s="15">
        <f>(SUMIFS('MAIN DATA, Orders'!$U:$U,'MAIN DATA, Orders'!$Y:$Y,$A29,'MAIN DATA, Orders'!$D:$D,"Poland",'MAIN DATA, Orders'!$I:$I,"Development - Maintenance")/1000000000)</f>
        <v>0</v>
      </c>
      <c r="W29" s="15">
        <f>(SUMIFS('MAIN DATA, Orders'!$U:$U,'MAIN DATA, Orders'!$Y:$Y,$A29,'MAIN DATA, Orders'!$D:$D,"Poland",'MAIN DATA, Orders'!$I:$I,"Mine")/1000000000)</f>
        <v>0</v>
      </c>
      <c r="X29" s="15">
        <f>(SUMIFS('MAIN DATA, Orders'!$U:$U,'MAIN DATA, Orders'!$Y:$Y,$A29,'MAIN DATA, Orders'!$D:$D,"Poland",'MAIN DATA, Orders'!$I:$I,"Development - Mine")/1000000000)</f>
        <v>0</v>
      </c>
      <c r="Y29" s="15">
        <f>(SUMIFS('MAIN DATA, Orders'!$U:$U,'MAIN DATA, Orders'!$Y:$Y,$A29,'MAIN DATA, Orders'!$D:$D,"Poland",'MAIN DATA, Orders'!$J:$J,"6")/1000000000)</f>
        <v>0</v>
      </c>
      <c r="Z29" s="15" cm="1">
        <f t="array" ref="Z29">SUM(SUMIFS('MAIN DATA, Orders'!$U:$U,'MAIN DATA, Orders'!$Y:$Y,$A29,'MAIN DATA, Orders'!$D:$D,"Poland",'MAIN DATA, Orders'!$I:$I,{"Development - Missile (Land)","Development - Missile (Naval)","Development - Missile (Air)"})/1000000000)</f>
        <v>0</v>
      </c>
      <c r="AA29" s="15">
        <f>(SUMIFS('MAIN DATA, Orders'!$U:$U,'MAIN DATA, Orders'!$Y:$Y,$A29,'MAIN DATA, Orders'!$D:$D,"Poland",'MAIN DATA, Orders'!$I:$I,"Modernisation")/1000000000)</f>
        <v>0</v>
      </c>
      <c r="AB29" s="15">
        <f>(SUMIFS('MAIN DATA, Orders'!$U:$U,'MAIN DATA, Orders'!$Y:$Y,$A29,'MAIN DATA, Orders'!$D:$D,"Poland",'MAIN DATA, Orders'!$I:$I,"Development - Modernisation")/1000000000)</f>
        <v>0</v>
      </c>
      <c r="AC29" s="15">
        <f>(SUMIFS('MAIN DATA, Orders'!$U:$U,'MAIN DATA, Orders'!$Y:$Y,$A29,'MAIN DATA, Orders'!$D:$D,"Poland",'MAIN DATA, Orders'!$I:$I,"Naval")/1000000000)</f>
        <v>0</v>
      </c>
      <c r="AD29" s="15">
        <f>(SUMIFS('MAIN DATA, Orders'!$U:$U,'MAIN DATA, Orders'!$Y:$Y,$A29,'MAIN DATA, Orders'!$D:$D,"Poland",'MAIN DATA, Orders'!$I:$I,"Development - Naval")/1000000000)</f>
        <v>0</v>
      </c>
      <c r="AE29" s="15">
        <f>(SUMIFS('MAIN DATA, Orders'!$U:$U,'MAIN DATA, Orders'!$Y:$Y,$A29,'MAIN DATA, Orders'!$D:$D,"Poland",'MAIN DATA, Orders'!$I:$I,"Other")/1000000000)</f>
        <v>0</v>
      </c>
      <c r="AF29" s="15">
        <f>(SUMIFS('MAIN DATA, Orders'!$U:$U,'MAIN DATA, Orders'!$Y:$Y,$A29,'MAIN DATA, Orders'!$D:$D,"Poland",'MAIN DATA, Orders'!$I:$I,"Development - Other")/1000000000)</f>
        <v>0</v>
      </c>
      <c r="AG29" s="15"/>
      <c r="AH29" s="15" cm="1">
        <f t="array" ref="AH29">SUM(SUMIFS('MAIN DATA, Orders'!$U:$U,'MAIN DATA, Orders'!$Y:$Y,$A29,'MAIN DATA, Orders'!$D:$D,"Poland",'MAIN DATA, Orders'!$I:$I,{"Missile (Land)","Development - Missile (Land)"})/1000000000)</f>
        <v>0</v>
      </c>
      <c r="AI29" s="15" cm="1">
        <f t="array" ref="AI29">SUM(SUMIFS('MAIN DATA, Orders'!$U:$U,'MAIN DATA, Orders'!$Y:$Y,$A29,'MAIN DATA, Orders'!$D:$D,"Poland",'MAIN DATA, Orders'!$I:$I,{"Missile (Air)","Development - Missile (Air)"})/1000000000)</f>
        <v>0</v>
      </c>
      <c r="AJ29" s="15" cm="1">
        <f t="array" ref="AJ29">SUM(SUMIFS('MAIN DATA, Orders'!$U:$U,'MAIN DATA, Orders'!$Y:$Y,$A29,'MAIN DATA, Orders'!$D:$D,"Poland",'MAIN DATA, Orders'!$I:$I,{"Missile (Naval)","Development - Missile (Naval)"})/1000000000)</f>
        <v>0</v>
      </c>
    </row>
    <row r="30" spans="1:36" x14ac:dyDescent="0.35">
      <c r="A30" s="20">
        <v>202012</v>
      </c>
      <c r="B30" s="17">
        <v>44166</v>
      </c>
      <c r="C30" s="15">
        <f>(SUMIFS('MAIN DATA, Orders'!$U:$U,'MAIN DATA, Orders'!$Y:$Y,$A30,'MAIN DATA, Orders'!$D:$D,"Poland",'MAIN DATA, Orders'!$I:$I,"Air defence system")/1000000000)</f>
        <v>0</v>
      </c>
      <c r="D30" s="15">
        <f>(SUMIFS('MAIN DATA, Orders'!$U:$U,'MAIN DATA, Orders'!$Y:$Y,$A30,'MAIN DATA, Orders'!$D:$D,"Poland",'MAIN DATA, Orders'!$I:$I,"Development - Air defence system")/1000000000)</f>
        <v>0</v>
      </c>
      <c r="E30" s="15">
        <f>(SUMIFS('MAIN DATA, Orders'!$U:$U,'MAIN DATA, Orders'!$Y:$Y,$A30,'MAIN DATA, Orders'!$D:$D,"Poland",'MAIN DATA, Orders'!$I:$I,"Aircraft")/1000000000)</f>
        <v>0</v>
      </c>
      <c r="F30" s="15">
        <f>(SUMIFS('MAIN DATA, Orders'!$U:$U,'MAIN DATA, Orders'!$Y:$Y,$A30,'MAIN DATA, Orders'!$D:$D,"Poland",'MAIN DATA, Orders'!$I:$I,"Development - Aircraft")/1000000000)</f>
        <v>0</v>
      </c>
      <c r="G30" s="15">
        <f>(SUMIFS('MAIN DATA, Orders'!$U:$U,'MAIN DATA, Orders'!$Y:$Y,$A30,'MAIN DATA, Orders'!$D:$D,"Poland",'MAIN DATA, Orders'!$I:$I,"Ammunition")/1000000000)</f>
        <v>0</v>
      </c>
      <c r="H30" s="15">
        <f>(SUMIFS('MAIN DATA, Orders'!$U:$U,'MAIN DATA, Orders'!$Y:$Y,$A30,'MAIN DATA, Orders'!$D:$D,"Poland",'MAIN DATA, Orders'!$I:$I,"Development - Ammunition")/1000000000)</f>
        <v>0</v>
      </c>
      <c r="I30" s="15">
        <f>(SUMIFS('MAIN DATA, Orders'!$U:$U,'MAIN DATA, Orders'!$Y:$Y,$A30,'MAIN DATA, Orders'!$D:$D,"Poland",'MAIN DATA, Orders'!$I:$I,"Armoured vehicle")/1000000000)</f>
        <v>0</v>
      </c>
      <c r="J30" s="15">
        <f>(SUMIFS('MAIN DATA, Orders'!$U:$U,'MAIN DATA, Orders'!$Y:$Y,$A30,'MAIN DATA, Orders'!$D:$D,"Poland",'MAIN DATA, Orders'!$I:$I,"Development - Armoured vehicle")/1000000000)</f>
        <v>0</v>
      </c>
      <c r="K30" s="15">
        <f>(SUMIFS('MAIN DATA, Orders'!$U:$U,'MAIN DATA, Orders'!$Y:$Y,$A30,'MAIN DATA, Orders'!$D:$D,"Poland",'MAIN DATA, Orders'!$I:$I,"Artillery")/1000000000)</f>
        <v>0</v>
      </c>
      <c r="L30" s="15">
        <f>(SUMIFS('MAIN DATA, Orders'!$U:$U,'MAIN DATA, Orders'!$Y:$Y,$A30,'MAIN DATA, Orders'!$D:$D,"Poland",'MAIN DATA, Orders'!$I:$I,"Development - Artillery")/1000000000)</f>
        <v>0</v>
      </c>
      <c r="M30" s="15">
        <f>(SUMIFS('MAIN DATA, Orders'!$U:$U,'MAIN DATA, Orders'!$Y:$Y,$A30,'MAIN DATA, Orders'!$D:$D,"Poland",'MAIN DATA, Orders'!$I:$I,"Drone")/1000000000)</f>
        <v>0</v>
      </c>
      <c r="N30" s="15">
        <f>(SUMIFS('MAIN DATA, Orders'!$U:$U,'MAIN DATA, Orders'!$Y:$Y,$A30,'MAIN DATA, Orders'!$D:$D,"Poland",'MAIN DATA, Orders'!$I:$I,"Development - Drone")/1000000000)</f>
        <v>0</v>
      </c>
      <c r="O30" s="15">
        <f>(SUMIFS('MAIN DATA, Orders'!$U:$U,'MAIN DATA, Orders'!$Y:$Y,$A30,'MAIN DATA, Orders'!$D:$D,"Poland",'MAIN DATA, Orders'!$I:$I,"Helicopter")/1000000000)</f>
        <v>0</v>
      </c>
      <c r="P30" s="15">
        <f>(SUMIFS('MAIN DATA, Orders'!$U:$U,'MAIN DATA, Orders'!$Y:$Y,$A30,'MAIN DATA, Orders'!$D:$D,"Poland",'MAIN DATA, Orders'!$I:$I,"Development - Helicopter")/1000000000)</f>
        <v>0</v>
      </c>
      <c r="Q30" s="15">
        <f>(SUMIFS('MAIN DATA, Orders'!$U:$U,'MAIN DATA, Orders'!$Y:$Y,$A30,'MAIN DATA, Orders'!$D:$D,"Poland",'MAIN DATA, Orders'!$I:$I,"Infantry")/1000000000)</f>
        <v>0</v>
      </c>
      <c r="R30" s="15">
        <f>(SUMIFS('MAIN DATA, Orders'!$U:$U,'MAIN DATA, Orders'!$Y:$Y,$A30,'MAIN DATA, Orders'!$D:$D,"Poland",'MAIN DATA, Orders'!$I:$I,"Development - Infantry")/1000000000)</f>
        <v>0</v>
      </c>
      <c r="S30" s="15">
        <f>(SUMIFS('MAIN DATA, Orders'!$U:$U,'MAIN DATA, Orders'!$Y:$Y,$A30,'MAIN DATA, Orders'!$D:$D,"Poland",'MAIN DATA, Orders'!$I:$I,"Tank")/1000000000)</f>
        <v>0</v>
      </c>
      <c r="T30" s="15">
        <f>(SUMIFS('MAIN DATA, Orders'!$U:$U,'MAIN DATA, Orders'!$Y:$Y,$A30,'MAIN DATA, Orders'!$D:$D,"Poland",'MAIN DATA, Orders'!$I:$I,"Development - Tank")/1000000000)</f>
        <v>0</v>
      </c>
      <c r="U30" s="15">
        <f>(SUMIFS('MAIN DATA, Orders'!$U:$U,'MAIN DATA, Orders'!$Y:$Y,$A30,'MAIN DATA, Orders'!$D:$D,"Poland",'MAIN DATA, Orders'!$I:$I,"Maintenance")/1000000000)</f>
        <v>0</v>
      </c>
      <c r="V30" s="15">
        <f>(SUMIFS('MAIN DATA, Orders'!$U:$U,'MAIN DATA, Orders'!$Y:$Y,$A30,'MAIN DATA, Orders'!$D:$D,"Poland",'MAIN DATA, Orders'!$I:$I,"Development - Maintenance")/1000000000)</f>
        <v>0</v>
      </c>
      <c r="W30" s="15">
        <f>(SUMIFS('MAIN DATA, Orders'!$U:$U,'MAIN DATA, Orders'!$Y:$Y,$A30,'MAIN DATA, Orders'!$D:$D,"Poland",'MAIN DATA, Orders'!$I:$I,"Mine")/1000000000)</f>
        <v>0</v>
      </c>
      <c r="X30" s="15">
        <f>(SUMIFS('MAIN DATA, Orders'!$U:$U,'MAIN DATA, Orders'!$Y:$Y,$A30,'MAIN DATA, Orders'!$D:$D,"Poland",'MAIN DATA, Orders'!$I:$I,"Development - Mine")/1000000000)</f>
        <v>0</v>
      </c>
      <c r="Y30" s="15">
        <f>(SUMIFS('MAIN DATA, Orders'!$U:$U,'MAIN DATA, Orders'!$Y:$Y,$A30,'MAIN DATA, Orders'!$D:$D,"Poland",'MAIN DATA, Orders'!$J:$J,"6")/1000000000)</f>
        <v>0</v>
      </c>
      <c r="Z30" s="15" cm="1">
        <f t="array" ref="Z30">SUM(SUMIFS('MAIN DATA, Orders'!$U:$U,'MAIN DATA, Orders'!$Y:$Y,$A30,'MAIN DATA, Orders'!$D:$D,"Poland",'MAIN DATA, Orders'!$I:$I,{"Development - Missile (Land)","Development - Missile (Naval)","Development - Missile (Air)"})/1000000000)</f>
        <v>0</v>
      </c>
      <c r="AA30" s="15">
        <f>(SUMIFS('MAIN DATA, Orders'!$U:$U,'MAIN DATA, Orders'!$Y:$Y,$A30,'MAIN DATA, Orders'!$D:$D,"Poland",'MAIN DATA, Orders'!$I:$I,"Modernisation")/1000000000)</f>
        <v>0</v>
      </c>
      <c r="AB30" s="15">
        <f>(SUMIFS('MAIN DATA, Orders'!$U:$U,'MAIN DATA, Orders'!$Y:$Y,$A30,'MAIN DATA, Orders'!$D:$D,"Poland",'MAIN DATA, Orders'!$I:$I,"Development - Modernisation")/1000000000)</f>
        <v>0</v>
      </c>
      <c r="AC30" s="15">
        <f>(SUMIFS('MAIN DATA, Orders'!$U:$U,'MAIN DATA, Orders'!$Y:$Y,$A30,'MAIN DATA, Orders'!$D:$D,"Poland",'MAIN DATA, Orders'!$I:$I,"Naval")/1000000000)</f>
        <v>0</v>
      </c>
      <c r="AD30" s="15">
        <f>(SUMIFS('MAIN DATA, Orders'!$U:$U,'MAIN DATA, Orders'!$Y:$Y,$A30,'MAIN DATA, Orders'!$D:$D,"Poland",'MAIN DATA, Orders'!$I:$I,"Development - Naval")/1000000000)</f>
        <v>0</v>
      </c>
      <c r="AE30" s="15">
        <f>(SUMIFS('MAIN DATA, Orders'!$U:$U,'MAIN DATA, Orders'!$Y:$Y,$A30,'MAIN DATA, Orders'!$D:$D,"Poland",'MAIN DATA, Orders'!$I:$I,"Other")/1000000000)</f>
        <v>0</v>
      </c>
      <c r="AF30" s="15">
        <f>(SUMIFS('MAIN DATA, Orders'!$U:$U,'MAIN DATA, Orders'!$Y:$Y,$A30,'MAIN DATA, Orders'!$D:$D,"Poland",'MAIN DATA, Orders'!$I:$I,"Development - Other")/1000000000)</f>
        <v>0</v>
      </c>
      <c r="AG30" s="15"/>
      <c r="AH30" s="15" cm="1">
        <f t="array" ref="AH30">SUM(SUMIFS('MAIN DATA, Orders'!$U:$U,'MAIN DATA, Orders'!$Y:$Y,$A30,'MAIN DATA, Orders'!$D:$D,"Poland",'MAIN DATA, Orders'!$I:$I,{"Missile (Land)","Development - Missile (Land)"})/1000000000)</f>
        <v>0</v>
      </c>
      <c r="AI30" s="15" cm="1">
        <f t="array" ref="AI30">SUM(SUMIFS('MAIN DATA, Orders'!$U:$U,'MAIN DATA, Orders'!$Y:$Y,$A30,'MAIN DATA, Orders'!$D:$D,"Poland",'MAIN DATA, Orders'!$I:$I,{"Missile (Air)","Development - Missile (Air)"})/1000000000)</f>
        <v>0</v>
      </c>
      <c r="AJ30" s="15" cm="1">
        <f t="array" ref="AJ30">SUM(SUMIFS('MAIN DATA, Orders'!$U:$U,'MAIN DATA, Orders'!$Y:$Y,$A30,'MAIN DATA, Orders'!$D:$D,"Poland",'MAIN DATA, Orders'!$I:$I,{"Missile (Naval)","Development - Missile (Naval)"})/1000000000)</f>
        <v>0</v>
      </c>
    </row>
    <row r="31" spans="1:36" x14ac:dyDescent="0.35">
      <c r="A31" s="20">
        <v>202101</v>
      </c>
      <c r="B31" s="17">
        <v>44197</v>
      </c>
      <c r="C31" s="15">
        <f>(SUMIFS('MAIN DATA, Orders'!$U:$U,'MAIN DATA, Orders'!$Y:$Y,$A31,'MAIN DATA, Orders'!$D:$D,"Poland",'MAIN DATA, Orders'!$I:$I,"Air defence system")/1000000000)</f>
        <v>0</v>
      </c>
      <c r="D31" s="15">
        <f>(SUMIFS('MAIN DATA, Orders'!$U:$U,'MAIN DATA, Orders'!$Y:$Y,$A31,'MAIN DATA, Orders'!$D:$D,"Poland",'MAIN DATA, Orders'!$I:$I,"Development - Air defence system")/1000000000)</f>
        <v>0</v>
      </c>
      <c r="E31" s="15">
        <f>(SUMIFS('MAIN DATA, Orders'!$U:$U,'MAIN DATA, Orders'!$Y:$Y,$A31,'MAIN DATA, Orders'!$D:$D,"Poland",'MAIN DATA, Orders'!$I:$I,"Aircraft")/1000000000)</f>
        <v>0</v>
      </c>
      <c r="F31" s="15">
        <f>(SUMIFS('MAIN DATA, Orders'!$U:$U,'MAIN DATA, Orders'!$Y:$Y,$A31,'MAIN DATA, Orders'!$D:$D,"Poland",'MAIN DATA, Orders'!$I:$I,"Development - Aircraft")/1000000000)</f>
        <v>0</v>
      </c>
      <c r="G31" s="15">
        <f>(SUMIFS('MAIN DATA, Orders'!$U:$U,'MAIN DATA, Orders'!$Y:$Y,$A31,'MAIN DATA, Orders'!$D:$D,"Poland",'MAIN DATA, Orders'!$I:$I,"Ammunition")/1000000000)</f>
        <v>0</v>
      </c>
      <c r="H31" s="15">
        <f>(SUMIFS('MAIN DATA, Orders'!$U:$U,'MAIN DATA, Orders'!$Y:$Y,$A31,'MAIN DATA, Orders'!$D:$D,"Poland",'MAIN DATA, Orders'!$I:$I,"Development - Ammunition")/1000000000)</f>
        <v>0</v>
      </c>
      <c r="I31" s="15">
        <f>(SUMIFS('MAIN DATA, Orders'!$U:$U,'MAIN DATA, Orders'!$Y:$Y,$A31,'MAIN DATA, Orders'!$D:$D,"Poland",'MAIN DATA, Orders'!$I:$I,"Armoured vehicle")/1000000000)</f>
        <v>0</v>
      </c>
      <c r="J31" s="15">
        <f>(SUMIFS('MAIN DATA, Orders'!$U:$U,'MAIN DATA, Orders'!$Y:$Y,$A31,'MAIN DATA, Orders'!$D:$D,"Poland",'MAIN DATA, Orders'!$I:$I,"Development - Armoured vehicle")/1000000000)</f>
        <v>0</v>
      </c>
      <c r="K31" s="15">
        <f>(SUMIFS('MAIN DATA, Orders'!$U:$U,'MAIN DATA, Orders'!$Y:$Y,$A31,'MAIN DATA, Orders'!$D:$D,"Poland",'MAIN DATA, Orders'!$I:$I,"Artillery")/1000000000)</f>
        <v>0</v>
      </c>
      <c r="L31" s="15">
        <f>(SUMIFS('MAIN DATA, Orders'!$U:$U,'MAIN DATA, Orders'!$Y:$Y,$A31,'MAIN DATA, Orders'!$D:$D,"Poland",'MAIN DATA, Orders'!$I:$I,"Development - Artillery")/1000000000)</f>
        <v>0</v>
      </c>
      <c r="M31" s="15">
        <f>(SUMIFS('MAIN DATA, Orders'!$U:$U,'MAIN DATA, Orders'!$Y:$Y,$A31,'MAIN DATA, Orders'!$D:$D,"Poland",'MAIN DATA, Orders'!$I:$I,"Drone")/1000000000)</f>
        <v>0</v>
      </c>
      <c r="N31" s="15">
        <f>(SUMIFS('MAIN DATA, Orders'!$U:$U,'MAIN DATA, Orders'!$Y:$Y,$A31,'MAIN DATA, Orders'!$D:$D,"Poland",'MAIN DATA, Orders'!$I:$I,"Development - Drone")/1000000000)</f>
        <v>0</v>
      </c>
      <c r="O31" s="15">
        <f>(SUMIFS('MAIN DATA, Orders'!$U:$U,'MAIN DATA, Orders'!$Y:$Y,$A31,'MAIN DATA, Orders'!$D:$D,"Poland",'MAIN DATA, Orders'!$I:$I,"Helicopter")/1000000000)</f>
        <v>0</v>
      </c>
      <c r="P31" s="15">
        <f>(SUMIFS('MAIN DATA, Orders'!$U:$U,'MAIN DATA, Orders'!$Y:$Y,$A31,'MAIN DATA, Orders'!$D:$D,"Poland",'MAIN DATA, Orders'!$I:$I,"Development - Helicopter")/1000000000)</f>
        <v>0</v>
      </c>
      <c r="Q31" s="15">
        <f>(SUMIFS('MAIN DATA, Orders'!$U:$U,'MAIN DATA, Orders'!$Y:$Y,$A31,'MAIN DATA, Orders'!$D:$D,"Poland",'MAIN DATA, Orders'!$I:$I,"Infantry")/1000000000)</f>
        <v>0</v>
      </c>
      <c r="R31" s="15">
        <f>(SUMIFS('MAIN DATA, Orders'!$U:$U,'MAIN DATA, Orders'!$Y:$Y,$A31,'MAIN DATA, Orders'!$D:$D,"Poland",'MAIN DATA, Orders'!$I:$I,"Development - Infantry")/1000000000)</f>
        <v>0</v>
      </c>
      <c r="S31" s="15">
        <f>(SUMIFS('MAIN DATA, Orders'!$U:$U,'MAIN DATA, Orders'!$Y:$Y,$A31,'MAIN DATA, Orders'!$D:$D,"Poland",'MAIN DATA, Orders'!$I:$I,"Tank")/1000000000)</f>
        <v>0</v>
      </c>
      <c r="T31" s="15">
        <f>(SUMIFS('MAIN DATA, Orders'!$U:$U,'MAIN DATA, Orders'!$Y:$Y,$A31,'MAIN DATA, Orders'!$D:$D,"Poland",'MAIN DATA, Orders'!$I:$I,"Development - Tank")/1000000000)</f>
        <v>0</v>
      </c>
      <c r="U31" s="15">
        <f>(SUMIFS('MAIN DATA, Orders'!$U:$U,'MAIN DATA, Orders'!$Y:$Y,$A31,'MAIN DATA, Orders'!$D:$D,"Poland",'MAIN DATA, Orders'!$I:$I,"Maintenance")/1000000000)</f>
        <v>0</v>
      </c>
      <c r="V31" s="15">
        <f>(SUMIFS('MAIN DATA, Orders'!$U:$U,'MAIN DATA, Orders'!$Y:$Y,$A31,'MAIN DATA, Orders'!$D:$D,"Poland",'MAIN DATA, Orders'!$I:$I,"Development - Maintenance")/1000000000)</f>
        <v>0</v>
      </c>
      <c r="W31" s="15">
        <f>(SUMIFS('MAIN DATA, Orders'!$U:$U,'MAIN DATA, Orders'!$Y:$Y,$A31,'MAIN DATA, Orders'!$D:$D,"Poland",'MAIN DATA, Orders'!$I:$I,"Mine")/1000000000)</f>
        <v>0</v>
      </c>
      <c r="X31" s="15">
        <f>(SUMIFS('MAIN DATA, Orders'!$U:$U,'MAIN DATA, Orders'!$Y:$Y,$A31,'MAIN DATA, Orders'!$D:$D,"Poland",'MAIN DATA, Orders'!$I:$I,"Development - Mine")/1000000000)</f>
        <v>0</v>
      </c>
      <c r="Y31" s="15">
        <f>(SUMIFS('MAIN DATA, Orders'!$U:$U,'MAIN DATA, Orders'!$Y:$Y,$A31,'MAIN DATA, Orders'!$D:$D,"Poland",'MAIN DATA, Orders'!$J:$J,"6")/1000000000)</f>
        <v>0</v>
      </c>
      <c r="Z31" s="15" cm="1">
        <f t="array" ref="Z31">SUM(SUMIFS('MAIN DATA, Orders'!$U:$U,'MAIN DATA, Orders'!$Y:$Y,$A31,'MAIN DATA, Orders'!$D:$D,"Poland",'MAIN DATA, Orders'!$I:$I,{"Development - Missile (Land)","Development - Missile (Naval)","Development - Missile (Air)"})/1000000000)</f>
        <v>0</v>
      </c>
      <c r="AA31" s="15">
        <f>(SUMIFS('MAIN DATA, Orders'!$U:$U,'MAIN DATA, Orders'!$Y:$Y,$A31,'MAIN DATA, Orders'!$D:$D,"Poland",'MAIN DATA, Orders'!$I:$I,"Modernisation")/1000000000)</f>
        <v>0</v>
      </c>
      <c r="AB31" s="15">
        <f>(SUMIFS('MAIN DATA, Orders'!$U:$U,'MAIN DATA, Orders'!$Y:$Y,$A31,'MAIN DATA, Orders'!$D:$D,"Poland",'MAIN DATA, Orders'!$I:$I,"Development - Modernisation")/1000000000)</f>
        <v>0</v>
      </c>
      <c r="AC31" s="15">
        <f>(SUMIFS('MAIN DATA, Orders'!$U:$U,'MAIN DATA, Orders'!$Y:$Y,$A31,'MAIN DATA, Orders'!$D:$D,"Poland",'MAIN DATA, Orders'!$I:$I,"Naval")/1000000000)</f>
        <v>0</v>
      </c>
      <c r="AD31" s="15">
        <f>(SUMIFS('MAIN DATA, Orders'!$U:$U,'MAIN DATA, Orders'!$Y:$Y,$A31,'MAIN DATA, Orders'!$D:$D,"Poland",'MAIN DATA, Orders'!$I:$I,"Development - Naval")/1000000000)</f>
        <v>0</v>
      </c>
      <c r="AE31" s="15">
        <f>(SUMIFS('MAIN DATA, Orders'!$U:$U,'MAIN DATA, Orders'!$Y:$Y,$A31,'MAIN DATA, Orders'!$D:$D,"Poland",'MAIN DATA, Orders'!$I:$I,"Other")/1000000000)</f>
        <v>0</v>
      </c>
      <c r="AF31" s="15">
        <f>(SUMIFS('MAIN DATA, Orders'!$U:$U,'MAIN DATA, Orders'!$Y:$Y,$A31,'MAIN DATA, Orders'!$D:$D,"Poland",'MAIN DATA, Orders'!$I:$I,"Development - Other")/1000000000)</f>
        <v>0</v>
      </c>
      <c r="AG31" s="15"/>
      <c r="AH31" s="15" cm="1">
        <f t="array" ref="AH31">SUM(SUMIFS('MAIN DATA, Orders'!$U:$U,'MAIN DATA, Orders'!$Y:$Y,$A31,'MAIN DATA, Orders'!$D:$D,"Poland",'MAIN DATA, Orders'!$I:$I,{"Missile (Land)","Development - Missile (Land)"})/1000000000)</f>
        <v>0</v>
      </c>
      <c r="AI31" s="15" cm="1">
        <f t="array" ref="AI31">SUM(SUMIFS('MAIN DATA, Orders'!$U:$U,'MAIN DATA, Orders'!$Y:$Y,$A31,'MAIN DATA, Orders'!$D:$D,"Poland",'MAIN DATA, Orders'!$I:$I,{"Missile (Air)","Development - Missile (Air)"})/1000000000)</f>
        <v>0</v>
      </c>
      <c r="AJ31" s="15" cm="1">
        <f t="array" ref="AJ31">SUM(SUMIFS('MAIN DATA, Orders'!$U:$U,'MAIN DATA, Orders'!$Y:$Y,$A31,'MAIN DATA, Orders'!$D:$D,"Poland",'MAIN DATA, Orders'!$I:$I,{"Missile (Naval)","Development - Missile (Naval)"})/1000000000)</f>
        <v>0</v>
      </c>
    </row>
    <row r="32" spans="1:36" x14ac:dyDescent="0.35">
      <c r="A32" s="20">
        <v>202102</v>
      </c>
      <c r="B32" s="17">
        <v>44228</v>
      </c>
      <c r="C32" s="15">
        <f>(SUMIFS('MAIN DATA, Orders'!$U:$U,'MAIN DATA, Orders'!$Y:$Y,$A32,'MAIN DATA, Orders'!$D:$D,"Poland",'MAIN DATA, Orders'!$I:$I,"Air defence system")/1000000000)</f>
        <v>0</v>
      </c>
      <c r="D32" s="15">
        <f>(SUMIFS('MAIN DATA, Orders'!$U:$U,'MAIN DATA, Orders'!$Y:$Y,$A32,'MAIN DATA, Orders'!$D:$D,"Poland",'MAIN DATA, Orders'!$I:$I,"Development - Air defence system")/1000000000)</f>
        <v>0</v>
      </c>
      <c r="E32" s="15">
        <f>(SUMIFS('MAIN DATA, Orders'!$U:$U,'MAIN DATA, Orders'!$Y:$Y,$A32,'MAIN DATA, Orders'!$D:$D,"Poland",'MAIN DATA, Orders'!$I:$I,"Aircraft")/1000000000)</f>
        <v>0</v>
      </c>
      <c r="F32" s="15">
        <f>(SUMIFS('MAIN DATA, Orders'!$U:$U,'MAIN DATA, Orders'!$Y:$Y,$A32,'MAIN DATA, Orders'!$D:$D,"Poland",'MAIN DATA, Orders'!$I:$I,"Development - Aircraft")/1000000000)</f>
        <v>0</v>
      </c>
      <c r="G32" s="15">
        <f>(SUMIFS('MAIN DATA, Orders'!$U:$U,'MAIN DATA, Orders'!$Y:$Y,$A32,'MAIN DATA, Orders'!$D:$D,"Poland",'MAIN DATA, Orders'!$I:$I,"Ammunition")/1000000000)</f>
        <v>0</v>
      </c>
      <c r="H32" s="15">
        <f>(SUMIFS('MAIN DATA, Orders'!$U:$U,'MAIN DATA, Orders'!$Y:$Y,$A32,'MAIN DATA, Orders'!$D:$D,"Poland",'MAIN DATA, Orders'!$I:$I,"Development - Ammunition")/1000000000)</f>
        <v>0</v>
      </c>
      <c r="I32" s="15">
        <f>(SUMIFS('MAIN DATA, Orders'!$U:$U,'MAIN DATA, Orders'!$Y:$Y,$A32,'MAIN DATA, Orders'!$D:$D,"Poland",'MAIN DATA, Orders'!$I:$I,"Armoured vehicle")/1000000000)</f>
        <v>0</v>
      </c>
      <c r="J32" s="15">
        <f>(SUMIFS('MAIN DATA, Orders'!$U:$U,'MAIN DATA, Orders'!$Y:$Y,$A32,'MAIN DATA, Orders'!$D:$D,"Poland",'MAIN DATA, Orders'!$I:$I,"Development - Armoured vehicle")/1000000000)</f>
        <v>0</v>
      </c>
      <c r="K32" s="15">
        <f>(SUMIFS('MAIN DATA, Orders'!$U:$U,'MAIN DATA, Orders'!$Y:$Y,$A32,'MAIN DATA, Orders'!$D:$D,"Poland",'MAIN DATA, Orders'!$I:$I,"Artillery")/1000000000)</f>
        <v>0</v>
      </c>
      <c r="L32" s="15">
        <f>(SUMIFS('MAIN DATA, Orders'!$U:$U,'MAIN DATA, Orders'!$Y:$Y,$A32,'MAIN DATA, Orders'!$D:$D,"Poland",'MAIN DATA, Orders'!$I:$I,"Development - Artillery")/1000000000)</f>
        <v>0</v>
      </c>
      <c r="M32" s="15">
        <f>(SUMIFS('MAIN DATA, Orders'!$U:$U,'MAIN DATA, Orders'!$Y:$Y,$A32,'MAIN DATA, Orders'!$D:$D,"Poland",'MAIN DATA, Orders'!$I:$I,"Drone")/1000000000)</f>
        <v>0</v>
      </c>
      <c r="N32" s="15">
        <f>(SUMIFS('MAIN DATA, Orders'!$U:$U,'MAIN DATA, Orders'!$Y:$Y,$A32,'MAIN DATA, Orders'!$D:$D,"Poland",'MAIN DATA, Orders'!$I:$I,"Development - Drone")/1000000000)</f>
        <v>0</v>
      </c>
      <c r="O32" s="15">
        <f>(SUMIFS('MAIN DATA, Orders'!$U:$U,'MAIN DATA, Orders'!$Y:$Y,$A32,'MAIN DATA, Orders'!$D:$D,"Poland",'MAIN DATA, Orders'!$I:$I,"Helicopter")/1000000000)</f>
        <v>0</v>
      </c>
      <c r="P32" s="15">
        <f>(SUMIFS('MAIN DATA, Orders'!$U:$U,'MAIN DATA, Orders'!$Y:$Y,$A32,'MAIN DATA, Orders'!$D:$D,"Poland",'MAIN DATA, Orders'!$I:$I,"Development - Helicopter")/1000000000)</f>
        <v>0</v>
      </c>
      <c r="Q32" s="15">
        <f>(SUMIFS('MAIN DATA, Orders'!$U:$U,'MAIN DATA, Orders'!$Y:$Y,$A32,'MAIN DATA, Orders'!$D:$D,"Poland",'MAIN DATA, Orders'!$I:$I,"Infantry")/1000000000)</f>
        <v>0</v>
      </c>
      <c r="R32" s="15">
        <f>(SUMIFS('MAIN DATA, Orders'!$U:$U,'MAIN DATA, Orders'!$Y:$Y,$A32,'MAIN DATA, Orders'!$D:$D,"Poland",'MAIN DATA, Orders'!$I:$I,"Development - Infantry")/1000000000)</f>
        <v>0</v>
      </c>
      <c r="S32" s="15">
        <f>(SUMIFS('MAIN DATA, Orders'!$U:$U,'MAIN DATA, Orders'!$Y:$Y,$A32,'MAIN DATA, Orders'!$D:$D,"Poland",'MAIN DATA, Orders'!$I:$I,"Tank")/1000000000)</f>
        <v>0</v>
      </c>
      <c r="T32" s="15">
        <f>(SUMIFS('MAIN DATA, Orders'!$U:$U,'MAIN DATA, Orders'!$Y:$Y,$A32,'MAIN DATA, Orders'!$D:$D,"Poland",'MAIN DATA, Orders'!$I:$I,"Development - Tank")/1000000000)</f>
        <v>0</v>
      </c>
      <c r="U32" s="15">
        <f>(SUMIFS('MAIN DATA, Orders'!$U:$U,'MAIN DATA, Orders'!$Y:$Y,$A32,'MAIN DATA, Orders'!$D:$D,"Poland",'MAIN DATA, Orders'!$I:$I,"Maintenance")/1000000000)</f>
        <v>0</v>
      </c>
      <c r="V32" s="15">
        <f>(SUMIFS('MAIN DATA, Orders'!$U:$U,'MAIN DATA, Orders'!$Y:$Y,$A32,'MAIN DATA, Orders'!$D:$D,"Poland",'MAIN DATA, Orders'!$I:$I,"Development - Maintenance")/1000000000)</f>
        <v>0</v>
      </c>
      <c r="W32" s="15">
        <f>(SUMIFS('MAIN DATA, Orders'!$U:$U,'MAIN DATA, Orders'!$Y:$Y,$A32,'MAIN DATA, Orders'!$D:$D,"Poland",'MAIN DATA, Orders'!$I:$I,"Mine")/1000000000)</f>
        <v>0</v>
      </c>
      <c r="X32" s="15">
        <f>(SUMIFS('MAIN DATA, Orders'!$U:$U,'MAIN DATA, Orders'!$Y:$Y,$A32,'MAIN DATA, Orders'!$D:$D,"Poland",'MAIN DATA, Orders'!$I:$I,"Development - Mine")/1000000000)</f>
        <v>0</v>
      </c>
      <c r="Y32" s="15">
        <f>(SUMIFS('MAIN DATA, Orders'!$U:$U,'MAIN DATA, Orders'!$Y:$Y,$A32,'MAIN DATA, Orders'!$D:$D,"Poland",'MAIN DATA, Orders'!$J:$J,"6")/1000000000)</f>
        <v>0</v>
      </c>
      <c r="Z32" s="15" cm="1">
        <f t="array" ref="Z32">SUM(SUMIFS('MAIN DATA, Orders'!$U:$U,'MAIN DATA, Orders'!$Y:$Y,$A32,'MAIN DATA, Orders'!$D:$D,"Poland",'MAIN DATA, Orders'!$I:$I,{"Development - Missile (Land)","Development - Missile (Naval)","Development - Missile (Air)"})/1000000000)</f>
        <v>0</v>
      </c>
      <c r="AA32" s="15">
        <f>(SUMIFS('MAIN DATA, Orders'!$U:$U,'MAIN DATA, Orders'!$Y:$Y,$A32,'MAIN DATA, Orders'!$D:$D,"Poland",'MAIN DATA, Orders'!$I:$I,"Modernisation")/1000000000)</f>
        <v>0</v>
      </c>
      <c r="AB32" s="15">
        <f>(SUMIFS('MAIN DATA, Orders'!$U:$U,'MAIN DATA, Orders'!$Y:$Y,$A32,'MAIN DATA, Orders'!$D:$D,"Poland",'MAIN DATA, Orders'!$I:$I,"Development - Modernisation")/1000000000)</f>
        <v>0</v>
      </c>
      <c r="AC32" s="15">
        <f>(SUMIFS('MAIN DATA, Orders'!$U:$U,'MAIN DATA, Orders'!$Y:$Y,$A32,'MAIN DATA, Orders'!$D:$D,"Poland",'MAIN DATA, Orders'!$I:$I,"Naval")/1000000000)</f>
        <v>0</v>
      </c>
      <c r="AD32" s="15">
        <f>(SUMIFS('MAIN DATA, Orders'!$U:$U,'MAIN DATA, Orders'!$Y:$Y,$A32,'MAIN DATA, Orders'!$D:$D,"Poland",'MAIN DATA, Orders'!$I:$I,"Development - Naval")/1000000000)</f>
        <v>0</v>
      </c>
      <c r="AE32" s="15">
        <f>(SUMIFS('MAIN DATA, Orders'!$U:$U,'MAIN DATA, Orders'!$Y:$Y,$A32,'MAIN DATA, Orders'!$D:$D,"Poland",'MAIN DATA, Orders'!$I:$I,"Other")/1000000000)</f>
        <v>0</v>
      </c>
      <c r="AF32" s="15">
        <f>(SUMIFS('MAIN DATA, Orders'!$U:$U,'MAIN DATA, Orders'!$Y:$Y,$A32,'MAIN DATA, Orders'!$D:$D,"Poland",'MAIN DATA, Orders'!$I:$I,"Development - Other")/1000000000)</f>
        <v>0</v>
      </c>
      <c r="AG32" s="15"/>
      <c r="AH32" s="15" cm="1">
        <f t="array" ref="AH32">SUM(SUMIFS('MAIN DATA, Orders'!$U:$U,'MAIN DATA, Orders'!$Y:$Y,$A32,'MAIN DATA, Orders'!$D:$D,"Poland",'MAIN DATA, Orders'!$I:$I,{"Missile (Land)","Development - Missile (Land)"})/1000000000)</f>
        <v>0</v>
      </c>
      <c r="AI32" s="15" cm="1">
        <f t="array" ref="AI32">SUM(SUMIFS('MAIN DATA, Orders'!$U:$U,'MAIN DATA, Orders'!$Y:$Y,$A32,'MAIN DATA, Orders'!$D:$D,"Poland",'MAIN DATA, Orders'!$I:$I,{"Missile (Air)","Development - Missile (Air)"})/1000000000)</f>
        <v>0</v>
      </c>
      <c r="AJ32" s="15" cm="1">
        <f t="array" ref="AJ32">SUM(SUMIFS('MAIN DATA, Orders'!$U:$U,'MAIN DATA, Orders'!$Y:$Y,$A32,'MAIN DATA, Orders'!$D:$D,"Poland",'MAIN DATA, Orders'!$I:$I,{"Missile (Naval)","Development - Missile (Naval)"})/1000000000)</f>
        <v>0</v>
      </c>
    </row>
    <row r="33" spans="1:36" x14ac:dyDescent="0.35">
      <c r="A33" s="20">
        <v>202103</v>
      </c>
      <c r="B33" s="17">
        <v>44256</v>
      </c>
      <c r="C33" s="15">
        <f>(SUMIFS('MAIN DATA, Orders'!$U:$U,'MAIN DATA, Orders'!$Y:$Y,$A33,'MAIN DATA, Orders'!$D:$D,"Poland",'MAIN DATA, Orders'!$I:$I,"Air defence system")/1000000000)</f>
        <v>0</v>
      </c>
      <c r="D33" s="15">
        <f>(SUMIFS('MAIN DATA, Orders'!$U:$U,'MAIN DATA, Orders'!$Y:$Y,$A33,'MAIN DATA, Orders'!$D:$D,"Poland",'MAIN DATA, Orders'!$I:$I,"Development - Air defence system")/1000000000)</f>
        <v>0</v>
      </c>
      <c r="E33" s="15">
        <f>(SUMIFS('MAIN DATA, Orders'!$U:$U,'MAIN DATA, Orders'!$Y:$Y,$A33,'MAIN DATA, Orders'!$D:$D,"Poland",'MAIN DATA, Orders'!$I:$I,"Aircraft")/1000000000)</f>
        <v>0</v>
      </c>
      <c r="F33" s="15">
        <f>(SUMIFS('MAIN DATA, Orders'!$U:$U,'MAIN DATA, Orders'!$Y:$Y,$A33,'MAIN DATA, Orders'!$D:$D,"Poland",'MAIN DATA, Orders'!$I:$I,"Development - Aircraft")/1000000000)</f>
        <v>0</v>
      </c>
      <c r="G33" s="15">
        <f>(SUMIFS('MAIN DATA, Orders'!$U:$U,'MAIN DATA, Orders'!$Y:$Y,$A33,'MAIN DATA, Orders'!$D:$D,"Poland",'MAIN DATA, Orders'!$I:$I,"Ammunition")/1000000000)</f>
        <v>0</v>
      </c>
      <c r="H33" s="15">
        <f>(SUMIFS('MAIN DATA, Orders'!$U:$U,'MAIN DATA, Orders'!$Y:$Y,$A33,'MAIN DATA, Orders'!$D:$D,"Poland",'MAIN DATA, Orders'!$I:$I,"Development - Ammunition")/1000000000)</f>
        <v>0</v>
      </c>
      <c r="I33" s="15">
        <f>(SUMIFS('MAIN DATA, Orders'!$U:$U,'MAIN DATA, Orders'!$Y:$Y,$A33,'MAIN DATA, Orders'!$D:$D,"Poland",'MAIN DATA, Orders'!$I:$I,"Armoured vehicle")/1000000000)</f>
        <v>0</v>
      </c>
      <c r="J33" s="15">
        <f>(SUMIFS('MAIN DATA, Orders'!$U:$U,'MAIN DATA, Orders'!$Y:$Y,$A33,'MAIN DATA, Orders'!$D:$D,"Poland",'MAIN DATA, Orders'!$I:$I,"Development - Armoured vehicle")/1000000000)</f>
        <v>0</v>
      </c>
      <c r="K33" s="15">
        <f>(SUMIFS('MAIN DATA, Orders'!$U:$U,'MAIN DATA, Orders'!$Y:$Y,$A33,'MAIN DATA, Orders'!$D:$D,"Poland",'MAIN DATA, Orders'!$I:$I,"Artillery")/1000000000)</f>
        <v>0</v>
      </c>
      <c r="L33" s="15">
        <f>(SUMIFS('MAIN DATA, Orders'!$U:$U,'MAIN DATA, Orders'!$Y:$Y,$A33,'MAIN DATA, Orders'!$D:$D,"Poland",'MAIN DATA, Orders'!$I:$I,"Development - Artillery")/1000000000)</f>
        <v>0</v>
      </c>
      <c r="M33" s="15">
        <f>(SUMIFS('MAIN DATA, Orders'!$U:$U,'MAIN DATA, Orders'!$Y:$Y,$A33,'MAIN DATA, Orders'!$D:$D,"Poland",'MAIN DATA, Orders'!$I:$I,"Drone")/1000000000)</f>
        <v>0</v>
      </c>
      <c r="N33" s="15">
        <f>(SUMIFS('MAIN DATA, Orders'!$U:$U,'MAIN DATA, Orders'!$Y:$Y,$A33,'MAIN DATA, Orders'!$D:$D,"Poland",'MAIN DATA, Orders'!$I:$I,"Development - Drone")/1000000000)</f>
        <v>0</v>
      </c>
      <c r="O33" s="15">
        <f>(SUMIFS('MAIN DATA, Orders'!$U:$U,'MAIN DATA, Orders'!$Y:$Y,$A33,'MAIN DATA, Orders'!$D:$D,"Poland",'MAIN DATA, Orders'!$I:$I,"Helicopter")/1000000000)</f>
        <v>0</v>
      </c>
      <c r="P33" s="15">
        <f>(SUMIFS('MAIN DATA, Orders'!$U:$U,'MAIN DATA, Orders'!$Y:$Y,$A33,'MAIN DATA, Orders'!$D:$D,"Poland",'MAIN DATA, Orders'!$I:$I,"Development - Helicopter")/1000000000)</f>
        <v>0</v>
      </c>
      <c r="Q33" s="15">
        <f>(SUMIFS('MAIN DATA, Orders'!$U:$U,'MAIN DATA, Orders'!$Y:$Y,$A33,'MAIN DATA, Orders'!$D:$D,"Poland",'MAIN DATA, Orders'!$I:$I,"Infantry")/1000000000)</f>
        <v>0</v>
      </c>
      <c r="R33" s="15">
        <f>(SUMIFS('MAIN DATA, Orders'!$U:$U,'MAIN DATA, Orders'!$Y:$Y,$A33,'MAIN DATA, Orders'!$D:$D,"Poland",'MAIN DATA, Orders'!$I:$I,"Development - Infantry")/1000000000)</f>
        <v>0</v>
      </c>
      <c r="S33" s="15">
        <f>(SUMIFS('MAIN DATA, Orders'!$U:$U,'MAIN DATA, Orders'!$Y:$Y,$A33,'MAIN DATA, Orders'!$D:$D,"Poland",'MAIN DATA, Orders'!$I:$I,"Tank")/1000000000)</f>
        <v>0</v>
      </c>
      <c r="T33" s="15">
        <f>(SUMIFS('MAIN DATA, Orders'!$U:$U,'MAIN DATA, Orders'!$Y:$Y,$A33,'MAIN DATA, Orders'!$D:$D,"Poland",'MAIN DATA, Orders'!$I:$I,"Development - Tank")/1000000000)</f>
        <v>0</v>
      </c>
      <c r="U33" s="15">
        <f>(SUMIFS('MAIN DATA, Orders'!$U:$U,'MAIN DATA, Orders'!$Y:$Y,$A33,'MAIN DATA, Orders'!$D:$D,"Poland",'MAIN DATA, Orders'!$I:$I,"Maintenance")/1000000000)</f>
        <v>0</v>
      </c>
      <c r="V33" s="15">
        <f>(SUMIFS('MAIN DATA, Orders'!$U:$U,'MAIN DATA, Orders'!$Y:$Y,$A33,'MAIN DATA, Orders'!$D:$D,"Poland",'MAIN DATA, Orders'!$I:$I,"Development - Maintenance")/1000000000)</f>
        <v>0</v>
      </c>
      <c r="W33" s="15">
        <f>(SUMIFS('MAIN DATA, Orders'!$U:$U,'MAIN DATA, Orders'!$Y:$Y,$A33,'MAIN DATA, Orders'!$D:$D,"Poland",'MAIN DATA, Orders'!$I:$I,"Mine")/1000000000)</f>
        <v>0</v>
      </c>
      <c r="X33" s="15">
        <f>(SUMIFS('MAIN DATA, Orders'!$U:$U,'MAIN DATA, Orders'!$Y:$Y,$A33,'MAIN DATA, Orders'!$D:$D,"Poland",'MAIN DATA, Orders'!$I:$I,"Development - Mine")/1000000000)</f>
        <v>0</v>
      </c>
      <c r="Y33" s="15">
        <f>(SUMIFS('MAIN DATA, Orders'!$U:$U,'MAIN DATA, Orders'!$Y:$Y,$A33,'MAIN DATA, Orders'!$D:$D,"Poland",'MAIN DATA, Orders'!$J:$J,"6")/1000000000)</f>
        <v>0</v>
      </c>
      <c r="Z33" s="15" cm="1">
        <f t="array" ref="Z33">SUM(SUMIFS('MAIN DATA, Orders'!$U:$U,'MAIN DATA, Orders'!$Y:$Y,$A33,'MAIN DATA, Orders'!$D:$D,"Poland",'MAIN DATA, Orders'!$I:$I,{"Development - Missile (Land)","Development - Missile (Naval)","Development - Missile (Air)"})/1000000000)</f>
        <v>0</v>
      </c>
      <c r="AA33" s="15">
        <f>(SUMIFS('MAIN DATA, Orders'!$U:$U,'MAIN DATA, Orders'!$Y:$Y,$A33,'MAIN DATA, Orders'!$D:$D,"Poland",'MAIN DATA, Orders'!$I:$I,"Modernisation")/1000000000)</f>
        <v>0</v>
      </c>
      <c r="AB33" s="15">
        <f>(SUMIFS('MAIN DATA, Orders'!$U:$U,'MAIN DATA, Orders'!$Y:$Y,$A33,'MAIN DATA, Orders'!$D:$D,"Poland",'MAIN DATA, Orders'!$I:$I,"Development - Modernisation")/1000000000)</f>
        <v>0</v>
      </c>
      <c r="AC33" s="15">
        <f>(SUMIFS('MAIN DATA, Orders'!$U:$U,'MAIN DATA, Orders'!$Y:$Y,$A33,'MAIN DATA, Orders'!$D:$D,"Poland",'MAIN DATA, Orders'!$I:$I,"Naval")/1000000000)</f>
        <v>0</v>
      </c>
      <c r="AD33" s="15">
        <f>(SUMIFS('MAIN DATA, Orders'!$U:$U,'MAIN DATA, Orders'!$Y:$Y,$A33,'MAIN DATA, Orders'!$D:$D,"Poland",'MAIN DATA, Orders'!$I:$I,"Development - Naval")/1000000000)</f>
        <v>0</v>
      </c>
      <c r="AE33" s="15">
        <f>(SUMIFS('MAIN DATA, Orders'!$U:$U,'MAIN DATA, Orders'!$Y:$Y,$A33,'MAIN DATA, Orders'!$D:$D,"Poland",'MAIN DATA, Orders'!$I:$I,"Other")/1000000000)</f>
        <v>0</v>
      </c>
      <c r="AF33" s="15">
        <f>(SUMIFS('MAIN DATA, Orders'!$U:$U,'MAIN DATA, Orders'!$Y:$Y,$A33,'MAIN DATA, Orders'!$D:$D,"Poland",'MAIN DATA, Orders'!$I:$I,"Development - Other")/1000000000)</f>
        <v>0</v>
      </c>
      <c r="AG33" s="15"/>
      <c r="AH33" s="15" cm="1">
        <f t="array" ref="AH33">SUM(SUMIFS('MAIN DATA, Orders'!$U:$U,'MAIN DATA, Orders'!$Y:$Y,$A33,'MAIN DATA, Orders'!$D:$D,"Poland",'MAIN DATA, Orders'!$I:$I,{"Missile (Land)","Development - Missile (Land)"})/1000000000)</f>
        <v>0</v>
      </c>
      <c r="AI33" s="15" cm="1">
        <f t="array" ref="AI33">SUM(SUMIFS('MAIN DATA, Orders'!$U:$U,'MAIN DATA, Orders'!$Y:$Y,$A33,'MAIN DATA, Orders'!$D:$D,"Poland",'MAIN DATA, Orders'!$I:$I,{"Missile (Air)","Development - Missile (Air)"})/1000000000)</f>
        <v>0</v>
      </c>
      <c r="AJ33" s="15" cm="1">
        <f t="array" ref="AJ33">SUM(SUMIFS('MAIN DATA, Orders'!$U:$U,'MAIN DATA, Orders'!$Y:$Y,$A33,'MAIN DATA, Orders'!$D:$D,"Poland",'MAIN DATA, Orders'!$I:$I,{"Missile (Naval)","Development - Missile (Naval)"})/1000000000)</f>
        <v>0</v>
      </c>
    </row>
    <row r="34" spans="1:36" x14ac:dyDescent="0.35">
      <c r="A34" s="20">
        <v>202104</v>
      </c>
      <c r="B34" s="17">
        <v>44287</v>
      </c>
      <c r="C34" s="15">
        <f>(SUMIFS('MAIN DATA, Orders'!$U:$U,'MAIN DATA, Orders'!$Y:$Y,$A34,'MAIN DATA, Orders'!$D:$D,"Poland",'MAIN DATA, Orders'!$I:$I,"Air defence system")/1000000000)</f>
        <v>0</v>
      </c>
      <c r="D34" s="15">
        <f>(SUMIFS('MAIN DATA, Orders'!$U:$U,'MAIN DATA, Orders'!$Y:$Y,$A34,'MAIN DATA, Orders'!$D:$D,"Poland",'MAIN DATA, Orders'!$I:$I,"Development - Air defence system")/1000000000)</f>
        <v>0</v>
      </c>
      <c r="E34" s="15">
        <f>(SUMIFS('MAIN DATA, Orders'!$U:$U,'MAIN DATA, Orders'!$Y:$Y,$A34,'MAIN DATA, Orders'!$D:$D,"Poland",'MAIN DATA, Orders'!$I:$I,"Aircraft")/1000000000)</f>
        <v>0</v>
      </c>
      <c r="F34" s="15">
        <f>(SUMIFS('MAIN DATA, Orders'!$U:$U,'MAIN DATA, Orders'!$Y:$Y,$A34,'MAIN DATA, Orders'!$D:$D,"Poland",'MAIN DATA, Orders'!$I:$I,"Development - Aircraft")/1000000000)</f>
        <v>0</v>
      </c>
      <c r="G34" s="15">
        <f>(SUMIFS('MAIN DATA, Orders'!$U:$U,'MAIN DATA, Orders'!$Y:$Y,$A34,'MAIN DATA, Orders'!$D:$D,"Poland",'MAIN DATA, Orders'!$I:$I,"Ammunition")/1000000000)</f>
        <v>5.6076404100587049E-2</v>
      </c>
      <c r="H34" s="15">
        <f>(SUMIFS('MAIN DATA, Orders'!$U:$U,'MAIN DATA, Orders'!$Y:$Y,$A34,'MAIN DATA, Orders'!$D:$D,"Poland",'MAIN DATA, Orders'!$I:$I,"Development - Ammunition")/1000000000)</f>
        <v>0</v>
      </c>
      <c r="I34" s="15">
        <f>(SUMIFS('MAIN DATA, Orders'!$U:$U,'MAIN DATA, Orders'!$Y:$Y,$A34,'MAIN DATA, Orders'!$D:$D,"Poland",'MAIN DATA, Orders'!$I:$I,"Armoured vehicle")/1000000000)</f>
        <v>0</v>
      </c>
      <c r="J34" s="15">
        <f>(SUMIFS('MAIN DATA, Orders'!$U:$U,'MAIN DATA, Orders'!$Y:$Y,$A34,'MAIN DATA, Orders'!$D:$D,"Poland",'MAIN DATA, Orders'!$I:$I,"Development - Armoured vehicle")/1000000000)</f>
        <v>0</v>
      </c>
      <c r="K34" s="15">
        <f>(SUMIFS('MAIN DATA, Orders'!$U:$U,'MAIN DATA, Orders'!$Y:$Y,$A34,'MAIN DATA, Orders'!$D:$D,"Poland",'MAIN DATA, Orders'!$I:$I,"Artillery")/1000000000)</f>
        <v>0</v>
      </c>
      <c r="L34" s="15">
        <f>(SUMIFS('MAIN DATA, Orders'!$U:$U,'MAIN DATA, Orders'!$Y:$Y,$A34,'MAIN DATA, Orders'!$D:$D,"Poland",'MAIN DATA, Orders'!$I:$I,"Development - Artillery")/1000000000)</f>
        <v>0</v>
      </c>
      <c r="M34" s="15">
        <f>(SUMIFS('MAIN DATA, Orders'!$U:$U,'MAIN DATA, Orders'!$Y:$Y,$A34,'MAIN DATA, Orders'!$D:$D,"Poland",'MAIN DATA, Orders'!$I:$I,"Drone")/1000000000)</f>
        <v>0</v>
      </c>
      <c r="N34" s="15">
        <f>(SUMIFS('MAIN DATA, Orders'!$U:$U,'MAIN DATA, Orders'!$Y:$Y,$A34,'MAIN DATA, Orders'!$D:$D,"Poland",'MAIN DATA, Orders'!$I:$I,"Development - Drone")/1000000000)</f>
        <v>0</v>
      </c>
      <c r="O34" s="15">
        <f>(SUMIFS('MAIN DATA, Orders'!$U:$U,'MAIN DATA, Orders'!$Y:$Y,$A34,'MAIN DATA, Orders'!$D:$D,"Poland",'MAIN DATA, Orders'!$I:$I,"Helicopter")/1000000000)</f>
        <v>0</v>
      </c>
      <c r="P34" s="15">
        <f>(SUMIFS('MAIN DATA, Orders'!$U:$U,'MAIN DATA, Orders'!$Y:$Y,$A34,'MAIN DATA, Orders'!$D:$D,"Poland",'MAIN DATA, Orders'!$I:$I,"Development - Helicopter")/1000000000)</f>
        <v>0</v>
      </c>
      <c r="Q34" s="15">
        <f>(SUMIFS('MAIN DATA, Orders'!$U:$U,'MAIN DATA, Orders'!$Y:$Y,$A34,'MAIN DATA, Orders'!$D:$D,"Poland",'MAIN DATA, Orders'!$I:$I,"Infantry")/1000000000)</f>
        <v>0</v>
      </c>
      <c r="R34" s="15">
        <f>(SUMIFS('MAIN DATA, Orders'!$U:$U,'MAIN DATA, Orders'!$Y:$Y,$A34,'MAIN DATA, Orders'!$D:$D,"Poland",'MAIN DATA, Orders'!$I:$I,"Development - Infantry")/1000000000)</f>
        <v>0</v>
      </c>
      <c r="S34" s="15">
        <f>(SUMIFS('MAIN DATA, Orders'!$U:$U,'MAIN DATA, Orders'!$Y:$Y,$A34,'MAIN DATA, Orders'!$D:$D,"Poland",'MAIN DATA, Orders'!$I:$I,"Tank")/1000000000)</f>
        <v>0</v>
      </c>
      <c r="T34" s="15">
        <f>(SUMIFS('MAIN DATA, Orders'!$U:$U,'MAIN DATA, Orders'!$Y:$Y,$A34,'MAIN DATA, Orders'!$D:$D,"Poland",'MAIN DATA, Orders'!$I:$I,"Development - Tank")/1000000000)</f>
        <v>0</v>
      </c>
      <c r="U34" s="15">
        <f>(SUMIFS('MAIN DATA, Orders'!$U:$U,'MAIN DATA, Orders'!$Y:$Y,$A34,'MAIN DATA, Orders'!$D:$D,"Poland",'MAIN DATA, Orders'!$I:$I,"Maintenance")/1000000000)</f>
        <v>0</v>
      </c>
      <c r="V34" s="15">
        <f>(SUMIFS('MAIN DATA, Orders'!$U:$U,'MAIN DATA, Orders'!$Y:$Y,$A34,'MAIN DATA, Orders'!$D:$D,"Poland",'MAIN DATA, Orders'!$I:$I,"Development - Maintenance")/1000000000)</f>
        <v>0</v>
      </c>
      <c r="W34" s="15">
        <f>(SUMIFS('MAIN DATA, Orders'!$U:$U,'MAIN DATA, Orders'!$Y:$Y,$A34,'MAIN DATA, Orders'!$D:$D,"Poland",'MAIN DATA, Orders'!$I:$I,"Mine")/1000000000)</f>
        <v>0</v>
      </c>
      <c r="X34" s="15">
        <f>(SUMIFS('MAIN DATA, Orders'!$U:$U,'MAIN DATA, Orders'!$Y:$Y,$A34,'MAIN DATA, Orders'!$D:$D,"Poland",'MAIN DATA, Orders'!$I:$I,"Development - Mine")/1000000000)</f>
        <v>0</v>
      </c>
      <c r="Y34" s="15">
        <f>(SUMIFS('MAIN DATA, Orders'!$U:$U,'MAIN DATA, Orders'!$Y:$Y,$A34,'MAIN DATA, Orders'!$D:$D,"Poland",'MAIN DATA, Orders'!$J:$J,"6")/1000000000)</f>
        <v>2.1028651537720145E-2</v>
      </c>
      <c r="Z34" s="15" cm="1">
        <f t="array" ref="Z34">SUM(SUMIFS('MAIN DATA, Orders'!$U:$U,'MAIN DATA, Orders'!$Y:$Y,$A34,'MAIN DATA, Orders'!$D:$D,"Poland",'MAIN DATA, Orders'!$I:$I,{"Development - Missile (Land)","Development - Missile (Naval)","Development - Missile (Air)"})/1000000000)</f>
        <v>0</v>
      </c>
      <c r="AA34" s="15">
        <f>(SUMIFS('MAIN DATA, Orders'!$U:$U,'MAIN DATA, Orders'!$Y:$Y,$A34,'MAIN DATA, Orders'!$D:$D,"Poland",'MAIN DATA, Orders'!$I:$I,"Modernisation")/1000000000)</f>
        <v>0</v>
      </c>
      <c r="AB34" s="15">
        <f>(SUMIFS('MAIN DATA, Orders'!$U:$U,'MAIN DATA, Orders'!$Y:$Y,$A34,'MAIN DATA, Orders'!$D:$D,"Poland",'MAIN DATA, Orders'!$I:$I,"Development - Modernisation")/1000000000)</f>
        <v>0</v>
      </c>
      <c r="AC34" s="15">
        <f>(SUMIFS('MAIN DATA, Orders'!$U:$U,'MAIN DATA, Orders'!$Y:$Y,$A34,'MAIN DATA, Orders'!$D:$D,"Poland",'MAIN DATA, Orders'!$I:$I,"Naval")/1000000000)</f>
        <v>0</v>
      </c>
      <c r="AD34" s="15">
        <f>(SUMIFS('MAIN DATA, Orders'!$U:$U,'MAIN DATA, Orders'!$Y:$Y,$A34,'MAIN DATA, Orders'!$D:$D,"Poland",'MAIN DATA, Orders'!$I:$I,"Development - Naval")/1000000000)</f>
        <v>0</v>
      </c>
      <c r="AE34" s="15">
        <f>(SUMIFS('MAIN DATA, Orders'!$U:$U,'MAIN DATA, Orders'!$Y:$Y,$A34,'MAIN DATA, Orders'!$D:$D,"Poland",'MAIN DATA, Orders'!$I:$I,"Other")/1000000000)</f>
        <v>0</v>
      </c>
      <c r="AF34" s="15">
        <f>(SUMIFS('MAIN DATA, Orders'!$U:$U,'MAIN DATA, Orders'!$Y:$Y,$A34,'MAIN DATA, Orders'!$D:$D,"Poland",'MAIN DATA, Orders'!$I:$I,"Development - Other")/1000000000)</f>
        <v>0</v>
      </c>
      <c r="AG34" s="15"/>
      <c r="AH34" s="15" cm="1">
        <f t="array" ref="AH34">SUM(SUMIFS('MAIN DATA, Orders'!$U:$U,'MAIN DATA, Orders'!$Y:$Y,$A34,'MAIN DATA, Orders'!$D:$D,"Poland",'MAIN DATA, Orders'!$I:$I,{"Missile (Land)","Development - Missile (Land)"})/1000000000)</f>
        <v>2.1028651537720145E-2</v>
      </c>
      <c r="AI34" s="15" cm="1">
        <f t="array" ref="AI34">SUM(SUMIFS('MAIN DATA, Orders'!$U:$U,'MAIN DATA, Orders'!$Y:$Y,$A34,'MAIN DATA, Orders'!$D:$D,"Poland",'MAIN DATA, Orders'!$I:$I,{"Missile (Air)","Development - Missile (Air)"})/1000000000)</f>
        <v>0</v>
      </c>
      <c r="AJ34" s="15" cm="1">
        <f t="array" ref="AJ34">SUM(SUMIFS('MAIN DATA, Orders'!$U:$U,'MAIN DATA, Orders'!$Y:$Y,$A34,'MAIN DATA, Orders'!$D:$D,"Poland",'MAIN DATA, Orders'!$I:$I,{"Missile (Naval)","Development - Missile (Naval)"})/1000000000)</f>
        <v>0</v>
      </c>
    </row>
    <row r="35" spans="1:36" x14ac:dyDescent="0.35">
      <c r="A35" s="20">
        <v>202105</v>
      </c>
      <c r="B35" s="17">
        <v>44317</v>
      </c>
      <c r="C35" s="15">
        <f>(SUMIFS('MAIN DATA, Orders'!$U:$U,'MAIN DATA, Orders'!$Y:$Y,$A35,'MAIN DATA, Orders'!$D:$D,"Poland",'MAIN DATA, Orders'!$I:$I,"Air defence system")/1000000000)</f>
        <v>0</v>
      </c>
      <c r="D35" s="15">
        <f>(SUMIFS('MAIN DATA, Orders'!$U:$U,'MAIN DATA, Orders'!$Y:$Y,$A35,'MAIN DATA, Orders'!$D:$D,"Poland",'MAIN DATA, Orders'!$I:$I,"Development - Air defence system")/1000000000)</f>
        <v>0</v>
      </c>
      <c r="E35" s="15">
        <f>(SUMIFS('MAIN DATA, Orders'!$U:$U,'MAIN DATA, Orders'!$Y:$Y,$A35,'MAIN DATA, Orders'!$D:$D,"Poland",'MAIN DATA, Orders'!$I:$I,"Aircraft")/1000000000)</f>
        <v>0</v>
      </c>
      <c r="F35" s="15">
        <f>(SUMIFS('MAIN DATA, Orders'!$U:$U,'MAIN DATA, Orders'!$Y:$Y,$A35,'MAIN DATA, Orders'!$D:$D,"Poland",'MAIN DATA, Orders'!$I:$I,"Development - Aircraft")/1000000000)</f>
        <v>0</v>
      </c>
      <c r="G35" s="15">
        <f>(SUMIFS('MAIN DATA, Orders'!$U:$U,'MAIN DATA, Orders'!$Y:$Y,$A35,'MAIN DATA, Orders'!$D:$D,"Poland",'MAIN DATA, Orders'!$I:$I,"Ammunition")/1000000000)</f>
        <v>0</v>
      </c>
      <c r="H35" s="15">
        <f>(SUMIFS('MAIN DATA, Orders'!$U:$U,'MAIN DATA, Orders'!$Y:$Y,$A35,'MAIN DATA, Orders'!$D:$D,"Poland",'MAIN DATA, Orders'!$I:$I,"Development - Ammunition")/1000000000)</f>
        <v>0</v>
      </c>
      <c r="I35" s="15">
        <f>(SUMIFS('MAIN DATA, Orders'!$U:$U,'MAIN DATA, Orders'!$Y:$Y,$A35,'MAIN DATA, Orders'!$D:$D,"Poland",'MAIN DATA, Orders'!$I:$I,"Armoured vehicle")/1000000000)</f>
        <v>0</v>
      </c>
      <c r="J35" s="15">
        <f>(SUMIFS('MAIN DATA, Orders'!$U:$U,'MAIN DATA, Orders'!$Y:$Y,$A35,'MAIN DATA, Orders'!$D:$D,"Poland",'MAIN DATA, Orders'!$I:$I,"Development - Armoured vehicle")/1000000000)</f>
        <v>0</v>
      </c>
      <c r="K35" s="15">
        <f>(SUMIFS('MAIN DATA, Orders'!$U:$U,'MAIN DATA, Orders'!$Y:$Y,$A35,'MAIN DATA, Orders'!$D:$D,"Poland",'MAIN DATA, Orders'!$I:$I,"Artillery")/1000000000)</f>
        <v>0</v>
      </c>
      <c r="L35" s="15">
        <f>(SUMIFS('MAIN DATA, Orders'!$U:$U,'MAIN DATA, Orders'!$Y:$Y,$A35,'MAIN DATA, Orders'!$D:$D,"Poland",'MAIN DATA, Orders'!$I:$I,"Development - Artillery")/1000000000)</f>
        <v>0</v>
      </c>
      <c r="M35" s="15">
        <f>(SUMIFS('MAIN DATA, Orders'!$U:$U,'MAIN DATA, Orders'!$Y:$Y,$A35,'MAIN DATA, Orders'!$D:$D,"Poland",'MAIN DATA, Orders'!$I:$I,"Drone")/1000000000)</f>
        <v>0.22660015219413207</v>
      </c>
      <c r="N35" s="15">
        <f>(SUMIFS('MAIN DATA, Orders'!$U:$U,'MAIN DATA, Orders'!$Y:$Y,$A35,'MAIN DATA, Orders'!$D:$D,"Poland",'MAIN DATA, Orders'!$I:$I,"Development - Drone")/1000000000)</f>
        <v>0</v>
      </c>
      <c r="O35" s="15">
        <f>(SUMIFS('MAIN DATA, Orders'!$U:$U,'MAIN DATA, Orders'!$Y:$Y,$A35,'MAIN DATA, Orders'!$D:$D,"Poland",'MAIN DATA, Orders'!$I:$I,"Helicopter")/1000000000)</f>
        <v>0</v>
      </c>
      <c r="P35" s="15">
        <f>(SUMIFS('MAIN DATA, Orders'!$U:$U,'MAIN DATA, Orders'!$Y:$Y,$A35,'MAIN DATA, Orders'!$D:$D,"Poland",'MAIN DATA, Orders'!$I:$I,"Development - Helicopter")/1000000000)</f>
        <v>0</v>
      </c>
      <c r="Q35" s="15">
        <f>(SUMIFS('MAIN DATA, Orders'!$U:$U,'MAIN DATA, Orders'!$Y:$Y,$A35,'MAIN DATA, Orders'!$D:$D,"Poland",'MAIN DATA, Orders'!$I:$I,"Infantry")/1000000000)</f>
        <v>0</v>
      </c>
      <c r="R35" s="15">
        <f>(SUMIFS('MAIN DATA, Orders'!$U:$U,'MAIN DATA, Orders'!$Y:$Y,$A35,'MAIN DATA, Orders'!$D:$D,"Poland",'MAIN DATA, Orders'!$I:$I,"Development - Infantry")/1000000000)</f>
        <v>0</v>
      </c>
      <c r="S35" s="15">
        <f>(SUMIFS('MAIN DATA, Orders'!$U:$U,'MAIN DATA, Orders'!$Y:$Y,$A35,'MAIN DATA, Orders'!$D:$D,"Poland",'MAIN DATA, Orders'!$I:$I,"Tank")/1000000000)</f>
        <v>0</v>
      </c>
      <c r="T35" s="15">
        <f>(SUMIFS('MAIN DATA, Orders'!$U:$U,'MAIN DATA, Orders'!$Y:$Y,$A35,'MAIN DATA, Orders'!$D:$D,"Poland",'MAIN DATA, Orders'!$I:$I,"Development - Tank")/1000000000)</f>
        <v>0</v>
      </c>
      <c r="U35" s="15">
        <f>(SUMIFS('MAIN DATA, Orders'!$U:$U,'MAIN DATA, Orders'!$Y:$Y,$A35,'MAIN DATA, Orders'!$D:$D,"Poland",'MAIN DATA, Orders'!$I:$I,"Maintenance")/1000000000)</f>
        <v>0</v>
      </c>
      <c r="V35" s="15">
        <f>(SUMIFS('MAIN DATA, Orders'!$U:$U,'MAIN DATA, Orders'!$Y:$Y,$A35,'MAIN DATA, Orders'!$D:$D,"Poland",'MAIN DATA, Orders'!$I:$I,"Development - Maintenance")/1000000000)</f>
        <v>0</v>
      </c>
      <c r="W35" s="15">
        <f>(SUMIFS('MAIN DATA, Orders'!$U:$U,'MAIN DATA, Orders'!$Y:$Y,$A35,'MAIN DATA, Orders'!$D:$D,"Poland",'MAIN DATA, Orders'!$I:$I,"Mine")/1000000000)</f>
        <v>0</v>
      </c>
      <c r="X35" s="15">
        <f>(SUMIFS('MAIN DATA, Orders'!$U:$U,'MAIN DATA, Orders'!$Y:$Y,$A35,'MAIN DATA, Orders'!$D:$D,"Poland",'MAIN DATA, Orders'!$I:$I,"Development - Mine")/1000000000)</f>
        <v>0</v>
      </c>
      <c r="Y35" s="15">
        <f>(SUMIFS('MAIN DATA, Orders'!$U:$U,'MAIN DATA, Orders'!$Y:$Y,$A35,'MAIN DATA, Orders'!$D:$D,"Poland",'MAIN DATA, Orders'!$J:$J,"6")/1000000000)</f>
        <v>0</v>
      </c>
      <c r="Z35" s="15" cm="1">
        <f t="array" ref="Z35">SUM(SUMIFS('MAIN DATA, Orders'!$U:$U,'MAIN DATA, Orders'!$Y:$Y,$A35,'MAIN DATA, Orders'!$D:$D,"Poland",'MAIN DATA, Orders'!$I:$I,{"Development - Missile (Land)","Development - Missile (Naval)","Development - Missile (Air)"})/1000000000)</f>
        <v>0</v>
      </c>
      <c r="AA35" s="15">
        <f>(SUMIFS('MAIN DATA, Orders'!$U:$U,'MAIN DATA, Orders'!$Y:$Y,$A35,'MAIN DATA, Orders'!$D:$D,"Poland",'MAIN DATA, Orders'!$I:$I,"Modernisation")/1000000000)</f>
        <v>0</v>
      </c>
      <c r="AB35" s="15">
        <f>(SUMIFS('MAIN DATA, Orders'!$U:$U,'MAIN DATA, Orders'!$Y:$Y,$A35,'MAIN DATA, Orders'!$D:$D,"Poland",'MAIN DATA, Orders'!$I:$I,"Development - Modernisation")/1000000000)</f>
        <v>0</v>
      </c>
      <c r="AC35" s="15">
        <f>(SUMIFS('MAIN DATA, Orders'!$U:$U,'MAIN DATA, Orders'!$Y:$Y,$A35,'MAIN DATA, Orders'!$D:$D,"Poland",'MAIN DATA, Orders'!$I:$I,"Naval")/1000000000)</f>
        <v>0</v>
      </c>
      <c r="AD35" s="15">
        <f>(SUMIFS('MAIN DATA, Orders'!$U:$U,'MAIN DATA, Orders'!$Y:$Y,$A35,'MAIN DATA, Orders'!$D:$D,"Poland",'MAIN DATA, Orders'!$I:$I,"Development - Naval")/1000000000)</f>
        <v>0</v>
      </c>
      <c r="AE35" s="15">
        <f>(SUMIFS('MAIN DATA, Orders'!$U:$U,'MAIN DATA, Orders'!$Y:$Y,$A35,'MAIN DATA, Orders'!$D:$D,"Poland",'MAIN DATA, Orders'!$I:$I,"Other")/1000000000)</f>
        <v>4.074301235433278E-2</v>
      </c>
      <c r="AF35" s="15">
        <f>(SUMIFS('MAIN DATA, Orders'!$U:$U,'MAIN DATA, Orders'!$Y:$Y,$A35,'MAIN DATA, Orders'!$D:$D,"Poland",'MAIN DATA, Orders'!$I:$I,"Development - Other")/1000000000)</f>
        <v>0</v>
      </c>
      <c r="AG35" s="15"/>
      <c r="AH35" s="15" cm="1">
        <f t="array" ref="AH35">SUM(SUMIFS('MAIN DATA, Orders'!$U:$U,'MAIN DATA, Orders'!$Y:$Y,$A35,'MAIN DATA, Orders'!$D:$D,"Poland",'MAIN DATA, Orders'!$I:$I,{"Missile (Land)","Development - Missile (Land)"})/1000000000)</f>
        <v>0</v>
      </c>
      <c r="AI35" s="15" cm="1">
        <f t="array" ref="AI35">SUM(SUMIFS('MAIN DATA, Orders'!$U:$U,'MAIN DATA, Orders'!$Y:$Y,$A35,'MAIN DATA, Orders'!$D:$D,"Poland",'MAIN DATA, Orders'!$I:$I,{"Missile (Air)","Development - Missile (Air)"})/1000000000)</f>
        <v>0</v>
      </c>
      <c r="AJ35" s="15" cm="1">
        <f t="array" ref="AJ35">SUM(SUMIFS('MAIN DATA, Orders'!$U:$U,'MAIN DATA, Orders'!$Y:$Y,$A35,'MAIN DATA, Orders'!$D:$D,"Poland",'MAIN DATA, Orders'!$I:$I,{"Missile (Naval)","Development - Missile (Naval)"})/1000000000)</f>
        <v>0</v>
      </c>
    </row>
    <row r="36" spans="1:36" x14ac:dyDescent="0.35">
      <c r="A36" s="20">
        <v>202106</v>
      </c>
      <c r="B36" s="17">
        <v>44348</v>
      </c>
      <c r="C36" s="15">
        <f>(SUMIFS('MAIN DATA, Orders'!$U:$U,'MAIN DATA, Orders'!$Y:$Y,$A36,'MAIN DATA, Orders'!$D:$D,"Poland",'MAIN DATA, Orders'!$I:$I,"Air defence system")/1000000000)</f>
        <v>0</v>
      </c>
      <c r="D36" s="15">
        <f>(SUMIFS('MAIN DATA, Orders'!$U:$U,'MAIN DATA, Orders'!$Y:$Y,$A36,'MAIN DATA, Orders'!$D:$D,"Poland",'MAIN DATA, Orders'!$I:$I,"Development - Air defence system")/1000000000)</f>
        <v>0</v>
      </c>
      <c r="E36" s="15">
        <f>(SUMIFS('MAIN DATA, Orders'!$U:$U,'MAIN DATA, Orders'!$Y:$Y,$A36,'MAIN DATA, Orders'!$D:$D,"Poland",'MAIN DATA, Orders'!$I:$I,"Aircraft")/1000000000)</f>
        <v>0</v>
      </c>
      <c r="F36" s="15">
        <f>(SUMIFS('MAIN DATA, Orders'!$U:$U,'MAIN DATA, Orders'!$Y:$Y,$A36,'MAIN DATA, Orders'!$D:$D,"Poland",'MAIN DATA, Orders'!$I:$I,"Development - Aircraft")/1000000000)</f>
        <v>0</v>
      </c>
      <c r="G36" s="15">
        <f>(SUMIFS('MAIN DATA, Orders'!$U:$U,'MAIN DATA, Orders'!$Y:$Y,$A36,'MAIN DATA, Orders'!$D:$D,"Poland",'MAIN DATA, Orders'!$I:$I,"Ammunition")/1000000000)</f>
        <v>0</v>
      </c>
      <c r="H36" s="15">
        <f>(SUMIFS('MAIN DATA, Orders'!$U:$U,'MAIN DATA, Orders'!$Y:$Y,$A36,'MAIN DATA, Orders'!$D:$D,"Poland",'MAIN DATA, Orders'!$I:$I,"Development - Ammunition")/1000000000)</f>
        <v>0</v>
      </c>
      <c r="I36" s="15">
        <f>(SUMIFS('MAIN DATA, Orders'!$U:$U,'MAIN DATA, Orders'!$Y:$Y,$A36,'MAIN DATA, Orders'!$D:$D,"Poland",'MAIN DATA, Orders'!$I:$I,"Armoured vehicle")/1000000000)</f>
        <v>0</v>
      </c>
      <c r="J36" s="15">
        <f>(SUMIFS('MAIN DATA, Orders'!$U:$U,'MAIN DATA, Orders'!$Y:$Y,$A36,'MAIN DATA, Orders'!$D:$D,"Poland",'MAIN DATA, Orders'!$I:$I,"Development - Armoured vehicle")/1000000000)</f>
        <v>0</v>
      </c>
      <c r="K36" s="15">
        <f>(SUMIFS('MAIN DATA, Orders'!$U:$U,'MAIN DATA, Orders'!$Y:$Y,$A36,'MAIN DATA, Orders'!$D:$D,"Poland",'MAIN DATA, Orders'!$I:$I,"Artillery")/1000000000)</f>
        <v>0</v>
      </c>
      <c r="L36" s="15">
        <f>(SUMIFS('MAIN DATA, Orders'!$U:$U,'MAIN DATA, Orders'!$Y:$Y,$A36,'MAIN DATA, Orders'!$D:$D,"Poland",'MAIN DATA, Orders'!$I:$I,"Development - Artillery")/1000000000)</f>
        <v>0</v>
      </c>
      <c r="M36" s="15">
        <f>(SUMIFS('MAIN DATA, Orders'!$U:$U,'MAIN DATA, Orders'!$Y:$Y,$A36,'MAIN DATA, Orders'!$D:$D,"Poland",'MAIN DATA, Orders'!$I:$I,"Drone")/1000000000)</f>
        <v>0</v>
      </c>
      <c r="N36" s="15">
        <f>(SUMIFS('MAIN DATA, Orders'!$U:$U,'MAIN DATA, Orders'!$Y:$Y,$A36,'MAIN DATA, Orders'!$D:$D,"Poland",'MAIN DATA, Orders'!$I:$I,"Development - Drone")/1000000000)</f>
        <v>0</v>
      </c>
      <c r="O36" s="15">
        <f>(SUMIFS('MAIN DATA, Orders'!$U:$U,'MAIN DATA, Orders'!$Y:$Y,$A36,'MAIN DATA, Orders'!$D:$D,"Poland",'MAIN DATA, Orders'!$I:$I,"Helicopter")/1000000000)</f>
        <v>0</v>
      </c>
      <c r="P36" s="15">
        <f>(SUMIFS('MAIN DATA, Orders'!$U:$U,'MAIN DATA, Orders'!$Y:$Y,$A36,'MAIN DATA, Orders'!$D:$D,"Poland",'MAIN DATA, Orders'!$I:$I,"Development - Helicopter")/1000000000)</f>
        <v>0</v>
      </c>
      <c r="Q36" s="15">
        <f>(SUMIFS('MAIN DATA, Orders'!$U:$U,'MAIN DATA, Orders'!$Y:$Y,$A36,'MAIN DATA, Orders'!$D:$D,"Poland",'MAIN DATA, Orders'!$I:$I,"Infantry")/1000000000)</f>
        <v>0</v>
      </c>
      <c r="R36" s="15">
        <f>(SUMIFS('MAIN DATA, Orders'!$U:$U,'MAIN DATA, Orders'!$Y:$Y,$A36,'MAIN DATA, Orders'!$D:$D,"Poland",'MAIN DATA, Orders'!$I:$I,"Development - Infantry")/1000000000)</f>
        <v>0</v>
      </c>
      <c r="S36" s="15">
        <f>(SUMIFS('MAIN DATA, Orders'!$U:$U,'MAIN DATA, Orders'!$Y:$Y,$A36,'MAIN DATA, Orders'!$D:$D,"Poland",'MAIN DATA, Orders'!$I:$I,"Tank")/1000000000)</f>
        <v>0</v>
      </c>
      <c r="T36" s="15">
        <f>(SUMIFS('MAIN DATA, Orders'!$U:$U,'MAIN DATA, Orders'!$Y:$Y,$A36,'MAIN DATA, Orders'!$D:$D,"Poland",'MAIN DATA, Orders'!$I:$I,"Development - Tank")/1000000000)</f>
        <v>0</v>
      </c>
      <c r="U36" s="15">
        <f>(SUMIFS('MAIN DATA, Orders'!$U:$U,'MAIN DATA, Orders'!$Y:$Y,$A36,'MAIN DATA, Orders'!$D:$D,"Poland",'MAIN DATA, Orders'!$I:$I,"Maintenance")/1000000000)</f>
        <v>0</v>
      </c>
      <c r="V36" s="15">
        <f>(SUMIFS('MAIN DATA, Orders'!$U:$U,'MAIN DATA, Orders'!$Y:$Y,$A36,'MAIN DATA, Orders'!$D:$D,"Poland",'MAIN DATA, Orders'!$I:$I,"Development - Maintenance")/1000000000)</f>
        <v>0</v>
      </c>
      <c r="W36" s="15">
        <f>(SUMIFS('MAIN DATA, Orders'!$U:$U,'MAIN DATA, Orders'!$Y:$Y,$A36,'MAIN DATA, Orders'!$D:$D,"Poland",'MAIN DATA, Orders'!$I:$I,"Mine")/1000000000)</f>
        <v>0</v>
      </c>
      <c r="X36" s="15">
        <f>(SUMIFS('MAIN DATA, Orders'!$U:$U,'MAIN DATA, Orders'!$Y:$Y,$A36,'MAIN DATA, Orders'!$D:$D,"Poland",'MAIN DATA, Orders'!$I:$I,"Development - Mine")/1000000000)</f>
        <v>0</v>
      </c>
      <c r="Y36" s="15">
        <f>(SUMIFS('MAIN DATA, Orders'!$U:$U,'MAIN DATA, Orders'!$Y:$Y,$A36,'MAIN DATA, Orders'!$D:$D,"Poland",'MAIN DATA, Orders'!$J:$J,"6")/1000000000)</f>
        <v>0</v>
      </c>
      <c r="Z36" s="15" cm="1">
        <f t="array" ref="Z36">SUM(SUMIFS('MAIN DATA, Orders'!$U:$U,'MAIN DATA, Orders'!$Y:$Y,$A36,'MAIN DATA, Orders'!$D:$D,"Poland",'MAIN DATA, Orders'!$I:$I,{"Development - Missile (Land)","Development - Missile (Naval)","Development - Missile (Air)"})/1000000000)</f>
        <v>0</v>
      </c>
      <c r="AA36" s="15">
        <f>(SUMIFS('MAIN DATA, Orders'!$U:$U,'MAIN DATA, Orders'!$Y:$Y,$A36,'MAIN DATA, Orders'!$D:$D,"Poland",'MAIN DATA, Orders'!$I:$I,"Modernisation")/1000000000)</f>
        <v>0</v>
      </c>
      <c r="AB36" s="15">
        <f>(SUMIFS('MAIN DATA, Orders'!$U:$U,'MAIN DATA, Orders'!$Y:$Y,$A36,'MAIN DATA, Orders'!$D:$D,"Poland",'MAIN DATA, Orders'!$I:$I,"Development - Modernisation")/1000000000)</f>
        <v>0</v>
      </c>
      <c r="AC36" s="15">
        <f>(SUMIFS('MAIN DATA, Orders'!$U:$U,'MAIN DATA, Orders'!$Y:$Y,$A36,'MAIN DATA, Orders'!$D:$D,"Poland",'MAIN DATA, Orders'!$I:$I,"Naval")/1000000000)</f>
        <v>0</v>
      </c>
      <c r="AD36" s="15">
        <f>(SUMIFS('MAIN DATA, Orders'!$U:$U,'MAIN DATA, Orders'!$Y:$Y,$A36,'MAIN DATA, Orders'!$D:$D,"Poland",'MAIN DATA, Orders'!$I:$I,"Development - Naval")/1000000000)</f>
        <v>0</v>
      </c>
      <c r="AE36" s="15">
        <f>(SUMIFS('MAIN DATA, Orders'!$U:$U,'MAIN DATA, Orders'!$Y:$Y,$A36,'MAIN DATA, Orders'!$D:$D,"Poland",'MAIN DATA, Orders'!$I:$I,"Other")/1000000000)</f>
        <v>0</v>
      </c>
      <c r="AF36" s="15">
        <f>(SUMIFS('MAIN DATA, Orders'!$U:$U,'MAIN DATA, Orders'!$Y:$Y,$A36,'MAIN DATA, Orders'!$D:$D,"Poland",'MAIN DATA, Orders'!$I:$I,"Development - Other")/1000000000)</f>
        <v>0</v>
      </c>
      <c r="AG36" s="15"/>
      <c r="AH36" s="15" cm="1">
        <f t="array" ref="AH36">SUM(SUMIFS('MAIN DATA, Orders'!$U:$U,'MAIN DATA, Orders'!$Y:$Y,$A36,'MAIN DATA, Orders'!$D:$D,"Poland",'MAIN DATA, Orders'!$I:$I,{"Missile (Land)","Development - Missile (Land)"})/1000000000)</f>
        <v>0</v>
      </c>
      <c r="AI36" s="15" cm="1">
        <f t="array" ref="AI36">SUM(SUMIFS('MAIN DATA, Orders'!$U:$U,'MAIN DATA, Orders'!$Y:$Y,$A36,'MAIN DATA, Orders'!$D:$D,"Poland",'MAIN DATA, Orders'!$I:$I,{"Missile (Air)","Development - Missile (Air)"})/1000000000)</f>
        <v>0</v>
      </c>
      <c r="AJ36" s="15" cm="1">
        <f t="array" ref="AJ36">SUM(SUMIFS('MAIN DATA, Orders'!$U:$U,'MAIN DATA, Orders'!$Y:$Y,$A36,'MAIN DATA, Orders'!$D:$D,"Poland",'MAIN DATA, Orders'!$I:$I,{"Missile (Naval)","Development - Missile (Naval)"})/1000000000)</f>
        <v>0</v>
      </c>
    </row>
    <row r="37" spans="1:36" x14ac:dyDescent="0.35">
      <c r="A37" s="20">
        <v>202107</v>
      </c>
      <c r="B37" s="17">
        <v>44378</v>
      </c>
      <c r="C37" s="15">
        <f>(SUMIFS('MAIN DATA, Orders'!$U:$U,'MAIN DATA, Orders'!$Y:$Y,$A37,'MAIN DATA, Orders'!$D:$D,"Poland",'MAIN DATA, Orders'!$I:$I,"Air defence system")/1000000000)</f>
        <v>0</v>
      </c>
      <c r="D37" s="15">
        <f>(SUMIFS('MAIN DATA, Orders'!$U:$U,'MAIN DATA, Orders'!$Y:$Y,$A37,'MAIN DATA, Orders'!$D:$D,"Poland",'MAIN DATA, Orders'!$I:$I,"Development - Air defence system")/1000000000)</f>
        <v>0</v>
      </c>
      <c r="E37" s="15">
        <f>(SUMIFS('MAIN DATA, Orders'!$U:$U,'MAIN DATA, Orders'!$Y:$Y,$A37,'MAIN DATA, Orders'!$D:$D,"Poland",'MAIN DATA, Orders'!$I:$I,"Aircraft")/1000000000)</f>
        <v>0</v>
      </c>
      <c r="F37" s="15">
        <f>(SUMIFS('MAIN DATA, Orders'!$U:$U,'MAIN DATA, Orders'!$Y:$Y,$A37,'MAIN DATA, Orders'!$D:$D,"Poland",'MAIN DATA, Orders'!$I:$I,"Development - Aircraft")/1000000000)</f>
        <v>0</v>
      </c>
      <c r="G37" s="15">
        <f>(SUMIFS('MAIN DATA, Orders'!$U:$U,'MAIN DATA, Orders'!$Y:$Y,$A37,'MAIN DATA, Orders'!$D:$D,"Poland",'MAIN DATA, Orders'!$I:$I,"Ammunition")/1000000000)</f>
        <v>0</v>
      </c>
      <c r="H37" s="15">
        <f>(SUMIFS('MAIN DATA, Orders'!$U:$U,'MAIN DATA, Orders'!$Y:$Y,$A37,'MAIN DATA, Orders'!$D:$D,"Poland",'MAIN DATA, Orders'!$I:$I,"Development - Ammunition")/1000000000)</f>
        <v>0</v>
      </c>
      <c r="I37" s="15">
        <f>(SUMIFS('MAIN DATA, Orders'!$U:$U,'MAIN DATA, Orders'!$Y:$Y,$A37,'MAIN DATA, Orders'!$D:$D,"Poland",'MAIN DATA, Orders'!$I:$I,"Armoured vehicle")/1000000000)</f>
        <v>0</v>
      </c>
      <c r="J37" s="15">
        <f>(SUMIFS('MAIN DATA, Orders'!$U:$U,'MAIN DATA, Orders'!$Y:$Y,$A37,'MAIN DATA, Orders'!$D:$D,"Poland",'MAIN DATA, Orders'!$I:$I,"Development - Armoured vehicle")/1000000000)</f>
        <v>0</v>
      </c>
      <c r="K37" s="15">
        <f>(SUMIFS('MAIN DATA, Orders'!$U:$U,'MAIN DATA, Orders'!$Y:$Y,$A37,'MAIN DATA, Orders'!$D:$D,"Poland",'MAIN DATA, Orders'!$I:$I,"Artillery")/1000000000)</f>
        <v>0</v>
      </c>
      <c r="L37" s="15">
        <f>(SUMIFS('MAIN DATA, Orders'!$U:$U,'MAIN DATA, Orders'!$Y:$Y,$A37,'MAIN DATA, Orders'!$D:$D,"Poland",'MAIN DATA, Orders'!$I:$I,"Development - Artillery")/1000000000)</f>
        <v>0</v>
      </c>
      <c r="M37" s="15">
        <f>(SUMIFS('MAIN DATA, Orders'!$U:$U,'MAIN DATA, Orders'!$Y:$Y,$A37,'MAIN DATA, Orders'!$D:$D,"Poland",'MAIN DATA, Orders'!$I:$I,"Drone")/1000000000)</f>
        <v>0</v>
      </c>
      <c r="N37" s="15">
        <f>(SUMIFS('MAIN DATA, Orders'!$U:$U,'MAIN DATA, Orders'!$Y:$Y,$A37,'MAIN DATA, Orders'!$D:$D,"Poland",'MAIN DATA, Orders'!$I:$I,"Development - Drone")/1000000000)</f>
        <v>0</v>
      </c>
      <c r="O37" s="15">
        <f>(SUMIFS('MAIN DATA, Orders'!$U:$U,'MAIN DATA, Orders'!$Y:$Y,$A37,'MAIN DATA, Orders'!$D:$D,"Poland",'MAIN DATA, Orders'!$I:$I,"Helicopter")/1000000000)</f>
        <v>0</v>
      </c>
      <c r="P37" s="15">
        <f>(SUMIFS('MAIN DATA, Orders'!$U:$U,'MAIN DATA, Orders'!$Y:$Y,$A37,'MAIN DATA, Orders'!$D:$D,"Poland",'MAIN DATA, Orders'!$I:$I,"Development - Helicopter")/1000000000)</f>
        <v>0</v>
      </c>
      <c r="Q37" s="15">
        <f>(SUMIFS('MAIN DATA, Orders'!$U:$U,'MAIN DATA, Orders'!$Y:$Y,$A37,'MAIN DATA, Orders'!$D:$D,"Poland",'MAIN DATA, Orders'!$I:$I,"Infantry")/1000000000)</f>
        <v>0</v>
      </c>
      <c r="R37" s="15">
        <f>(SUMIFS('MAIN DATA, Orders'!$U:$U,'MAIN DATA, Orders'!$Y:$Y,$A37,'MAIN DATA, Orders'!$D:$D,"Poland",'MAIN DATA, Orders'!$I:$I,"Development - Infantry")/1000000000)</f>
        <v>0</v>
      </c>
      <c r="S37" s="15">
        <f>(SUMIFS('MAIN DATA, Orders'!$U:$U,'MAIN DATA, Orders'!$Y:$Y,$A37,'MAIN DATA, Orders'!$D:$D,"Poland",'MAIN DATA, Orders'!$I:$I,"Tank")/1000000000)</f>
        <v>4.0162340407542061</v>
      </c>
      <c r="T37" s="15">
        <f>(SUMIFS('MAIN DATA, Orders'!$U:$U,'MAIN DATA, Orders'!$Y:$Y,$A37,'MAIN DATA, Orders'!$D:$D,"Poland",'MAIN DATA, Orders'!$I:$I,"Development - Tank")/1000000000)</f>
        <v>0</v>
      </c>
      <c r="U37" s="15">
        <f>(SUMIFS('MAIN DATA, Orders'!$U:$U,'MAIN DATA, Orders'!$Y:$Y,$A37,'MAIN DATA, Orders'!$D:$D,"Poland",'MAIN DATA, Orders'!$I:$I,"Maintenance")/1000000000)</f>
        <v>0</v>
      </c>
      <c r="V37" s="15">
        <f>(SUMIFS('MAIN DATA, Orders'!$U:$U,'MAIN DATA, Orders'!$Y:$Y,$A37,'MAIN DATA, Orders'!$D:$D,"Poland",'MAIN DATA, Orders'!$I:$I,"Development - Maintenance")/1000000000)</f>
        <v>0</v>
      </c>
      <c r="W37" s="15">
        <f>(SUMIFS('MAIN DATA, Orders'!$U:$U,'MAIN DATA, Orders'!$Y:$Y,$A37,'MAIN DATA, Orders'!$D:$D,"Poland",'MAIN DATA, Orders'!$I:$I,"Mine")/1000000000)</f>
        <v>0</v>
      </c>
      <c r="X37" s="15">
        <f>(SUMIFS('MAIN DATA, Orders'!$U:$U,'MAIN DATA, Orders'!$Y:$Y,$A37,'MAIN DATA, Orders'!$D:$D,"Poland",'MAIN DATA, Orders'!$I:$I,"Development - Mine")/1000000000)</f>
        <v>0</v>
      </c>
      <c r="Y37" s="15">
        <f>(SUMIFS('MAIN DATA, Orders'!$U:$U,'MAIN DATA, Orders'!$Y:$Y,$A37,'MAIN DATA, Orders'!$D:$D,"Poland",'MAIN DATA, Orders'!$J:$J,"6")/1000000000)</f>
        <v>0</v>
      </c>
      <c r="Z37" s="15" cm="1">
        <f t="array" ref="Z37">SUM(SUMIFS('MAIN DATA, Orders'!$U:$U,'MAIN DATA, Orders'!$Y:$Y,$A37,'MAIN DATA, Orders'!$D:$D,"Poland",'MAIN DATA, Orders'!$I:$I,{"Development - Missile (Land)","Development - Missile (Naval)","Development - Missile (Air)"})/1000000000)</f>
        <v>0</v>
      </c>
      <c r="AA37" s="15">
        <f>(SUMIFS('MAIN DATA, Orders'!$U:$U,'MAIN DATA, Orders'!$Y:$Y,$A37,'MAIN DATA, Orders'!$D:$D,"Poland",'MAIN DATA, Orders'!$I:$I,"Modernisation")/1000000000)</f>
        <v>0</v>
      </c>
      <c r="AB37" s="15">
        <f>(SUMIFS('MAIN DATA, Orders'!$U:$U,'MAIN DATA, Orders'!$Y:$Y,$A37,'MAIN DATA, Orders'!$D:$D,"Poland",'MAIN DATA, Orders'!$I:$I,"Development - Modernisation")/1000000000)</f>
        <v>0</v>
      </c>
      <c r="AC37" s="15">
        <f>(SUMIFS('MAIN DATA, Orders'!$U:$U,'MAIN DATA, Orders'!$Y:$Y,$A37,'MAIN DATA, Orders'!$D:$D,"Poland",'MAIN DATA, Orders'!$I:$I,"Naval")/1000000000)</f>
        <v>1.7523876281433453</v>
      </c>
      <c r="AD37" s="15">
        <f>(SUMIFS('MAIN DATA, Orders'!$U:$U,'MAIN DATA, Orders'!$Y:$Y,$A37,'MAIN DATA, Orders'!$D:$D,"Poland",'MAIN DATA, Orders'!$I:$I,"Development - Naval")/1000000000)</f>
        <v>0</v>
      </c>
      <c r="AE37" s="15">
        <f>(SUMIFS('MAIN DATA, Orders'!$U:$U,'MAIN DATA, Orders'!$Y:$Y,$A37,'MAIN DATA, Orders'!$D:$D,"Poland",'MAIN DATA, Orders'!$I:$I,"Other")/1000000000)</f>
        <v>0</v>
      </c>
      <c r="AF37" s="15">
        <f>(SUMIFS('MAIN DATA, Orders'!$U:$U,'MAIN DATA, Orders'!$Y:$Y,$A37,'MAIN DATA, Orders'!$D:$D,"Poland",'MAIN DATA, Orders'!$I:$I,"Development - Other")/1000000000)</f>
        <v>0</v>
      </c>
      <c r="AG37" s="15"/>
      <c r="AH37" s="15" cm="1">
        <f t="array" ref="AH37">SUM(SUMIFS('MAIN DATA, Orders'!$U:$U,'MAIN DATA, Orders'!$Y:$Y,$A37,'MAIN DATA, Orders'!$D:$D,"Poland",'MAIN DATA, Orders'!$I:$I,{"Missile (Land)","Development - Missile (Land)"})/1000000000)</f>
        <v>0</v>
      </c>
      <c r="AI37" s="15" cm="1">
        <f t="array" ref="AI37">SUM(SUMIFS('MAIN DATA, Orders'!$U:$U,'MAIN DATA, Orders'!$Y:$Y,$A37,'MAIN DATA, Orders'!$D:$D,"Poland",'MAIN DATA, Orders'!$I:$I,{"Missile (Air)","Development - Missile (Air)"})/1000000000)</f>
        <v>0</v>
      </c>
      <c r="AJ37" s="15" cm="1">
        <f t="array" ref="AJ37">SUM(SUMIFS('MAIN DATA, Orders'!$U:$U,'MAIN DATA, Orders'!$Y:$Y,$A37,'MAIN DATA, Orders'!$D:$D,"Poland",'MAIN DATA, Orders'!$I:$I,{"Missile (Naval)","Development - Missile (Naval)"})/1000000000)</f>
        <v>0</v>
      </c>
    </row>
    <row r="38" spans="1:36" x14ac:dyDescent="0.35">
      <c r="A38" s="20">
        <v>202108</v>
      </c>
      <c r="B38" s="17">
        <v>44409</v>
      </c>
      <c r="C38" s="15">
        <f>(SUMIFS('MAIN DATA, Orders'!$U:$U,'MAIN DATA, Orders'!$Y:$Y,$A38,'MAIN DATA, Orders'!$D:$D,"Poland",'MAIN DATA, Orders'!$I:$I,"Air defence system")/1000000000)</f>
        <v>0</v>
      </c>
      <c r="D38" s="15">
        <f>(SUMIFS('MAIN DATA, Orders'!$U:$U,'MAIN DATA, Orders'!$Y:$Y,$A38,'MAIN DATA, Orders'!$D:$D,"Poland",'MAIN DATA, Orders'!$I:$I,"Development - Air defence system")/1000000000)</f>
        <v>0</v>
      </c>
      <c r="E38" s="15">
        <f>(SUMIFS('MAIN DATA, Orders'!$U:$U,'MAIN DATA, Orders'!$Y:$Y,$A38,'MAIN DATA, Orders'!$D:$D,"Poland",'MAIN DATA, Orders'!$I:$I,"Aircraft")/1000000000)</f>
        <v>0</v>
      </c>
      <c r="F38" s="15">
        <f>(SUMIFS('MAIN DATA, Orders'!$U:$U,'MAIN DATA, Orders'!$Y:$Y,$A38,'MAIN DATA, Orders'!$D:$D,"Poland",'MAIN DATA, Orders'!$I:$I,"Development - Aircraft")/1000000000)</f>
        <v>0</v>
      </c>
      <c r="G38" s="15">
        <f>(SUMIFS('MAIN DATA, Orders'!$U:$U,'MAIN DATA, Orders'!$Y:$Y,$A38,'MAIN DATA, Orders'!$D:$D,"Poland",'MAIN DATA, Orders'!$I:$I,"Ammunition")/1000000000)</f>
        <v>0</v>
      </c>
      <c r="H38" s="15">
        <f>(SUMIFS('MAIN DATA, Orders'!$U:$U,'MAIN DATA, Orders'!$Y:$Y,$A38,'MAIN DATA, Orders'!$D:$D,"Poland",'MAIN DATA, Orders'!$I:$I,"Development - Ammunition")/1000000000)</f>
        <v>0</v>
      </c>
      <c r="I38" s="15">
        <f>(SUMIFS('MAIN DATA, Orders'!$U:$U,'MAIN DATA, Orders'!$Y:$Y,$A38,'MAIN DATA, Orders'!$D:$D,"Poland",'MAIN DATA, Orders'!$I:$I,"Armoured vehicle")/1000000000)</f>
        <v>0</v>
      </c>
      <c r="J38" s="15">
        <f>(SUMIFS('MAIN DATA, Orders'!$U:$U,'MAIN DATA, Orders'!$Y:$Y,$A38,'MAIN DATA, Orders'!$D:$D,"Poland",'MAIN DATA, Orders'!$I:$I,"Development - Armoured vehicle")/1000000000)</f>
        <v>0</v>
      </c>
      <c r="K38" s="15">
        <f>(SUMIFS('MAIN DATA, Orders'!$U:$U,'MAIN DATA, Orders'!$Y:$Y,$A38,'MAIN DATA, Orders'!$D:$D,"Poland",'MAIN DATA, Orders'!$I:$I,"Artillery")/1000000000)</f>
        <v>0</v>
      </c>
      <c r="L38" s="15">
        <f>(SUMIFS('MAIN DATA, Orders'!$U:$U,'MAIN DATA, Orders'!$Y:$Y,$A38,'MAIN DATA, Orders'!$D:$D,"Poland",'MAIN DATA, Orders'!$I:$I,"Development - Artillery")/1000000000)</f>
        <v>0</v>
      </c>
      <c r="M38" s="15">
        <f>(SUMIFS('MAIN DATA, Orders'!$U:$U,'MAIN DATA, Orders'!$Y:$Y,$A38,'MAIN DATA, Orders'!$D:$D,"Poland",'MAIN DATA, Orders'!$I:$I,"Drone")/1000000000)</f>
        <v>0</v>
      </c>
      <c r="N38" s="15">
        <f>(SUMIFS('MAIN DATA, Orders'!$U:$U,'MAIN DATA, Orders'!$Y:$Y,$A38,'MAIN DATA, Orders'!$D:$D,"Poland",'MAIN DATA, Orders'!$I:$I,"Development - Drone")/1000000000)</f>
        <v>0</v>
      </c>
      <c r="O38" s="15">
        <f>(SUMIFS('MAIN DATA, Orders'!$U:$U,'MAIN DATA, Orders'!$Y:$Y,$A38,'MAIN DATA, Orders'!$D:$D,"Poland",'MAIN DATA, Orders'!$I:$I,"Helicopter")/1000000000)</f>
        <v>0</v>
      </c>
      <c r="P38" s="15">
        <f>(SUMIFS('MAIN DATA, Orders'!$U:$U,'MAIN DATA, Orders'!$Y:$Y,$A38,'MAIN DATA, Orders'!$D:$D,"Poland",'MAIN DATA, Orders'!$I:$I,"Development - Helicopter")/1000000000)</f>
        <v>0</v>
      </c>
      <c r="Q38" s="15">
        <f>(SUMIFS('MAIN DATA, Orders'!$U:$U,'MAIN DATA, Orders'!$Y:$Y,$A38,'MAIN DATA, Orders'!$D:$D,"Poland",'MAIN DATA, Orders'!$I:$I,"Infantry")/1000000000)</f>
        <v>0</v>
      </c>
      <c r="R38" s="15">
        <f>(SUMIFS('MAIN DATA, Orders'!$U:$U,'MAIN DATA, Orders'!$Y:$Y,$A38,'MAIN DATA, Orders'!$D:$D,"Poland",'MAIN DATA, Orders'!$I:$I,"Development - Infantry")/1000000000)</f>
        <v>0</v>
      </c>
      <c r="S38" s="15">
        <f>(SUMIFS('MAIN DATA, Orders'!$U:$U,'MAIN DATA, Orders'!$Y:$Y,$A38,'MAIN DATA, Orders'!$D:$D,"Poland",'MAIN DATA, Orders'!$I:$I,"Tank")/1000000000)</f>
        <v>0</v>
      </c>
      <c r="T38" s="15">
        <f>(SUMIFS('MAIN DATA, Orders'!$U:$U,'MAIN DATA, Orders'!$Y:$Y,$A38,'MAIN DATA, Orders'!$D:$D,"Poland",'MAIN DATA, Orders'!$I:$I,"Development - Tank")/1000000000)</f>
        <v>0</v>
      </c>
      <c r="U38" s="15">
        <f>(SUMIFS('MAIN DATA, Orders'!$U:$U,'MAIN DATA, Orders'!$Y:$Y,$A38,'MAIN DATA, Orders'!$D:$D,"Poland",'MAIN DATA, Orders'!$I:$I,"Maintenance")/1000000000)</f>
        <v>0</v>
      </c>
      <c r="V38" s="15">
        <f>(SUMIFS('MAIN DATA, Orders'!$U:$U,'MAIN DATA, Orders'!$Y:$Y,$A38,'MAIN DATA, Orders'!$D:$D,"Poland",'MAIN DATA, Orders'!$I:$I,"Development - Maintenance")/1000000000)</f>
        <v>0</v>
      </c>
      <c r="W38" s="15">
        <f>(SUMIFS('MAIN DATA, Orders'!$U:$U,'MAIN DATA, Orders'!$Y:$Y,$A38,'MAIN DATA, Orders'!$D:$D,"Poland",'MAIN DATA, Orders'!$I:$I,"Mine")/1000000000)</f>
        <v>0</v>
      </c>
      <c r="X38" s="15">
        <f>(SUMIFS('MAIN DATA, Orders'!$U:$U,'MAIN DATA, Orders'!$Y:$Y,$A38,'MAIN DATA, Orders'!$D:$D,"Poland",'MAIN DATA, Orders'!$I:$I,"Development - Mine")/1000000000)</f>
        <v>0</v>
      </c>
      <c r="Y38" s="15">
        <f>(SUMIFS('MAIN DATA, Orders'!$U:$U,'MAIN DATA, Orders'!$Y:$Y,$A38,'MAIN DATA, Orders'!$D:$D,"Poland",'MAIN DATA, Orders'!$J:$J,"6")/1000000000)</f>
        <v>0</v>
      </c>
      <c r="Z38" s="15" cm="1">
        <f t="array" ref="Z38">SUM(SUMIFS('MAIN DATA, Orders'!$U:$U,'MAIN DATA, Orders'!$Y:$Y,$A38,'MAIN DATA, Orders'!$D:$D,"Poland",'MAIN DATA, Orders'!$I:$I,{"Development - Missile (Land)","Development - Missile (Naval)","Development - Missile (Air)"})/1000000000)</f>
        <v>0</v>
      </c>
      <c r="AA38" s="15">
        <f>(SUMIFS('MAIN DATA, Orders'!$U:$U,'MAIN DATA, Orders'!$Y:$Y,$A38,'MAIN DATA, Orders'!$D:$D,"Poland",'MAIN DATA, Orders'!$I:$I,"Modernisation")/1000000000)</f>
        <v>0</v>
      </c>
      <c r="AB38" s="15">
        <f>(SUMIFS('MAIN DATA, Orders'!$U:$U,'MAIN DATA, Orders'!$Y:$Y,$A38,'MAIN DATA, Orders'!$D:$D,"Poland",'MAIN DATA, Orders'!$I:$I,"Development - Modernisation")/1000000000)</f>
        <v>0</v>
      </c>
      <c r="AC38" s="15">
        <f>(SUMIFS('MAIN DATA, Orders'!$U:$U,'MAIN DATA, Orders'!$Y:$Y,$A38,'MAIN DATA, Orders'!$D:$D,"Poland",'MAIN DATA, Orders'!$I:$I,"Naval")/1000000000)</f>
        <v>0</v>
      </c>
      <c r="AD38" s="15">
        <f>(SUMIFS('MAIN DATA, Orders'!$U:$U,'MAIN DATA, Orders'!$Y:$Y,$A38,'MAIN DATA, Orders'!$D:$D,"Poland",'MAIN DATA, Orders'!$I:$I,"Development - Naval")/1000000000)</f>
        <v>0</v>
      </c>
      <c r="AE38" s="15">
        <f>(SUMIFS('MAIN DATA, Orders'!$U:$U,'MAIN DATA, Orders'!$Y:$Y,$A38,'MAIN DATA, Orders'!$D:$D,"Poland",'MAIN DATA, Orders'!$I:$I,"Other")/1000000000)</f>
        <v>0</v>
      </c>
      <c r="AF38" s="15">
        <f>(SUMIFS('MAIN DATA, Orders'!$U:$U,'MAIN DATA, Orders'!$Y:$Y,$A38,'MAIN DATA, Orders'!$D:$D,"Poland",'MAIN DATA, Orders'!$I:$I,"Development - Other")/1000000000)</f>
        <v>0</v>
      </c>
      <c r="AG38" s="15"/>
      <c r="AH38" s="15" cm="1">
        <f t="array" ref="AH38">SUM(SUMIFS('MAIN DATA, Orders'!$U:$U,'MAIN DATA, Orders'!$Y:$Y,$A38,'MAIN DATA, Orders'!$D:$D,"Poland",'MAIN DATA, Orders'!$I:$I,{"Missile (Land)","Development - Missile (Land)"})/1000000000)</f>
        <v>0</v>
      </c>
      <c r="AI38" s="15" cm="1">
        <f t="array" ref="AI38">SUM(SUMIFS('MAIN DATA, Orders'!$U:$U,'MAIN DATA, Orders'!$Y:$Y,$A38,'MAIN DATA, Orders'!$D:$D,"Poland",'MAIN DATA, Orders'!$I:$I,{"Missile (Air)","Development - Missile (Air)"})/1000000000)</f>
        <v>0</v>
      </c>
      <c r="AJ38" s="15" cm="1">
        <f t="array" ref="AJ38">SUM(SUMIFS('MAIN DATA, Orders'!$U:$U,'MAIN DATA, Orders'!$Y:$Y,$A38,'MAIN DATA, Orders'!$D:$D,"Poland",'MAIN DATA, Orders'!$I:$I,{"Missile (Naval)","Development - Missile (Naval)"})/1000000000)</f>
        <v>0</v>
      </c>
    </row>
    <row r="39" spans="1:36" x14ac:dyDescent="0.35">
      <c r="A39" s="20">
        <v>202109</v>
      </c>
      <c r="B39" s="17">
        <v>44440</v>
      </c>
      <c r="C39" s="15">
        <f>(SUMIFS('MAIN DATA, Orders'!$U:$U,'MAIN DATA, Orders'!$Y:$Y,$A39,'MAIN DATA, Orders'!$D:$D,"Poland",'MAIN DATA, Orders'!$I:$I,"Air defence system")/1000000000)</f>
        <v>0</v>
      </c>
      <c r="D39" s="15">
        <f>(SUMIFS('MAIN DATA, Orders'!$U:$U,'MAIN DATA, Orders'!$Y:$Y,$A39,'MAIN DATA, Orders'!$D:$D,"Poland",'MAIN DATA, Orders'!$I:$I,"Development - Air defence system")/1000000000)</f>
        <v>0</v>
      </c>
      <c r="E39" s="15">
        <f>(SUMIFS('MAIN DATA, Orders'!$U:$U,'MAIN DATA, Orders'!$Y:$Y,$A39,'MAIN DATA, Orders'!$D:$D,"Poland",'MAIN DATA, Orders'!$I:$I,"Aircraft")/1000000000)</f>
        <v>0</v>
      </c>
      <c r="F39" s="15">
        <f>(SUMIFS('MAIN DATA, Orders'!$U:$U,'MAIN DATA, Orders'!$Y:$Y,$A39,'MAIN DATA, Orders'!$D:$D,"Poland",'MAIN DATA, Orders'!$I:$I,"Development - Aircraft")/1000000000)</f>
        <v>0</v>
      </c>
      <c r="G39" s="15">
        <f>(SUMIFS('MAIN DATA, Orders'!$U:$U,'MAIN DATA, Orders'!$Y:$Y,$A39,'MAIN DATA, Orders'!$D:$D,"Poland",'MAIN DATA, Orders'!$I:$I,"Ammunition")/1000000000)</f>
        <v>0</v>
      </c>
      <c r="H39" s="15">
        <f>(SUMIFS('MAIN DATA, Orders'!$U:$U,'MAIN DATA, Orders'!$Y:$Y,$A39,'MAIN DATA, Orders'!$D:$D,"Poland",'MAIN DATA, Orders'!$I:$I,"Development - Ammunition")/1000000000)</f>
        <v>0</v>
      </c>
      <c r="I39" s="15">
        <f>(SUMIFS('MAIN DATA, Orders'!$U:$U,'MAIN DATA, Orders'!$Y:$Y,$A39,'MAIN DATA, Orders'!$D:$D,"Poland",'MAIN DATA, Orders'!$I:$I,"Armoured vehicle")/1000000000)</f>
        <v>0</v>
      </c>
      <c r="J39" s="15">
        <f>(SUMIFS('MAIN DATA, Orders'!$U:$U,'MAIN DATA, Orders'!$Y:$Y,$A39,'MAIN DATA, Orders'!$D:$D,"Poland",'MAIN DATA, Orders'!$I:$I,"Development - Armoured vehicle")/1000000000)</f>
        <v>0</v>
      </c>
      <c r="K39" s="15">
        <f>(SUMIFS('MAIN DATA, Orders'!$U:$U,'MAIN DATA, Orders'!$Y:$Y,$A39,'MAIN DATA, Orders'!$D:$D,"Poland",'MAIN DATA, Orders'!$I:$I,"Artillery")/1000000000)</f>
        <v>0</v>
      </c>
      <c r="L39" s="15">
        <f>(SUMIFS('MAIN DATA, Orders'!$U:$U,'MAIN DATA, Orders'!$Y:$Y,$A39,'MAIN DATA, Orders'!$D:$D,"Poland",'MAIN DATA, Orders'!$I:$I,"Development - Artillery")/1000000000)</f>
        <v>0</v>
      </c>
      <c r="M39" s="15">
        <f>(SUMIFS('MAIN DATA, Orders'!$U:$U,'MAIN DATA, Orders'!$Y:$Y,$A39,'MAIN DATA, Orders'!$D:$D,"Poland",'MAIN DATA, Orders'!$I:$I,"Drone")/1000000000)</f>
        <v>0</v>
      </c>
      <c r="N39" s="15">
        <f>(SUMIFS('MAIN DATA, Orders'!$U:$U,'MAIN DATA, Orders'!$Y:$Y,$A39,'MAIN DATA, Orders'!$D:$D,"Poland",'MAIN DATA, Orders'!$I:$I,"Development - Drone")/1000000000)</f>
        <v>0</v>
      </c>
      <c r="O39" s="15">
        <f>(SUMIFS('MAIN DATA, Orders'!$U:$U,'MAIN DATA, Orders'!$Y:$Y,$A39,'MAIN DATA, Orders'!$D:$D,"Poland",'MAIN DATA, Orders'!$I:$I,"Helicopter")/1000000000)</f>
        <v>0</v>
      </c>
      <c r="P39" s="15">
        <f>(SUMIFS('MAIN DATA, Orders'!$U:$U,'MAIN DATA, Orders'!$Y:$Y,$A39,'MAIN DATA, Orders'!$D:$D,"Poland",'MAIN DATA, Orders'!$I:$I,"Development - Helicopter")/1000000000)</f>
        <v>0</v>
      </c>
      <c r="Q39" s="15">
        <f>(SUMIFS('MAIN DATA, Orders'!$U:$U,'MAIN DATA, Orders'!$Y:$Y,$A39,'MAIN DATA, Orders'!$D:$D,"Poland",'MAIN DATA, Orders'!$I:$I,"Infantry")/1000000000)</f>
        <v>0</v>
      </c>
      <c r="R39" s="15">
        <f>(SUMIFS('MAIN DATA, Orders'!$U:$U,'MAIN DATA, Orders'!$Y:$Y,$A39,'MAIN DATA, Orders'!$D:$D,"Poland",'MAIN DATA, Orders'!$I:$I,"Development - Infantry")/1000000000)</f>
        <v>0</v>
      </c>
      <c r="S39" s="15">
        <f>(SUMIFS('MAIN DATA, Orders'!$U:$U,'MAIN DATA, Orders'!$Y:$Y,$A39,'MAIN DATA, Orders'!$D:$D,"Poland",'MAIN DATA, Orders'!$I:$I,"Tank")/1000000000)</f>
        <v>0</v>
      </c>
      <c r="T39" s="15">
        <f>(SUMIFS('MAIN DATA, Orders'!$U:$U,'MAIN DATA, Orders'!$Y:$Y,$A39,'MAIN DATA, Orders'!$D:$D,"Poland",'MAIN DATA, Orders'!$I:$I,"Development - Tank")/1000000000)</f>
        <v>0</v>
      </c>
      <c r="U39" s="15">
        <f>(SUMIFS('MAIN DATA, Orders'!$U:$U,'MAIN DATA, Orders'!$Y:$Y,$A39,'MAIN DATA, Orders'!$D:$D,"Poland",'MAIN DATA, Orders'!$I:$I,"Maintenance")/1000000000)</f>
        <v>0</v>
      </c>
      <c r="V39" s="15">
        <f>(SUMIFS('MAIN DATA, Orders'!$U:$U,'MAIN DATA, Orders'!$Y:$Y,$A39,'MAIN DATA, Orders'!$D:$D,"Poland",'MAIN DATA, Orders'!$I:$I,"Development - Maintenance")/1000000000)</f>
        <v>0</v>
      </c>
      <c r="W39" s="15">
        <f>(SUMIFS('MAIN DATA, Orders'!$U:$U,'MAIN DATA, Orders'!$Y:$Y,$A39,'MAIN DATA, Orders'!$D:$D,"Poland",'MAIN DATA, Orders'!$I:$I,"Mine")/1000000000)</f>
        <v>0</v>
      </c>
      <c r="X39" s="15">
        <f>(SUMIFS('MAIN DATA, Orders'!$U:$U,'MAIN DATA, Orders'!$Y:$Y,$A39,'MAIN DATA, Orders'!$D:$D,"Poland",'MAIN DATA, Orders'!$I:$I,"Development - Mine")/1000000000)</f>
        <v>0</v>
      </c>
      <c r="Y39" s="15">
        <f>(SUMIFS('MAIN DATA, Orders'!$U:$U,'MAIN DATA, Orders'!$Y:$Y,$A39,'MAIN DATA, Orders'!$D:$D,"Poland",'MAIN DATA, Orders'!$J:$J,"6")/1000000000)</f>
        <v>0</v>
      </c>
      <c r="Z39" s="15" cm="1">
        <f t="array" ref="Z39">SUM(SUMIFS('MAIN DATA, Orders'!$U:$U,'MAIN DATA, Orders'!$Y:$Y,$A39,'MAIN DATA, Orders'!$D:$D,"Poland",'MAIN DATA, Orders'!$I:$I,{"Development - Missile (Land)","Development - Missile (Naval)","Development - Missile (Air)"})/1000000000)</f>
        <v>0</v>
      </c>
      <c r="AA39" s="15">
        <f>(SUMIFS('MAIN DATA, Orders'!$U:$U,'MAIN DATA, Orders'!$Y:$Y,$A39,'MAIN DATA, Orders'!$D:$D,"Poland",'MAIN DATA, Orders'!$I:$I,"Modernisation")/1000000000)</f>
        <v>0</v>
      </c>
      <c r="AB39" s="15">
        <f>(SUMIFS('MAIN DATA, Orders'!$U:$U,'MAIN DATA, Orders'!$Y:$Y,$A39,'MAIN DATA, Orders'!$D:$D,"Poland",'MAIN DATA, Orders'!$I:$I,"Development - Modernisation")/1000000000)</f>
        <v>0</v>
      </c>
      <c r="AC39" s="15">
        <f>(SUMIFS('MAIN DATA, Orders'!$U:$U,'MAIN DATA, Orders'!$Y:$Y,$A39,'MAIN DATA, Orders'!$D:$D,"Poland",'MAIN DATA, Orders'!$I:$I,"Naval")/1000000000)</f>
        <v>0</v>
      </c>
      <c r="AD39" s="15">
        <f>(SUMIFS('MAIN DATA, Orders'!$U:$U,'MAIN DATA, Orders'!$Y:$Y,$A39,'MAIN DATA, Orders'!$D:$D,"Poland",'MAIN DATA, Orders'!$I:$I,"Development - Naval")/1000000000)</f>
        <v>0</v>
      </c>
      <c r="AE39" s="15">
        <f>(SUMIFS('MAIN DATA, Orders'!$U:$U,'MAIN DATA, Orders'!$Y:$Y,$A39,'MAIN DATA, Orders'!$D:$D,"Poland",'MAIN DATA, Orders'!$I:$I,"Other")/1000000000)</f>
        <v>0</v>
      </c>
      <c r="AF39" s="15">
        <f>(SUMIFS('MAIN DATA, Orders'!$U:$U,'MAIN DATA, Orders'!$Y:$Y,$A39,'MAIN DATA, Orders'!$D:$D,"Poland",'MAIN DATA, Orders'!$I:$I,"Development - Other")/1000000000)</f>
        <v>0</v>
      </c>
      <c r="AG39" s="15"/>
      <c r="AH39" s="15" cm="1">
        <f t="array" ref="AH39">SUM(SUMIFS('MAIN DATA, Orders'!$U:$U,'MAIN DATA, Orders'!$Y:$Y,$A39,'MAIN DATA, Orders'!$D:$D,"Poland",'MAIN DATA, Orders'!$I:$I,{"Missile (Land)","Development - Missile (Land)"})/1000000000)</f>
        <v>0</v>
      </c>
      <c r="AI39" s="15" cm="1">
        <f t="array" ref="AI39">SUM(SUMIFS('MAIN DATA, Orders'!$U:$U,'MAIN DATA, Orders'!$Y:$Y,$A39,'MAIN DATA, Orders'!$D:$D,"Poland",'MAIN DATA, Orders'!$I:$I,{"Missile (Air)","Development - Missile (Air)"})/1000000000)</f>
        <v>0</v>
      </c>
      <c r="AJ39" s="15" cm="1">
        <f t="array" ref="AJ39">SUM(SUMIFS('MAIN DATA, Orders'!$U:$U,'MAIN DATA, Orders'!$Y:$Y,$A39,'MAIN DATA, Orders'!$D:$D,"Poland",'MAIN DATA, Orders'!$I:$I,{"Missile (Naval)","Development - Missile (Naval)"})/1000000000)</f>
        <v>0</v>
      </c>
    </row>
    <row r="40" spans="1:36" x14ac:dyDescent="0.35">
      <c r="A40" s="20">
        <v>202110</v>
      </c>
      <c r="B40" s="17">
        <v>44470</v>
      </c>
      <c r="C40" s="15">
        <f>(SUMIFS('MAIN DATA, Orders'!$U:$U,'MAIN DATA, Orders'!$Y:$Y,$A40,'MAIN DATA, Orders'!$D:$D,"Poland",'MAIN DATA, Orders'!$I:$I,"Air defence system")/1000000000)</f>
        <v>0</v>
      </c>
      <c r="D40" s="15">
        <f>(SUMIFS('MAIN DATA, Orders'!$U:$U,'MAIN DATA, Orders'!$Y:$Y,$A40,'MAIN DATA, Orders'!$D:$D,"Poland",'MAIN DATA, Orders'!$I:$I,"Development - Air defence system")/1000000000)</f>
        <v>0</v>
      </c>
      <c r="E40" s="15">
        <f>(SUMIFS('MAIN DATA, Orders'!$U:$U,'MAIN DATA, Orders'!$Y:$Y,$A40,'MAIN DATA, Orders'!$D:$D,"Poland",'MAIN DATA, Orders'!$I:$I,"Aircraft")/1000000000)</f>
        <v>0</v>
      </c>
      <c r="F40" s="15">
        <f>(SUMIFS('MAIN DATA, Orders'!$U:$U,'MAIN DATA, Orders'!$Y:$Y,$A40,'MAIN DATA, Orders'!$D:$D,"Poland",'MAIN DATA, Orders'!$I:$I,"Development - Aircraft")/1000000000)</f>
        <v>0</v>
      </c>
      <c r="G40" s="15">
        <f>(SUMIFS('MAIN DATA, Orders'!$U:$U,'MAIN DATA, Orders'!$Y:$Y,$A40,'MAIN DATA, Orders'!$D:$D,"Poland",'MAIN DATA, Orders'!$I:$I,"Ammunition")/1000000000)</f>
        <v>0</v>
      </c>
      <c r="H40" s="15">
        <f>(SUMIFS('MAIN DATA, Orders'!$U:$U,'MAIN DATA, Orders'!$Y:$Y,$A40,'MAIN DATA, Orders'!$D:$D,"Poland",'MAIN DATA, Orders'!$I:$I,"Development - Ammunition")/1000000000)</f>
        <v>0</v>
      </c>
      <c r="I40" s="15">
        <f>(SUMIFS('MAIN DATA, Orders'!$U:$U,'MAIN DATA, Orders'!$Y:$Y,$A40,'MAIN DATA, Orders'!$D:$D,"Poland",'MAIN DATA, Orders'!$I:$I,"Armoured vehicle")/1000000000)</f>
        <v>0</v>
      </c>
      <c r="J40" s="15">
        <f>(SUMIFS('MAIN DATA, Orders'!$U:$U,'MAIN DATA, Orders'!$Y:$Y,$A40,'MAIN DATA, Orders'!$D:$D,"Poland",'MAIN DATA, Orders'!$I:$I,"Development - Armoured vehicle")/1000000000)</f>
        <v>0</v>
      </c>
      <c r="K40" s="15">
        <f>(SUMIFS('MAIN DATA, Orders'!$U:$U,'MAIN DATA, Orders'!$Y:$Y,$A40,'MAIN DATA, Orders'!$D:$D,"Poland",'MAIN DATA, Orders'!$I:$I,"Artillery")/1000000000)</f>
        <v>0</v>
      </c>
      <c r="L40" s="15">
        <f>(SUMIFS('MAIN DATA, Orders'!$U:$U,'MAIN DATA, Orders'!$Y:$Y,$A40,'MAIN DATA, Orders'!$D:$D,"Poland",'MAIN DATA, Orders'!$I:$I,"Development - Artillery")/1000000000)</f>
        <v>0</v>
      </c>
      <c r="M40" s="15">
        <f>(SUMIFS('MAIN DATA, Orders'!$U:$U,'MAIN DATA, Orders'!$Y:$Y,$A40,'MAIN DATA, Orders'!$D:$D,"Poland",'MAIN DATA, Orders'!$I:$I,"Drone")/1000000000)</f>
        <v>0</v>
      </c>
      <c r="N40" s="15">
        <f>(SUMIFS('MAIN DATA, Orders'!$U:$U,'MAIN DATA, Orders'!$Y:$Y,$A40,'MAIN DATA, Orders'!$D:$D,"Poland",'MAIN DATA, Orders'!$I:$I,"Development - Drone")/1000000000)</f>
        <v>0</v>
      </c>
      <c r="O40" s="15">
        <f>(SUMIFS('MAIN DATA, Orders'!$U:$U,'MAIN DATA, Orders'!$Y:$Y,$A40,'MAIN DATA, Orders'!$D:$D,"Poland",'MAIN DATA, Orders'!$I:$I,"Helicopter")/1000000000)</f>
        <v>0</v>
      </c>
      <c r="P40" s="15">
        <f>(SUMIFS('MAIN DATA, Orders'!$U:$U,'MAIN DATA, Orders'!$Y:$Y,$A40,'MAIN DATA, Orders'!$D:$D,"Poland",'MAIN DATA, Orders'!$I:$I,"Development - Helicopter")/1000000000)</f>
        <v>0</v>
      </c>
      <c r="Q40" s="15">
        <f>(SUMIFS('MAIN DATA, Orders'!$U:$U,'MAIN DATA, Orders'!$Y:$Y,$A40,'MAIN DATA, Orders'!$D:$D,"Poland",'MAIN DATA, Orders'!$I:$I,"Infantry")/1000000000)</f>
        <v>0</v>
      </c>
      <c r="R40" s="15">
        <f>(SUMIFS('MAIN DATA, Orders'!$U:$U,'MAIN DATA, Orders'!$Y:$Y,$A40,'MAIN DATA, Orders'!$D:$D,"Poland",'MAIN DATA, Orders'!$I:$I,"Development - Infantry")/1000000000)</f>
        <v>0</v>
      </c>
      <c r="S40" s="15">
        <f>(SUMIFS('MAIN DATA, Orders'!$U:$U,'MAIN DATA, Orders'!$Y:$Y,$A40,'MAIN DATA, Orders'!$D:$D,"Poland",'MAIN DATA, Orders'!$I:$I,"Tank")/1000000000)</f>
        <v>0</v>
      </c>
      <c r="T40" s="15">
        <f>(SUMIFS('MAIN DATA, Orders'!$U:$U,'MAIN DATA, Orders'!$Y:$Y,$A40,'MAIN DATA, Orders'!$D:$D,"Poland",'MAIN DATA, Orders'!$I:$I,"Development - Tank")/1000000000)</f>
        <v>0</v>
      </c>
      <c r="U40" s="15">
        <f>(SUMIFS('MAIN DATA, Orders'!$U:$U,'MAIN DATA, Orders'!$Y:$Y,$A40,'MAIN DATA, Orders'!$D:$D,"Poland",'MAIN DATA, Orders'!$I:$I,"Maintenance")/1000000000)</f>
        <v>0</v>
      </c>
      <c r="V40" s="15">
        <f>(SUMIFS('MAIN DATA, Orders'!$U:$U,'MAIN DATA, Orders'!$Y:$Y,$A40,'MAIN DATA, Orders'!$D:$D,"Poland",'MAIN DATA, Orders'!$I:$I,"Development - Maintenance")/1000000000)</f>
        <v>0</v>
      </c>
      <c r="W40" s="15">
        <f>(SUMIFS('MAIN DATA, Orders'!$U:$U,'MAIN DATA, Orders'!$Y:$Y,$A40,'MAIN DATA, Orders'!$D:$D,"Poland",'MAIN DATA, Orders'!$I:$I,"Mine")/1000000000)</f>
        <v>0</v>
      </c>
      <c r="X40" s="15">
        <f>(SUMIFS('MAIN DATA, Orders'!$U:$U,'MAIN DATA, Orders'!$Y:$Y,$A40,'MAIN DATA, Orders'!$D:$D,"Poland",'MAIN DATA, Orders'!$I:$I,"Development - Mine")/1000000000)</f>
        <v>0</v>
      </c>
      <c r="Y40" s="15">
        <f>(SUMIFS('MAIN DATA, Orders'!$U:$U,'MAIN DATA, Orders'!$Y:$Y,$A40,'MAIN DATA, Orders'!$D:$D,"Poland",'MAIN DATA, Orders'!$J:$J,"6")/1000000000)</f>
        <v>0</v>
      </c>
      <c r="Z40" s="15" cm="1">
        <f t="array" ref="Z40">SUM(SUMIFS('MAIN DATA, Orders'!$U:$U,'MAIN DATA, Orders'!$Y:$Y,$A40,'MAIN DATA, Orders'!$D:$D,"Poland",'MAIN DATA, Orders'!$I:$I,{"Development - Missile (Land)","Development - Missile (Naval)","Development - Missile (Air)"})/1000000000)</f>
        <v>0</v>
      </c>
      <c r="AA40" s="15">
        <f>(SUMIFS('MAIN DATA, Orders'!$U:$U,'MAIN DATA, Orders'!$Y:$Y,$A40,'MAIN DATA, Orders'!$D:$D,"Poland",'MAIN DATA, Orders'!$I:$I,"Modernisation")/1000000000)</f>
        <v>0</v>
      </c>
      <c r="AB40" s="15">
        <f>(SUMIFS('MAIN DATA, Orders'!$U:$U,'MAIN DATA, Orders'!$Y:$Y,$A40,'MAIN DATA, Orders'!$D:$D,"Poland",'MAIN DATA, Orders'!$I:$I,"Development - Modernisation")/1000000000)</f>
        <v>0</v>
      </c>
      <c r="AC40" s="15">
        <f>(SUMIFS('MAIN DATA, Orders'!$U:$U,'MAIN DATA, Orders'!$Y:$Y,$A40,'MAIN DATA, Orders'!$D:$D,"Poland",'MAIN DATA, Orders'!$I:$I,"Naval")/1000000000)</f>
        <v>0</v>
      </c>
      <c r="AD40" s="15">
        <f>(SUMIFS('MAIN DATA, Orders'!$U:$U,'MAIN DATA, Orders'!$Y:$Y,$A40,'MAIN DATA, Orders'!$D:$D,"Poland",'MAIN DATA, Orders'!$I:$I,"Development - Naval")/1000000000)</f>
        <v>0</v>
      </c>
      <c r="AE40" s="15">
        <f>(SUMIFS('MAIN DATA, Orders'!$U:$U,'MAIN DATA, Orders'!$Y:$Y,$A40,'MAIN DATA, Orders'!$D:$D,"Poland",'MAIN DATA, Orders'!$I:$I,"Other")/1000000000)</f>
        <v>0</v>
      </c>
      <c r="AF40" s="15">
        <f>(SUMIFS('MAIN DATA, Orders'!$U:$U,'MAIN DATA, Orders'!$Y:$Y,$A40,'MAIN DATA, Orders'!$D:$D,"Poland",'MAIN DATA, Orders'!$I:$I,"Development - Other")/1000000000)</f>
        <v>0</v>
      </c>
      <c r="AG40" s="15"/>
      <c r="AH40" s="15" cm="1">
        <f t="array" ref="AH40">SUM(SUMIFS('MAIN DATA, Orders'!$U:$U,'MAIN DATA, Orders'!$Y:$Y,$A40,'MAIN DATA, Orders'!$D:$D,"Poland",'MAIN DATA, Orders'!$I:$I,{"Missile (Land)","Development - Missile (Land)"})/1000000000)</f>
        <v>0</v>
      </c>
      <c r="AI40" s="15" cm="1">
        <f t="array" ref="AI40">SUM(SUMIFS('MAIN DATA, Orders'!$U:$U,'MAIN DATA, Orders'!$Y:$Y,$A40,'MAIN DATA, Orders'!$D:$D,"Poland",'MAIN DATA, Orders'!$I:$I,{"Missile (Air)","Development - Missile (Air)"})/1000000000)</f>
        <v>0</v>
      </c>
      <c r="AJ40" s="15" cm="1">
        <f t="array" ref="AJ40">SUM(SUMIFS('MAIN DATA, Orders'!$U:$U,'MAIN DATA, Orders'!$Y:$Y,$A40,'MAIN DATA, Orders'!$D:$D,"Poland",'MAIN DATA, Orders'!$I:$I,{"Missile (Naval)","Development - Missile (Naval)"})/1000000000)</f>
        <v>0</v>
      </c>
    </row>
    <row r="41" spans="1:36" x14ac:dyDescent="0.35">
      <c r="A41" s="20">
        <v>202111</v>
      </c>
      <c r="B41" s="17">
        <v>44501</v>
      </c>
      <c r="C41" s="15">
        <f>(SUMIFS('MAIN DATA, Orders'!$U:$U,'MAIN DATA, Orders'!$Y:$Y,$A41,'MAIN DATA, Orders'!$D:$D,"Poland",'MAIN DATA, Orders'!$I:$I,"Air defence system")/1000000000)</f>
        <v>0</v>
      </c>
      <c r="D41" s="15">
        <f>(SUMIFS('MAIN DATA, Orders'!$U:$U,'MAIN DATA, Orders'!$Y:$Y,$A41,'MAIN DATA, Orders'!$D:$D,"Poland",'MAIN DATA, Orders'!$I:$I,"Development - Air defence system")/1000000000)</f>
        <v>0</v>
      </c>
      <c r="E41" s="15">
        <f>(SUMIFS('MAIN DATA, Orders'!$U:$U,'MAIN DATA, Orders'!$Y:$Y,$A41,'MAIN DATA, Orders'!$D:$D,"Poland",'MAIN DATA, Orders'!$I:$I,"Aircraft")/1000000000)</f>
        <v>0</v>
      </c>
      <c r="F41" s="15">
        <f>(SUMIFS('MAIN DATA, Orders'!$U:$U,'MAIN DATA, Orders'!$Y:$Y,$A41,'MAIN DATA, Orders'!$D:$D,"Poland",'MAIN DATA, Orders'!$I:$I,"Development - Aircraft")/1000000000)</f>
        <v>0</v>
      </c>
      <c r="G41" s="15">
        <f>(SUMIFS('MAIN DATA, Orders'!$U:$U,'MAIN DATA, Orders'!$Y:$Y,$A41,'MAIN DATA, Orders'!$D:$D,"Poland",'MAIN DATA, Orders'!$I:$I,"Ammunition")/1000000000)</f>
        <v>0</v>
      </c>
      <c r="H41" s="15">
        <f>(SUMIFS('MAIN DATA, Orders'!$U:$U,'MAIN DATA, Orders'!$Y:$Y,$A41,'MAIN DATA, Orders'!$D:$D,"Poland",'MAIN DATA, Orders'!$I:$I,"Development - Ammunition")/1000000000)</f>
        <v>0</v>
      </c>
      <c r="I41" s="15">
        <f>(SUMIFS('MAIN DATA, Orders'!$U:$U,'MAIN DATA, Orders'!$Y:$Y,$A41,'MAIN DATA, Orders'!$D:$D,"Poland",'MAIN DATA, Orders'!$I:$I,"Armoured vehicle")/1000000000)</f>
        <v>0</v>
      </c>
      <c r="J41" s="15">
        <f>(SUMIFS('MAIN DATA, Orders'!$U:$U,'MAIN DATA, Orders'!$Y:$Y,$A41,'MAIN DATA, Orders'!$D:$D,"Poland",'MAIN DATA, Orders'!$I:$I,"Development - Armoured vehicle")/1000000000)</f>
        <v>0</v>
      </c>
      <c r="K41" s="15">
        <f>(SUMIFS('MAIN DATA, Orders'!$U:$U,'MAIN DATA, Orders'!$Y:$Y,$A41,'MAIN DATA, Orders'!$D:$D,"Poland",'MAIN DATA, Orders'!$I:$I,"Artillery")/1000000000)</f>
        <v>0</v>
      </c>
      <c r="L41" s="15">
        <f>(SUMIFS('MAIN DATA, Orders'!$U:$U,'MAIN DATA, Orders'!$Y:$Y,$A41,'MAIN DATA, Orders'!$D:$D,"Poland",'MAIN DATA, Orders'!$I:$I,"Development - Artillery")/1000000000)</f>
        <v>0</v>
      </c>
      <c r="M41" s="15">
        <f>(SUMIFS('MAIN DATA, Orders'!$U:$U,'MAIN DATA, Orders'!$Y:$Y,$A41,'MAIN DATA, Orders'!$D:$D,"Poland",'MAIN DATA, Orders'!$I:$I,"Drone")/1000000000)</f>
        <v>0</v>
      </c>
      <c r="N41" s="15">
        <f>(SUMIFS('MAIN DATA, Orders'!$U:$U,'MAIN DATA, Orders'!$Y:$Y,$A41,'MAIN DATA, Orders'!$D:$D,"Poland",'MAIN DATA, Orders'!$I:$I,"Development - Drone")/1000000000)</f>
        <v>0</v>
      </c>
      <c r="O41" s="15">
        <f>(SUMIFS('MAIN DATA, Orders'!$U:$U,'MAIN DATA, Orders'!$Y:$Y,$A41,'MAIN DATA, Orders'!$D:$D,"Poland",'MAIN DATA, Orders'!$I:$I,"Helicopter")/1000000000)</f>
        <v>0</v>
      </c>
      <c r="P41" s="15">
        <f>(SUMIFS('MAIN DATA, Orders'!$U:$U,'MAIN DATA, Orders'!$Y:$Y,$A41,'MAIN DATA, Orders'!$D:$D,"Poland",'MAIN DATA, Orders'!$I:$I,"Development - Helicopter")/1000000000)</f>
        <v>0</v>
      </c>
      <c r="Q41" s="15">
        <f>(SUMIFS('MAIN DATA, Orders'!$U:$U,'MAIN DATA, Orders'!$Y:$Y,$A41,'MAIN DATA, Orders'!$D:$D,"Poland",'MAIN DATA, Orders'!$I:$I,"Infantry")/1000000000)</f>
        <v>0</v>
      </c>
      <c r="R41" s="15">
        <f>(SUMIFS('MAIN DATA, Orders'!$U:$U,'MAIN DATA, Orders'!$Y:$Y,$A41,'MAIN DATA, Orders'!$D:$D,"Poland",'MAIN DATA, Orders'!$I:$I,"Development - Infantry")/1000000000)</f>
        <v>0</v>
      </c>
      <c r="S41" s="15">
        <f>(SUMIFS('MAIN DATA, Orders'!$U:$U,'MAIN DATA, Orders'!$Y:$Y,$A41,'MAIN DATA, Orders'!$D:$D,"Poland",'MAIN DATA, Orders'!$I:$I,"Tank")/1000000000)</f>
        <v>0</v>
      </c>
      <c r="T41" s="15">
        <f>(SUMIFS('MAIN DATA, Orders'!$U:$U,'MAIN DATA, Orders'!$Y:$Y,$A41,'MAIN DATA, Orders'!$D:$D,"Poland",'MAIN DATA, Orders'!$I:$I,"Development - Tank")/1000000000)</f>
        <v>0</v>
      </c>
      <c r="U41" s="15">
        <f>(SUMIFS('MAIN DATA, Orders'!$U:$U,'MAIN DATA, Orders'!$Y:$Y,$A41,'MAIN DATA, Orders'!$D:$D,"Poland",'MAIN DATA, Orders'!$I:$I,"Maintenance")/1000000000)</f>
        <v>0</v>
      </c>
      <c r="V41" s="15">
        <f>(SUMIFS('MAIN DATA, Orders'!$U:$U,'MAIN DATA, Orders'!$Y:$Y,$A41,'MAIN DATA, Orders'!$D:$D,"Poland",'MAIN DATA, Orders'!$I:$I,"Development - Maintenance")/1000000000)</f>
        <v>0</v>
      </c>
      <c r="W41" s="15">
        <f>(SUMIFS('MAIN DATA, Orders'!$U:$U,'MAIN DATA, Orders'!$Y:$Y,$A41,'MAIN DATA, Orders'!$D:$D,"Poland",'MAIN DATA, Orders'!$I:$I,"Mine")/1000000000)</f>
        <v>0</v>
      </c>
      <c r="X41" s="15">
        <f>(SUMIFS('MAIN DATA, Orders'!$U:$U,'MAIN DATA, Orders'!$Y:$Y,$A41,'MAIN DATA, Orders'!$D:$D,"Poland",'MAIN DATA, Orders'!$I:$I,"Development - Mine")/1000000000)</f>
        <v>0</v>
      </c>
      <c r="Y41" s="15">
        <f>(SUMIFS('MAIN DATA, Orders'!$U:$U,'MAIN DATA, Orders'!$Y:$Y,$A41,'MAIN DATA, Orders'!$D:$D,"Poland",'MAIN DATA, Orders'!$J:$J,"6")/1000000000)</f>
        <v>0</v>
      </c>
      <c r="Z41" s="15" cm="1">
        <f t="array" ref="Z41">SUM(SUMIFS('MAIN DATA, Orders'!$U:$U,'MAIN DATA, Orders'!$Y:$Y,$A41,'MAIN DATA, Orders'!$D:$D,"Poland",'MAIN DATA, Orders'!$I:$I,{"Development - Missile (Land)","Development - Missile (Naval)","Development - Missile (Air)"})/1000000000)</f>
        <v>0</v>
      </c>
      <c r="AA41" s="15">
        <f>(SUMIFS('MAIN DATA, Orders'!$U:$U,'MAIN DATA, Orders'!$Y:$Y,$A41,'MAIN DATA, Orders'!$D:$D,"Poland",'MAIN DATA, Orders'!$I:$I,"Modernisation")/1000000000)</f>
        <v>0</v>
      </c>
      <c r="AB41" s="15">
        <f>(SUMIFS('MAIN DATA, Orders'!$U:$U,'MAIN DATA, Orders'!$Y:$Y,$A41,'MAIN DATA, Orders'!$D:$D,"Poland",'MAIN DATA, Orders'!$I:$I,"Development - Modernisation")/1000000000)</f>
        <v>0</v>
      </c>
      <c r="AC41" s="15">
        <f>(SUMIFS('MAIN DATA, Orders'!$U:$U,'MAIN DATA, Orders'!$Y:$Y,$A41,'MAIN DATA, Orders'!$D:$D,"Poland",'MAIN DATA, Orders'!$I:$I,"Naval")/1000000000)</f>
        <v>0</v>
      </c>
      <c r="AD41" s="15">
        <f>(SUMIFS('MAIN DATA, Orders'!$U:$U,'MAIN DATA, Orders'!$Y:$Y,$A41,'MAIN DATA, Orders'!$D:$D,"Poland",'MAIN DATA, Orders'!$I:$I,"Development - Naval")/1000000000)</f>
        <v>0</v>
      </c>
      <c r="AE41" s="15">
        <f>(SUMIFS('MAIN DATA, Orders'!$U:$U,'MAIN DATA, Orders'!$Y:$Y,$A41,'MAIN DATA, Orders'!$D:$D,"Poland",'MAIN DATA, Orders'!$I:$I,"Other")/1000000000)</f>
        <v>0</v>
      </c>
      <c r="AF41" s="15">
        <f>(SUMIFS('MAIN DATA, Orders'!$U:$U,'MAIN DATA, Orders'!$Y:$Y,$A41,'MAIN DATA, Orders'!$D:$D,"Poland",'MAIN DATA, Orders'!$I:$I,"Development - Other")/1000000000)</f>
        <v>0</v>
      </c>
      <c r="AG41" s="15"/>
      <c r="AH41" s="15" cm="1">
        <f t="array" ref="AH41">SUM(SUMIFS('MAIN DATA, Orders'!$U:$U,'MAIN DATA, Orders'!$Y:$Y,$A41,'MAIN DATA, Orders'!$D:$D,"Poland",'MAIN DATA, Orders'!$I:$I,{"Missile (Land)","Development - Missile (Land)"})/1000000000)</f>
        <v>0</v>
      </c>
      <c r="AI41" s="15" cm="1">
        <f t="array" ref="AI41">SUM(SUMIFS('MAIN DATA, Orders'!$U:$U,'MAIN DATA, Orders'!$Y:$Y,$A41,'MAIN DATA, Orders'!$D:$D,"Poland",'MAIN DATA, Orders'!$I:$I,{"Missile (Air)","Development - Missile (Air)"})/1000000000)</f>
        <v>0</v>
      </c>
      <c r="AJ41" s="15" cm="1">
        <f t="array" ref="AJ41">SUM(SUMIFS('MAIN DATA, Orders'!$U:$U,'MAIN DATA, Orders'!$Y:$Y,$A41,'MAIN DATA, Orders'!$D:$D,"Poland",'MAIN DATA, Orders'!$I:$I,{"Missile (Naval)","Development - Missile (Naval)"})/1000000000)</f>
        <v>0</v>
      </c>
    </row>
    <row r="42" spans="1:36" x14ac:dyDescent="0.35">
      <c r="A42" s="20">
        <v>202112</v>
      </c>
      <c r="B42" s="17">
        <v>44531</v>
      </c>
      <c r="C42" s="15">
        <f>(SUMIFS('MAIN DATA, Orders'!$U:$U,'MAIN DATA, Orders'!$Y:$Y,$A42,'MAIN DATA, Orders'!$D:$D,"Poland",'MAIN DATA, Orders'!$I:$I,"Air defence system")/1000000000)</f>
        <v>0</v>
      </c>
      <c r="D42" s="15">
        <f>(SUMIFS('MAIN DATA, Orders'!$U:$U,'MAIN DATA, Orders'!$Y:$Y,$A42,'MAIN DATA, Orders'!$D:$D,"Poland",'MAIN DATA, Orders'!$I:$I,"Development - Air defence system")/1000000000)</f>
        <v>0</v>
      </c>
      <c r="E42" s="15">
        <f>(SUMIFS('MAIN DATA, Orders'!$U:$U,'MAIN DATA, Orders'!$Y:$Y,$A42,'MAIN DATA, Orders'!$D:$D,"Poland",'MAIN DATA, Orders'!$I:$I,"Aircraft")/1000000000)</f>
        <v>0</v>
      </c>
      <c r="F42" s="15">
        <f>(SUMIFS('MAIN DATA, Orders'!$U:$U,'MAIN DATA, Orders'!$Y:$Y,$A42,'MAIN DATA, Orders'!$D:$D,"Poland",'MAIN DATA, Orders'!$I:$I,"Development - Aircraft")/1000000000)</f>
        <v>0</v>
      </c>
      <c r="G42" s="15">
        <f>(SUMIFS('MAIN DATA, Orders'!$U:$U,'MAIN DATA, Orders'!$Y:$Y,$A42,'MAIN DATA, Orders'!$D:$D,"Poland",'MAIN DATA, Orders'!$I:$I,"Ammunition")/1000000000)</f>
        <v>0</v>
      </c>
      <c r="H42" s="15">
        <f>(SUMIFS('MAIN DATA, Orders'!$U:$U,'MAIN DATA, Orders'!$Y:$Y,$A42,'MAIN DATA, Orders'!$D:$D,"Poland",'MAIN DATA, Orders'!$I:$I,"Development - Ammunition")/1000000000)</f>
        <v>0</v>
      </c>
      <c r="I42" s="15">
        <f>(SUMIFS('MAIN DATA, Orders'!$U:$U,'MAIN DATA, Orders'!$Y:$Y,$A42,'MAIN DATA, Orders'!$D:$D,"Poland",'MAIN DATA, Orders'!$I:$I,"Armoured vehicle")/1000000000)</f>
        <v>0</v>
      </c>
      <c r="J42" s="15">
        <f>(SUMIFS('MAIN DATA, Orders'!$U:$U,'MAIN DATA, Orders'!$Y:$Y,$A42,'MAIN DATA, Orders'!$D:$D,"Poland",'MAIN DATA, Orders'!$I:$I,"Development - Armoured vehicle")/1000000000)</f>
        <v>0</v>
      </c>
      <c r="K42" s="15">
        <f>(SUMIFS('MAIN DATA, Orders'!$U:$U,'MAIN DATA, Orders'!$Y:$Y,$A42,'MAIN DATA, Orders'!$D:$D,"Poland",'MAIN DATA, Orders'!$I:$I,"Artillery")/1000000000)</f>
        <v>0</v>
      </c>
      <c r="L42" s="15">
        <f>(SUMIFS('MAIN DATA, Orders'!$U:$U,'MAIN DATA, Orders'!$Y:$Y,$A42,'MAIN DATA, Orders'!$D:$D,"Poland",'MAIN DATA, Orders'!$I:$I,"Development - Artillery")/1000000000)</f>
        <v>0</v>
      </c>
      <c r="M42" s="15">
        <f>(SUMIFS('MAIN DATA, Orders'!$U:$U,'MAIN DATA, Orders'!$Y:$Y,$A42,'MAIN DATA, Orders'!$D:$D,"Poland",'MAIN DATA, Orders'!$I:$I,"Drone")/1000000000)</f>
        <v>3.8114430912117761E-2</v>
      </c>
      <c r="N42" s="15">
        <f>(SUMIFS('MAIN DATA, Orders'!$U:$U,'MAIN DATA, Orders'!$Y:$Y,$A42,'MAIN DATA, Orders'!$D:$D,"Poland",'MAIN DATA, Orders'!$I:$I,"Development - Drone")/1000000000)</f>
        <v>0</v>
      </c>
      <c r="O42" s="15">
        <f>(SUMIFS('MAIN DATA, Orders'!$U:$U,'MAIN DATA, Orders'!$Y:$Y,$A42,'MAIN DATA, Orders'!$D:$D,"Poland",'MAIN DATA, Orders'!$I:$I,"Helicopter")/1000000000)</f>
        <v>0</v>
      </c>
      <c r="P42" s="15">
        <f>(SUMIFS('MAIN DATA, Orders'!$U:$U,'MAIN DATA, Orders'!$Y:$Y,$A42,'MAIN DATA, Orders'!$D:$D,"Poland",'MAIN DATA, Orders'!$I:$I,"Development - Helicopter")/1000000000)</f>
        <v>0</v>
      </c>
      <c r="Q42" s="15">
        <f>(SUMIFS('MAIN DATA, Orders'!$U:$U,'MAIN DATA, Orders'!$Y:$Y,$A42,'MAIN DATA, Orders'!$D:$D,"Poland",'MAIN DATA, Orders'!$I:$I,"Infantry")/1000000000)</f>
        <v>0</v>
      </c>
      <c r="R42" s="15">
        <f>(SUMIFS('MAIN DATA, Orders'!$U:$U,'MAIN DATA, Orders'!$Y:$Y,$A42,'MAIN DATA, Orders'!$D:$D,"Poland",'MAIN DATA, Orders'!$I:$I,"Development - Infantry")/1000000000)</f>
        <v>0</v>
      </c>
      <c r="S42" s="15">
        <f>(SUMIFS('MAIN DATA, Orders'!$U:$U,'MAIN DATA, Orders'!$Y:$Y,$A42,'MAIN DATA, Orders'!$D:$D,"Poland",'MAIN DATA, Orders'!$I:$I,"Tank")/1000000000)</f>
        <v>0</v>
      </c>
      <c r="T42" s="15">
        <f>(SUMIFS('MAIN DATA, Orders'!$U:$U,'MAIN DATA, Orders'!$Y:$Y,$A42,'MAIN DATA, Orders'!$D:$D,"Poland",'MAIN DATA, Orders'!$I:$I,"Development - Tank")/1000000000)</f>
        <v>0</v>
      </c>
      <c r="U42" s="15">
        <f>(SUMIFS('MAIN DATA, Orders'!$U:$U,'MAIN DATA, Orders'!$Y:$Y,$A42,'MAIN DATA, Orders'!$D:$D,"Poland",'MAIN DATA, Orders'!$I:$I,"Maintenance")/1000000000)</f>
        <v>0</v>
      </c>
      <c r="V42" s="15">
        <f>(SUMIFS('MAIN DATA, Orders'!$U:$U,'MAIN DATA, Orders'!$Y:$Y,$A42,'MAIN DATA, Orders'!$D:$D,"Poland",'MAIN DATA, Orders'!$I:$I,"Development - Maintenance")/1000000000)</f>
        <v>0</v>
      </c>
      <c r="W42" s="15">
        <f>(SUMIFS('MAIN DATA, Orders'!$U:$U,'MAIN DATA, Orders'!$Y:$Y,$A42,'MAIN DATA, Orders'!$D:$D,"Poland",'MAIN DATA, Orders'!$I:$I,"Mine")/1000000000)</f>
        <v>0</v>
      </c>
      <c r="X42" s="15">
        <f>(SUMIFS('MAIN DATA, Orders'!$U:$U,'MAIN DATA, Orders'!$Y:$Y,$A42,'MAIN DATA, Orders'!$D:$D,"Poland",'MAIN DATA, Orders'!$I:$I,"Development - Mine")/1000000000)</f>
        <v>0</v>
      </c>
      <c r="Y42" s="15">
        <f>(SUMIFS('MAIN DATA, Orders'!$U:$U,'MAIN DATA, Orders'!$Y:$Y,$A42,'MAIN DATA, Orders'!$D:$D,"Poland",'MAIN DATA, Orders'!$J:$J,"6")/1000000000)</f>
        <v>0</v>
      </c>
      <c r="Z42" s="15" cm="1">
        <f t="array" ref="Z42">SUM(SUMIFS('MAIN DATA, Orders'!$U:$U,'MAIN DATA, Orders'!$Y:$Y,$A42,'MAIN DATA, Orders'!$D:$D,"Poland",'MAIN DATA, Orders'!$I:$I,{"Development - Missile (Land)","Development - Missile (Naval)","Development - Missile (Air)"})/1000000000)</f>
        <v>0</v>
      </c>
      <c r="AA42" s="15">
        <f>(SUMIFS('MAIN DATA, Orders'!$U:$U,'MAIN DATA, Orders'!$Y:$Y,$A42,'MAIN DATA, Orders'!$D:$D,"Poland",'MAIN DATA, Orders'!$I:$I,"Modernisation")/1000000000)</f>
        <v>0</v>
      </c>
      <c r="AB42" s="15">
        <f>(SUMIFS('MAIN DATA, Orders'!$U:$U,'MAIN DATA, Orders'!$Y:$Y,$A42,'MAIN DATA, Orders'!$D:$D,"Poland",'MAIN DATA, Orders'!$I:$I,"Development - Modernisation")/1000000000)</f>
        <v>0</v>
      </c>
      <c r="AC42" s="15">
        <f>(SUMIFS('MAIN DATA, Orders'!$U:$U,'MAIN DATA, Orders'!$Y:$Y,$A42,'MAIN DATA, Orders'!$D:$D,"Poland",'MAIN DATA, Orders'!$I:$I,"Naval")/1000000000)</f>
        <v>0</v>
      </c>
      <c r="AD42" s="15">
        <f>(SUMIFS('MAIN DATA, Orders'!$U:$U,'MAIN DATA, Orders'!$Y:$Y,$A42,'MAIN DATA, Orders'!$D:$D,"Poland",'MAIN DATA, Orders'!$I:$I,"Development - Naval")/1000000000)</f>
        <v>0</v>
      </c>
      <c r="AE42" s="15">
        <f>(SUMIFS('MAIN DATA, Orders'!$U:$U,'MAIN DATA, Orders'!$Y:$Y,$A42,'MAIN DATA, Orders'!$D:$D,"Poland",'MAIN DATA, Orders'!$I:$I,"Other")/1000000000)</f>
        <v>0</v>
      </c>
      <c r="AF42" s="15">
        <f>(SUMIFS('MAIN DATA, Orders'!$U:$U,'MAIN DATA, Orders'!$Y:$Y,$A42,'MAIN DATA, Orders'!$D:$D,"Poland",'MAIN DATA, Orders'!$I:$I,"Development - Other")/1000000000)</f>
        <v>0</v>
      </c>
      <c r="AG42" s="15"/>
      <c r="AH42" s="15" cm="1">
        <f t="array" ref="AH42">SUM(SUMIFS('MAIN DATA, Orders'!$U:$U,'MAIN DATA, Orders'!$Y:$Y,$A42,'MAIN DATA, Orders'!$D:$D,"Poland",'MAIN DATA, Orders'!$I:$I,{"Missile (Land)","Development - Missile (Land)"})/1000000000)</f>
        <v>0</v>
      </c>
      <c r="AI42" s="15" cm="1">
        <f t="array" ref="AI42">SUM(SUMIFS('MAIN DATA, Orders'!$U:$U,'MAIN DATA, Orders'!$Y:$Y,$A42,'MAIN DATA, Orders'!$D:$D,"Poland",'MAIN DATA, Orders'!$I:$I,{"Missile (Air)","Development - Missile (Air)"})/1000000000)</f>
        <v>0</v>
      </c>
      <c r="AJ42" s="15" cm="1">
        <f t="array" ref="AJ42">SUM(SUMIFS('MAIN DATA, Orders'!$U:$U,'MAIN DATA, Orders'!$Y:$Y,$A42,'MAIN DATA, Orders'!$D:$D,"Poland",'MAIN DATA, Orders'!$I:$I,{"Missile (Naval)","Development - Missile (Naval)"})/1000000000)</f>
        <v>0</v>
      </c>
    </row>
    <row r="43" spans="1:36" x14ac:dyDescent="0.35">
      <c r="A43" s="20">
        <v>202201</v>
      </c>
      <c r="B43" s="17">
        <v>44562</v>
      </c>
      <c r="C43" s="15">
        <f>(SUMIFS('MAIN DATA, Orders'!$U:$U,'MAIN DATA, Orders'!$Y:$Y,$A43,'MAIN DATA, Orders'!$D:$D,"Poland",'MAIN DATA, Orders'!$I:$I,"Air defence system")/1000000000)</f>
        <v>0</v>
      </c>
      <c r="D43" s="15">
        <f>(SUMIFS('MAIN DATA, Orders'!$U:$U,'MAIN DATA, Orders'!$Y:$Y,$A43,'MAIN DATA, Orders'!$D:$D,"Poland",'MAIN DATA, Orders'!$I:$I,"Development - Air defence system")/1000000000)</f>
        <v>0</v>
      </c>
      <c r="E43" s="15">
        <f>(SUMIFS('MAIN DATA, Orders'!$U:$U,'MAIN DATA, Orders'!$Y:$Y,$A43,'MAIN DATA, Orders'!$D:$D,"Poland",'MAIN DATA, Orders'!$I:$I,"Aircraft")/1000000000)</f>
        <v>0</v>
      </c>
      <c r="F43" s="15">
        <f>(SUMIFS('MAIN DATA, Orders'!$U:$U,'MAIN DATA, Orders'!$Y:$Y,$A43,'MAIN DATA, Orders'!$D:$D,"Poland",'MAIN DATA, Orders'!$I:$I,"Development - Aircraft")/1000000000)</f>
        <v>0</v>
      </c>
      <c r="G43" s="15">
        <f>(SUMIFS('MAIN DATA, Orders'!$U:$U,'MAIN DATA, Orders'!$Y:$Y,$A43,'MAIN DATA, Orders'!$D:$D,"Poland",'MAIN DATA, Orders'!$I:$I,"Ammunition")/1000000000)</f>
        <v>0</v>
      </c>
      <c r="H43" s="15">
        <f>(SUMIFS('MAIN DATA, Orders'!$U:$U,'MAIN DATA, Orders'!$Y:$Y,$A43,'MAIN DATA, Orders'!$D:$D,"Poland",'MAIN DATA, Orders'!$I:$I,"Development - Ammunition")/1000000000)</f>
        <v>0</v>
      </c>
      <c r="I43" s="15">
        <f>(SUMIFS('MAIN DATA, Orders'!$U:$U,'MAIN DATA, Orders'!$Y:$Y,$A43,'MAIN DATA, Orders'!$D:$D,"Poland",'MAIN DATA, Orders'!$I:$I,"Armoured vehicle")/1000000000)</f>
        <v>0</v>
      </c>
      <c r="J43" s="15">
        <f>(SUMIFS('MAIN DATA, Orders'!$U:$U,'MAIN DATA, Orders'!$Y:$Y,$A43,'MAIN DATA, Orders'!$D:$D,"Poland",'MAIN DATA, Orders'!$I:$I,"Development - Armoured vehicle")/1000000000)</f>
        <v>0</v>
      </c>
      <c r="K43" s="15">
        <f>(SUMIFS('MAIN DATA, Orders'!$U:$U,'MAIN DATA, Orders'!$Y:$Y,$A43,'MAIN DATA, Orders'!$D:$D,"Poland",'MAIN DATA, Orders'!$I:$I,"Artillery")/1000000000)</f>
        <v>0</v>
      </c>
      <c r="L43" s="15">
        <f>(SUMIFS('MAIN DATA, Orders'!$U:$U,'MAIN DATA, Orders'!$Y:$Y,$A43,'MAIN DATA, Orders'!$D:$D,"Poland",'MAIN DATA, Orders'!$I:$I,"Development - Artillery")/1000000000)</f>
        <v>0</v>
      </c>
      <c r="M43" s="15">
        <f>(SUMIFS('MAIN DATA, Orders'!$U:$U,'MAIN DATA, Orders'!$Y:$Y,$A43,'MAIN DATA, Orders'!$D:$D,"Poland",'MAIN DATA, Orders'!$I:$I,"Drone")/1000000000)</f>
        <v>0</v>
      </c>
      <c r="N43" s="15">
        <f>(SUMIFS('MAIN DATA, Orders'!$U:$U,'MAIN DATA, Orders'!$Y:$Y,$A43,'MAIN DATA, Orders'!$D:$D,"Poland",'MAIN DATA, Orders'!$I:$I,"Development - Drone")/1000000000)</f>
        <v>0</v>
      </c>
      <c r="O43" s="15">
        <f>(SUMIFS('MAIN DATA, Orders'!$U:$U,'MAIN DATA, Orders'!$Y:$Y,$A43,'MAIN DATA, Orders'!$D:$D,"Poland",'MAIN DATA, Orders'!$I:$I,"Helicopter")/1000000000)</f>
        <v>0</v>
      </c>
      <c r="P43" s="15">
        <f>(SUMIFS('MAIN DATA, Orders'!$U:$U,'MAIN DATA, Orders'!$Y:$Y,$A43,'MAIN DATA, Orders'!$D:$D,"Poland",'MAIN DATA, Orders'!$I:$I,"Development - Helicopter")/1000000000)</f>
        <v>0</v>
      </c>
      <c r="Q43" s="15">
        <f>(SUMIFS('MAIN DATA, Orders'!$U:$U,'MAIN DATA, Orders'!$Y:$Y,$A43,'MAIN DATA, Orders'!$D:$D,"Poland",'MAIN DATA, Orders'!$I:$I,"Infantry")/1000000000)</f>
        <v>0</v>
      </c>
      <c r="R43" s="15">
        <f>(SUMIFS('MAIN DATA, Orders'!$U:$U,'MAIN DATA, Orders'!$Y:$Y,$A43,'MAIN DATA, Orders'!$D:$D,"Poland",'MAIN DATA, Orders'!$I:$I,"Development - Infantry")/1000000000)</f>
        <v>0</v>
      </c>
      <c r="S43" s="15">
        <f>(SUMIFS('MAIN DATA, Orders'!$U:$U,'MAIN DATA, Orders'!$Y:$Y,$A43,'MAIN DATA, Orders'!$D:$D,"Poland",'MAIN DATA, Orders'!$I:$I,"Tank")/1000000000)</f>
        <v>0</v>
      </c>
      <c r="T43" s="15">
        <f>(SUMIFS('MAIN DATA, Orders'!$U:$U,'MAIN DATA, Orders'!$Y:$Y,$A43,'MAIN DATA, Orders'!$D:$D,"Poland",'MAIN DATA, Orders'!$I:$I,"Development - Tank")/1000000000)</f>
        <v>0</v>
      </c>
      <c r="U43" s="15">
        <f>(SUMIFS('MAIN DATA, Orders'!$U:$U,'MAIN DATA, Orders'!$Y:$Y,$A43,'MAIN DATA, Orders'!$D:$D,"Poland",'MAIN DATA, Orders'!$I:$I,"Maintenance")/1000000000)</f>
        <v>0</v>
      </c>
      <c r="V43" s="15">
        <f>(SUMIFS('MAIN DATA, Orders'!$U:$U,'MAIN DATA, Orders'!$Y:$Y,$A43,'MAIN DATA, Orders'!$D:$D,"Poland",'MAIN DATA, Orders'!$I:$I,"Development - Maintenance")/1000000000)</f>
        <v>0</v>
      </c>
      <c r="W43" s="15">
        <f>(SUMIFS('MAIN DATA, Orders'!$U:$U,'MAIN DATA, Orders'!$Y:$Y,$A43,'MAIN DATA, Orders'!$D:$D,"Poland",'MAIN DATA, Orders'!$I:$I,"Mine")/1000000000)</f>
        <v>0</v>
      </c>
      <c r="X43" s="15">
        <f>(SUMIFS('MAIN DATA, Orders'!$U:$U,'MAIN DATA, Orders'!$Y:$Y,$A43,'MAIN DATA, Orders'!$D:$D,"Poland",'MAIN DATA, Orders'!$I:$I,"Development - Mine")/1000000000)</f>
        <v>0</v>
      </c>
      <c r="Y43" s="15">
        <f>(SUMIFS('MAIN DATA, Orders'!$U:$U,'MAIN DATA, Orders'!$Y:$Y,$A43,'MAIN DATA, Orders'!$D:$D,"Poland",'MAIN DATA, Orders'!$J:$J,"6")/1000000000)</f>
        <v>0</v>
      </c>
      <c r="Z43" s="15" cm="1">
        <f t="array" ref="Z43">SUM(SUMIFS('MAIN DATA, Orders'!$U:$U,'MAIN DATA, Orders'!$Y:$Y,$A43,'MAIN DATA, Orders'!$D:$D,"Poland",'MAIN DATA, Orders'!$I:$I,{"Development - Missile (Land)","Development - Missile (Naval)","Development - Missile (Air)"})/1000000000)</f>
        <v>0</v>
      </c>
      <c r="AA43" s="15">
        <f>(SUMIFS('MAIN DATA, Orders'!$U:$U,'MAIN DATA, Orders'!$Y:$Y,$A43,'MAIN DATA, Orders'!$D:$D,"Poland",'MAIN DATA, Orders'!$I:$I,"Modernisation")/1000000000)</f>
        <v>0</v>
      </c>
      <c r="AB43" s="15">
        <f>(SUMIFS('MAIN DATA, Orders'!$U:$U,'MAIN DATA, Orders'!$Y:$Y,$A43,'MAIN DATA, Orders'!$D:$D,"Poland",'MAIN DATA, Orders'!$I:$I,"Development - Modernisation")/1000000000)</f>
        <v>0</v>
      </c>
      <c r="AC43" s="15">
        <f>(SUMIFS('MAIN DATA, Orders'!$U:$U,'MAIN DATA, Orders'!$Y:$Y,$A43,'MAIN DATA, Orders'!$D:$D,"Poland",'MAIN DATA, Orders'!$I:$I,"Naval")/1000000000)</f>
        <v>0</v>
      </c>
      <c r="AD43" s="15">
        <f>(SUMIFS('MAIN DATA, Orders'!$U:$U,'MAIN DATA, Orders'!$Y:$Y,$A43,'MAIN DATA, Orders'!$D:$D,"Poland",'MAIN DATA, Orders'!$I:$I,"Development - Naval")/1000000000)</f>
        <v>0</v>
      </c>
      <c r="AE43" s="15">
        <f>(SUMIFS('MAIN DATA, Orders'!$U:$U,'MAIN DATA, Orders'!$Y:$Y,$A43,'MAIN DATA, Orders'!$D:$D,"Poland",'MAIN DATA, Orders'!$I:$I,"Other")/1000000000)</f>
        <v>0</v>
      </c>
      <c r="AF43" s="15">
        <f>(SUMIFS('MAIN DATA, Orders'!$U:$U,'MAIN DATA, Orders'!$Y:$Y,$A43,'MAIN DATA, Orders'!$D:$D,"Poland",'MAIN DATA, Orders'!$I:$I,"Development - Other")/1000000000)</f>
        <v>0</v>
      </c>
      <c r="AG43" s="15"/>
      <c r="AH43" s="15" cm="1">
        <f t="array" ref="AH43">SUM(SUMIFS('MAIN DATA, Orders'!$U:$U,'MAIN DATA, Orders'!$Y:$Y,$A43,'MAIN DATA, Orders'!$D:$D,"Poland",'MAIN DATA, Orders'!$I:$I,{"Missile (Land)","Development - Missile (Land)"})/1000000000)</f>
        <v>0</v>
      </c>
      <c r="AI43" s="15" cm="1">
        <f t="array" ref="AI43">SUM(SUMIFS('MAIN DATA, Orders'!$U:$U,'MAIN DATA, Orders'!$Y:$Y,$A43,'MAIN DATA, Orders'!$D:$D,"Poland",'MAIN DATA, Orders'!$I:$I,{"Missile (Air)","Development - Missile (Air)"})/1000000000)</f>
        <v>0</v>
      </c>
      <c r="AJ43" s="15" cm="1">
        <f t="array" ref="AJ43">SUM(SUMIFS('MAIN DATA, Orders'!$U:$U,'MAIN DATA, Orders'!$Y:$Y,$A43,'MAIN DATA, Orders'!$D:$D,"Poland",'MAIN DATA, Orders'!$I:$I,{"Missile (Naval)","Development - Missile (Naval)"})/1000000000)</f>
        <v>0</v>
      </c>
    </row>
    <row r="44" spans="1:36" x14ac:dyDescent="0.35">
      <c r="A44" s="20">
        <v>202202</v>
      </c>
      <c r="B44" s="17">
        <v>44593</v>
      </c>
      <c r="C44" s="15">
        <f>(SUMIFS('MAIN DATA, Orders'!$U:$U,'MAIN DATA, Orders'!$Y:$Y,$A44,'MAIN DATA, Orders'!$D:$D,"Poland",'MAIN DATA, Orders'!$I:$I,"Air defence system")/1000000000)</f>
        <v>0</v>
      </c>
      <c r="D44" s="15">
        <f>(SUMIFS('MAIN DATA, Orders'!$U:$U,'MAIN DATA, Orders'!$Y:$Y,$A44,'MAIN DATA, Orders'!$D:$D,"Poland",'MAIN DATA, Orders'!$I:$I,"Development - Air defence system")/1000000000)</f>
        <v>0</v>
      </c>
      <c r="E44" s="15">
        <f>(SUMIFS('MAIN DATA, Orders'!$U:$U,'MAIN DATA, Orders'!$Y:$Y,$A44,'MAIN DATA, Orders'!$D:$D,"Poland",'MAIN DATA, Orders'!$I:$I,"Aircraft")/1000000000)</f>
        <v>0</v>
      </c>
      <c r="F44" s="15">
        <f>(SUMIFS('MAIN DATA, Orders'!$U:$U,'MAIN DATA, Orders'!$Y:$Y,$A44,'MAIN DATA, Orders'!$D:$D,"Poland",'MAIN DATA, Orders'!$I:$I,"Development - Aircraft")/1000000000)</f>
        <v>0</v>
      </c>
      <c r="G44" s="15">
        <f>(SUMIFS('MAIN DATA, Orders'!$U:$U,'MAIN DATA, Orders'!$Y:$Y,$A44,'MAIN DATA, Orders'!$D:$D,"Poland",'MAIN DATA, Orders'!$I:$I,"Ammunition")/1000000000)</f>
        <v>0</v>
      </c>
      <c r="H44" s="15">
        <f>(SUMIFS('MAIN DATA, Orders'!$U:$U,'MAIN DATA, Orders'!$Y:$Y,$A44,'MAIN DATA, Orders'!$D:$D,"Poland",'MAIN DATA, Orders'!$I:$I,"Development - Ammunition")/1000000000)</f>
        <v>0</v>
      </c>
      <c r="I44" s="15">
        <f>(SUMIFS('MAIN DATA, Orders'!$U:$U,'MAIN DATA, Orders'!$Y:$Y,$A44,'MAIN DATA, Orders'!$D:$D,"Poland",'MAIN DATA, Orders'!$I:$I,"Armoured vehicle")/1000000000)</f>
        <v>0</v>
      </c>
      <c r="J44" s="15">
        <f>(SUMIFS('MAIN DATA, Orders'!$U:$U,'MAIN DATA, Orders'!$Y:$Y,$A44,'MAIN DATA, Orders'!$D:$D,"Poland",'MAIN DATA, Orders'!$I:$I,"Development - Armoured vehicle")/1000000000)</f>
        <v>0</v>
      </c>
      <c r="K44" s="15">
        <f>(SUMIFS('MAIN DATA, Orders'!$U:$U,'MAIN DATA, Orders'!$Y:$Y,$A44,'MAIN DATA, Orders'!$D:$D,"Poland",'MAIN DATA, Orders'!$I:$I,"Artillery")/1000000000)</f>
        <v>0</v>
      </c>
      <c r="L44" s="15">
        <f>(SUMIFS('MAIN DATA, Orders'!$U:$U,'MAIN DATA, Orders'!$Y:$Y,$A44,'MAIN DATA, Orders'!$D:$D,"Poland",'MAIN DATA, Orders'!$I:$I,"Development - Artillery")/1000000000)</f>
        <v>0</v>
      </c>
      <c r="M44" s="15">
        <f>(SUMIFS('MAIN DATA, Orders'!$U:$U,'MAIN DATA, Orders'!$Y:$Y,$A44,'MAIN DATA, Orders'!$D:$D,"Poland",'MAIN DATA, Orders'!$I:$I,"Drone")/1000000000)</f>
        <v>0</v>
      </c>
      <c r="N44" s="15">
        <f>(SUMIFS('MAIN DATA, Orders'!$U:$U,'MAIN DATA, Orders'!$Y:$Y,$A44,'MAIN DATA, Orders'!$D:$D,"Poland",'MAIN DATA, Orders'!$I:$I,"Development - Drone")/1000000000)</f>
        <v>0</v>
      </c>
      <c r="O44" s="15">
        <f>(SUMIFS('MAIN DATA, Orders'!$U:$U,'MAIN DATA, Orders'!$Y:$Y,$A44,'MAIN DATA, Orders'!$D:$D,"Poland",'MAIN DATA, Orders'!$I:$I,"Helicopter")/1000000000)</f>
        <v>0</v>
      </c>
      <c r="P44" s="15">
        <f>(SUMIFS('MAIN DATA, Orders'!$U:$U,'MAIN DATA, Orders'!$Y:$Y,$A44,'MAIN DATA, Orders'!$D:$D,"Poland",'MAIN DATA, Orders'!$I:$I,"Development - Helicopter")/1000000000)</f>
        <v>0</v>
      </c>
      <c r="Q44" s="15">
        <f>(SUMIFS('MAIN DATA, Orders'!$U:$U,'MAIN DATA, Orders'!$Y:$Y,$A44,'MAIN DATA, Orders'!$D:$D,"Poland",'MAIN DATA, Orders'!$I:$I,"Infantry")/1000000000)</f>
        <v>0</v>
      </c>
      <c r="R44" s="15">
        <f>(SUMIFS('MAIN DATA, Orders'!$U:$U,'MAIN DATA, Orders'!$Y:$Y,$A44,'MAIN DATA, Orders'!$D:$D,"Poland",'MAIN DATA, Orders'!$I:$I,"Development - Infantry")/1000000000)</f>
        <v>0</v>
      </c>
      <c r="S44" s="15">
        <f>(SUMIFS('MAIN DATA, Orders'!$U:$U,'MAIN DATA, Orders'!$Y:$Y,$A44,'MAIN DATA, Orders'!$D:$D,"Poland",'MAIN DATA, Orders'!$I:$I,"Tank")/1000000000)</f>
        <v>0</v>
      </c>
      <c r="T44" s="15">
        <f>(SUMIFS('MAIN DATA, Orders'!$U:$U,'MAIN DATA, Orders'!$Y:$Y,$A44,'MAIN DATA, Orders'!$D:$D,"Poland",'MAIN DATA, Orders'!$I:$I,"Development - Tank")/1000000000)</f>
        <v>0</v>
      </c>
      <c r="U44" s="15">
        <f>(SUMIFS('MAIN DATA, Orders'!$U:$U,'MAIN DATA, Orders'!$Y:$Y,$A44,'MAIN DATA, Orders'!$D:$D,"Poland",'MAIN DATA, Orders'!$I:$I,"Maintenance")/1000000000)</f>
        <v>0</v>
      </c>
      <c r="V44" s="15">
        <f>(SUMIFS('MAIN DATA, Orders'!$U:$U,'MAIN DATA, Orders'!$Y:$Y,$A44,'MAIN DATA, Orders'!$D:$D,"Poland",'MAIN DATA, Orders'!$I:$I,"Development - Maintenance")/1000000000)</f>
        <v>0</v>
      </c>
      <c r="W44" s="15">
        <f>(SUMIFS('MAIN DATA, Orders'!$U:$U,'MAIN DATA, Orders'!$Y:$Y,$A44,'MAIN DATA, Orders'!$D:$D,"Poland",'MAIN DATA, Orders'!$I:$I,"Mine")/1000000000)</f>
        <v>0</v>
      </c>
      <c r="X44" s="15">
        <f>(SUMIFS('MAIN DATA, Orders'!$U:$U,'MAIN DATA, Orders'!$Y:$Y,$A44,'MAIN DATA, Orders'!$D:$D,"Poland",'MAIN DATA, Orders'!$I:$I,"Development - Mine")/1000000000)</f>
        <v>0</v>
      </c>
      <c r="Y44" s="15">
        <f>(SUMIFS('MAIN DATA, Orders'!$U:$U,'MAIN DATA, Orders'!$Y:$Y,$A44,'MAIN DATA, Orders'!$D:$D,"Poland",'MAIN DATA, Orders'!$J:$J,"6")/1000000000)</f>
        <v>0</v>
      </c>
      <c r="Z44" s="15" cm="1">
        <f t="array" ref="Z44">SUM(SUMIFS('MAIN DATA, Orders'!$U:$U,'MAIN DATA, Orders'!$Y:$Y,$A44,'MAIN DATA, Orders'!$D:$D,"Poland",'MAIN DATA, Orders'!$I:$I,{"Development - Missile (Land)","Development - Missile (Naval)","Development - Missile (Air)"})/1000000000)</f>
        <v>0</v>
      </c>
      <c r="AA44" s="15">
        <f>(SUMIFS('MAIN DATA, Orders'!$U:$U,'MAIN DATA, Orders'!$Y:$Y,$A44,'MAIN DATA, Orders'!$D:$D,"Poland",'MAIN DATA, Orders'!$I:$I,"Modernisation")/1000000000)</f>
        <v>0</v>
      </c>
      <c r="AB44" s="15">
        <f>(SUMIFS('MAIN DATA, Orders'!$U:$U,'MAIN DATA, Orders'!$Y:$Y,$A44,'MAIN DATA, Orders'!$D:$D,"Poland",'MAIN DATA, Orders'!$I:$I,"Development - Modernisation")/1000000000)</f>
        <v>0</v>
      </c>
      <c r="AC44" s="15">
        <f>(SUMIFS('MAIN DATA, Orders'!$U:$U,'MAIN DATA, Orders'!$Y:$Y,$A44,'MAIN DATA, Orders'!$D:$D,"Poland",'MAIN DATA, Orders'!$I:$I,"Naval")/1000000000)</f>
        <v>0</v>
      </c>
      <c r="AD44" s="15">
        <f>(SUMIFS('MAIN DATA, Orders'!$U:$U,'MAIN DATA, Orders'!$Y:$Y,$A44,'MAIN DATA, Orders'!$D:$D,"Poland",'MAIN DATA, Orders'!$I:$I,"Development - Naval")/1000000000)</f>
        <v>0</v>
      </c>
      <c r="AE44" s="15">
        <f>(SUMIFS('MAIN DATA, Orders'!$U:$U,'MAIN DATA, Orders'!$Y:$Y,$A44,'MAIN DATA, Orders'!$D:$D,"Poland",'MAIN DATA, Orders'!$I:$I,"Other")/1000000000)</f>
        <v>0</v>
      </c>
      <c r="AF44" s="15">
        <f>(SUMIFS('MAIN DATA, Orders'!$U:$U,'MAIN DATA, Orders'!$Y:$Y,$A44,'MAIN DATA, Orders'!$D:$D,"Poland",'MAIN DATA, Orders'!$I:$I,"Development - Other")/1000000000)</f>
        <v>0</v>
      </c>
      <c r="AG44" s="15"/>
      <c r="AH44" s="15" cm="1">
        <f t="array" ref="AH44">SUM(SUMIFS('MAIN DATA, Orders'!$U:$U,'MAIN DATA, Orders'!$Y:$Y,$A44,'MAIN DATA, Orders'!$D:$D,"Poland",'MAIN DATA, Orders'!$I:$I,{"Missile (Land)","Development - Missile (Land)"})/1000000000)</f>
        <v>0</v>
      </c>
      <c r="AI44" s="15" cm="1">
        <f t="array" ref="AI44">SUM(SUMIFS('MAIN DATA, Orders'!$U:$U,'MAIN DATA, Orders'!$Y:$Y,$A44,'MAIN DATA, Orders'!$D:$D,"Poland",'MAIN DATA, Orders'!$I:$I,{"Missile (Air)","Development - Missile (Air)"})/1000000000)</f>
        <v>0</v>
      </c>
      <c r="AJ44" s="15" cm="1">
        <f t="array" ref="AJ44">SUM(SUMIFS('MAIN DATA, Orders'!$U:$U,'MAIN DATA, Orders'!$Y:$Y,$A44,'MAIN DATA, Orders'!$D:$D,"Poland",'MAIN DATA, Orders'!$I:$I,{"Missile (Naval)","Development - Missile (Naval)"})/1000000000)</f>
        <v>0</v>
      </c>
    </row>
    <row r="45" spans="1:36" x14ac:dyDescent="0.35">
      <c r="A45" s="20">
        <v>202203</v>
      </c>
      <c r="B45" s="17">
        <v>44621</v>
      </c>
      <c r="C45" s="15">
        <f>(SUMIFS('MAIN DATA, Orders'!$U:$U,'MAIN DATA, Orders'!$Y:$Y,$A45,'MAIN DATA, Orders'!$D:$D,"Poland",'MAIN DATA, Orders'!$I:$I,"Air defence system")/1000000000)</f>
        <v>0</v>
      </c>
      <c r="D45" s="15">
        <f>(SUMIFS('MAIN DATA, Orders'!$U:$U,'MAIN DATA, Orders'!$Y:$Y,$A45,'MAIN DATA, Orders'!$D:$D,"Poland",'MAIN DATA, Orders'!$I:$I,"Development - Air defence system")/1000000000)</f>
        <v>0</v>
      </c>
      <c r="E45" s="15">
        <f>(SUMIFS('MAIN DATA, Orders'!$U:$U,'MAIN DATA, Orders'!$Y:$Y,$A45,'MAIN DATA, Orders'!$D:$D,"Poland",'MAIN DATA, Orders'!$I:$I,"Aircraft")/1000000000)</f>
        <v>0</v>
      </c>
      <c r="F45" s="15">
        <f>(SUMIFS('MAIN DATA, Orders'!$U:$U,'MAIN DATA, Orders'!$Y:$Y,$A45,'MAIN DATA, Orders'!$D:$D,"Poland",'MAIN DATA, Orders'!$I:$I,"Development - Aircraft")/1000000000)</f>
        <v>0</v>
      </c>
      <c r="G45" s="15">
        <f>(SUMIFS('MAIN DATA, Orders'!$U:$U,'MAIN DATA, Orders'!$Y:$Y,$A45,'MAIN DATA, Orders'!$D:$D,"Poland",'MAIN DATA, Orders'!$I:$I,"Ammunition")/1000000000)</f>
        <v>0</v>
      </c>
      <c r="H45" s="15">
        <f>(SUMIFS('MAIN DATA, Orders'!$U:$U,'MAIN DATA, Orders'!$Y:$Y,$A45,'MAIN DATA, Orders'!$D:$D,"Poland",'MAIN DATA, Orders'!$I:$I,"Development - Ammunition")/1000000000)</f>
        <v>0</v>
      </c>
      <c r="I45" s="15">
        <f>(SUMIFS('MAIN DATA, Orders'!$U:$U,'MAIN DATA, Orders'!$Y:$Y,$A45,'MAIN DATA, Orders'!$D:$D,"Poland",'MAIN DATA, Orders'!$I:$I,"Armoured vehicle")/1000000000)</f>
        <v>0</v>
      </c>
      <c r="J45" s="15">
        <f>(SUMIFS('MAIN DATA, Orders'!$U:$U,'MAIN DATA, Orders'!$Y:$Y,$A45,'MAIN DATA, Orders'!$D:$D,"Poland",'MAIN DATA, Orders'!$I:$I,"Development - Armoured vehicle")/1000000000)</f>
        <v>0</v>
      </c>
      <c r="K45" s="15">
        <f>(SUMIFS('MAIN DATA, Orders'!$U:$U,'MAIN DATA, Orders'!$Y:$Y,$A45,'MAIN DATA, Orders'!$D:$D,"Poland",'MAIN DATA, Orders'!$I:$I,"Artillery")/1000000000)</f>
        <v>0</v>
      </c>
      <c r="L45" s="15">
        <f>(SUMIFS('MAIN DATA, Orders'!$U:$U,'MAIN DATA, Orders'!$Y:$Y,$A45,'MAIN DATA, Orders'!$D:$D,"Poland",'MAIN DATA, Orders'!$I:$I,"Development - Artillery")/1000000000)</f>
        <v>0</v>
      </c>
      <c r="M45" s="15">
        <f>(SUMIFS('MAIN DATA, Orders'!$U:$U,'MAIN DATA, Orders'!$Y:$Y,$A45,'MAIN DATA, Orders'!$D:$D,"Poland",'MAIN DATA, Orders'!$I:$I,"Drone")/1000000000)</f>
        <v>0</v>
      </c>
      <c r="N45" s="15">
        <f>(SUMIFS('MAIN DATA, Orders'!$U:$U,'MAIN DATA, Orders'!$Y:$Y,$A45,'MAIN DATA, Orders'!$D:$D,"Poland",'MAIN DATA, Orders'!$I:$I,"Development - Drone")/1000000000)</f>
        <v>0</v>
      </c>
      <c r="O45" s="15">
        <f>(SUMIFS('MAIN DATA, Orders'!$U:$U,'MAIN DATA, Orders'!$Y:$Y,$A45,'MAIN DATA, Orders'!$D:$D,"Poland",'MAIN DATA, Orders'!$I:$I,"Helicopter")/1000000000)</f>
        <v>0</v>
      </c>
      <c r="P45" s="15">
        <f>(SUMIFS('MAIN DATA, Orders'!$U:$U,'MAIN DATA, Orders'!$Y:$Y,$A45,'MAIN DATA, Orders'!$D:$D,"Poland",'MAIN DATA, Orders'!$I:$I,"Development - Helicopter")/1000000000)</f>
        <v>0</v>
      </c>
      <c r="Q45" s="15">
        <f>(SUMIFS('MAIN DATA, Orders'!$U:$U,'MAIN DATA, Orders'!$Y:$Y,$A45,'MAIN DATA, Orders'!$D:$D,"Poland",'MAIN DATA, Orders'!$I:$I,"Infantry")/1000000000)</f>
        <v>0</v>
      </c>
      <c r="R45" s="15">
        <f>(SUMIFS('MAIN DATA, Orders'!$U:$U,'MAIN DATA, Orders'!$Y:$Y,$A45,'MAIN DATA, Orders'!$D:$D,"Poland",'MAIN DATA, Orders'!$I:$I,"Development - Infantry")/1000000000)</f>
        <v>0</v>
      </c>
      <c r="S45" s="15">
        <f>(SUMIFS('MAIN DATA, Orders'!$U:$U,'MAIN DATA, Orders'!$Y:$Y,$A45,'MAIN DATA, Orders'!$D:$D,"Poland",'MAIN DATA, Orders'!$I:$I,"Tank")/1000000000)</f>
        <v>0</v>
      </c>
      <c r="T45" s="15">
        <f>(SUMIFS('MAIN DATA, Orders'!$U:$U,'MAIN DATA, Orders'!$Y:$Y,$A45,'MAIN DATA, Orders'!$D:$D,"Poland",'MAIN DATA, Orders'!$I:$I,"Development - Tank")/1000000000)</f>
        <v>0</v>
      </c>
      <c r="U45" s="15">
        <f>(SUMIFS('MAIN DATA, Orders'!$U:$U,'MAIN DATA, Orders'!$Y:$Y,$A45,'MAIN DATA, Orders'!$D:$D,"Poland",'MAIN DATA, Orders'!$I:$I,"Maintenance")/1000000000)</f>
        <v>0</v>
      </c>
      <c r="V45" s="15">
        <f>(SUMIFS('MAIN DATA, Orders'!$U:$U,'MAIN DATA, Orders'!$Y:$Y,$A45,'MAIN DATA, Orders'!$D:$D,"Poland",'MAIN DATA, Orders'!$I:$I,"Development - Maintenance")/1000000000)</f>
        <v>0</v>
      </c>
      <c r="W45" s="15">
        <f>(SUMIFS('MAIN DATA, Orders'!$U:$U,'MAIN DATA, Orders'!$Y:$Y,$A45,'MAIN DATA, Orders'!$D:$D,"Poland",'MAIN DATA, Orders'!$I:$I,"Mine")/1000000000)</f>
        <v>0</v>
      </c>
      <c r="X45" s="15">
        <f>(SUMIFS('MAIN DATA, Orders'!$U:$U,'MAIN DATA, Orders'!$Y:$Y,$A45,'MAIN DATA, Orders'!$D:$D,"Poland",'MAIN DATA, Orders'!$I:$I,"Development - Mine")/1000000000)</f>
        <v>0</v>
      </c>
      <c r="Y45" s="15">
        <f>(SUMIFS('MAIN DATA, Orders'!$U:$U,'MAIN DATA, Orders'!$Y:$Y,$A45,'MAIN DATA, Orders'!$D:$D,"Poland",'MAIN DATA, Orders'!$J:$J,"6")/1000000000)</f>
        <v>0</v>
      </c>
      <c r="Z45" s="15" cm="1">
        <f t="array" ref="Z45">SUM(SUMIFS('MAIN DATA, Orders'!$U:$U,'MAIN DATA, Orders'!$Y:$Y,$A45,'MAIN DATA, Orders'!$D:$D,"Poland",'MAIN DATA, Orders'!$I:$I,{"Development - Missile (Land)","Development - Missile (Naval)","Development - Missile (Air)"})/1000000000)</f>
        <v>0</v>
      </c>
      <c r="AA45" s="15">
        <f>(SUMIFS('MAIN DATA, Orders'!$U:$U,'MAIN DATA, Orders'!$Y:$Y,$A45,'MAIN DATA, Orders'!$D:$D,"Poland",'MAIN DATA, Orders'!$I:$I,"Modernisation")/1000000000)</f>
        <v>0</v>
      </c>
      <c r="AB45" s="15">
        <f>(SUMIFS('MAIN DATA, Orders'!$U:$U,'MAIN DATA, Orders'!$Y:$Y,$A45,'MAIN DATA, Orders'!$D:$D,"Poland",'MAIN DATA, Orders'!$I:$I,"Development - Modernisation")/1000000000)</f>
        <v>0</v>
      </c>
      <c r="AC45" s="15">
        <f>(SUMIFS('MAIN DATA, Orders'!$U:$U,'MAIN DATA, Orders'!$Y:$Y,$A45,'MAIN DATA, Orders'!$D:$D,"Poland",'MAIN DATA, Orders'!$I:$I,"Naval")/1000000000)</f>
        <v>0</v>
      </c>
      <c r="AD45" s="15">
        <f>(SUMIFS('MAIN DATA, Orders'!$U:$U,'MAIN DATA, Orders'!$Y:$Y,$A45,'MAIN DATA, Orders'!$D:$D,"Poland",'MAIN DATA, Orders'!$I:$I,"Development - Naval")/1000000000)</f>
        <v>0</v>
      </c>
      <c r="AE45" s="15">
        <f>(SUMIFS('MAIN DATA, Orders'!$U:$U,'MAIN DATA, Orders'!$Y:$Y,$A45,'MAIN DATA, Orders'!$D:$D,"Poland",'MAIN DATA, Orders'!$I:$I,"Other")/1000000000)</f>
        <v>0</v>
      </c>
      <c r="AF45" s="15">
        <f>(SUMIFS('MAIN DATA, Orders'!$U:$U,'MAIN DATA, Orders'!$Y:$Y,$A45,'MAIN DATA, Orders'!$D:$D,"Poland",'MAIN DATA, Orders'!$I:$I,"Development - Other")/1000000000)</f>
        <v>0</v>
      </c>
      <c r="AG45" s="15"/>
      <c r="AH45" s="15" cm="1">
        <f t="array" ref="AH45">SUM(SUMIFS('MAIN DATA, Orders'!$U:$U,'MAIN DATA, Orders'!$Y:$Y,$A45,'MAIN DATA, Orders'!$D:$D,"Poland",'MAIN DATA, Orders'!$I:$I,{"Missile (Land)","Development - Missile (Land)"})/1000000000)</f>
        <v>0</v>
      </c>
      <c r="AI45" s="15" cm="1">
        <f t="array" ref="AI45">SUM(SUMIFS('MAIN DATA, Orders'!$U:$U,'MAIN DATA, Orders'!$Y:$Y,$A45,'MAIN DATA, Orders'!$D:$D,"Poland",'MAIN DATA, Orders'!$I:$I,{"Missile (Air)","Development - Missile (Air)"})/1000000000)</f>
        <v>0</v>
      </c>
      <c r="AJ45" s="15" cm="1">
        <f t="array" ref="AJ45">SUM(SUMIFS('MAIN DATA, Orders'!$U:$U,'MAIN DATA, Orders'!$Y:$Y,$A45,'MAIN DATA, Orders'!$D:$D,"Poland",'MAIN DATA, Orders'!$I:$I,{"Missile (Naval)","Development - Missile (Naval)"})/1000000000)</f>
        <v>0</v>
      </c>
    </row>
    <row r="46" spans="1:36" x14ac:dyDescent="0.35">
      <c r="A46" s="20">
        <v>202204</v>
      </c>
      <c r="B46" s="17">
        <v>44652</v>
      </c>
      <c r="C46" s="15">
        <f>(SUMIFS('MAIN DATA, Orders'!$U:$U,'MAIN DATA, Orders'!$Y:$Y,$A46,'MAIN DATA, Orders'!$D:$D,"Poland",'MAIN DATA, Orders'!$I:$I,"Air defence system")/1000000000)</f>
        <v>0</v>
      </c>
      <c r="D46" s="15">
        <f>(SUMIFS('MAIN DATA, Orders'!$U:$U,'MAIN DATA, Orders'!$Y:$Y,$A46,'MAIN DATA, Orders'!$D:$D,"Poland",'MAIN DATA, Orders'!$I:$I,"Development - Air defence system")/1000000000)</f>
        <v>0</v>
      </c>
      <c r="E46" s="15">
        <f>(SUMIFS('MAIN DATA, Orders'!$U:$U,'MAIN DATA, Orders'!$Y:$Y,$A46,'MAIN DATA, Orders'!$D:$D,"Poland",'MAIN DATA, Orders'!$I:$I,"Aircraft")/1000000000)</f>
        <v>0</v>
      </c>
      <c r="F46" s="15">
        <f>(SUMIFS('MAIN DATA, Orders'!$U:$U,'MAIN DATA, Orders'!$Y:$Y,$A46,'MAIN DATA, Orders'!$D:$D,"Poland",'MAIN DATA, Orders'!$I:$I,"Development - Aircraft")/1000000000)</f>
        <v>0</v>
      </c>
      <c r="G46" s="15">
        <f>(SUMIFS('MAIN DATA, Orders'!$U:$U,'MAIN DATA, Orders'!$Y:$Y,$A46,'MAIN DATA, Orders'!$D:$D,"Poland",'MAIN DATA, Orders'!$I:$I,"Ammunition")/1000000000)</f>
        <v>0</v>
      </c>
      <c r="H46" s="15">
        <f>(SUMIFS('MAIN DATA, Orders'!$U:$U,'MAIN DATA, Orders'!$Y:$Y,$A46,'MAIN DATA, Orders'!$D:$D,"Poland",'MAIN DATA, Orders'!$I:$I,"Development - Ammunition")/1000000000)</f>
        <v>0</v>
      </c>
      <c r="I46" s="15">
        <f>(SUMIFS('MAIN DATA, Orders'!$U:$U,'MAIN DATA, Orders'!$Y:$Y,$A46,'MAIN DATA, Orders'!$D:$D,"Poland",'MAIN DATA, Orders'!$I:$I,"Armoured vehicle")/1000000000)</f>
        <v>0</v>
      </c>
      <c r="J46" s="15">
        <f>(SUMIFS('MAIN DATA, Orders'!$U:$U,'MAIN DATA, Orders'!$Y:$Y,$A46,'MAIN DATA, Orders'!$D:$D,"Poland",'MAIN DATA, Orders'!$I:$I,"Development - Armoured vehicle")/1000000000)</f>
        <v>0</v>
      </c>
      <c r="K46" s="15">
        <f>(SUMIFS('MAIN DATA, Orders'!$U:$U,'MAIN DATA, Orders'!$Y:$Y,$A46,'MAIN DATA, Orders'!$D:$D,"Poland",'MAIN DATA, Orders'!$I:$I,"Artillery")/1000000000)</f>
        <v>0</v>
      </c>
      <c r="L46" s="15">
        <f>(SUMIFS('MAIN DATA, Orders'!$U:$U,'MAIN DATA, Orders'!$Y:$Y,$A46,'MAIN DATA, Orders'!$D:$D,"Poland",'MAIN DATA, Orders'!$I:$I,"Development - Artillery")/1000000000)</f>
        <v>0</v>
      </c>
      <c r="M46" s="15">
        <f>(SUMIFS('MAIN DATA, Orders'!$U:$U,'MAIN DATA, Orders'!$Y:$Y,$A46,'MAIN DATA, Orders'!$D:$D,"Poland",'MAIN DATA, Orders'!$I:$I,"Drone")/1000000000)</f>
        <v>0</v>
      </c>
      <c r="N46" s="15">
        <f>(SUMIFS('MAIN DATA, Orders'!$U:$U,'MAIN DATA, Orders'!$Y:$Y,$A46,'MAIN DATA, Orders'!$D:$D,"Poland",'MAIN DATA, Orders'!$I:$I,"Development - Drone")/1000000000)</f>
        <v>0</v>
      </c>
      <c r="O46" s="15">
        <f>(SUMIFS('MAIN DATA, Orders'!$U:$U,'MAIN DATA, Orders'!$Y:$Y,$A46,'MAIN DATA, Orders'!$D:$D,"Poland",'MAIN DATA, Orders'!$I:$I,"Helicopter")/1000000000)</f>
        <v>0</v>
      </c>
      <c r="P46" s="15">
        <f>(SUMIFS('MAIN DATA, Orders'!$U:$U,'MAIN DATA, Orders'!$Y:$Y,$A46,'MAIN DATA, Orders'!$D:$D,"Poland",'MAIN DATA, Orders'!$I:$I,"Development - Helicopter")/1000000000)</f>
        <v>0</v>
      </c>
      <c r="Q46" s="15">
        <f>(SUMIFS('MAIN DATA, Orders'!$U:$U,'MAIN DATA, Orders'!$Y:$Y,$A46,'MAIN DATA, Orders'!$D:$D,"Poland",'MAIN DATA, Orders'!$I:$I,"Infantry")/1000000000)</f>
        <v>0</v>
      </c>
      <c r="R46" s="15">
        <f>(SUMIFS('MAIN DATA, Orders'!$U:$U,'MAIN DATA, Orders'!$Y:$Y,$A46,'MAIN DATA, Orders'!$D:$D,"Poland",'MAIN DATA, Orders'!$I:$I,"Development - Infantry")/1000000000)</f>
        <v>0</v>
      </c>
      <c r="S46" s="15">
        <f>(SUMIFS('MAIN DATA, Orders'!$U:$U,'MAIN DATA, Orders'!$Y:$Y,$A46,'MAIN DATA, Orders'!$D:$D,"Poland",'MAIN DATA, Orders'!$I:$I,"Tank")/1000000000)</f>
        <v>0</v>
      </c>
      <c r="T46" s="15">
        <f>(SUMIFS('MAIN DATA, Orders'!$U:$U,'MAIN DATA, Orders'!$Y:$Y,$A46,'MAIN DATA, Orders'!$D:$D,"Poland",'MAIN DATA, Orders'!$I:$I,"Development - Tank")/1000000000)</f>
        <v>0</v>
      </c>
      <c r="U46" s="15">
        <f>(SUMIFS('MAIN DATA, Orders'!$U:$U,'MAIN DATA, Orders'!$Y:$Y,$A46,'MAIN DATA, Orders'!$D:$D,"Poland",'MAIN DATA, Orders'!$I:$I,"Maintenance")/1000000000)</f>
        <v>0</v>
      </c>
      <c r="V46" s="15">
        <f>(SUMIFS('MAIN DATA, Orders'!$U:$U,'MAIN DATA, Orders'!$Y:$Y,$A46,'MAIN DATA, Orders'!$D:$D,"Poland",'MAIN DATA, Orders'!$I:$I,"Development - Maintenance")/1000000000)</f>
        <v>0</v>
      </c>
      <c r="W46" s="15">
        <f>(SUMIFS('MAIN DATA, Orders'!$U:$U,'MAIN DATA, Orders'!$Y:$Y,$A46,'MAIN DATA, Orders'!$D:$D,"Poland",'MAIN DATA, Orders'!$I:$I,"Mine")/1000000000)</f>
        <v>0</v>
      </c>
      <c r="X46" s="15">
        <f>(SUMIFS('MAIN DATA, Orders'!$U:$U,'MAIN DATA, Orders'!$Y:$Y,$A46,'MAIN DATA, Orders'!$D:$D,"Poland",'MAIN DATA, Orders'!$I:$I,"Development - Mine")/1000000000)</f>
        <v>0</v>
      </c>
      <c r="Y46" s="15">
        <f>(SUMIFS('MAIN DATA, Orders'!$U:$U,'MAIN DATA, Orders'!$Y:$Y,$A46,'MAIN DATA, Orders'!$D:$D,"Poland",'MAIN DATA, Orders'!$J:$J,"6")/1000000000)</f>
        <v>0</v>
      </c>
      <c r="Z46" s="15" cm="1">
        <f t="array" ref="Z46">SUM(SUMIFS('MAIN DATA, Orders'!$U:$U,'MAIN DATA, Orders'!$Y:$Y,$A46,'MAIN DATA, Orders'!$D:$D,"Poland",'MAIN DATA, Orders'!$I:$I,{"Development - Missile (Land)","Development - Missile (Naval)","Development - Missile (Air)"})/1000000000)</f>
        <v>0</v>
      </c>
      <c r="AA46" s="15">
        <f>(SUMIFS('MAIN DATA, Orders'!$U:$U,'MAIN DATA, Orders'!$Y:$Y,$A46,'MAIN DATA, Orders'!$D:$D,"Poland",'MAIN DATA, Orders'!$I:$I,"Modernisation")/1000000000)</f>
        <v>0</v>
      </c>
      <c r="AB46" s="15">
        <f>(SUMIFS('MAIN DATA, Orders'!$U:$U,'MAIN DATA, Orders'!$Y:$Y,$A46,'MAIN DATA, Orders'!$D:$D,"Poland",'MAIN DATA, Orders'!$I:$I,"Development - Modernisation")/1000000000)</f>
        <v>0</v>
      </c>
      <c r="AC46" s="15">
        <f>(SUMIFS('MAIN DATA, Orders'!$U:$U,'MAIN DATA, Orders'!$Y:$Y,$A46,'MAIN DATA, Orders'!$D:$D,"Poland",'MAIN DATA, Orders'!$I:$I,"Naval")/1000000000)</f>
        <v>0</v>
      </c>
      <c r="AD46" s="15">
        <f>(SUMIFS('MAIN DATA, Orders'!$U:$U,'MAIN DATA, Orders'!$Y:$Y,$A46,'MAIN DATA, Orders'!$D:$D,"Poland",'MAIN DATA, Orders'!$I:$I,"Development - Naval")/1000000000)</f>
        <v>0</v>
      </c>
      <c r="AE46" s="15">
        <f>(SUMIFS('MAIN DATA, Orders'!$U:$U,'MAIN DATA, Orders'!$Y:$Y,$A46,'MAIN DATA, Orders'!$D:$D,"Poland",'MAIN DATA, Orders'!$I:$I,"Other")/1000000000)</f>
        <v>0</v>
      </c>
      <c r="AF46" s="15">
        <f>(SUMIFS('MAIN DATA, Orders'!$U:$U,'MAIN DATA, Orders'!$Y:$Y,$A46,'MAIN DATA, Orders'!$D:$D,"Poland",'MAIN DATA, Orders'!$I:$I,"Development - Other")/1000000000)</f>
        <v>0</v>
      </c>
      <c r="AG46" s="15"/>
      <c r="AH46" s="15" cm="1">
        <f t="array" ref="AH46">SUM(SUMIFS('MAIN DATA, Orders'!$U:$U,'MAIN DATA, Orders'!$Y:$Y,$A46,'MAIN DATA, Orders'!$D:$D,"Poland",'MAIN DATA, Orders'!$I:$I,{"Missile (Land)","Development - Missile (Land)"})/1000000000)</f>
        <v>0</v>
      </c>
      <c r="AI46" s="15" cm="1">
        <f t="array" ref="AI46">SUM(SUMIFS('MAIN DATA, Orders'!$U:$U,'MAIN DATA, Orders'!$Y:$Y,$A46,'MAIN DATA, Orders'!$D:$D,"Poland",'MAIN DATA, Orders'!$I:$I,{"Missile (Air)","Development - Missile (Air)"})/1000000000)</f>
        <v>0</v>
      </c>
      <c r="AJ46" s="15" cm="1">
        <f t="array" ref="AJ46">SUM(SUMIFS('MAIN DATA, Orders'!$U:$U,'MAIN DATA, Orders'!$Y:$Y,$A46,'MAIN DATA, Orders'!$D:$D,"Poland",'MAIN DATA, Orders'!$I:$I,{"Missile (Naval)","Development - Missile (Naval)"})/1000000000)</f>
        <v>0</v>
      </c>
    </row>
    <row r="47" spans="1:36" x14ac:dyDescent="0.35">
      <c r="A47" s="20">
        <v>202205</v>
      </c>
      <c r="B47" s="17">
        <v>44682</v>
      </c>
      <c r="C47" s="15">
        <f>(SUMIFS('MAIN DATA, Orders'!$U:$U,'MAIN DATA, Orders'!$Y:$Y,$A47,'MAIN DATA, Orders'!$D:$D,"Poland",'MAIN DATA, Orders'!$I:$I,"Air defence system")/1000000000)</f>
        <v>0</v>
      </c>
      <c r="D47" s="15">
        <f>(SUMIFS('MAIN DATA, Orders'!$U:$U,'MAIN DATA, Orders'!$Y:$Y,$A47,'MAIN DATA, Orders'!$D:$D,"Poland",'MAIN DATA, Orders'!$I:$I,"Development - Air defence system")/1000000000)</f>
        <v>0</v>
      </c>
      <c r="E47" s="15">
        <f>(SUMIFS('MAIN DATA, Orders'!$U:$U,'MAIN DATA, Orders'!$Y:$Y,$A47,'MAIN DATA, Orders'!$D:$D,"Poland",'MAIN DATA, Orders'!$I:$I,"Aircraft")/1000000000)</f>
        <v>0</v>
      </c>
      <c r="F47" s="15">
        <f>(SUMIFS('MAIN DATA, Orders'!$U:$U,'MAIN DATA, Orders'!$Y:$Y,$A47,'MAIN DATA, Orders'!$D:$D,"Poland",'MAIN DATA, Orders'!$I:$I,"Development - Aircraft")/1000000000)</f>
        <v>0</v>
      </c>
      <c r="G47" s="15">
        <f>(SUMIFS('MAIN DATA, Orders'!$U:$U,'MAIN DATA, Orders'!$Y:$Y,$A47,'MAIN DATA, Orders'!$D:$D,"Poland",'MAIN DATA, Orders'!$I:$I,"Ammunition")/1000000000)</f>
        <v>0</v>
      </c>
      <c r="H47" s="15">
        <f>(SUMIFS('MAIN DATA, Orders'!$U:$U,'MAIN DATA, Orders'!$Y:$Y,$A47,'MAIN DATA, Orders'!$D:$D,"Poland",'MAIN DATA, Orders'!$I:$I,"Development - Ammunition")/1000000000)</f>
        <v>0</v>
      </c>
      <c r="I47" s="15">
        <f>(SUMIFS('MAIN DATA, Orders'!$U:$U,'MAIN DATA, Orders'!$Y:$Y,$A47,'MAIN DATA, Orders'!$D:$D,"Poland",'MAIN DATA, Orders'!$I:$I,"Armoured vehicle")/1000000000)</f>
        <v>0</v>
      </c>
      <c r="J47" s="15">
        <f>(SUMIFS('MAIN DATA, Orders'!$U:$U,'MAIN DATA, Orders'!$Y:$Y,$A47,'MAIN DATA, Orders'!$D:$D,"Poland",'MAIN DATA, Orders'!$I:$I,"Development - Armoured vehicle")/1000000000)</f>
        <v>0</v>
      </c>
      <c r="K47" s="15">
        <f>(SUMIFS('MAIN DATA, Orders'!$U:$U,'MAIN DATA, Orders'!$Y:$Y,$A47,'MAIN DATA, Orders'!$D:$D,"Poland",'MAIN DATA, Orders'!$I:$I,"Artillery")/1000000000)</f>
        <v>0</v>
      </c>
      <c r="L47" s="15">
        <f>(SUMIFS('MAIN DATA, Orders'!$U:$U,'MAIN DATA, Orders'!$Y:$Y,$A47,'MAIN DATA, Orders'!$D:$D,"Poland",'MAIN DATA, Orders'!$I:$I,"Development - Artillery")/1000000000)</f>
        <v>0</v>
      </c>
      <c r="M47" s="15">
        <f>(SUMIFS('MAIN DATA, Orders'!$U:$U,'MAIN DATA, Orders'!$Y:$Y,$A47,'MAIN DATA, Orders'!$D:$D,"Poland",'MAIN DATA, Orders'!$I:$I,"Drone")/1000000000)</f>
        <v>0</v>
      </c>
      <c r="N47" s="15">
        <f>(SUMIFS('MAIN DATA, Orders'!$U:$U,'MAIN DATA, Orders'!$Y:$Y,$A47,'MAIN DATA, Orders'!$D:$D,"Poland",'MAIN DATA, Orders'!$I:$I,"Development - Drone")/1000000000)</f>
        <v>0</v>
      </c>
      <c r="O47" s="15">
        <f>(SUMIFS('MAIN DATA, Orders'!$U:$U,'MAIN DATA, Orders'!$Y:$Y,$A47,'MAIN DATA, Orders'!$D:$D,"Poland",'MAIN DATA, Orders'!$I:$I,"Helicopter")/1000000000)</f>
        <v>0</v>
      </c>
      <c r="P47" s="15">
        <f>(SUMIFS('MAIN DATA, Orders'!$U:$U,'MAIN DATA, Orders'!$Y:$Y,$A47,'MAIN DATA, Orders'!$D:$D,"Poland",'MAIN DATA, Orders'!$I:$I,"Development - Helicopter")/1000000000)</f>
        <v>0</v>
      </c>
      <c r="Q47" s="15">
        <f>(SUMIFS('MAIN DATA, Orders'!$U:$U,'MAIN DATA, Orders'!$Y:$Y,$A47,'MAIN DATA, Orders'!$D:$D,"Poland",'MAIN DATA, Orders'!$I:$I,"Infantry")/1000000000)</f>
        <v>0</v>
      </c>
      <c r="R47" s="15">
        <f>(SUMIFS('MAIN DATA, Orders'!$U:$U,'MAIN DATA, Orders'!$Y:$Y,$A47,'MAIN DATA, Orders'!$D:$D,"Poland",'MAIN DATA, Orders'!$I:$I,"Development - Infantry")/1000000000)</f>
        <v>0</v>
      </c>
      <c r="S47" s="15">
        <f>(SUMIFS('MAIN DATA, Orders'!$U:$U,'MAIN DATA, Orders'!$Y:$Y,$A47,'MAIN DATA, Orders'!$D:$D,"Poland",'MAIN DATA, Orders'!$I:$I,"Tank")/1000000000)</f>
        <v>0</v>
      </c>
      <c r="T47" s="15">
        <f>(SUMIFS('MAIN DATA, Orders'!$U:$U,'MAIN DATA, Orders'!$Y:$Y,$A47,'MAIN DATA, Orders'!$D:$D,"Poland",'MAIN DATA, Orders'!$I:$I,"Development - Tank")/1000000000)</f>
        <v>0</v>
      </c>
      <c r="U47" s="15">
        <f>(SUMIFS('MAIN DATA, Orders'!$U:$U,'MAIN DATA, Orders'!$Y:$Y,$A47,'MAIN DATA, Orders'!$D:$D,"Poland",'MAIN DATA, Orders'!$I:$I,"Maintenance")/1000000000)</f>
        <v>0</v>
      </c>
      <c r="V47" s="15">
        <f>(SUMIFS('MAIN DATA, Orders'!$U:$U,'MAIN DATA, Orders'!$Y:$Y,$A47,'MAIN DATA, Orders'!$D:$D,"Poland",'MAIN DATA, Orders'!$I:$I,"Development - Maintenance")/1000000000)</f>
        <v>0</v>
      </c>
      <c r="W47" s="15">
        <f>(SUMIFS('MAIN DATA, Orders'!$U:$U,'MAIN DATA, Orders'!$Y:$Y,$A47,'MAIN DATA, Orders'!$D:$D,"Poland",'MAIN DATA, Orders'!$I:$I,"Mine")/1000000000)</f>
        <v>0</v>
      </c>
      <c r="X47" s="15">
        <f>(SUMIFS('MAIN DATA, Orders'!$U:$U,'MAIN DATA, Orders'!$Y:$Y,$A47,'MAIN DATA, Orders'!$D:$D,"Poland",'MAIN DATA, Orders'!$I:$I,"Development - Mine")/1000000000)</f>
        <v>0</v>
      </c>
      <c r="Y47" s="15">
        <f>(SUMIFS('MAIN DATA, Orders'!$U:$U,'MAIN DATA, Orders'!$Y:$Y,$A47,'MAIN DATA, Orders'!$D:$D,"Poland",'MAIN DATA, Orders'!$J:$J,"6")/1000000000)</f>
        <v>0</v>
      </c>
      <c r="Z47" s="15" cm="1">
        <f t="array" ref="Z47">SUM(SUMIFS('MAIN DATA, Orders'!$U:$U,'MAIN DATA, Orders'!$Y:$Y,$A47,'MAIN DATA, Orders'!$D:$D,"Poland",'MAIN DATA, Orders'!$I:$I,{"Development - Missile (Land)","Development - Missile (Naval)","Development - Missile (Air)"})/1000000000)</f>
        <v>0</v>
      </c>
      <c r="AA47" s="15">
        <f>(SUMIFS('MAIN DATA, Orders'!$U:$U,'MAIN DATA, Orders'!$Y:$Y,$A47,'MAIN DATA, Orders'!$D:$D,"Poland",'MAIN DATA, Orders'!$I:$I,"Modernisation")/1000000000)</f>
        <v>0</v>
      </c>
      <c r="AB47" s="15">
        <f>(SUMIFS('MAIN DATA, Orders'!$U:$U,'MAIN DATA, Orders'!$Y:$Y,$A47,'MAIN DATA, Orders'!$D:$D,"Poland",'MAIN DATA, Orders'!$I:$I,"Development - Modernisation")/1000000000)</f>
        <v>0</v>
      </c>
      <c r="AC47" s="15">
        <f>(SUMIFS('MAIN DATA, Orders'!$U:$U,'MAIN DATA, Orders'!$Y:$Y,$A47,'MAIN DATA, Orders'!$D:$D,"Poland",'MAIN DATA, Orders'!$I:$I,"Naval")/1000000000)</f>
        <v>0</v>
      </c>
      <c r="AD47" s="15">
        <f>(SUMIFS('MAIN DATA, Orders'!$U:$U,'MAIN DATA, Orders'!$Y:$Y,$A47,'MAIN DATA, Orders'!$D:$D,"Poland",'MAIN DATA, Orders'!$I:$I,"Development - Naval")/1000000000)</f>
        <v>0</v>
      </c>
      <c r="AE47" s="15">
        <f>(SUMIFS('MAIN DATA, Orders'!$U:$U,'MAIN DATA, Orders'!$Y:$Y,$A47,'MAIN DATA, Orders'!$D:$D,"Poland",'MAIN DATA, Orders'!$I:$I,"Other")/1000000000)</f>
        <v>0</v>
      </c>
      <c r="AF47" s="15">
        <f>(SUMIFS('MAIN DATA, Orders'!$U:$U,'MAIN DATA, Orders'!$Y:$Y,$A47,'MAIN DATA, Orders'!$D:$D,"Poland",'MAIN DATA, Orders'!$I:$I,"Development - Other")/1000000000)</f>
        <v>0</v>
      </c>
      <c r="AG47" s="15"/>
      <c r="AH47" s="15" cm="1">
        <f t="array" ref="AH47">SUM(SUMIFS('MAIN DATA, Orders'!$U:$U,'MAIN DATA, Orders'!$Y:$Y,$A47,'MAIN DATA, Orders'!$D:$D,"Poland",'MAIN DATA, Orders'!$I:$I,{"Missile (Land)","Development - Missile (Land)"})/1000000000)</f>
        <v>0</v>
      </c>
      <c r="AI47" s="15" cm="1">
        <f t="array" ref="AI47">SUM(SUMIFS('MAIN DATA, Orders'!$U:$U,'MAIN DATA, Orders'!$Y:$Y,$A47,'MAIN DATA, Orders'!$D:$D,"Poland",'MAIN DATA, Orders'!$I:$I,{"Missile (Air)","Development - Missile (Air)"})/1000000000)</f>
        <v>0</v>
      </c>
      <c r="AJ47" s="15" cm="1">
        <f t="array" ref="AJ47">SUM(SUMIFS('MAIN DATA, Orders'!$U:$U,'MAIN DATA, Orders'!$Y:$Y,$A47,'MAIN DATA, Orders'!$D:$D,"Poland",'MAIN DATA, Orders'!$I:$I,{"Missile (Naval)","Development - Missile (Naval)"})/1000000000)</f>
        <v>0</v>
      </c>
    </row>
    <row r="48" spans="1:36" x14ac:dyDescent="0.35">
      <c r="A48" s="20">
        <v>202206</v>
      </c>
      <c r="B48" s="17">
        <v>44713</v>
      </c>
      <c r="C48" s="15">
        <f>(SUMIFS('MAIN DATA, Orders'!$U:$U,'MAIN DATA, Orders'!$Y:$Y,$A48,'MAIN DATA, Orders'!$D:$D,"Poland",'MAIN DATA, Orders'!$I:$I,"Air defence system")/1000000000)</f>
        <v>0</v>
      </c>
      <c r="D48" s="15">
        <f>(SUMIFS('MAIN DATA, Orders'!$U:$U,'MAIN DATA, Orders'!$Y:$Y,$A48,'MAIN DATA, Orders'!$D:$D,"Poland",'MAIN DATA, Orders'!$I:$I,"Development - Air defence system")/1000000000)</f>
        <v>0</v>
      </c>
      <c r="E48" s="15">
        <f>(SUMIFS('MAIN DATA, Orders'!$U:$U,'MAIN DATA, Orders'!$Y:$Y,$A48,'MAIN DATA, Orders'!$D:$D,"Poland",'MAIN DATA, Orders'!$I:$I,"Aircraft")/1000000000)</f>
        <v>0</v>
      </c>
      <c r="F48" s="15">
        <f>(SUMIFS('MAIN DATA, Orders'!$U:$U,'MAIN DATA, Orders'!$Y:$Y,$A48,'MAIN DATA, Orders'!$D:$D,"Poland",'MAIN DATA, Orders'!$I:$I,"Development - Aircraft")/1000000000)</f>
        <v>0</v>
      </c>
      <c r="G48" s="15">
        <f>(SUMIFS('MAIN DATA, Orders'!$U:$U,'MAIN DATA, Orders'!$Y:$Y,$A48,'MAIN DATA, Orders'!$D:$D,"Poland",'MAIN DATA, Orders'!$I:$I,"Ammunition")/1000000000)</f>
        <v>0</v>
      </c>
      <c r="H48" s="15">
        <f>(SUMIFS('MAIN DATA, Orders'!$U:$U,'MAIN DATA, Orders'!$Y:$Y,$A48,'MAIN DATA, Orders'!$D:$D,"Poland",'MAIN DATA, Orders'!$I:$I,"Development - Ammunition")/1000000000)</f>
        <v>0</v>
      </c>
      <c r="I48" s="15">
        <f>(SUMIFS('MAIN DATA, Orders'!$U:$U,'MAIN DATA, Orders'!$Y:$Y,$A48,'MAIN DATA, Orders'!$D:$D,"Poland",'MAIN DATA, Orders'!$I:$I,"Armoured vehicle")/1000000000)</f>
        <v>0</v>
      </c>
      <c r="J48" s="15">
        <f>(SUMIFS('MAIN DATA, Orders'!$U:$U,'MAIN DATA, Orders'!$Y:$Y,$A48,'MAIN DATA, Orders'!$D:$D,"Poland",'MAIN DATA, Orders'!$I:$I,"Development - Armoured vehicle")/1000000000)</f>
        <v>0</v>
      </c>
      <c r="K48" s="15">
        <f>(SUMIFS('MAIN DATA, Orders'!$U:$U,'MAIN DATA, Orders'!$Y:$Y,$A48,'MAIN DATA, Orders'!$D:$D,"Poland",'MAIN DATA, Orders'!$I:$I,"Artillery")/1000000000)</f>
        <v>0</v>
      </c>
      <c r="L48" s="15">
        <f>(SUMIFS('MAIN DATA, Orders'!$U:$U,'MAIN DATA, Orders'!$Y:$Y,$A48,'MAIN DATA, Orders'!$D:$D,"Poland",'MAIN DATA, Orders'!$I:$I,"Development - Artillery")/1000000000)</f>
        <v>0</v>
      </c>
      <c r="M48" s="15">
        <f>(SUMIFS('MAIN DATA, Orders'!$U:$U,'MAIN DATA, Orders'!$Y:$Y,$A48,'MAIN DATA, Orders'!$D:$D,"Poland",'MAIN DATA, Orders'!$I:$I,"Drone")/1000000000)</f>
        <v>0</v>
      </c>
      <c r="N48" s="15">
        <f>(SUMIFS('MAIN DATA, Orders'!$U:$U,'MAIN DATA, Orders'!$Y:$Y,$A48,'MAIN DATA, Orders'!$D:$D,"Poland",'MAIN DATA, Orders'!$I:$I,"Development - Drone")/1000000000)</f>
        <v>0</v>
      </c>
      <c r="O48" s="15">
        <f>(SUMIFS('MAIN DATA, Orders'!$U:$U,'MAIN DATA, Orders'!$Y:$Y,$A48,'MAIN DATA, Orders'!$D:$D,"Poland",'MAIN DATA, Orders'!$I:$I,"Helicopter")/1000000000)</f>
        <v>0</v>
      </c>
      <c r="P48" s="15">
        <f>(SUMIFS('MAIN DATA, Orders'!$U:$U,'MAIN DATA, Orders'!$Y:$Y,$A48,'MAIN DATA, Orders'!$D:$D,"Poland",'MAIN DATA, Orders'!$I:$I,"Development - Helicopter")/1000000000)</f>
        <v>0</v>
      </c>
      <c r="Q48" s="15">
        <f>(SUMIFS('MAIN DATA, Orders'!$U:$U,'MAIN DATA, Orders'!$Y:$Y,$A48,'MAIN DATA, Orders'!$D:$D,"Poland",'MAIN DATA, Orders'!$I:$I,"Infantry")/1000000000)</f>
        <v>0</v>
      </c>
      <c r="R48" s="15">
        <f>(SUMIFS('MAIN DATA, Orders'!$U:$U,'MAIN DATA, Orders'!$Y:$Y,$A48,'MAIN DATA, Orders'!$D:$D,"Poland",'MAIN DATA, Orders'!$I:$I,"Development - Infantry")/1000000000)</f>
        <v>0</v>
      </c>
      <c r="S48" s="15">
        <f>(SUMIFS('MAIN DATA, Orders'!$U:$U,'MAIN DATA, Orders'!$Y:$Y,$A48,'MAIN DATA, Orders'!$D:$D,"Poland",'MAIN DATA, Orders'!$I:$I,"Tank")/1000000000)</f>
        <v>0</v>
      </c>
      <c r="T48" s="15">
        <f>(SUMIFS('MAIN DATA, Orders'!$U:$U,'MAIN DATA, Orders'!$Y:$Y,$A48,'MAIN DATA, Orders'!$D:$D,"Poland",'MAIN DATA, Orders'!$I:$I,"Development - Tank")/1000000000)</f>
        <v>0</v>
      </c>
      <c r="U48" s="15">
        <f>(SUMIFS('MAIN DATA, Orders'!$U:$U,'MAIN DATA, Orders'!$Y:$Y,$A48,'MAIN DATA, Orders'!$D:$D,"Poland",'MAIN DATA, Orders'!$I:$I,"Maintenance")/1000000000)</f>
        <v>0</v>
      </c>
      <c r="V48" s="15">
        <f>(SUMIFS('MAIN DATA, Orders'!$U:$U,'MAIN DATA, Orders'!$Y:$Y,$A48,'MAIN DATA, Orders'!$D:$D,"Poland",'MAIN DATA, Orders'!$I:$I,"Development - Maintenance")/1000000000)</f>
        <v>0</v>
      </c>
      <c r="W48" s="15">
        <f>(SUMIFS('MAIN DATA, Orders'!$U:$U,'MAIN DATA, Orders'!$Y:$Y,$A48,'MAIN DATA, Orders'!$D:$D,"Poland",'MAIN DATA, Orders'!$I:$I,"Mine")/1000000000)</f>
        <v>0</v>
      </c>
      <c r="X48" s="15">
        <f>(SUMIFS('MAIN DATA, Orders'!$U:$U,'MAIN DATA, Orders'!$Y:$Y,$A48,'MAIN DATA, Orders'!$D:$D,"Poland",'MAIN DATA, Orders'!$I:$I,"Development - Mine")/1000000000)</f>
        <v>0</v>
      </c>
      <c r="Y48" s="15">
        <f>(SUMIFS('MAIN DATA, Orders'!$U:$U,'MAIN DATA, Orders'!$Y:$Y,$A48,'MAIN DATA, Orders'!$D:$D,"Poland",'MAIN DATA, Orders'!$J:$J,"6")/1000000000)</f>
        <v>0.74688973773500356</v>
      </c>
      <c r="Z48" s="15" cm="1">
        <f t="array" ref="Z48">SUM(SUMIFS('MAIN DATA, Orders'!$U:$U,'MAIN DATA, Orders'!$Y:$Y,$A48,'MAIN DATA, Orders'!$D:$D,"Poland",'MAIN DATA, Orders'!$I:$I,{"Development - Missile (Land)","Development - Missile (Naval)","Development - Missile (Air)"})/1000000000)</f>
        <v>0</v>
      </c>
      <c r="AA48" s="15">
        <f>(SUMIFS('MAIN DATA, Orders'!$U:$U,'MAIN DATA, Orders'!$Y:$Y,$A48,'MAIN DATA, Orders'!$D:$D,"Poland",'MAIN DATA, Orders'!$I:$I,"Modernisation")/1000000000)</f>
        <v>0</v>
      </c>
      <c r="AB48" s="15">
        <f>(SUMIFS('MAIN DATA, Orders'!$U:$U,'MAIN DATA, Orders'!$Y:$Y,$A48,'MAIN DATA, Orders'!$D:$D,"Poland",'MAIN DATA, Orders'!$I:$I,"Development - Modernisation")/1000000000)</f>
        <v>0</v>
      </c>
      <c r="AC48" s="15">
        <f>(SUMIFS('MAIN DATA, Orders'!$U:$U,'MAIN DATA, Orders'!$Y:$Y,$A48,'MAIN DATA, Orders'!$D:$D,"Poland",'MAIN DATA, Orders'!$I:$I,"Naval")/1000000000)</f>
        <v>0.53349266981071686</v>
      </c>
      <c r="AD48" s="15">
        <f>(SUMIFS('MAIN DATA, Orders'!$U:$U,'MAIN DATA, Orders'!$Y:$Y,$A48,'MAIN DATA, Orders'!$D:$D,"Poland",'MAIN DATA, Orders'!$I:$I,"Development - Naval")/1000000000)</f>
        <v>0</v>
      </c>
      <c r="AE48" s="15">
        <f>(SUMIFS('MAIN DATA, Orders'!$U:$U,'MAIN DATA, Orders'!$Y:$Y,$A48,'MAIN DATA, Orders'!$D:$D,"Poland",'MAIN DATA, Orders'!$I:$I,"Other")/1000000000)</f>
        <v>0</v>
      </c>
      <c r="AF48" s="15">
        <f>(SUMIFS('MAIN DATA, Orders'!$U:$U,'MAIN DATA, Orders'!$Y:$Y,$A48,'MAIN DATA, Orders'!$D:$D,"Poland",'MAIN DATA, Orders'!$I:$I,"Development - Other")/1000000000)</f>
        <v>0</v>
      </c>
      <c r="AG48" s="15"/>
      <c r="AH48" s="15" cm="1">
        <f t="array" ref="AH48">SUM(SUMIFS('MAIN DATA, Orders'!$U:$U,'MAIN DATA, Orders'!$Y:$Y,$A48,'MAIN DATA, Orders'!$D:$D,"Poland",'MAIN DATA, Orders'!$I:$I,{"Missile (Land)","Development - Missile (Land)"})/1000000000)</f>
        <v>0.74688973773500356</v>
      </c>
      <c r="AI48" s="15" cm="1">
        <f t="array" ref="AI48">SUM(SUMIFS('MAIN DATA, Orders'!$U:$U,'MAIN DATA, Orders'!$Y:$Y,$A48,'MAIN DATA, Orders'!$D:$D,"Poland",'MAIN DATA, Orders'!$I:$I,{"Missile (Air)","Development - Missile (Air)"})/1000000000)</f>
        <v>0</v>
      </c>
      <c r="AJ48" s="15" cm="1">
        <f t="array" ref="AJ48">SUM(SUMIFS('MAIN DATA, Orders'!$U:$U,'MAIN DATA, Orders'!$Y:$Y,$A48,'MAIN DATA, Orders'!$D:$D,"Poland",'MAIN DATA, Orders'!$I:$I,{"Missile (Naval)","Development - Missile (Naval)"})/1000000000)</f>
        <v>0</v>
      </c>
    </row>
    <row r="49" spans="1:36" x14ac:dyDescent="0.35">
      <c r="A49" s="20">
        <v>202207</v>
      </c>
      <c r="B49" s="17">
        <v>44743</v>
      </c>
      <c r="C49" s="15">
        <f>(SUMIFS('MAIN DATA, Orders'!$U:$U,'MAIN DATA, Orders'!$Y:$Y,$A49,'MAIN DATA, Orders'!$D:$D,"Poland",'MAIN DATA, Orders'!$I:$I,"Air defence system")/1000000000)</f>
        <v>0</v>
      </c>
      <c r="D49" s="15">
        <f>(SUMIFS('MAIN DATA, Orders'!$U:$U,'MAIN DATA, Orders'!$Y:$Y,$A49,'MAIN DATA, Orders'!$D:$D,"Poland",'MAIN DATA, Orders'!$I:$I,"Development - Air defence system")/1000000000)</f>
        <v>0</v>
      </c>
      <c r="E49" s="15">
        <f>(SUMIFS('MAIN DATA, Orders'!$U:$U,'MAIN DATA, Orders'!$Y:$Y,$A49,'MAIN DATA, Orders'!$D:$D,"Poland",'MAIN DATA, Orders'!$I:$I,"Aircraft")/1000000000)</f>
        <v>0</v>
      </c>
      <c r="F49" s="15">
        <f>(SUMIFS('MAIN DATA, Orders'!$U:$U,'MAIN DATA, Orders'!$Y:$Y,$A49,'MAIN DATA, Orders'!$D:$D,"Poland",'MAIN DATA, Orders'!$I:$I,"Development - Aircraft")/1000000000)</f>
        <v>0</v>
      </c>
      <c r="G49" s="15">
        <f>(SUMIFS('MAIN DATA, Orders'!$U:$U,'MAIN DATA, Orders'!$Y:$Y,$A49,'MAIN DATA, Orders'!$D:$D,"Poland",'MAIN DATA, Orders'!$I:$I,"Ammunition")/1000000000)</f>
        <v>0</v>
      </c>
      <c r="H49" s="15">
        <f>(SUMIFS('MAIN DATA, Orders'!$U:$U,'MAIN DATA, Orders'!$Y:$Y,$A49,'MAIN DATA, Orders'!$D:$D,"Poland",'MAIN DATA, Orders'!$I:$I,"Development - Ammunition")/1000000000)</f>
        <v>0</v>
      </c>
      <c r="I49" s="15">
        <f>(SUMIFS('MAIN DATA, Orders'!$U:$U,'MAIN DATA, Orders'!$Y:$Y,$A49,'MAIN DATA, Orders'!$D:$D,"Poland",'MAIN DATA, Orders'!$I:$I,"Armoured vehicle")/1000000000)</f>
        <v>0.36277501547128743</v>
      </c>
      <c r="J49" s="15">
        <f>(SUMIFS('MAIN DATA, Orders'!$U:$U,'MAIN DATA, Orders'!$Y:$Y,$A49,'MAIN DATA, Orders'!$D:$D,"Poland",'MAIN DATA, Orders'!$I:$I,"Development - Armoured vehicle")/1000000000)</f>
        <v>0</v>
      </c>
      <c r="K49" s="15">
        <f>(SUMIFS('MAIN DATA, Orders'!$U:$U,'MAIN DATA, Orders'!$Y:$Y,$A49,'MAIN DATA, Orders'!$D:$D,"Poland",'MAIN DATA, Orders'!$I:$I,"Artillery")/1000000000)</f>
        <v>2.2792022792022797</v>
      </c>
      <c r="L49" s="15">
        <f>(SUMIFS('MAIN DATA, Orders'!$U:$U,'MAIN DATA, Orders'!$Y:$Y,$A49,'MAIN DATA, Orders'!$D:$D,"Poland",'MAIN DATA, Orders'!$I:$I,"Development - Artillery")/1000000000)</f>
        <v>0</v>
      </c>
      <c r="M49" s="15">
        <f>(SUMIFS('MAIN DATA, Orders'!$U:$U,'MAIN DATA, Orders'!$Y:$Y,$A49,'MAIN DATA, Orders'!$D:$D,"Poland",'MAIN DATA, Orders'!$I:$I,"Drone")/1000000000)</f>
        <v>0</v>
      </c>
      <c r="N49" s="15">
        <f>(SUMIFS('MAIN DATA, Orders'!$U:$U,'MAIN DATA, Orders'!$Y:$Y,$A49,'MAIN DATA, Orders'!$D:$D,"Poland",'MAIN DATA, Orders'!$I:$I,"Development - Drone")/1000000000)</f>
        <v>0</v>
      </c>
      <c r="O49" s="15">
        <f>(SUMIFS('MAIN DATA, Orders'!$U:$U,'MAIN DATA, Orders'!$Y:$Y,$A49,'MAIN DATA, Orders'!$D:$D,"Poland",'MAIN DATA, Orders'!$I:$I,"Helicopter")/1000000000)</f>
        <v>1.7605258103753656</v>
      </c>
      <c r="P49" s="15">
        <f>(SUMIFS('MAIN DATA, Orders'!$U:$U,'MAIN DATA, Orders'!$Y:$Y,$A49,'MAIN DATA, Orders'!$D:$D,"Poland",'MAIN DATA, Orders'!$I:$I,"Development - Helicopter")/1000000000)</f>
        <v>0</v>
      </c>
      <c r="Q49" s="15">
        <f>(SUMIFS('MAIN DATA, Orders'!$U:$U,'MAIN DATA, Orders'!$Y:$Y,$A49,'MAIN DATA, Orders'!$D:$D,"Poland",'MAIN DATA, Orders'!$I:$I,"Infantry")/1000000000)</f>
        <v>0</v>
      </c>
      <c r="R49" s="15">
        <f>(SUMIFS('MAIN DATA, Orders'!$U:$U,'MAIN DATA, Orders'!$Y:$Y,$A49,'MAIN DATA, Orders'!$D:$D,"Poland",'MAIN DATA, Orders'!$I:$I,"Development - Infantry")/1000000000)</f>
        <v>0</v>
      </c>
      <c r="S49" s="15">
        <f>(SUMIFS('MAIN DATA, Orders'!$U:$U,'MAIN DATA, Orders'!$Y:$Y,$A49,'MAIN DATA, Orders'!$D:$D,"Poland",'MAIN DATA, Orders'!$I:$I,"Tank")/1000000000)</f>
        <v>0</v>
      </c>
      <c r="T49" s="15">
        <f>(SUMIFS('MAIN DATA, Orders'!$U:$U,'MAIN DATA, Orders'!$Y:$Y,$A49,'MAIN DATA, Orders'!$D:$D,"Poland",'MAIN DATA, Orders'!$I:$I,"Development - Tank")/1000000000)</f>
        <v>0</v>
      </c>
      <c r="U49" s="15">
        <f>(SUMIFS('MAIN DATA, Orders'!$U:$U,'MAIN DATA, Orders'!$Y:$Y,$A49,'MAIN DATA, Orders'!$D:$D,"Poland",'MAIN DATA, Orders'!$I:$I,"Maintenance")/1000000000)</f>
        <v>0</v>
      </c>
      <c r="V49" s="15">
        <f>(SUMIFS('MAIN DATA, Orders'!$U:$U,'MAIN DATA, Orders'!$Y:$Y,$A49,'MAIN DATA, Orders'!$D:$D,"Poland",'MAIN DATA, Orders'!$I:$I,"Development - Maintenance")/1000000000)</f>
        <v>0</v>
      </c>
      <c r="W49" s="15">
        <f>(SUMIFS('MAIN DATA, Orders'!$U:$U,'MAIN DATA, Orders'!$Y:$Y,$A49,'MAIN DATA, Orders'!$D:$D,"Poland",'MAIN DATA, Orders'!$I:$I,"Mine")/1000000000)</f>
        <v>0</v>
      </c>
      <c r="X49" s="15">
        <f>(SUMIFS('MAIN DATA, Orders'!$U:$U,'MAIN DATA, Orders'!$Y:$Y,$A49,'MAIN DATA, Orders'!$D:$D,"Poland",'MAIN DATA, Orders'!$I:$I,"Development - Mine")/1000000000)</f>
        <v>0</v>
      </c>
      <c r="Y49" s="15">
        <f>(SUMIFS('MAIN DATA, Orders'!$U:$U,'MAIN DATA, Orders'!$Y:$Y,$A49,'MAIN DATA, Orders'!$D:$D,"Poland",'MAIN DATA, Orders'!$J:$J,"6")/1000000000)</f>
        <v>0</v>
      </c>
      <c r="Z49" s="15" cm="1">
        <f t="array" ref="Z49">SUM(SUMIFS('MAIN DATA, Orders'!$U:$U,'MAIN DATA, Orders'!$Y:$Y,$A49,'MAIN DATA, Orders'!$D:$D,"Poland",'MAIN DATA, Orders'!$I:$I,{"Development - Missile (Land)","Development - Missile (Naval)","Development - Missile (Air)"})/1000000000)</f>
        <v>0</v>
      </c>
      <c r="AA49" s="15">
        <f>(SUMIFS('MAIN DATA, Orders'!$U:$U,'MAIN DATA, Orders'!$Y:$Y,$A49,'MAIN DATA, Orders'!$D:$D,"Poland",'MAIN DATA, Orders'!$I:$I,"Modernisation")/1000000000)</f>
        <v>0</v>
      </c>
      <c r="AB49" s="15">
        <f>(SUMIFS('MAIN DATA, Orders'!$U:$U,'MAIN DATA, Orders'!$Y:$Y,$A49,'MAIN DATA, Orders'!$D:$D,"Poland",'MAIN DATA, Orders'!$I:$I,"Development - Modernisation")/1000000000)</f>
        <v>0</v>
      </c>
      <c r="AC49" s="15">
        <f>(SUMIFS('MAIN DATA, Orders'!$U:$U,'MAIN DATA, Orders'!$Y:$Y,$A49,'MAIN DATA, Orders'!$D:$D,"Poland",'MAIN DATA, Orders'!$I:$I,"Naval")/1000000000)</f>
        <v>0</v>
      </c>
      <c r="AD49" s="15">
        <f>(SUMIFS('MAIN DATA, Orders'!$U:$U,'MAIN DATA, Orders'!$Y:$Y,$A49,'MAIN DATA, Orders'!$D:$D,"Poland",'MAIN DATA, Orders'!$I:$I,"Development - Naval")/1000000000)</f>
        <v>0</v>
      </c>
      <c r="AE49" s="15">
        <f>(SUMIFS('MAIN DATA, Orders'!$U:$U,'MAIN DATA, Orders'!$Y:$Y,$A49,'MAIN DATA, Orders'!$D:$D,"Poland",'MAIN DATA, Orders'!$I:$I,"Other")/1000000000)</f>
        <v>0</v>
      </c>
      <c r="AF49" s="15">
        <f>(SUMIFS('MAIN DATA, Orders'!$U:$U,'MAIN DATA, Orders'!$Y:$Y,$A49,'MAIN DATA, Orders'!$D:$D,"Poland",'MAIN DATA, Orders'!$I:$I,"Development - Other")/1000000000)</f>
        <v>0</v>
      </c>
      <c r="AG49" s="15"/>
      <c r="AH49" s="15" cm="1">
        <f t="array" ref="AH49">SUM(SUMIFS('MAIN DATA, Orders'!$U:$U,'MAIN DATA, Orders'!$Y:$Y,$A49,'MAIN DATA, Orders'!$D:$D,"Poland",'MAIN DATA, Orders'!$I:$I,{"Missile (Land)","Development - Missile (Land)"})/1000000000)</f>
        <v>0</v>
      </c>
      <c r="AI49" s="15" cm="1">
        <f t="array" ref="AI49">SUM(SUMIFS('MAIN DATA, Orders'!$U:$U,'MAIN DATA, Orders'!$Y:$Y,$A49,'MAIN DATA, Orders'!$D:$D,"Poland",'MAIN DATA, Orders'!$I:$I,{"Missile (Air)","Development - Missile (Air)"})/1000000000)</f>
        <v>0</v>
      </c>
      <c r="AJ49" s="15" cm="1">
        <f t="array" ref="AJ49">SUM(SUMIFS('MAIN DATA, Orders'!$U:$U,'MAIN DATA, Orders'!$Y:$Y,$A49,'MAIN DATA, Orders'!$D:$D,"Poland",'MAIN DATA, Orders'!$I:$I,{"Missile (Naval)","Development - Missile (Naval)"})/1000000000)</f>
        <v>0</v>
      </c>
    </row>
    <row r="50" spans="1:36" x14ac:dyDescent="0.35">
      <c r="A50" s="20">
        <v>202208</v>
      </c>
      <c r="B50" s="17">
        <v>44774</v>
      </c>
      <c r="C50" s="15">
        <f>(SUMIFS('MAIN DATA, Orders'!$U:$U,'MAIN DATA, Orders'!$Y:$Y,$A50,'MAIN DATA, Orders'!$D:$D,"Poland",'MAIN DATA, Orders'!$I:$I,"Air defence system")/1000000000)</f>
        <v>0</v>
      </c>
      <c r="D50" s="15">
        <f>(SUMIFS('MAIN DATA, Orders'!$U:$U,'MAIN DATA, Orders'!$Y:$Y,$A50,'MAIN DATA, Orders'!$D:$D,"Poland",'MAIN DATA, Orders'!$I:$I,"Development - Air defence system")/1000000000)</f>
        <v>0</v>
      </c>
      <c r="E50" s="15">
        <f>(SUMIFS('MAIN DATA, Orders'!$U:$U,'MAIN DATA, Orders'!$Y:$Y,$A50,'MAIN DATA, Orders'!$D:$D,"Poland",'MAIN DATA, Orders'!$I:$I,"Aircraft")/1000000000)</f>
        <v>0</v>
      </c>
      <c r="F50" s="15">
        <f>(SUMIFS('MAIN DATA, Orders'!$U:$U,'MAIN DATA, Orders'!$Y:$Y,$A50,'MAIN DATA, Orders'!$D:$D,"Poland",'MAIN DATA, Orders'!$I:$I,"Development - Aircraft")/1000000000)</f>
        <v>0</v>
      </c>
      <c r="G50" s="15">
        <f>(SUMIFS('MAIN DATA, Orders'!$U:$U,'MAIN DATA, Orders'!$Y:$Y,$A50,'MAIN DATA, Orders'!$D:$D,"Poland",'MAIN DATA, Orders'!$I:$I,"Ammunition")/1000000000)</f>
        <v>0</v>
      </c>
      <c r="H50" s="15">
        <f>(SUMIFS('MAIN DATA, Orders'!$U:$U,'MAIN DATA, Orders'!$Y:$Y,$A50,'MAIN DATA, Orders'!$D:$D,"Poland",'MAIN DATA, Orders'!$I:$I,"Development - Ammunition")/1000000000)</f>
        <v>0</v>
      </c>
      <c r="I50" s="15">
        <f>(SUMIFS('MAIN DATA, Orders'!$U:$U,'MAIN DATA, Orders'!$Y:$Y,$A50,'MAIN DATA, Orders'!$D:$D,"Poland",'MAIN DATA, Orders'!$I:$I,"Armoured vehicle")/1000000000)</f>
        <v>0</v>
      </c>
      <c r="J50" s="15">
        <f>(SUMIFS('MAIN DATA, Orders'!$U:$U,'MAIN DATA, Orders'!$Y:$Y,$A50,'MAIN DATA, Orders'!$D:$D,"Poland",'MAIN DATA, Orders'!$I:$I,"Development - Armoured vehicle")/1000000000)</f>
        <v>0</v>
      </c>
      <c r="K50" s="15">
        <f>(SUMIFS('MAIN DATA, Orders'!$U:$U,'MAIN DATA, Orders'!$Y:$Y,$A50,'MAIN DATA, Orders'!$D:$D,"Poland",'MAIN DATA, Orders'!$I:$I,"Artillery")/1000000000)</f>
        <v>0</v>
      </c>
      <c r="L50" s="15">
        <f>(SUMIFS('MAIN DATA, Orders'!$U:$U,'MAIN DATA, Orders'!$Y:$Y,$A50,'MAIN DATA, Orders'!$D:$D,"Poland",'MAIN DATA, Orders'!$I:$I,"Development - Artillery")/1000000000)</f>
        <v>0</v>
      </c>
      <c r="M50" s="15">
        <f>(SUMIFS('MAIN DATA, Orders'!$U:$U,'MAIN DATA, Orders'!$Y:$Y,$A50,'MAIN DATA, Orders'!$D:$D,"Poland",'MAIN DATA, Orders'!$I:$I,"Drone")/1000000000)</f>
        <v>0</v>
      </c>
      <c r="N50" s="15">
        <f>(SUMIFS('MAIN DATA, Orders'!$U:$U,'MAIN DATA, Orders'!$Y:$Y,$A50,'MAIN DATA, Orders'!$D:$D,"Poland",'MAIN DATA, Orders'!$I:$I,"Development - Drone")/1000000000)</f>
        <v>0</v>
      </c>
      <c r="O50" s="15">
        <f>(SUMIFS('MAIN DATA, Orders'!$U:$U,'MAIN DATA, Orders'!$Y:$Y,$A50,'MAIN DATA, Orders'!$D:$D,"Poland",'MAIN DATA, Orders'!$I:$I,"Helicopter")/1000000000)</f>
        <v>0</v>
      </c>
      <c r="P50" s="15">
        <f>(SUMIFS('MAIN DATA, Orders'!$U:$U,'MAIN DATA, Orders'!$Y:$Y,$A50,'MAIN DATA, Orders'!$D:$D,"Poland",'MAIN DATA, Orders'!$I:$I,"Development - Helicopter")/1000000000)</f>
        <v>0</v>
      </c>
      <c r="Q50" s="15">
        <f>(SUMIFS('MAIN DATA, Orders'!$U:$U,'MAIN DATA, Orders'!$Y:$Y,$A50,'MAIN DATA, Orders'!$D:$D,"Poland",'MAIN DATA, Orders'!$I:$I,"Infantry")/1000000000)</f>
        <v>0</v>
      </c>
      <c r="R50" s="15">
        <f>(SUMIFS('MAIN DATA, Orders'!$U:$U,'MAIN DATA, Orders'!$Y:$Y,$A50,'MAIN DATA, Orders'!$D:$D,"Poland",'MAIN DATA, Orders'!$I:$I,"Development - Infantry")/1000000000)</f>
        <v>0</v>
      </c>
      <c r="S50" s="15">
        <f>(SUMIFS('MAIN DATA, Orders'!$U:$U,'MAIN DATA, Orders'!$Y:$Y,$A50,'MAIN DATA, Orders'!$D:$D,"Poland",'MAIN DATA, Orders'!$I:$I,"Tank")/1000000000)</f>
        <v>0</v>
      </c>
      <c r="T50" s="15">
        <f>(SUMIFS('MAIN DATA, Orders'!$U:$U,'MAIN DATA, Orders'!$Y:$Y,$A50,'MAIN DATA, Orders'!$D:$D,"Poland",'MAIN DATA, Orders'!$I:$I,"Development - Tank")/1000000000)</f>
        <v>0</v>
      </c>
      <c r="U50" s="15">
        <f>(SUMIFS('MAIN DATA, Orders'!$U:$U,'MAIN DATA, Orders'!$Y:$Y,$A50,'MAIN DATA, Orders'!$D:$D,"Poland",'MAIN DATA, Orders'!$I:$I,"Maintenance")/1000000000)</f>
        <v>0</v>
      </c>
      <c r="V50" s="15">
        <f>(SUMIFS('MAIN DATA, Orders'!$U:$U,'MAIN DATA, Orders'!$Y:$Y,$A50,'MAIN DATA, Orders'!$D:$D,"Poland",'MAIN DATA, Orders'!$I:$I,"Development - Maintenance")/1000000000)</f>
        <v>0</v>
      </c>
      <c r="W50" s="15">
        <f>(SUMIFS('MAIN DATA, Orders'!$U:$U,'MAIN DATA, Orders'!$Y:$Y,$A50,'MAIN DATA, Orders'!$D:$D,"Poland",'MAIN DATA, Orders'!$I:$I,"Mine")/1000000000)</f>
        <v>0</v>
      </c>
      <c r="X50" s="15">
        <f>(SUMIFS('MAIN DATA, Orders'!$U:$U,'MAIN DATA, Orders'!$Y:$Y,$A50,'MAIN DATA, Orders'!$D:$D,"Poland",'MAIN DATA, Orders'!$I:$I,"Development - Mine")/1000000000)</f>
        <v>0</v>
      </c>
      <c r="Y50" s="15">
        <f>(SUMIFS('MAIN DATA, Orders'!$U:$U,'MAIN DATA, Orders'!$Y:$Y,$A50,'MAIN DATA, Orders'!$D:$D,"Poland",'MAIN DATA, Orders'!$J:$J,"6")/1000000000)</f>
        <v>0</v>
      </c>
      <c r="Z50" s="15" cm="1">
        <f t="array" ref="Z50">SUM(SUMIFS('MAIN DATA, Orders'!$U:$U,'MAIN DATA, Orders'!$Y:$Y,$A50,'MAIN DATA, Orders'!$D:$D,"Poland",'MAIN DATA, Orders'!$I:$I,{"Development - Missile (Land)","Development - Missile (Naval)","Development - Missile (Air)"})/1000000000)</f>
        <v>0</v>
      </c>
      <c r="AA50" s="15">
        <f>(SUMIFS('MAIN DATA, Orders'!$U:$U,'MAIN DATA, Orders'!$Y:$Y,$A50,'MAIN DATA, Orders'!$D:$D,"Poland",'MAIN DATA, Orders'!$I:$I,"Modernisation")/1000000000)</f>
        <v>0</v>
      </c>
      <c r="AB50" s="15">
        <f>(SUMIFS('MAIN DATA, Orders'!$U:$U,'MAIN DATA, Orders'!$Y:$Y,$A50,'MAIN DATA, Orders'!$D:$D,"Poland",'MAIN DATA, Orders'!$I:$I,"Development - Modernisation")/1000000000)</f>
        <v>0</v>
      </c>
      <c r="AC50" s="15">
        <f>(SUMIFS('MAIN DATA, Orders'!$U:$U,'MAIN DATA, Orders'!$Y:$Y,$A50,'MAIN DATA, Orders'!$D:$D,"Poland",'MAIN DATA, Orders'!$I:$I,"Naval")/1000000000)</f>
        <v>0</v>
      </c>
      <c r="AD50" s="15">
        <f>(SUMIFS('MAIN DATA, Orders'!$U:$U,'MAIN DATA, Orders'!$Y:$Y,$A50,'MAIN DATA, Orders'!$D:$D,"Poland",'MAIN DATA, Orders'!$I:$I,"Development - Naval")/1000000000)</f>
        <v>0</v>
      </c>
      <c r="AE50" s="15">
        <f>(SUMIFS('MAIN DATA, Orders'!$U:$U,'MAIN DATA, Orders'!$Y:$Y,$A50,'MAIN DATA, Orders'!$D:$D,"Poland",'MAIN DATA, Orders'!$I:$I,"Other")/1000000000)</f>
        <v>0</v>
      </c>
      <c r="AF50" s="15">
        <f>(SUMIFS('MAIN DATA, Orders'!$U:$U,'MAIN DATA, Orders'!$Y:$Y,$A50,'MAIN DATA, Orders'!$D:$D,"Poland",'MAIN DATA, Orders'!$I:$I,"Development - Other")/1000000000)</f>
        <v>0</v>
      </c>
      <c r="AG50" s="15"/>
      <c r="AH50" s="15" cm="1">
        <f t="array" ref="AH50">SUM(SUMIFS('MAIN DATA, Orders'!$U:$U,'MAIN DATA, Orders'!$Y:$Y,$A50,'MAIN DATA, Orders'!$D:$D,"Poland",'MAIN DATA, Orders'!$I:$I,{"Missile (Land)","Development - Missile (Land)"})/1000000000)</f>
        <v>0</v>
      </c>
      <c r="AI50" s="15" cm="1">
        <f t="array" ref="AI50">SUM(SUMIFS('MAIN DATA, Orders'!$U:$U,'MAIN DATA, Orders'!$Y:$Y,$A50,'MAIN DATA, Orders'!$D:$D,"Poland",'MAIN DATA, Orders'!$I:$I,{"Missile (Air)","Development - Missile (Air)"})/1000000000)</f>
        <v>0</v>
      </c>
      <c r="AJ50" s="15" cm="1">
        <f t="array" ref="AJ50">SUM(SUMIFS('MAIN DATA, Orders'!$U:$U,'MAIN DATA, Orders'!$Y:$Y,$A50,'MAIN DATA, Orders'!$D:$D,"Poland",'MAIN DATA, Orders'!$I:$I,{"Missile (Naval)","Development - Missile (Naval)"})/1000000000)</f>
        <v>0</v>
      </c>
    </row>
    <row r="51" spans="1:36" x14ac:dyDescent="0.35">
      <c r="A51" s="20">
        <v>202209</v>
      </c>
      <c r="B51" s="17">
        <v>44805</v>
      </c>
      <c r="C51" s="15">
        <f>(SUMIFS('MAIN DATA, Orders'!$U:$U,'MAIN DATA, Orders'!$Y:$Y,$A51,'MAIN DATA, Orders'!$D:$D,"Poland",'MAIN DATA, Orders'!$I:$I,"Air defence system")/1000000000)</f>
        <v>0</v>
      </c>
      <c r="D51" s="15">
        <f>(SUMIFS('MAIN DATA, Orders'!$U:$U,'MAIN DATA, Orders'!$Y:$Y,$A51,'MAIN DATA, Orders'!$D:$D,"Poland",'MAIN DATA, Orders'!$I:$I,"Development - Air defence system")/1000000000)</f>
        <v>0</v>
      </c>
      <c r="E51" s="15">
        <f>(SUMIFS('MAIN DATA, Orders'!$U:$U,'MAIN DATA, Orders'!$Y:$Y,$A51,'MAIN DATA, Orders'!$D:$D,"Poland",'MAIN DATA, Orders'!$I:$I,"Aircraft")/1000000000)</f>
        <v>2.8537511870845207</v>
      </c>
      <c r="F51" s="15">
        <f>(SUMIFS('MAIN DATA, Orders'!$U:$U,'MAIN DATA, Orders'!$Y:$Y,$A51,'MAIN DATA, Orders'!$D:$D,"Poland",'MAIN DATA, Orders'!$I:$I,"Development - Aircraft")/1000000000)</f>
        <v>0</v>
      </c>
      <c r="G51" s="15">
        <f>(SUMIFS('MAIN DATA, Orders'!$U:$U,'MAIN DATA, Orders'!$Y:$Y,$A51,'MAIN DATA, Orders'!$D:$D,"Poland",'MAIN DATA, Orders'!$I:$I,"Ammunition")/1000000000)</f>
        <v>0</v>
      </c>
      <c r="H51" s="15">
        <f>(SUMIFS('MAIN DATA, Orders'!$U:$U,'MAIN DATA, Orders'!$Y:$Y,$A51,'MAIN DATA, Orders'!$D:$D,"Poland",'MAIN DATA, Orders'!$I:$I,"Development - Ammunition")/1000000000)</f>
        <v>0</v>
      </c>
      <c r="I51" s="15">
        <f>(SUMIFS('MAIN DATA, Orders'!$U:$U,'MAIN DATA, Orders'!$Y:$Y,$A51,'MAIN DATA, Orders'!$D:$D,"Poland",'MAIN DATA, Orders'!$I:$I,"Armoured vehicle")/1000000000)</f>
        <v>0</v>
      </c>
      <c r="J51" s="15">
        <f>(SUMIFS('MAIN DATA, Orders'!$U:$U,'MAIN DATA, Orders'!$Y:$Y,$A51,'MAIN DATA, Orders'!$D:$D,"Poland",'MAIN DATA, Orders'!$I:$I,"Development - Armoured vehicle")/1000000000)</f>
        <v>0</v>
      </c>
      <c r="K51" s="15">
        <f>(SUMIFS('MAIN DATA, Orders'!$U:$U,'MAIN DATA, Orders'!$Y:$Y,$A51,'MAIN DATA, Orders'!$D:$D,"Poland",'MAIN DATA, Orders'!$I:$I,"Artillery")/1000000000)</f>
        <v>0.81090885811228952</v>
      </c>
      <c r="L51" s="15">
        <f>(SUMIFS('MAIN DATA, Orders'!$U:$U,'MAIN DATA, Orders'!$Y:$Y,$A51,'MAIN DATA, Orders'!$D:$D,"Poland",'MAIN DATA, Orders'!$I:$I,"Development - Artillery")/1000000000)</f>
        <v>0</v>
      </c>
      <c r="M51" s="15">
        <f>(SUMIFS('MAIN DATA, Orders'!$U:$U,'MAIN DATA, Orders'!$Y:$Y,$A51,'MAIN DATA, Orders'!$D:$D,"Poland",'MAIN DATA, Orders'!$I:$I,"Drone")/1000000000)</f>
        <v>0</v>
      </c>
      <c r="N51" s="15">
        <f>(SUMIFS('MAIN DATA, Orders'!$U:$U,'MAIN DATA, Orders'!$Y:$Y,$A51,'MAIN DATA, Orders'!$D:$D,"Poland",'MAIN DATA, Orders'!$I:$I,"Development - Drone")/1000000000)</f>
        <v>0</v>
      </c>
      <c r="O51" s="15">
        <f>(SUMIFS('MAIN DATA, Orders'!$U:$U,'MAIN DATA, Orders'!$Y:$Y,$A51,'MAIN DATA, Orders'!$D:$D,"Poland",'MAIN DATA, Orders'!$I:$I,"Helicopter")/1000000000)</f>
        <v>0</v>
      </c>
      <c r="P51" s="15">
        <f>(SUMIFS('MAIN DATA, Orders'!$U:$U,'MAIN DATA, Orders'!$Y:$Y,$A51,'MAIN DATA, Orders'!$D:$D,"Poland",'MAIN DATA, Orders'!$I:$I,"Development - Helicopter")/1000000000)</f>
        <v>0</v>
      </c>
      <c r="Q51" s="15">
        <f>(SUMIFS('MAIN DATA, Orders'!$U:$U,'MAIN DATA, Orders'!$Y:$Y,$A51,'MAIN DATA, Orders'!$D:$D,"Poland",'MAIN DATA, Orders'!$I:$I,"Infantry")/1000000000)</f>
        <v>0</v>
      </c>
      <c r="R51" s="15">
        <f>(SUMIFS('MAIN DATA, Orders'!$U:$U,'MAIN DATA, Orders'!$Y:$Y,$A51,'MAIN DATA, Orders'!$D:$D,"Poland",'MAIN DATA, Orders'!$I:$I,"Development - Infantry")/1000000000)</f>
        <v>0</v>
      </c>
      <c r="S51" s="15">
        <f>(SUMIFS('MAIN DATA, Orders'!$U:$U,'MAIN DATA, Orders'!$Y:$Y,$A51,'MAIN DATA, Orders'!$D:$D,"Poland",'MAIN DATA, Orders'!$I:$I,"Tank")/1000000000)</f>
        <v>0</v>
      </c>
      <c r="T51" s="15">
        <f>(SUMIFS('MAIN DATA, Orders'!$U:$U,'MAIN DATA, Orders'!$Y:$Y,$A51,'MAIN DATA, Orders'!$D:$D,"Poland",'MAIN DATA, Orders'!$I:$I,"Development - Tank")/1000000000)</f>
        <v>0</v>
      </c>
      <c r="U51" s="15">
        <f>(SUMIFS('MAIN DATA, Orders'!$U:$U,'MAIN DATA, Orders'!$Y:$Y,$A51,'MAIN DATA, Orders'!$D:$D,"Poland",'MAIN DATA, Orders'!$I:$I,"Maintenance")/1000000000)</f>
        <v>0</v>
      </c>
      <c r="V51" s="15">
        <f>(SUMIFS('MAIN DATA, Orders'!$U:$U,'MAIN DATA, Orders'!$Y:$Y,$A51,'MAIN DATA, Orders'!$D:$D,"Poland",'MAIN DATA, Orders'!$I:$I,"Development - Maintenance")/1000000000)</f>
        <v>0</v>
      </c>
      <c r="W51" s="15">
        <f>(SUMIFS('MAIN DATA, Orders'!$U:$U,'MAIN DATA, Orders'!$Y:$Y,$A51,'MAIN DATA, Orders'!$D:$D,"Poland",'MAIN DATA, Orders'!$I:$I,"Mine")/1000000000)</f>
        <v>0</v>
      </c>
      <c r="X51" s="15">
        <f>(SUMIFS('MAIN DATA, Orders'!$U:$U,'MAIN DATA, Orders'!$Y:$Y,$A51,'MAIN DATA, Orders'!$D:$D,"Poland",'MAIN DATA, Orders'!$I:$I,"Development - Mine")/1000000000)</f>
        <v>0</v>
      </c>
      <c r="Y51" s="15">
        <f>(SUMIFS('MAIN DATA, Orders'!$U:$U,'MAIN DATA, Orders'!$Y:$Y,$A51,'MAIN DATA, Orders'!$D:$D,"Poland",'MAIN DATA, Orders'!$J:$J,"6")/1000000000)</f>
        <v>0</v>
      </c>
      <c r="Z51" s="15" cm="1">
        <f t="array" ref="Z51">SUM(SUMIFS('MAIN DATA, Orders'!$U:$U,'MAIN DATA, Orders'!$Y:$Y,$A51,'MAIN DATA, Orders'!$D:$D,"Poland",'MAIN DATA, Orders'!$I:$I,{"Development - Missile (Land)","Development - Missile (Naval)","Development - Missile (Air)"})/1000000000)</f>
        <v>0</v>
      </c>
      <c r="AA51" s="15">
        <f>(SUMIFS('MAIN DATA, Orders'!$U:$U,'MAIN DATA, Orders'!$Y:$Y,$A51,'MAIN DATA, Orders'!$D:$D,"Poland",'MAIN DATA, Orders'!$I:$I,"Modernisation")/1000000000)</f>
        <v>0</v>
      </c>
      <c r="AB51" s="15">
        <f>(SUMIFS('MAIN DATA, Orders'!$U:$U,'MAIN DATA, Orders'!$Y:$Y,$A51,'MAIN DATA, Orders'!$D:$D,"Poland",'MAIN DATA, Orders'!$I:$I,"Development - Modernisation")/1000000000)</f>
        <v>0</v>
      </c>
      <c r="AC51" s="15">
        <f>(SUMIFS('MAIN DATA, Orders'!$U:$U,'MAIN DATA, Orders'!$Y:$Y,$A51,'MAIN DATA, Orders'!$D:$D,"Poland",'MAIN DATA, Orders'!$I:$I,"Naval")/1000000000)</f>
        <v>0</v>
      </c>
      <c r="AD51" s="15">
        <f>(SUMIFS('MAIN DATA, Orders'!$U:$U,'MAIN DATA, Orders'!$Y:$Y,$A51,'MAIN DATA, Orders'!$D:$D,"Poland",'MAIN DATA, Orders'!$I:$I,"Development - Naval")/1000000000)</f>
        <v>0</v>
      </c>
      <c r="AE51" s="15">
        <f>(SUMIFS('MAIN DATA, Orders'!$U:$U,'MAIN DATA, Orders'!$Y:$Y,$A51,'MAIN DATA, Orders'!$D:$D,"Poland",'MAIN DATA, Orders'!$I:$I,"Other")/1000000000)</f>
        <v>0.64019120377286021</v>
      </c>
      <c r="AF51" s="15">
        <f>(SUMIFS('MAIN DATA, Orders'!$U:$U,'MAIN DATA, Orders'!$Y:$Y,$A51,'MAIN DATA, Orders'!$D:$D,"Poland",'MAIN DATA, Orders'!$I:$I,"Development - Other")/1000000000)</f>
        <v>0</v>
      </c>
      <c r="AG51" s="15"/>
      <c r="AH51" s="15" cm="1">
        <f t="array" ref="AH51">SUM(SUMIFS('MAIN DATA, Orders'!$U:$U,'MAIN DATA, Orders'!$Y:$Y,$A51,'MAIN DATA, Orders'!$D:$D,"Poland",'MAIN DATA, Orders'!$I:$I,{"Missile (Land)","Development - Missile (Land)"})/1000000000)</f>
        <v>0</v>
      </c>
      <c r="AI51" s="15" cm="1">
        <f t="array" ref="AI51">SUM(SUMIFS('MAIN DATA, Orders'!$U:$U,'MAIN DATA, Orders'!$Y:$Y,$A51,'MAIN DATA, Orders'!$D:$D,"Poland",'MAIN DATA, Orders'!$I:$I,{"Missile (Air)","Development - Missile (Air)"})/1000000000)</f>
        <v>0</v>
      </c>
      <c r="AJ51" s="15" cm="1">
        <f t="array" ref="AJ51">SUM(SUMIFS('MAIN DATA, Orders'!$U:$U,'MAIN DATA, Orders'!$Y:$Y,$A51,'MAIN DATA, Orders'!$D:$D,"Poland",'MAIN DATA, Orders'!$I:$I,{"Missile (Naval)","Development - Missile (Naval)"})/1000000000)</f>
        <v>0</v>
      </c>
    </row>
    <row r="52" spans="1:36" x14ac:dyDescent="0.35">
      <c r="A52" s="20">
        <v>202210</v>
      </c>
      <c r="B52" s="17">
        <v>44835</v>
      </c>
      <c r="C52" s="15">
        <f>(SUMIFS('MAIN DATA, Orders'!$U:$U,'MAIN DATA, Orders'!$Y:$Y,$A52,'MAIN DATA, Orders'!$D:$D,"Poland",'MAIN DATA, Orders'!$I:$I,"Air defence system")/1000000000)</f>
        <v>0</v>
      </c>
      <c r="D52" s="15">
        <f>(SUMIFS('MAIN DATA, Orders'!$U:$U,'MAIN DATA, Orders'!$Y:$Y,$A52,'MAIN DATA, Orders'!$D:$D,"Poland",'MAIN DATA, Orders'!$I:$I,"Development - Air defence system")/1000000000)</f>
        <v>0</v>
      </c>
      <c r="E52" s="15">
        <f>(SUMIFS('MAIN DATA, Orders'!$U:$U,'MAIN DATA, Orders'!$Y:$Y,$A52,'MAIN DATA, Orders'!$D:$D,"Poland",'MAIN DATA, Orders'!$I:$I,"Aircraft")/1000000000)</f>
        <v>0</v>
      </c>
      <c r="F52" s="15">
        <f>(SUMIFS('MAIN DATA, Orders'!$U:$U,'MAIN DATA, Orders'!$Y:$Y,$A52,'MAIN DATA, Orders'!$D:$D,"Poland",'MAIN DATA, Orders'!$I:$I,"Development - Aircraft")/1000000000)</f>
        <v>0</v>
      </c>
      <c r="G52" s="15">
        <f>(SUMIFS('MAIN DATA, Orders'!$U:$U,'MAIN DATA, Orders'!$Y:$Y,$A52,'MAIN DATA, Orders'!$D:$D,"Poland",'MAIN DATA, Orders'!$I:$I,"Ammunition")/1000000000)</f>
        <v>0</v>
      </c>
      <c r="H52" s="15">
        <f>(SUMIFS('MAIN DATA, Orders'!$U:$U,'MAIN DATA, Orders'!$Y:$Y,$A52,'MAIN DATA, Orders'!$D:$D,"Poland",'MAIN DATA, Orders'!$I:$I,"Development - Ammunition")/1000000000)</f>
        <v>0</v>
      </c>
      <c r="I52" s="15">
        <f>(SUMIFS('MAIN DATA, Orders'!$U:$U,'MAIN DATA, Orders'!$Y:$Y,$A52,'MAIN DATA, Orders'!$D:$D,"Poland",'MAIN DATA, Orders'!$I:$I,"Armoured vehicle")/1000000000)</f>
        <v>0</v>
      </c>
      <c r="J52" s="15">
        <f>(SUMIFS('MAIN DATA, Orders'!$U:$U,'MAIN DATA, Orders'!$Y:$Y,$A52,'MAIN DATA, Orders'!$D:$D,"Poland",'MAIN DATA, Orders'!$I:$I,"Development - Armoured vehicle")/1000000000)</f>
        <v>0</v>
      </c>
      <c r="K52" s="15">
        <f>(SUMIFS('MAIN DATA, Orders'!$U:$U,'MAIN DATA, Orders'!$Y:$Y,$A52,'MAIN DATA, Orders'!$D:$D,"Poland",'MAIN DATA, Orders'!$I:$I,"Artillery")/1000000000)</f>
        <v>3.3713200379867048</v>
      </c>
      <c r="L52" s="15">
        <f>(SUMIFS('MAIN DATA, Orders'!$U:$U,'MAIN DATA, Orders'!$Y:$Y,$A52,'MAIN DATA, Orders'!$D:$D,"Poland",'MAIN DATA, Orders'!$I:$I,"Development - Artillery")/1000000000)</f>
        <v>0</v>
      </c>
      <c r="M52" s="15">
        <f>(SUMIFS('MAIN DATA, Orders'!$U:$U,'MAIN DATA, Orders'!$Y:$Y,$A52,'MAIN DATA, Orders'!$D:$D,"Poland",'MAIN DATA, Orders'!$I:$I,"Drone")/1000000000)</f>
        <v>0</v>
      </c>
      <c r="N52" s="15">
        <f>(SUMIFS('MAIN DATA, Orders'!$U:$U,'MAIN DATA, Orders'!$Y:$Y,$A52,'MAIN DATA, Orders'!$D:$D,"Poland",'MAIN DATA, Orders'!$I:$I,"Development - Drone")/1000000000)</f>
        <v>0</v>
      </c>
      <c r="O52" s="15">
        <f>(SUMIFS('MAIN DATA, Orders'!$U:$U,'MAIN DATA, Orders'!$Y:$Y,$A52,'MAIN DATA, Orders'!$D:$D,"Poland",'MAIN DATA, Orders'!$I:$I,"Helicopter")/1000000000)</f>
        <v>0</v>
      </c>
      <c r="P52" s="15">
        <f>(SUMIFS('MAIN DATA, Orders'!$U:$U,'MAIN DATA, Orders'!$Y:$Y,$A52,'MAIN DATA, Orders'!$D:$D,"Poland",'MAIN DATA, Orders'!$I:$I,"Development - Helicopter")/1000000000)</f>
        <v>0</v>
      </c>
      <c r="Q52" s="15">
        <f>(SUMIFS('MAIN DATA, Orders'!$U:$U,'MAIN DATA, Orders'!$Y:$Y,$A52,'MAIN DATA, Orders'!$D:$D,"Poland",'MAIN DATA, Orders'!$I:$I,"Infantry")/1000000000)</f>
        <v>0</v>
      </c>
      <c r="R52" s="15">
        <f>(SUMIFS('MAIN DATA, Orders'!$U:$U,'MAIN DATA, Orders'!$Y:$Y,$A52,'MAIN DATA, Orders'!$D:$D,"Poland",'MAIN DATA, Orders'!$I:$I,"Development - Infantry")/1000000000)</f>
        <v>0</v>
      </c>
      <c r="S52" s="15">
        <f>(SUMIFS('MAIN DATA, Orders'!$U:$U,'MAIN DATA, Orders'!$Y:$Y,$A52,'MAIN DATA, Orders'!$D:$D,"Poland",'MAIN DATA, Orders'!$I:$I,"Tank")/1000000000)</f>
        <v>3.2288698955365622</v>
      </c>
      <c r="T52" s="15">
        <f>(SUMIFS('MAIN DATA, Orders'!$U:$U,'MAIN DATA, Orders'!$Y:$Y,$A52,'MAIN DATA, Orders'!$D:$D,"Poland",'MAIN DATA, Orders'!$I:$I,"Development - Tank")/1000000000)</f>
        <v>0</v>
      </c>
      <c r="U52" s="15">
        <f>(SUMIFS('MAIN DATA, Orders'!$U:$U,'MAIN DATA, Orders'!$Y:$Y,$A52,'MAIN DATA, Orders'!$D:$D,"Poland",'MAIN DATA, Orders'!$I:$I,"Maintenance")/1000000000)</f>
        <v>0</v>
      </c>
      <c r="V52" s="15">
        <f>(SUMIFS('MAIN DATA, Orders'!$U:$U,'MAIN DATA, Orders'!$Y:$Y,$A52,'MAIN DATA, Orders'!$D:$D,"Poland",'MAIN DATA, Orders'!$I:$I,"Development - Maintenance")/1000000000)</f>
        <v>0</v>
      </c>
      <c r="W52" s="15">
        <f>(SUMIFS('MAIN DATA, Orders'!$U:$U,'MAIN DATA, Orders'!$Y:$Y,$A52,'MAIN DATA, Orders'!$D:$D,"Poland",'MAIN DATA, Orders'!$I:$I,"Mine")/1000000000)</f>
        <v>0</v>
      </c>
      <c r="X52" s="15">
        <f>(SUMIFS('MAIN DATA, Orders'!$U:$U,'MAIN DATA, Orders'!$Y:$Y,$A52,'MAIN DATA, Orders'!$D:$D,"Poland",'MAIN DATA, Orders'!$I:$I,"Development - Mine")/1000000000)</f>
        <v>0</v>
      </c>
      <c r="Y52" s="15">
        <f>(SUMIFS('MAIN DATA, Orders'!$U:$U,'MAIN DATA, Orders'!$Y:$Y,$A52,'MAIN DATA, Orders'!$D:$D,"Poland",'MAIN DATA, Orders'!$J:$J,"6")/1000000000)</f>
        <v>0</v>
      </c>
      <c r="Z52" s="15" cm="1">
        <f t="array" ref="Z52">SUM(SUMIFS('MAIN DATA, Orders'!$U:$U,'MAIN DATA, Orders'!$Y:$Y,$A52,'MAIN DATA, Orders'!$D:$D,"Poland",'MAIN DATA, Orders'!$I:$I,{"Development - Missile (Land)","Development - Missile (Naval)","Development - Missile (Air)"})/1000000000)</f>
        <v>0</v>
      </c>
      <c r="AA52" s="15">
        <f>(SUMIFS('MAIN DATA, Orders'!$U:$U,'MAIN DATA, Orders'!$Y:$Y,$A52,'MAIN DATA, Orders'!$D:$D,"Poland",'MAIN DATA, Orders'!$I:$I,"Modernisation")/1000000000)</f>
        <v>0</v>
      </c>
      <c r="AB52" s="15">
        <f>(SUMIFS('MAIN DATA, Orders'!$U:$U,'MAIN DATA, Orders'!$Y:$Y,$A52,'MAIN DATA, Orders'!$D:$D,"Poland",'MAIN DATA, Orders'!$I:$I,"Development - Modernisation")/1000000000)</f>
        <v>0</v>
      </c>
      <c r="AC52" s="15">
        <f>(SUMIFS('MAIN DATA, Orders'!$U:$U,'MAIN DATA, Orders'!$Y:$Y,$A52,'MAIN DATA, Orders'!$D:$D,"Poland",'MAIN DATA, Orders'!$I:$I,"Naval")/1000000000)</f>
        <v>0</v>
      </c>
      <c r="AD52" s="15">
        <f>(SUMIFS('MAIN DATA, Orders'!$U:$U,'MAIN DATA, Orders'!$Y:$Y,$A52,'MAIN DATA, Orders'!$D:$D,"Poland",'MAIN DATA, Orders'!$I:$I,"Development - Naval")/1000000000)</f>
        <v>0</v>
      </c>
      <c r="AE52" s="15">
        <f>(SUMIFS('MAIN DATA, Orders'!$U:$U,'MAIN DATA, Orders'!$Y:$Y,$A52,'MAIN DATA, Orders'!$D:$D,"Poland",'MAIN DATA, Orders'!$I:$I,"Other")/1000000000)</f>
        <v>0</v>
      </c>
      <c r="AF52" s="15">
        <f>(SUMIFS('MAIN DATA, Orders'!$U:$U,'MAIN DATA, Orders'!$Y:$Y,$A52,'MAIN DATA, Orders'!$D:$D,"Poland",'MAIN DATA, Orders'!$I:$I,"Development - Other")/1000000000)</f>
        <v>0</v>
      </c>
      <c r="AG52" s="15"/>
      <c r="AH52" s="15" cm="1">
        <f t="array" ref="AH52">SUM(SUMIFS('MAIN DATA, Orders'!$U:$U,'MAIN DATA, Orders'!$Y:$Y,$A52,'MAIN DATA, Orders'!$D:$D,"Poland",'MAIN DATA, Orders'!$I:$I,{"Missile (Land)","Development - Missile (Land)"})/1000000000)</f>
        <v>0</v>
      </c>
      <c r="AI52" s="15" cm="1">
        <f t="array" ref="AI52">SUM(SUMIFS('MAIN DATA, Orders'!$U:$U,'MAIN DATA, Orders'!$Y:$Y,$A52,'MAIN DATA, Orders'!$D:$D,"Poland",'MAIN DATA, Orders'!$I:$I,{"Missile (Air)","Development - Missile (Air)"})/1000000000)</f>
        <v>0</v>
      </c>
      <c r="AJ52" s="15" cm="1">
        <f t="array" ref="AJ52">SUM(SUMIFS('MAIN DATA, Orders'!$U:$U,'MAIN DATA, Orders'!$Y:$Y,$A52,'MAIN DATA, Orders'!$D:$D,"Poland",'MAIN DATA, Orders'!$I:$I,{"Missile (Naval)","Development - Missile (Naval)"})/1000000000)</f>
        <v>0</v>
      </c>
    </row>
    <row r="53" spans="1:36" x14ac:dyDescent="0.35">
      <c r="A53" s="20">
        <v>202211</v>
      </c>
      <c r="B53" s="17">
        <v>44866</v>
      </c>
      <c r="C53" s="15">
        <f>(SUMIFS('MAIN DATA, Orders'!$U:$U,'MAIN DATA, Orders'!$Y:$Y,$A53,'MAIN DATA, Orders'!$D:$D,"Poland",'MAIN DATA, Orders'!$I:$I,"Air defence system")/1000000000)</f>
        <v>0</v>
      </c>
      <c r="D53" s="15">
        <f>(SUMIFS('MAIN DATA, Orders'!$U:$U,'MAIN DATA, Orders'!$Y:$Y,$A53,'MAIN DATA, Orders'!$D:$D,"Poland",'MAIN DATA, Orders'!$I:$I,"Development - Air defence system")/1000000000)</f>
        <v>0</v>
      </c>
      <c r="E53" s="15">
        <f>(SUMIFS('MAIN DATA, Orders'!$U:$U,'MAIN DATA, Orders'!$Y:$Y,$A53,'MAIN DATA, Orders'!$D:$D,"Poland",'MAIN DATA, Orders'!$I:$I,"Aircraft")/1000000000)</f>
        <v>0</v>
      </c>
      <c r="F53" s="15">
        <f>(SUMIFS('MAIN DATA, Orders'!$U:$U,'MAIN DATA, Orders'!$Y:$Y,$A53,'MAIN DATA, Orders'!$D:$D,"Poland",'MAIN DATA, Orders'!$I:$I,"Development - Aircraft")/1000000000)</f>
        <v>0</v>
      </c>
      <c r="G53" s="15">
        <f>(SUMIFS('MAIN DATA, Orders'!$U:$U,'MAIN DATA, Orders'!$Y:$Y,$A53,'MAIN DATA, Orders'!$D:$D,"Poland",'MAIN DATA, Orders'!$I:$I,"Ammunition")/1000000000)</f>
        <v>0</v>
      </c>
      <c r="H53" s="15">
        <f>(SUMIFS('MAIN DATA, Orders'!$U:$U,'MAIN DATA, Orders'!$Y:$Y,$A53,'MAIN DATA, Orders'!$D:$D,"Poland",'MAIN DATA, Orders'!$I:$I,"Development - Ammunition")/1000000000)</f>
        <v>0</v>
      </c>
      <c r="I53" s="15">
        <f>(SUMIFS('MAIN DATA, Orders'!$U:$U,'MAIN DATA, Orders'!$Y:$Y,$A53,'MAIN DATA, Orders'!$D:$D,"Poland",'MAIN DATA, Orders'!$I:$I,"Armoured vehicle")/1000000000)</f>
        <v>0</v>
      </c>
      <c r="J53" s="15">
        <f>(SUMIFS('MAIN DATA, Orders'!$U:$U,'MAIN DATA, Orders'!$Y:$Y,$A53,'MAIN DATA, Orders'!$D:$D,"Poland",'MAIN DATA, Orders'!$I:$I,"Development - Armoured vehicle")/1000000000)</f>
        <v>0</v>
      </c>
      <c r="K53" s="15">
        <f>(SUMIFS('MAIN DATA, Orders'!$U:$U,'MAIN DATA, Orders'!$Y:$Y,$A53,'MAIN DATA, Orders'!$D:$D,"Poland",'MAIN DATA, Orders'!$I:$I,"Artillery")/1000000000)</f>
        <v>0</v>
      </c>
      <c r="L53" s="15">
        <f>(SUMIFS('MAIN DATA, Orders'!$U:$U,'MAIN DATA, Orders'!$Y:$Y,$A53,'MAIN DATA, Orders'!$D:$D,"Poland",'MAIN DATA, Orders'!$I:$I,"Development - Artillery")/1000000000)</f>
        <v>0</v>
      </c>
      <c r="M53" s="15">
        <f>(SUMIFS('MAIN DATA, Orders'!$U:$U,'MAIN DATA, Orders'!$Y:$Y,$A53,'MAIN DATA, Orders'!$D:$D,"Poland",'MAIN DATA, Orders'!$I:$I,"Drone")/1000000000)</f>
        <v>0</v>
      </c>
      <c r="N53" s="15">
        <f>(SUMIFS('MAIN DATA, Orders'!$U:$U,'MAIN DATA, Orders'!$Y:$Y,$A53,'MAIN DATA, Orders'!$D:$D,"Poland",'MAIN DATA, Orders'!$I:$I,"Development - Drone")/1000000000)</f>
        <v>0</v>
      </c>
      <c r="O53" s="15">
        <f>(SUMIFS('MAIN DATA, Orders'!$U:$U,'MAIN DATA, Orders'!$Y:$Y,$A53,'MAIN DATA, Orders'!$D:$D,"Poland",'MAIN DATA, Orders'!$I:$I,"Helicopter")/1000000000)</f>
        <v>0</v>
      </c>
      <c r="P53" s="15">
        <f>(SUMIFS('MAIN DATA, Orders'!$U:$U,'MAIN DATA, Orders'!$Y:$Y,$A53,'MAIN DATA, Orders'!$D:$D,"Poland",'MAIN DATA, Orders'!$I:$I,"Development - Helicopter")/1000000000)</f>
        <v>0</v>
      </c>
      <c r="Q53" s="15">
        <f>(SUMIFS('MAIN DATA, Orders'!$U:$U,'MAIN DATA, Orders'!$Y:$Y,$A53,'MAIN DATA, Orders'!$D:$D,"Poland",'MAIN DATA, Orders'!$I:$I,"Infantry")/1000000000)</f>
        <v>0</v>
      </c>
      <c r="R53" s="15">
        <f>(SUMIFS('MAIN DATA, Orders'!$U:$U,'MAIN DATA, Orders'!$Y:$Y,$A53,'MAIN DATA, Orders'!$D:$D,"Poland",'MAIN DATA, Orders'!$I:$I,"Development - Infantry")/1000000000)</f>
        <v>0</v>
      </c>
      <c r="S53" s="15">
        <f>(SUMIFS('MAIN DATA, Orders'!$U:$U,'MAIN DATA, Orders'!$Y:$Y,$A53,'MAIN DATA, Orders'!$D:$D,"Poland",'MAIN DATA, Orders'!$I:$I,"Tank")/1000000000)</f>
        <v>0</v>
      </c>
      <c r="T53" s="15">
        <f>(SUMIFS('MAIN DATA, Orders'!$U:$U,'MAIN DATA, Orders'!$Y:$Y,$A53,'MAIN DATA, Orders'!$D:$D,"Poland",'MAIN DATA, Orders'!$I:$I,"Development - Tank")/1000000000)</f>
        <v>0</v>
      </c>
      <c r="U53" s="15">
        <f>(SUMIFS('MAIN DATA, Orders'!$U:$U,'MAIN DATA, Orders'!$Y:$Y,$A53,'MAIN DATA, Orders'!$D:$D,"Poland",'MAIN DATA, Orders'!$I:$I,"Maintenance")/1000000000)</f>
        <v>0</v>
      </c>
      <c r="V53" s="15">
        <f>(SUMIFS('MAIN DATA, Orders'!$U:$U,'MAIN DATA, Orders'!$Y:$Y,$A53,'MAIN DATA, Orders'!$D:$D,"Poland",'MAIN DATA, Orders'!$I:$I,"Development - Maintenance")/1000000000)</f>
        <v>0</v>
      </c>
      <c r="W53" s="15">
        <f>(SUMIFS('MAIN DATA, Orders'!$U:$U,'MAIN DATA, Orders'!$Y:$Y,$A53,'MAIN DATA, Orders'!$D:$D,"Poland",'MAIN DATA, Orders'!$I:$I,"Mine")/1000000000)</f>
        <v>0</v>
      </c>
      <c r="X53" s="15">
        <f>(SUMIFS('MAIN DATA, Orders'!$U:$U,'MAIN DATA, Orders'!$Y:$Y,$A53,'MAIN DATA, Orders'!$D:$D,"Poland",'MAIN DATA, Orders'!$I:$I,"Development - Mine")/1000000000)</f>
        <v>0</v>
      </c>
      <c r="Y53" s="15">
        <f>(SUMIFS('MAIN DATA, Orders'!$U:$U,'MAIN DATA, Orders'!$Y:$Y,$A53,'MAIN DATA, Orders'!$D:$D,"Poland",'MAIN DATA, Orders'!$J:$J,"6")/1000000000)</f>
        <v>0</v>
      </c>
      <c r="Z53" s="15" cm="1">
        <f t="array" ref="Z53">SUM(SUMIFS('MAIN DATA, Orders'!$U:$U,'MAIN DATA, Orders'!$Y:$Y,$A53,'MAIN DATA, Orders'!$D:$D,"Poland",'MAIN DATA, Orders'!$I:$I,{"Development - Missile (Land)","Development - Missile (Naval)","Development - Missile (Air)"})/1000000000)</f>
        <v>0</v>
      </c>
      <c r="AA53" s="15">
        <f>(SUMIFS('MAIN DATA, Orders'!$U:$U,'MAIN DATA, Orders'!$Y:$Y,$A53,'MAIN DATA, Orders'!$D:$D,"Poland",'MAIN DATA, Orders'!$I:$I,"Modernisation")/1000000000)</f>
        <v>0</v>
      </c>
      <c r="AB53" s="15">
        <f>(SUMIFS('MAIN DATA, Orders'!$U:$U,'MAIN DATA, Orders'!$Y:$Y,$A53,'MAIN DATA, Orders'!$D:$D,"Poland",'MAIN DATA, Orders'!$I:$I,"Development - Modernisation")/1000000000)</f>
        <v>0</v>
      </c>
      <c r="AC53" s="15">
        <f>(SUMIFS('MAIN DATA, Orders'!$U:$U,'MAIN DATA, Orders'!$Y:$Y,$A53,'MAIN DATA, Orders'!$D:$D,"Poland",'MAIN DATA, Orders'!$I:$I,"Naval")/1000000000)</f>
        <v>0</v>
      </c>
      <c r="AD53" s="15">
        <f>(SUMIFS('MAIN DATA, Orders'!$U:$U,'MAIN DATA, Orders'!$Y:$Y,$A53,'MAIN DATA, Orders'!$D:$D,"Poland",'MAIN DATA, Orders'!$I:$I,"Development - Naval")/1000000000)</f>
        <v>0</v>
      </c>
      <c r="AE53" s="15">
        <f>(SUMIFS('MAIN DATA, Orders'!$U:$U,'MAIN DATA, Orders'!$Y:$Y,$A53,'MAIN DATA, Orders'!$D:$D,"Poland",'MAIN DATA, Orders'!$I:$I,"Other")/1000000000)</f>
        <v>0</v>
      </c>
      <c r="AF53" s="15">
        <f>(SUMIFS('MAIN DATA, Orders'!$U:$U,'MAIN DATA, Orders'!$Y:$Y,$A53,'MAIN DATA, Orders'!$D:$D,"Poland",'MAIN DATA, Orders'!$I:$I,"Development - Other")/1000000000)</f>
        <v>0</v>
      </c>
      <c r="AG53" s="15"/>
      <c r="AH53" s="15" cm="1">
        <f t="array" ref="AH53">SUM(SUMIFS('MAIN DATA, Orders'!$U:$U,'MAIN DATA, Orders'!$Y:$Y,$A53,'MAIN DATA, Orders'!$D:$D,"Poland",'MAIN DATA, Orders'!$I:$I,{"Missile (Land)","Development - Missile (Land)"})/1000000000)</f>
        <v>0</v>
      </c>
      <c r="AI53" s="15" cm="1">
        <f t="array" ref="AI53">SUM(SUMIFS('MAIN DATA, Orders'!$U:$U,'MAIN DATA, Orders'!$Y:$Y,$A53,'MAIN DATA, Orders'!$D:$D,"Poland",'MAIN DATA, Orders'!$I:$I,{"Missile (Air)","Development - Missile (Air)"})/1000000000)</f>
        <v>0</v>
      </c>
      <c r="AJ53" s="15" cm="1">
        <f t="array" ref="AJ53">SUM(SUMIFS('MAIN DATA, Orders'!$U:$U,'MAIN DATA, Orders'!$Y:$Y,$A53,'MAIN DATA, Orders'!$D:$D,"Poland",'MAIN DATA, Orders'!$I:$I,{"Missile (Naval)","Development - Missile (Naval)"})/1000000000)</f>
        <v>0</v>
      </c>
    </row>
    <row r="54" spans="1:36" x14ac:dyDescent="0.35">
      <c r="A54" s="20">
        <v>202212</v>
      </c>
      <c r="B54" s="17">
        <v>44896</v>
      </c>
      <c r="C54" s="15">
        <f>(SUMIFS('MAIN DATA, Orders'!$U:$U,'MAIN DATA, Orders'!$Y:$Y,$A54,'MAIN DATA, Orders'!$D:$D,"Poland",'MAIN DATA, Orders'!$I:$I,"Air defence system")/1000000000)</f>
        <v>0</v>
      </c>
      <c r="D54" s="15">
        <f>(SUMIFS('MAIN DATA, Orders'!$U:$U,'MAIN DATA, Orders'!$Y:$Y,$A54,'MAIN DATA, Orders'!$D:$D,"Poland",'MAIN DATA, Orders'!$I:$I,"Development - Air defence system")/1000000000)</f>
        <v>0</v>
      </c>
      <c r="E54" s="15">
        <f>(SUMIFS('MAIN DATA, Orders'!$U:$U,'MAIN DATA, Orders'!$Y:$Y,$A54,'MAIN DATA, Orders'!$D:$D,"Poland",'MAIN DATA, Orders'!$I:$I,"Aircraft")/1000000000)</f>
        <v>0</v>
      </c>
      <c r="F54" s="15">
        <f>(SUMIFS('MAIN DATA, Orders'!$U:$U,'MAIN DATA, Orders'!$Y:$Y,$A54,'MAIN DATA, Orders'!$D:$D,"Poland",'MAIN DATA, Orders'!$I:$I,"Development - Aircraft")/1000000000)</f>
        <v>0</v>
      </c>
      <c r="G54" s="15">
        <f>(SUMIFS('MAIN DATA, Orders'!$U:$U,'MAIN DATA, Orders'!$Y:$Y,$A54,'MAIN DATA, Orders'!$D:$D,"Poland",'MAIN DATA, Orders'!$I:$I,"Ammunition")/1000000000)</f>
        <v>0</v>
      </c>
      <c r="H54" s="15">
        <f>(SUMIFS('MAIN DATA, Orders'!$U:$U,'MAIN DATA, Orders'!$Y:$Y,$A54,'MAIN DATA, Orders'!$D:$D,"Poland",'MAIN DATA, Orders'!$I:$I,"Development - Ammunition")/1000000000)</f>
        <v>0</v>
      </c>
      <c r="I54" s="15">
        <f>(SUMIFS('MAIN DATA, Orders'!$U:$U,'MAIN DATA, Orders'!$Y:$Y,$A54,'MAIN DATA, Orders'!$D:$D,"Poland",'MAIN DATA, Orders'!$I:$I,"Armoured vehicle")/1000000000)</f>
        <v>0</v>
      </c>
      <c r="J54" s="15">
        <f>(SUMIFS('MAIN DATA, Orders'!$U:$U,'MAIN DATA, Orders'!$Y:$Y,$A54,'MAIN DATA, Orders'!$D:$D,"Poland",'MAIN DATA, Orders'!$I:$I,"Development - Armoured vehicle")/1000000000)</f>
        <v>0</v>
      </c>
      <c r="K54" s="15">
        <f>(SUMIFS('MAIN DATA, Orders'!$U:$U,'MAIN DATA, Orders'!$Y:$Y,$A54,'MAIN DATA, Orders'!$D:$D,"Poland",'MAIN DATA, Orders'!$I:$I,"Artillery")/1000000000)</f>
        <v>0</v>
      </c>
      <c r="L54" s="15">
        <f>(SUMIFS('MAIN DATA, Orders'!$U:$U,'MAIN DATA, Orders'!$Y:$Y,$A54,'MAIN DATA, Orders'!$D:$D,"Poland",'MAIN DATA, Orders'!$I:$I,"Development - Artillery")/1000000000)</f>
        <v>0</v>
      </c>
      <c r="M54" s="15">
        <f>(SUMIFS('MAIN DATA, Orders'!$U:$U,'MAIN DATA, Orders'!$Y:$Y,$A54,'MAIN DATA, Orders'!$D:$D,"Poland",'MAIN DATA, Orders'!$I:$I,"Drone")/1000000000)</f>
        <v>0</v>
      </c>
      <c r="N54" s="15">
        <f>(SUMIFS('MAIN DATA, Orders'!$U:$U,'MAIN DATA, Orders'!$Y:$Y,$A54,'MAIN DATA, Orders'!$D:$D,"Poland",'MAIN DATA, Orders'!$I:$I,"Development - Drone")/1000000000)</f>
        <v>0</v>
      </c>
      <c r="O54" s="15">
        <f>(SUMIFS('MAIN DATA, Orders'!$U:$U,'MAIN DATA, Orders'!$Y:$Y,$A54,'MAIN DATA, Orders'!$D:$D,"Poland",'MAIN DATA, Orders'!$I:$I,"Helicopter")/1000000000)</f>
        <v>0</v>
      </c>
      <c r="P54" s="15">
        <f>(SUMIFS('MAIN DATA, Orders'!$U:$U,'MAIN DATA, Orders'!$Y:$Y,$A54,'MAIN DATA, Orders'!$D:$D,"Poland",'MAIN DATA, Orders'!$I:$I,"Development - Helicopter")/1000000000)</f>
        <v>0</v>
      </c>
      <c r="Q54" s="15">
        <f>(SUMIFS('MAIN DATA, Orders'!$U:$U,'MAIN DATA, Orders'!$Y:$Y,$A54,'MAIN DATA, Orders'!$D:$D,"Poland",'MAIN DATA, Orders'!$I:$I,"Infantry")/1000000000)</f>
        <v>0</v>
      </c>
      <c r="R54" s="15">
        <f>(SUMIFS('MAIN DATA, Orders'!$U:$U,'MAIN DATA, Orders'!$Y:$Y,$A54,'MAIN DATA, Orders'!$D:$D,"Poland",'MAIN DATA, Orders'!$I:$I,"Development - Infantry")/1000000000)</f>
        <v>0</v>
      </c>
      <c r="S54" s="15">
        <f>(SUMIFS('MAIN DATA, Orders'!$U:$U,'MAIN DATA, Orders'!$Y:$Y,$A54,'MAIN DATA, Orders'!$D:$D,"Poland",'MAIN DATA, Orders'!$I:$I,"Tank")/1000000000)</f>
        <v>0</v>
      </c>
      <c r="T54" s="15">
        <f>(SUMIFS('MAIN DATA, Orders'!$U:$U,'MAIN DATA, Orders'!$Y:$Y,$A54,'MAIN DATA, Orders'!$D:$D,"Poland",'MAIN DATA, Orders'!$I:$I,"Development - Tank")/1000000000)</f>
        <v>0</v>
      </c>
      <c r="U54" s="15">
        <f>(SUMIFS('MAIN DATA, Orders'!$U:$U,'MAIN DATA, Orders'!$Y:$Y,$A54,'MAIN DATA, Orders'!$D:$D,"Poland",'MAIN DATA, Orders'!$I:$I,"Maintenance")/1000000000)</f>
        <v>0</v>
      </c>
      <c r="V54" s="15">
        <f>(SUMIFS('MAIN DATA, Orders'!$U:$U,'MAIN DATA, Orders'!$Y:$Y,$A54,'MAIN DATA, Orders'!$D:$D,"Poland",'MAIN DATA, Orders'!$I:$I,"Development - Maintenance")/1000000000)</f>
        <v>0</v>
      </c>
      <c r="W54" s="15">
        <f>(SUMIFS('MAIN DATA, Orders'!$U:$U,'MAIN DATA, Orders'!$Y:$Y,$A54,'MAIN DATA, Orders'!$D:$D,"Poland",'MAIN DATA, Orders'!$I:$I,"Mine")/1000000000)</f>
        <v>0</v>
      </c>
      <c r="X54" s="15">
        <f>(SUMIFS('MAIN DATA, Orders'!$U:$U,'MAIN DATA, Orders'!$Y:$Y,$A54,'MAIN DATA, Orders'!$D:$D,"Poland",'MAIN DATA, Orders'!$I:$I,"Development - Mine")/1000000000)</f>
        <v>0</v>
      </c>
      <c r="Y54" s="15">
        <f>(SUMIFS('MAIN DATA, Orders'!$U:$U,'MAIN DATA, Orders'!$Y:$Y,$A54,'MAIN DATA, Orders'!$D:$D,"Poland",'MAIN DATA, Orders'!$J:$J,"6")/1000000000)</f>
        <v>0</v>
      </c>
      <c r="Z54" s="15" cm="1">
        <f t="array" ref="Z54">SUM(SUMIFS('MAIN DATA, Orders'!$U:$U,'MAIN DATA, Orders'!$Y:$Y,$A54,'MAIN DATA, Orders'!$D:$D,"Poland",'MAIN DATA, Orders'!$I:$I,{"Development - Missile (Land)","Development - Missile (Naval)","Development - Missile (Air)"})/1000000000)</f>
        <v>0</v>
      </c>
      <c r="AA54" s="15">
        <f>(SUMIFS('MAIN DATA, Orders'!$U:$U,'MAIN DATA, Orders'!$Y:$Y,$A54,'MAIN DATA, Orders'!$D:$D,"Poland",'MAIN DATA, Orders'!$I:$I,"Modernisation")/1000000000)</f>
        <v>0</v>
      </c>
      <c r="AB54" s="15">
        <f>(SUMIFS('MAIN DATA, Orders'!$U:$U,'MAIN DATA, Orders'!$Y:$Y,$A54,'MAIN DATA, Orders'!$D:$D,"Poland",'MAIN DATA, Orders'!$I:$I,"Development - Modernisation")/1000000000)</f>
        <v>0</v>
      </c>
      <c r="AC54" s="15">
        <f>(SUMIFS('MAIN DATA, Orders'!$U:$U,'MAIN DATA, Orders'!$Y:$Y,$A54,'MAIN DATA, Orders'!$D:$D,"Poland",'MAIN DATA, Orders'!$I:$I,"Naval")/1000000000)</f>
        <v>0</v>
      </c>
      <c r="AD54" s="15">
        <f>(SUMIFS('MAIN DATA, Orders'!$U:$U,'MAIN DATA, Orders'!$Y:$Y,$A54,'MAIN DATA, Orders'!$D:$D,"Poland",'MAIN DATA, Orders'!$I:$I,"Development - Naval")/1000000000)</f>
        <v>0</v>
      </c>
      <c r="AE54" s="15">
        <f>(SUMIFS('MAIN DATA, Orders'!$U:$U,'MAIN DATA, Orders'!$Y:$Y,$A54,'MAIN DATA, Orders'!$D:$D,"Poland",'MAIN DATA, Orders'!$I:$I,"Other")/1000000000)</f>
        <v>0</v>
      </c>
      <c r="AF54" s="15">
        <f>(SUMIFS('MAIN DATA, Orders'!$U:$U,'MAIN DATA, Orders'!$Y:$Y,$A54,'MAIN DATA, Orders'!$D:$D,"Poland",'MAIN DATA, Orders'!$I:$I,"Development - Other")/1000000000)</f>
        <v>0</v>
      </c>
      <c r="AG54" s="15"/>
      <c r="AH54" s="15" cm="1">
        <f t="array" ref="AH54">SUM(SUMIFS('MAIN DATA, Orders'!$U:$U,'MAIN DATA, Orders'!$Y:$Y,$A54,'MAIN DATA, Orders'!$D:$D,"Poland",'MAIN DATA, Orders'!$I:$I,{"Missile (Land)","Development - Missile (Land)"})/1000000000)</f>
        <v>0</v>
      </c>
      <c r="AI54" s="15" cm="1">
        <f t="array" ref="AI54">SUM(SUMIFS('MAIN DATA, Orders'!$U:$U,'MAIN DATA, Orders'!$Y:$Y,$A54,'MAIN DATA, Orders'!$D:$D,"Poland",'MAIN DATA, Orders'!$I:$I,{"Missile (Air)","Development - Missile (Air)"})/1000000000)</f>
        <v>0</v>
      </c>
      <c r="AJ54" s="15" cm="1">
        <f t="array" ref="AJ54">SUM(SUMIFS('MAIN DATA, Orders'!$U:$U,'MAIN DATA, Orders'!$Y:$Y,$A54,'MAIN DATA, Orders'!$D:$D,"Poland",'MAIN DATA, Orders'!$I:$I,{"Missile (Naval)","Development - Missile (Naval)"})/1000000000)</f>
        <v>0</v>
      </c>
    </row>
    <row r="55" spans="1:36" x14ac:dyDescent="0.35">
      <c r="A55" s="20">
        <v>202301</v>
      </c>
      <c r="B55" s="17">
        <v>44927</v>
      </c>
      <c r="C55" s="15">
        <f>(SUMIFS('MAIN DATA, Orders'!$U:$U,'MAIN DATA, Orders'!$Y:$Y,$A55,'MAIN DATA, Orders'!$D:$D,"Poland",'MAIN DATA, Orders'!$I:$I,"Air defence system")/1000000000)</f>
        <v>0</v>
      </c>
      <c r="D55" s="15">
        <f>(SUMIFS('MAIN DATA, Orders'!$U:$U,'MAIN DATA, Orders'!$Y:$Y,$A55,'MAIN DATA, Orders'!$D:$D,"Poland",'MAIN DATA, Orders'!$I:$I,"Development - Air defence system")/1000000000)</f>
        <v>0</v>
      </c>
      <c r="E55" s="15">
        <f>(SUMIFS('MAIN DATA, Orders'!$U:$U,'MAIN DATA, Orders'!$Y:$Y,$A55,'MAIN DATA, Orders'!$D:$D,"Poland",'MAIN DATA, Orders'!$I:$I,"Aircraft")/1000000000)</f>
        <v>0</v>
      </c>
      <c r="F55" s="15">
        <f>(SUMIFS('MAIN DATA, Orders'!$U:$U,'MAIN DATA, Orders'!$Y:$Y,$A55,'MAIN DATA, Orders'!$D:$D,"Poland",'MAIN DATA, Orders'!$I:$I,"Development - Aircraft")/1000000000)</f>
        <v>0</v>
      </c>
      <c r="G55" s="15">
        <f>(SUMIFS('MAIN DATA, Orders'!$U:$U,'MAIN DATA, Orders'!$Y:$Y,$A55,'MAIN DATA, Orders'!$D:$D,"Poland",'MAIN DATA, Orders'!$I:$I,"Ammunition")/1000000000)</f>
        <v>0</v>
      </c>
      <c r="H55" s="15">
        <f>(SUMIFS('MAIN DATA, Orders'!$U:$U,'MAIN DATA, Orders'!$Y:$Y,$A55,'MAIN DATA, Orders'!$D:$D,"Poland",'MAIN DATA, Orders'!$I:$I,"Development - Ammunition")/1000000000)</f>
        <v>0</v>
      </c>
      <c r="I55" s="15">
        <f>(SUMIFS('MAIN DATA, Orders'!$U:$U,'MAIN DATA, Orders'!$Y:$Y,$A55,'MAIN DATA, Orders'!$D:$D,"Poland",'MAIN DATA, Orders'!$I:$I,"Armoured vehicle")/1000000000)</f>
        <v>0</v>
      </c>
      <c r="J55" s="15">
        <f>(SUMIFS('MAIN DATA, Orders'!$U:$U,'MAIN DATA, Orders'!$Y:$Y,$A55,'MAIN DATA, Orders'!$D:$D,"Poland",'MAIN DATA, Orders'!$I:$I,"Development - Armoured vehicle")/1000000000)</f>
        <v>0</v>
      </c>
      <c r="K55" s="15">
        <f>(SUMIFS('MAIN DATA, Orders'!$U:$U,'MAIN DATA, Orders'!$Y:$Y,$A55,'MAIN DATA, Orders'!$D:$D,"Poland",'MAIN DATA, Orders'!$I:$I,"Artillery")/1000000000)</f>
        <v>0</v>
      </c>
      <c r="L55" s="15">
        <f>(SUMIFS('MAIN DATA, Orders'!$U:$U,'MAIN DATA, Orders'!$Y:$Y,$A55,'MAIN DATA, Orders'!$D:$D,"Poland",'MAIN DATA, Orders'!$I:$I,"Development - Artillery")/1000000000)</f>
        <v>0</v>
      </c>
      <c r="M55" s="15">
        <f>(SUMIFS('MAIN DATA, Orders'!$U:$U,'MAIN DATA, Orders'!$Y:$Y,$A55,'MAIN DATA, Orders'!$D:$D,"Poland",'MAIN DATA, Orders'!$I:$I,"Drone")/1000000000)</f>
        <v>0</v>
      </c>
      <c r="N55" s="15">
        <f>(SUMIFS('MAIN DATA, Orders'!$U:$U,'MAIN DATA, Orders'!$Y:$Y,$A55,'MAIN DATA, Orders'!$D:$D,"Poland",'MAIN DATA, Orders'!$I:$I,"Development - Drone")/1000000000)</f>
        <v>0</v>
      </c>
      <c r="O55" s="15">
        <f>(SUMIFS('MAIN DATA, Orders'!$U:$U,'MAIN DATA, Orders'!$Y:$Y,$A55,'MAIN DATA, Orders'!$D:$D,"Poland",'MAIN DATA, Orders'!$I:$I,"Helicopter")/1000000000)</f>
        <v>0</v>
      </c>
      <c r="P55" s="15">
        <f>(SUMIFS('MAIN DATA, Orders'!$U:$U,'MAIN DATA, Orders'!$Y:$Y,$A55,'MAIN DATA, Orders'!$D:$D,"Poland",'MAIN DATA, Orders'!$I:$I,"Development - Helicopter")/1000000000)</f>
        <v>0</v>
      </c>
      <c r="Q55" s="15">
        <f>(SUMIFS('MAIN DATA, Orders'!$U:$U,'MAIN DATA, Orders'!$Y:$Y,$A55,'MAIN DATA, Orders'!$D:$D,"Poland",'MAIN DATA, Orders'!$I:$I,"Infantry")/1000000000)</f>
        <v>0</v>
      </c>
      <c r="R55" s="15">
        <f>(SUMIFS('MAIN DATA, Orders'!$U:$U,'MAIN DATA, Orders'!$Y:$Y,$A55,'MAIN DATA, Orders'!$D:$D,"Poland",'MAIN DATA, Orders'!$I:$I,"Development - Infantry")/1000000000)</f>
        <v>0</v>
      </c>
      <c r="S55" s="15">
        <f>(SUMIFS('MAIN DATA, Orders'!$U:$U,'MAIN DATA, Orders'!$Y:$Y,$A55,'MAIN DATA, Orders'!$D:$D,"Poland",'MAIN DATA, Orders'!$I:$I,"Tank")/1000000000)</f>
        <v>1.2947378155923426</v>
      </c>
      <c r="T55" s="15">
        <f>(SUMIFS('MAIN DATA, Orders'!$U:$U,'MAIN DATA, Orders'!$Y:$Y,$A55,'MAIN DATA, Orders'!$D:$D,"Poland",'MAIN DATA, Orders'!$I:$I,"Development - Tank")/1000000000)</f>
        <v>0</v>
      </c>
      <c r="U55" s="15">
        <f>(SUMIFS('MAIN DATA, Orders'!$U:$U,'MAIN DATA, Orders'!$Y:$Y,$A55,'MAIN DATA, Orders'!$D:$D,"Poland",'MAIN DATA, Orders'!$I:$I,"Maintenance")/1000000000)</f>
        <v>0</v>
      </c>
      <c r="V55" s="15">
        <f>(SUMIFS('MAIN DATA, Orders'!$U:$U,'MAIN DATA, Orders'!$Y:$Y,$A55,'MAIN DATA, Orders'!$D:$D,"Poland",'MAIN DATA, Orders'!$I:$I,"Development - Maintenance")/1000000000)</f>
        <v>0</v>
      </c>
      <c r="W55" s="15">
        <f>(SUMIFS('MAIN DATA, Orders'!$U:$U,'MAIN DATA, Orders'!$Y:$Y,$A55,'MAIN DATA, Orders'!$D:$D,"Poland",'MAIN DATA, Orders'!$I:$I,"Mine")/1000000000)</f>
        <v>0</v>
      </c>
      <c r="X55" s="15">
        <f>(SUMIFS('MAIN DATA, Orders'!$U:$U,'MAIN DATA, Orders'!$Y:$Y,$A55,'MAIN DATA, Orders'!$D:$D,"Poland",'MAIN DATA, Orders'!$I:$I,"Development - Mine")/1000000000)</f>
        <v>0</v>
      </c>
      <c r="Y55" s="15">
        <f>(SUMIFS('MAIN DATA, Orders'!$U:$U,'MAIN DATA, Orders'!$Y:$Y,$A55,'MAIN DATA, Orders'!$D:$D,"Poland",'MAIN DATA, Orders'!$J:$J,"6")/1000000000)</f>
        <v>0</v>
      </c>
      <c r="Z55" s="15" cm="1">
        <f t="array" ref="Z55">SUM(SUMIFS('MAIN DATA, Orders'!$U:$U,'MAIN DATA, Orders'!$Y:$Y,$A55,'MAIN DATA, Orders'!$D:$D,"Poland",'MAIN DATA, Orders'!$I:$I,{"Development - Missile (Land)","Development - Missile (Naval)","Development - Missile (Air)"})/1000000000)</f>
        <v>0</v>
      </c>
      <c r="AA55" s="15">
        <f>(SUMIFS('MAIN DATA, Orders'!$U:$U,'MAIN DATA, Orders'!$Y:$Y,$A55,'MAIN DATA, Orders'!$D:$D,"Poland",'MAIN DATA, Orders'!$I:$I,"Modernisation")/1000000000)</f>
        <v>0</v>
      </c>
      <c r="AB55" s="15">
        <f>(SUMIFS('MAIN DATA, Orders'!$U:$U,'MAIN DATA, Orders'!$Y:$Y,$A55,'MAIN DATA, Orders'!$D:$D,"Poland",'MAIN DATA, Orders'!$I:$I,"Development - Modernisation")/1000000000)</f>
        <v>0</v>
      </c>
      <c r="AC55" s="15">
        <f>(SUMIFS('MAIN DATA, Orders'!$U:$U,'MAIN DATA, Orders'!$Y:$Y,$A55,'MAIN DATA, Orders'!$D:$D,"Poland",'MAIN DATA, Orders'!$I:$I,"Naval")/1000000000)</f>
        <v>0</v>
      </c>
      <c r="AD55" s="15">
        <f>(SUMIFS('MAIN DATA, Orders'!$U:$U,'MAIN DATA, Orders'!$Y:$Y,$A55,'MAIN DATA, Orders'!$D:$D,"Poland",'MAIN DATA, Orders'!$I:$I,"Development - Naval")/1000000000)</f>
        <v>0</v>
      </c>
      <c r="AE55" s="15">
        <f>(SUMIFS('MAIN DATA, Orders'!$U:$U,'MAIN DATA, Orders'!$Y:$Y,$A55,'MAIN DATA, Orders'!$D:$D,"Poland",'MAIN DATA, Orders'!$I:$I,"Other")/1000000000)</f>
        <v>0</v>
      </c>
      <c r="AF55" s="15">
        <f>(SUMIFS('MAIN DATA, Orders'!$U:$U,'MAIN DATA, Orders'!$Y:$Y,$A55,'MAIN DATA, Orders'!$D:$D,"Poland",'MAIN DATA, Orders'!$I:$I,"Development - Other")/1000000000)</f>
        <v>0</v>
      </c>
      <c r="AG55" s="15"/>
      <c r="AH55" s="15" cm="1">
        <f t="array" ref="AH55">SUM(SUMIFS('MAIN DATA, Orders'!$U:$U,'MAIN DATA, Orders'!$Y:$Y,$A55,'MAIN DATA, Orders'!$D:$D,"Poland",'MAIN DATA, Orders'!$I:$I,{"Missile (Land)","Development - Missile (Land)"})/1000000000)</f>
        <v>0</v>
      </c>
      <c r="AI55" s="15" cm="1">
        <f t="array" ref="AI55">SUM(SUMIFS('MAIN DATA, Orders'!$U:$U,'MAIN DATA, Orders'!$Y:$Y,$A55,'MAIN DATA, Orders'!$D:$D,"Poland",'MAIN DATA, Orders'!$I:$I,{"Missile (Air)","Development - Missile (Air)"})/1000000000)</f>
        <v>0</v>
      </c>
      <c r="AJ55" s="15" cm="1">
        <f t="array" ref="AJ55">SUM(SUMIFS('MAIN DATA, Orders'!$U:$U,'MAIN DATA, Orders'!$Y:$Y,$A55,'MAIN DATA, Orders'!$D:$D,"Poland",'MAIN DATA, Orders'!$I:$I,{"Missile (Naval)","Development - Missile (Naval)"})/1000000000)</f>
        <v>0</v>
      </c>
    </row>
    <row r="56" spans="1:36" x14ac:dyDescent="0.35">
      <c r="A56" s="20">
        <v>202302</v>
      </c>
      <c r="B56" s="17">
        <v>44958</v>
      </c>
      <c r="C56" s="15">
        <f>(SUMIFS('MAIN DATA, Orders'!$U:$U,'MAIN DATA, Orders'!$Y:$Y,$A56,'MAIN DATA, Orders'!$D:$D,"Poland",'MAIN DATA, Orders'!$I:$I,"Air defence system")/1000000000)</f>
        <v>0</v>
      </c>
      <c r="D56" s="15">
        <f>(SUMIFS('MAIN DATA, Orders'!$U:$U,'MAIN DATA, Orders'!$Y:$Y,$A56,'MAIN DATA, Orders'!$D:$D,"Poland",'MAIN DATA, Orders'!$I:$I,"Development - Air defence system")/1000000000)</f>
        <v>0</v>
      </c>
      <c r="E56" s="15">
        <f>(SUMIFS('MAIN DATA, Orders'!$U:$U,'MAIN DATA, Orders'!$Y:$Y,$A56,'MAIN DATA, Orders'!$D:$D,"Poland",'MAIN DATA, Orders'!$I:$I,"Aircraft")/1000000000)</f>
        <v>0</v>
      </c>
      <c r="F56" s="15">
        <f>(SUMIFS('MAIN DATA, Orders'!$U:$U,'MAIN DATA, Orders'!$Y:$Y,$A56,'MAIN DATA, Orders'!$D:$D,"Poland",'MAIN DATA, Orders'!$I:$I,"Development - Aircraft")/1000000000)</f>
        <v>0</v>
      </c>
      <c r="G56" s="15">
        <f>(SUMIFS('MAIN DATA, Orders'!$U:$U,'MAIN DATA, Orders'!$Y:$Y,$A56,'MAIN DATA, Orders'!$D:$D,"Poland",'MAIN DATA, Orders'!$I:$I,"Ammunition")/1000000000)</f>
        <v>0</v>
      </c>
      <c r="H56" s="15">
        <f>(SUMIFS('MAIN DATA, Orders'!$U:$U,'MAIN DATA, Orders'!$Y:$Y,$A56,'MAIN DATA, Orders'!$D:$D,"Poland",'MAIN DATA, Orders'!$I:$I,"Development - Ammunition")/1000000000)</f>
        <v>0</v>
      </c>
      <c r="I56" s="15">
        <f>(SUMIFS('MAIN DATA, Orders'!$U:$U,'MAIN DATA, Orders'!$Y:$Y,$A56,'MAIN DATA, Orders'!$D:$D,"Poland",'MAIN DATA, Orders'!$I:$I,"Armoured vehicle")/1000000000)</f>
        <v>0</v>
      </c>
      <c r="J56" s="15">
        <f>(SUMIFS('MAIN DATA, Orders'!$U:$U,'MAIN DATA, Orders'!$Y:$Y,$A56,'MAIN DATA, Orders'!$D:$D,"Poland",'MAIN DATA, Orders'!$I:$I,"Development - Armoured vehicle")/1000000000)</f>
        <v>0</v>
      </c>
      <c r="K56" s="15">
        <f>(SUMIFS('MAIN DATA, Orders'!$U:$U,'MAIN DATA, Orders'!$Y:$Y,$A56,'MAIN DATA, Orders'!$D:$D,"Poland",'MAIN DATA, Orders'!$I:$I,"Artillery")/1000000000)</f>
        <v>0</v>
      </c>
      <c r="L56" s="15">
        <f>(SUMIFS('MAIN DATA, Orders'!$U:$U,'MAIN DATA, Orders'!$Y:$Y,$A56,'MAIN DATA, Orders'!$D:$D,"Poland",'MAIN DATA, Orders'!$I:$I,"Development - Artillery")/1000000000)</f>
        <v>0</v>
      </c>
      <c r="M56" s="15">
        <f>(SUMIFS('MAIN DATA, Orders'!$U:$U,'MAIN DATA, Orders'!$Y:$Y,$A56,'MAIN DATA, Orders'!$D:$D,"Poland",'MAIN DATA, Orders'!$I:$I,"Drone")/1000000000)</f>
        <v>0</v>
      </c>
      <c r="N56" s="15">
        <f>(SUMIFS('MAIN DATA, Orders'!$U:$U,'MAIN DATA, Orders'!$Y:$Y,$A56,'MAIN DATA, Orders'!$D:$D,"Poland",'MAIN DATA, Orders'!$I:$I,"Development - Drone")/1000000000)</f>
        <v>0</v>
      </c>
      <c r="O56" s="15">
        <f>(SUMIFS('MAIN DATA, Orders'!$U:$U,'MAIN DATA, Orders'!$Y:$Y,$A56,'MAIN DATA, Orders'!$D:$D,"Poland",'MAIN DATA, Orders'!$I:$I,"Helicopter")/1000000000)</f>
        <v>0</v>
      </c>
      <c r="P56" s="15">
        <f>(SUMIFS('MAIN DATA, Orders'!$U:$U,'MAIN DATA, Orders'!$Y:$Y,$A56,'MAIN DATA, Orders'!$D:$D,"Poland",'MAIN DATA, Orders'!$I:$I,"Development - Helicopter")/1000000000)</f>
        <v>0</v>
      </c>
      <c r="Q56" s="15">
        <f>(SUMIFS('MAIN DATA, Orders'!$U:$U,'MAIN DATA, Orders'!$Y:$Y,$A56,'MAIN DATA, Orders'!$D:$D,"Poland",'MAIN DATA, Orders'!$I:$I,"Infantry")/1000000000)</f>
        <v>0.46477322765301632</v>
      </c>
      <c r="R56" s="15">
        <f>(SUMIFS('MAIN DATA, Orders'!$U:$U,'MAIN DATA, Orders'!$Y:$Y,$A56,'MAIN DATA, Orders'!$D:$D,"Poland",'MAIN DATA, Orders'!$I:$I,"Development - Infantry")/1000000000)</f>
        <v>0</v>
      </c>
      <c r="S56" s="15">
        <f>(SUMIFS('MAIN DATA, Orders'!$U:$U,'MAIN DATA, Orders'!$Y:$Y,$A56,'MAIN DATA, Orders'!$D:$D,"Poland",'MAIN DATA, Orders'!$I:$I,"Tank")/1000000000)</f>
        <v>0</v>
      </c>
      <c r="T56" s="15">
        <f>(SUMIFS('MAIN DATA, Orders'!$U:$U,'MAIN DATA, Orders'!$Y:$Y,$A56,'MAIN DATA, Orders'!$D:$D,"Poland",'MAIN DATA, Orders'!$I:$I,"Development - Tank")/1000000000)</f>
        <v>0</v>
      </c>
      <c r="U56" s="15">
        <f>(SUMIFS('MAIN DATA, Orders'!$U:$U,'MAIN DATA, Orders'!$Y:$Y,$A56,'MAIN DATA, Orders'!$D:$D,"Poland",'MAIN DATA, Orders'!$I:$I,"Maintenance")/1000000000)</f>
        <v>0</v>
      </c>
      <c r="V56" s="15">
        <f>(SUMIFS('MAIN DATA, Orders'!$U:$U,'MAIN DATA, Orders'!$Y:$Y,$A56,'MAIN DATA, Orders'!$D:$D,"Poland",'MAIN DATA, Orders'!$I:$I,"Development - Maintenance")/1000000000)</f>
        <v>0</v>
      </c>
      <c r="W56" s="15">
        <f>(SUMIFS('MAIN DATA, Orders'!$U:$U,'MAIN DATA, Orders'!$Y:$Y,$A56,'MAIN DATA, Orders'!$D:$D,"Poland",'MAIN DATA, Orders'!$I:$I,"Mine")/1000000000)</f>
        <v>0</v>
      </c>
      <c r="X56" s="15">
        <f>(SUMIFS('MAIN DATA, Orders'!$U:$U,'MAIN DATA, Orders'!$Y:$Y,$A56,'MAIN DATA, Orders'!$D:$D,"Poland",'MAIN DATA, Orders'!$I:$I,"Development - Mine")/1000000000)</f>
        <v>0</v>
      </c>
      <c r="Y56" s="15">
        <f>(SUMIFS('MAIN DATA, Orders'!$U:$U,'MAIN DATA, Orders'!$Y:$Y,$A56,'MAIN DATA, Orders'!$D:$D,"Poland",'MAIN DATA, Orders'!$J:$J,"6")/1000000000)</f>
        <v>0</v>
      </c>
      <c r="Z56" s="15" cm="1">
        <f t="array" ref="Z56">SUM(SUMIFS('MAIN DATA, Orders'!$U:$U,'MAIN DATA, Orders'!$Y:$Y,$A56,'MAIN DATA, Orders'!$D:$D,"Poland",'MAIN DATA, Orders'!$I:$I,{"Development - Missile (Land)","Development - Missile (Naval)","Development - Missile (Air)"})/1000000000)</f>
        <v>0</v>
      </c>
      <c r="AA56" s="15">
        <f>(SUMIFS('MAIN DATA, Orders'!$U:$U,'MAIN DATA, Orders'!$Y:$Y,$A56,'MAIN DATA, Orders'!$D:$D,"Poland",'MAIN DATA, Orders'!$I:$I,"Modernisation")/1000000000)</f>
        <v>0</v>
      </c>
      <c r="AB56" s="15">
        <f>(SUMIFS('MAIN DATA, Orders'!$U:$U,'MAIN DATA, Orders'!$Y:$Y,$A56,'MAIN DATA, Orders'!$D:$D,"Poland",'MAIN DATA, Orders'!$I:$I,"Development - Modernisation")/1000000000)</f>
        <v>0</v>
      </c>
      <c r="AC56" s="15">
        <f>(SUMIFS('MAIN DATA, Orders'!$U:$U,'MAIN DATA, Orders'!$Y:$Y,$A56,'MAIN DATA, Orders'!$D:$D,"Poland",'MAIN DATA, Orders'!$I:$I,"Naval")/1000000000)</f>
        <v>0</v>
      </c>
      <c r="AD56" s="15">
        <f>(SUMIFS('MAIN DATA, Orders'!$U:$U,'MAIN DATA, Orders'!$Y:$Y,$A56,'MAIN DATA, Orders'!$D:$D,"Poland",'MAIN DATA, Orders'!$I:$I,"Development - Naval")/1000000000)</f>
        <v>0</v>
      </c>
      <c r="AE56" s="15">
        <f>(SUMIFS('MAIN DATA, Orders'!$U:$U,'MAIN DATA, Orders'!$Y:$Y,$A56,'MAIN DATA, Orders'!$D:$D,"Poland",'MAIN DATA, Orders'!$I:$I,"Other")/1000000000)</f>
        <v>0</v>
      </c>
      <c r="AF56" s="15">
        <f>(SUMIFS('MAIN DATA, Orders'!$U:$U,'MAIN DATA, Orders'!$Y:$Y,$A56,'MAIN DATA, Orders'!$D:$D,"Poland",'MAIN DATA, Orders'!$I:$I,"Development - Other")/1000000000)</f>
        <v>0</v>
      </c>
      <c r="AG56" s="15"/>
      <c r="AH56" s="15" cm="1">
        <f t="array" ref="AH56">SUM(SUMIFS('MAIN DATA, Orders'!$U:$U,'MAIN DATA, Orders'!$Y:$Y,$A56,'MAIN DATA, Orders'!$D:$D,"Poland",'MAIN DATA, Orders'!$I:$I,{"Missile (Land)","Development - Missile (Land)"})/1000000000)</f>
        <v>0</v>
      </c>
      <c r="AI56" s="15" cm="1">
        <f t="array" ref="AI56">SUM(SUMIFS('MAIN DATA, Orders'!$U:$U,'MAIN DATA, Orders'!$Y:$Y,$A56,'MAIN DATA, Orders'!$D:$D,"Poland",'MAIN DATA, Orders'!$I:$I,{"Missile (Air)","Development - Missile (Air)"})/1000000000)</f>
        <v>0</v>
      </c>
      <c r="AJ56" s="15" cm="1">
        <f t="array" ref="AJ56">SUM(SUMIFS('MAIN DATA, Orders'!$U:$U,'MAIN DATA, Orders'!$Y:$Y,$A56,'MAIN DATA, Orders'!$D:$D,"Poland",'MAIN DATA, Orders'!$I:$I,{"Missile (Naval)","Development - Missile (Naval)"})/1000000000)</f>
        <v>0</v>
      </c>
    </row>
    <row r="57" spans="1:36" x14ac:dyDescent="0.35">
      <c r="A57" s="20">
        <v>202303</v>
      </c>
      <c r="B57" s="17">
        <v>44986</v>
      </c>
      <c r="C57" s="15">
        <f>(SUMIFS('MAIN DATA, Orders'!$U:$U,'MAIN DATA, Orders'!$Y:$Y,$A57,'MAIN DATA, Orders'!$D:$D,"Poland",'MAIN DATA, Orders'!$I:$I,"Air defence system")/1000000000)</f>
        <v>0.242184059885513</v>
      </c>
      <c r="D57" s="15">
        <f>(SUMIFS('MAIN DATA, Orders'!$U:$U,'MAIN DATA, Orders'!$Y:$Y,$A57,'MAIN DATA, Orders'!$D:$D,"Poland",'MAIN DATA, Orders'!$I:$I,"Development - Air defence system")/1000000000)</f>
        <v>0</v>
      </c>
      <c r="E57" s="15">
        <f>(SUMIFS('MAIN DATA, Orders'!$U:$U,'MAIN DATA, Orders'!$Y:$Y,$A57,'MAIN DATA, Orders'!$D:$D,"Poland",'MAIN DATA, Orders'!$I:$I,"Aircraft")/1000000000)</f>
        <v>0</v>
      </c>
      <c r="F57" s="15">
        <f>(SUMIFS('MAIN DATA, Orders'!$U:$U,'MAIN DATA, Orders'!$Y:$Y,$A57,'MAIN DATA, Orders'!$D:$D,"Poland",'MAIN DATA, Orders'!$I:$I,"Development - Aircraft")/1000000000)</f>
        <v>0</v>
      </c>
      <c r="G57" s="15">
        <f>(SUMIFS('MAIN DATA, Orders'!$U:$U,'MAIN DATA, Orders'!$Y:$Y,$A57,'MAIN DATA, Orders'!$D:$D,"Poland",'MAIN DATA, Orders'!$I:$I,"Ammunition")/1000000000)</f>
        <v>0</v>
      </c>
      <c r="H57" s="15">
        <f>(SUMIFS('MAIN DATA, Orders'!$U:$U,'MAIN DATA, Orders'!$Y:$Y,$A57,'MAIN DATA, Orders'!$D:$D,"Poland",'MAIN DATA, Orders'!$I:$I,"Development - Ammunition")/1000000000)</f>
        <v>0</v>
      </c>
      <c r="I57" s="15">
        <f>(SUMIFS('MAIN DATA, Orders'!$U:$U,'MAIN DATA, Orders'!$Y:$Y,$A57,'MAIN DATA, Orders'!$D:$D,"Poland",'MAIN DATA, Orders'!$I:$I,"Armoured vehicle")/1000000000)</f>
        <v>0</v>
      </c>
      <c r="J57" s="15">
        <f>(SUMIFS('MAIN DATA, Orders'!$U:$U,'MAIN DATA, Orders'!$Y:$Y,$A57,'MAIN DATA, Orders'!$D:$D,"Poland",'MAIN DATA, Orders'!$I:$I,"Development - Armoured vehicle")/1000000000)</f>
        <v>0</v>
      </c>
      <c r="K57" s="15">
        <f>(SUMIFS('MAIN DATA, Orders'!$U:$U,'MAIN DATA, Orders'!$Y:$Y,$A57,'MAIN DATA, Orders'!$D:$D,"Poland",'MAIN DATA, Orders'!$I:$I,"Artillery")/1000000000)</f>
        <v>0</v>
      </c>
      <c r="L57" s="15">
        <f>(SUMIFS('MAIN DATA, Orders'!$U:$U,'MAIN DATA, Orders'!$Y:$Y,$A57,'MAIN DATA, Orders'!$D:$D,"Poland",'MAIN DATA, Orders'!$I:$I,"Development - Artillery")/1000000000)</f>
        <v>0</v>
      </c>
      <c r="M57" s="15">
        <f>(SUMIFS('MAIN DATA, Orders'!$U:$U,'MAIN DATA, Orders'!$Y:$Y,$A57,'MAIN DATA, Orders'!$D:$D,"Poland",'MAIN DATA, Orders'!$I:$I,"Drone")/1000000000)</f>
        <v>0</v>
      </c>
      <c r="N57" s="15">
        <f>(SUMIFS('MAIN DATA, Orders'!$U:$U,'MAIN DATA, Orders'!$Y:$Y,$A57,'MAIN DATA, Orders'!$D:$D,"Poland",'MAIN DATA, Orders'!$I:$I,"Development - Drone")/1000000000)</f>
        <v>0</v>
      </c>
      <c r="O57" s="15">
        <f>(SUMIFS('MAIN DATA, Orders'!$U:$U,'MAIN DATA, Orders'!$Y:$Y,$A57,'MAIN DATA, Orders'!$D:$D,"Poland",'MAIN DATA, Orders'!$I:$I,"Helicopter")/1000000000)</f>
        <v>0</v>
      </c>
      <c r="P57" s="15">
        <f>(SUMIFS('MAIN DATA, Orders'!$U:$U,'MAIN DATA, Orders'!$Y:$Y,$A57,'MAIN DATA, Orders'!$D:$D,"Poland",'MAIN DATA, Orders'!$I:$I,"Development - Helicopter")/1000000000)</f>
        <v>0</v>
      </c>
      <c r="Q57" s="15">
        <f>(SUMIFS('MAIN DATA, Orders'!$U:$U,'MAIN DATA, Orders'!$Y:$Y,$A57,'MAIN DATA, Orders'!$D:$D,"Poland",'MAIN DATA, Orders'!$I:$I,"Infantry")/1000000000)</f>
        <v>0</v>
      </c>
      <c r="R57" s="15">
        <f>(SUMIFS('MAIN DATA, Orders'!$U:$U,'MAIN DATA, Orders'!$Y:$Y,$A57,'MAIN DATA, Orders'!$D:$D,"Poland",'MAIN DATA, Orders'!$I:$I,"Development - Infantry")/1000000000)</f>
        <v>0</v>
      </c>
      <c r="S57" s="15">
        <f>(SUMIFS('MAIN DATA, Orders'!$U:$U,'MAIN DATA, Orders'!$Y:$Y,$A57,'MAIN DATA, Orders'!$D:$D,"Poland",'MAIN DATA, Orders'!$I:$I,"Tank")/1000000000)</f>
        <v>0</v>
      </c>
      <c r="T57" s="15">
        <f>(SUMIFS('MAIN DATA, Orders'!$U:$U,'MAIN DATA, Orders'!$Y:$Y,$A57,'MAIN DATA, Orders'!$D:$D,"Poland",'MAIN DATA, Orders'!$I:$I,"Development - Tank")/1000000000)</f>
        <v>0</v>
      </c>
      <c r="U57" s="15">
        <f>(SUMIFS('MAIN DATA, Orders'!$U:$U,'MAIN DATA, Orders'!$Y:$Y,$A57,'MAIN DATA, Orders'!$D:$D,"Poland",'MAIN DATA, Orders'!$I:$I,"Maintenance")/1000000000)</f>
        <v>0</v>
      </c>
      <c r="V57" s="15">
        <f>(SUMIFS('MAIN DATA, Orders'!$U:$U,'MAIN DATA, Orders'!$Y:$Y,$A57,'MAIN DATA, Orders'!$D:$D,"Poland",'MAIN DATA, Orders'!$I:$I,"Development - Maintenance")/1000000000)</f>
        <v>0</v>
      </c>
      <c r="W57" s="15">
        <f>(SUMIFS('MAIN DATA, Orders'!$U:$U,'MAIN DATA, Orders'!$Y:$Y,$A57,'MAIN DATA, Orders'!$D:$D,"Poland",'MAIN DATA, Orders'!$I:$I,"Mine")/1000000000)</f>
        <v>0</v>
      </c>
      <c r="X57" s="15">
        <f>(SUMIFS('MAIN DATA, Orders'!$U:$U,'MAIN DATA, Orders'!$Y:$Y,$A57,'MAIN DATA, Orders'!$D:$D,"Poland",'MAIN DATA, Orders'!$I:$I,"Development - Mine")/1000000000)</f>
        <v>0</v>
      </c>
      <c r="Y57" s="15">
        <f>(SUMIFS('MAIN DATA, Orders'!$U:$U,'MAIN DATA, Orders'!$Y:$Y,$A57,'MAIN DATA, Orders'!$D:$D,"Poland",'MAIN DATA, Orders'!$J:$J,"6")/1000000000)</f>
        <v>0</v>
      </c>
      <c r="Z57" s="15" cm="1">
        <f t="array" ref="Z57">SUM(SUMIFS('MAIN DATA, Orders'!$U:$U,'MAIN DATA, Orders'!$Y:$Y,$A57,'MAIN DATA, Orders'!$D:$D,"Poland",'MAIN DATA, Orders'!$I:$I,{"Development - Missile (Land)","Development - Missile (Naval)","Development - Missile (Air)"})/1000000000)</f>
        <v>0</v>
      </c>
      <c r="AA57" s="15">
        <f>(SUMIFS('MAIN DATA, Orders'!$U:$U,'MAIN DATA, Orders'!$Y:$Y,$A57,'MAIN DATA, Orders'!$D:$D,"Poland",'MAIN DATA, Orders'!$I:$I,"Modernisation")/1000000000)</f>
        <v>0</v>
      </c>
      <c r="AB57" s="15">
        <f>(SUMIFS('MAIN DATA, Orders'!$U:$U,'MAIN DATA, Orders'!$Y:$Y,$A57,'MAIN DATA, Orders'!$D:$D,"Poland",'MAIN DATA, Orders'!$I:$I,"Development - Modernisation")/1000000000)</f>
        <v>0</v>
      </c>
      <c r="AC57" s="15">
        <f>(SUMIFS('MAIN DATA, Orders'!$U:$U,'MAIN DATA, Orders'!$Y:$Y,$A57,'MAIN DATA, Orders'!$D:$D,"Poland",'MAIN DATA, Orders'!$I:$I,"Naval")/1000000000)</f>
        <v>0</v>
      </c>
      <c r="AD57" s="15">
        <f>(SUMIFS('MAIN DATA, Orders'!$U:$U,'MAIN DATA, Orders'!$Y:$Y,$A57,'MAIN DATA, Orders'!$D:$D,"Poland",'MAIN DATA, Orders'!$I:$I,"Development - Naval")/1000000000)</f>
        <v>0</v>
      </c>
      <c r="AE57" s="15">
        <f>(SUMIFS('MAIN DATA, Orders'!$U:$U,'MAIN DATA, Orders'!$Y:$Y,$A57,'MAIN DATA, Orders'!$D:$D,"Poland",'MAIN DATA, Orders'!$I:$I,"Other")/1000000000)</f>
        <v>0</v>
      </c>
      <c r="AF57" s="15">
        <f>(SUMIFS('MAIN DATA, Orders'!$U:$U,'MAIN DATA, Orders'!$Y:$Y,$A57,'MAIN DATA, Orders'!$D:$D,"Poland",'MAIN DATA, Orders'!$I:$I,"Development - Other")/1000000000)</f>
        <v>0</v>
      </c>
      <c r="AG57" s="15"/>
      <c r="AH57" s="15" cm="1">
        <f t="array" ref="AH57">SUM(SUMIFS('MAIN DATA, Orders'!$U:$U,'MAIN DATA, Orders'!$Y:$Y,$A57,'MAIN DATA, Orders'!$D:$D,"Poland",'MAIN DATA, Orders'!$I:$I,{"Missile (Land)","Development - Missile (Land)"})/1000000000)</f>
        <v>0</v>
      </c>
      <c r="AI57" s="15" cm="1">
        <f t="array" ref="AI57">SUM(SUMIFS('MAIN DATA, Orders'!$U:$U,'MAIN DATA, Orders'!$Y:$Y,$A57,'MAIN DATA, Orders'!$D:$D,"Poland",'MAIN DATA, Orders'!$I:$I,{"Missile (Air)","Development - Missile (Air)"})/1000000000)</f>
        <v>0</v>
      </c>
      <c r="AJ57" s="15" cm="1">
        <f t="array" ref="AJ57">SUM(SUMIFS('MAIN DATA, Orders'!$U:$U,'MAIN DATA, Orders'!$Y:$Y,$A57,'MAIN DATA, Orders'!$D:$D,"Poland",'MAIN DATA, Orders'!$I:$I,{"Missile (Naval)","Development - Missile (Naval)"})/1000000000)</f>
        <v>0</v>
      </c>
    </row>
    <row r="58" spans="1:36" x14ac:dyDescent="0.35">
      <c r="A58" s="20">
        <v>202304</v>
      </c>
      <c r="B58" s="17">
        <v>45017</v>
      </c>
      <c r="C58" s="15">
        <f>(SUMIFS('MAIN DATA, Orders'!$U:$U,'MAIN DATA, Orders'!$Y:$Y,$A58,'MAIN DATA, Orders'!$D:$D,"Poland",'MAIN DATA, Orders'!$I:$I,"Air defence system")/1000000000)</f>
        <v>0</v>
      </c>
      <c r="D58" s="15">
        <f>(SUMIFS('MAIN DATA, Orders'!$U:$U,'MAIN DATA, Orders'!$Y:$Y,$A58,'MAIN DATA, Orders'!$D:$D,"Poland",'MAIN DATA, Orders'!$I:$I,"Development - Air defence system")/1000000000)</f>
        <v>0</v>
      </c>
      <c r="E58" s="15">
        <f>(SUMIFS('MAIN DATA, Orders'!$U:$U,'MAIN DATA, Orders'!$Y:$Y,$A58,'MAIN DATA, Orders'!$D:$D,"Poland",'MAIN DATA, Orders'!$I:$I,"Aircraft")/1000000000)</f>
        <v>0</v>
      </c>
      <c r="F58" s="15">
        <f>(SUMIFS('MAIN DATA, Orders'!$U:$U,'MAIN DATA, Orders'!$Y:$Y,$A58,'MAIN DATA, Orders'!$D:$D,"Poland",'MAIN DATA, Orders'!$I:$I,"Development - Aircraft")/1000000000)</f>
        <v>0</v>
      </c>
      <c r="G58" s="15">
        <f>(SUMIFS('MAIN DATA, Orders'!$U:$U,'MAIN DATA, Orders'!$Y:$Y,$A58,'MAIN DATA, Orders'!$D:$D,"Poland",'MAIN DATA, Orders'!$I:$I,"Ammunition")/1000000000)</f>
        <v>0</v>
      </c>
      <c r="H58" s="15">
        <f>(SUMIFS('MAIN DATA, Orders'!$U:$U,'MAIN DATA, Orders'!$Y:$Y,$A58,'MAIN DATA, Orders'!$D:$D,"Poland",'MAIN DATA, Orders'!$I:$I,"Development - Ammunition")/1000000000)</f>
        <v>0</v>
      </c>
      <c r="I58" s="15">
        <f>(SUMIFS('MAIN DATA, Orders'!$U:$U,'MAIN DATA, Orders'!$Y:$Y,$A58,'MAIN DATA, Orders'!$D:$D,"Poland",'MAIN DATA, Orders'!$I:$I,"Armoured vehicle")/1000000000)</f>
        <v>0</v>
      </c>
      <c r="J58" s="15">
        <f>(SUMIFS('MAIN DATA, Orders'!$U:$U,'MAIN DATA, Orders'!$Y:$Y,$A58,'MAIN DATA, Orders'!$D:$D,"Poland",'MAIN DATA, Orders'!$I:$I,"Development - Armoured vehicle")/1000000000)</f>
        <v>0</v>
      </c>
      <c r="K58" s="15">
        <f>(SUMIFS('MAIN DATA, Orders'!$U:$U,'MAIN DATA, Orders'!$Y:$Y,$A58,'MAIN DATA, Orders'!$D:$D,"Poland",'MAIN DATA, Orders'!$I:$I,"Artillery")/1000000000)</f>
        <v>0</v>
      </c>
      <c r="L58" s="15">
        <f>(SUMIFS('MAIN DATA, Orders'!$U:$U,'MAIN DATA, Orders'!$Y:$Y,$A58,'MAIN DATA, Orders'!$D:$D,"Poland",'MAIN DATA, Orders'!$I:$I,"Development - Artillery")/1000000000)</f>
        <v>0</v>
      </c>
      <c r="M58" s="15">
        <f>(SUMIFS('MAIN DATA, Orders'!$U:$U,'MAIN DATA, Orders'!$Y:$Y,$A58,'MAIN DATA, Orders'!$D:$D,"Poland",'MAIN DATA, Orders'!$I:$I,"Drone")/1000000000)</f>
        <v>0</v>
      </c>
      <c r="N58" s="15">
        <f>(SUMIFS('MAIN DATA, Orders'!$U:$U,'MAIN DATA, Orders'!$Y:$Y,$A58,'MAIN DATA, Orders'!$D:$D,"Poland",'MAIN DATA, Orders'!$I:$I,"Development - Drone")/1000000000)</f>
        <v>0</v>
      </c>
      <c r="O58" s="15">
        <f>(SUMIFS('MAIN DATA, Orders'!$U:$U,'MAIN DATA, Orders'!$Y:$Y,$A58,'MAIN DATA, Orders'!$D:$D,"Poland",'MAIN DATA, Orders'!$I:$I,"Helicopter")/1000000000)</f>
        <v>0</v>
      </c>
      <c r="P58" s="15">
        <f>(SUMIFS('MAIN DATA, Orders'!$U:$U,'MAIN DATA, Orders'!$Y:$Y,$A58,'MAIN DATA, Orders'!$D:$D,"Poland",'MAIN DATA, Orders'!$I:$I,"Development - Helicopter")/1000000000)</f>
        <v>0</v>
      </c>
      <c r="Q58" s="15">
        <f>(SUMIFS('MAIN DATA, Orders'!$U:$U,'MAIN DATA, Orders'!$Y:$Y,$A58,'MAIN DATA, Orders'!$D:$D,"Poland",'MAIN DATA, Orders'!$I:$I,"Infantry")/1000000000)</f>
        <v>0</v>
      </c>
      <c r="R58" s="15">
        <f>(SUMIFS('MAIN DATA, Orders'!$U:$U,'MAIN DATA, Orders'!$Y:$Y,$A58,'MAIN DATA, Orders'!$D:$D,"Poland",'MAIN DATA, Orders'!$I:$I,"Development - Infantry")/1000000000)</f>
        <v>0</v>
      </c>
      <c r="S58" s="15">
        <f>(SUMIFS('MAIN DATA, Orders'!$U:$U,'MAIN DATA, Orders'!$Y:$Y,$A58,'MAIN DATA, Orders'!$D:$D,"Poland",'MAIN DATA, Orders'!$I:$I,"Tank")/1000000000)</f>
        <v>0</v>
      </c>
      <c r="T58" s="15">
        <f>(SUMIFS('MAIN DATA, Orders'!$U:$U,'MAIN DATA, Orders'!$Y:$Y,$A58,'MAIN DATA, Orders'!$D:$D,"Poland",'MAIN DATA, Orders'!$I:$I,"Development - Tank")/1000000000)</f>
        <v>0</v>
      </c>
      <c r="U58" s="15">
        <f>(SUMIFS('MAIN DATA, Orders'!$U:$U,'MAIN DATA, Orders'!$Y:$Y,$A58,'MAIN DATA, Orders'!$D:$D,"Poland",'MAIN DATA, Orders'!$I:$I,"Maintenance")/1000000000)</f>
        <v>0</v>
      </c>
      <c r="V58" s="15">
        <f>(SUMIFS('MAIN DATA, Orders'!$U:$U,'MAIN DATA, Orders'!$Y:$Y,$A58,'MAIN DATA, Orders'!$D:$D,"Poland",'MAIN DATA, Orders'!$I:$I,"Development - Maintenance")/1000000000)</f>
        <v>0</v>
      </c>
      <c r="W58" s="15">
        <f>(SUMIFS('MAIN DATA, Orders'!$U:$U,'MAIN DATA, Orders'!$Y:$Y,$A58,'MAIN DATA, Orders'!$D:$D,"Poland",'MAIN DATA, Orders'!$I:$I,"Mine")/1000000000)</f>
        <v>0</v>
      </c>
      <c r="X58" s="15">
        <f>(SUMIFS('MAIN DATA, Orders'!$U:$U,'MAIN DATA, Orders'!$Y:$Y,$A58,'MAIN DATA, Orders'!$D:$D,"Poland",'MAIN DATA, Orders'!$I:$I,"Development - Mine")/1000000000)</f>
        <v>0</v>
      </c>
      <c r="Y58" s="15">
        <f>(SUMIFS('MAIN DATA, Orders'!$U:$U,'MAIN DATA, Orders'!$Y:$Y,$A58,'MAIN DATA, Orders'!$D:$D,"Poland",'MAIN DATA, Orders'!$J:$J,"6")/1000000000)</f>
        <v>0</v>
      </c>
      <c r="Z58" s="15" cm="1">
        <f t="array" ref="Z58">SUM(SUMIFS('MAIN DATA, Orders'!$U:$U,'MAIN DATA, Orders'!$Y:$Y,$A58,'MAIN DATA, Orders'!$D:$D,"Poland",'MAIN DATA, Orders'!$I:$I,{"Development - Missile (Land)","Development - Missile (Naval)","Development - Missile (Air)"})/1000000000)</f>
        <v>0</v>
      </c>
      <c r="AA58" s="15">
        <f>(SUMIFS('MAIN DATA, Orders'!$U:$U,'MAIN DATA, Orders'!$Y:$Y,$A58,'MAIN DATA, Orders'!$D:$D,"Poland",'MAIN DATA, Orders'!$I:$I,"Modernisation")/1000000000)</f>
        <v>0</v>
      </c>
      <c r="AB58" s="15">
        <f>(SUMIFS('MAIN DATA, Orders'!$U:$U,'MAIN DATA, Orders'!$Y:$Y,$A58,'MAIN DATA, Orders'!$D:$D,"Poland",'MAIN DATA, Orders'!$I:$I,"Development - Modernisation")/1000000000)</f>
        <v>0</v>
      </c>
      <c r="AC58" s="15">
        <f>(SUMIFS('MAIN DATA, Orders'!$U:$U,'MAIN DATA, Orders'!$Y:$Y,$A58,'MAIN DATA, Orders'!$D:$D,"Poland",'MAIN DATA, Orders'!$I:$I,"Naval")/1000000000)</f>
        <v>0</v>
      </c>
      <c r="AD58" s="15">
        <f>(SUMIFS('MAIN DATA, Orders'!$U:$U,'MAIN DATA, Orders'!$Y:$Y,$A58,'MAIN DATA, Orders'!$D:$D,"Poland",'MAIN DATA, Orders'!$I:$I,"Development - Naval")/1000000000)</f>
        <v>0</v>
      </c>
      <c r="AE58" s="15">
        <f>(SUMIFS('MAIN DATA, Orders'!$U:$U,'MAIN DATA, Orders'!$Y:$Y,$A58,'MAIN DATA, Orders'!$D:$D,"Poland",'MAIN DATA, Orders'!$I:$I,"Other")/1000000000)</f>
        <v>0</v>
      </c>
      <c r="AF58" s="15">
        <f>(SUMIFS('MAIN DATA, Orders'!$U:$U,'MAIN DATA, Orders'!$Y:$Y,$A58,'MAIN DATA, Orders'!$D:$D,"Poland",'MAIN DATA, Orders'!$I:$I,"Development - Other")/1000000000)</f>
        <v>0</v>
      </c>
      <c r="AG58" s="15"/>
      <c r="AH58" s="15" cm="1">
        <f t="array" ref="AH58">SUM(SUMIFS('MAIN DATA, Orders'!$U:$U,'MAIN DATA, Orders'!$Y:$Y,$A58,'MAIN DATA, Orders'!$D:$D,"Poland",'MAIN DATA, Orders'!$I:$I,{"Missile (Land)","Development - Missile (Land)"})/1000000000)</f>
        <v>0</v>
      </c>
      <c r="AI58" s="15" cm="1">
        <f t="array" ref="AI58">SUM(SUMIFS('MAIN DATA, Orders'!$U:$U,'MAIN DATA, Orders'!$Y:$Y,$A58,'MAIN DATA, Orders'!$D:$D,"Poland",'MAIN DATA, Orders'!$I:$I,{"Missile (Air)","Development - Missile (Air)"})/1000000000)</f>
        <v>0</v>
      </c>
      <c r="AJ58" s="15" cm="1">
        <f t="array" ref="AJ58">SUM(SUMIFS('MAIN DATA, Orders'!$U:$U,'MAIN DATA, Orders'!$Y:$Y,$A58,'MAIN DATA, Orders'!$D:$D,"Poland",'MAIN DATA, Orders'!$I:$I,{"Missile (Naval)","Development - Missile (Naval)"})/1000000000)</f>
        <v>0</v>
      </c>
    </row>
    <row r="59" spans="1:36" x14ac:dyDescent="0.35">
      <c r="A59" s="20">
        <v>202305</v>
      </c>
      <c r="B59" s="17">
        <v>45047</v>
      </c>
      <c r="C59" s="15">
        <f>(SUMIFS('MAIN DATA, Orders'!$U:$U,'MAIN DATA, Orders'!$Y:$Y,$A59,'MAIN DATA, Orders'!$D:$D,"Poland",'MAIN DATA, Orders'!$I:$I,"Air defence system")/1000000000)</f>
        <v>0</v>
      </c>
      <c r="D59" s="15">
        <f>(SUMIFS('MAIN DATA, Orders'!$U:$U,'MAIN DATA, Orders'!$Y:$Y,$A59,'MAIN DATA, Orders'!$D:$D,"Poland",'MAIN DATA, Orders'!$I:$I,"Development - Air defence system")/1000000000)</f>
        <v>0</v>
      </c>
      <c r="E59" s="15">
        <f>(SUMIFS('MAIN DATA, Orders'!$U:$U,'MAIN DATA, Orders'!$Y:$Y,$A59,'MAIN DATA, Orders'!$D:$D,"Poland",'MAIN DATA, Orders'!$I:$I,"Aircraft")/1000000000)</f>
        <v>0</v>
      </c>
      <c r="F59" s="15">
        <f>(SUMIFS('MAIN DATA, Orders'!$U:$U,'MAIN DATA, Orders'!$Y:$Y,$A59,'MAIN DATA, Orders'!$D:$D,"Poland",'MAIN DATA, Orders'!$I:$I,"Development - Aircraft")/1000000000)</f>
        <v>0</v>
      </c>
      <c r="G59" s="15">
        <f>(SUMIFS('MAIN DATA, Orders'!$U:$U,'MAIN DATA, Orders'!$Y:$Y,$A59,'MAIN DATA, Orders'!$D:$D,"Poland",'MAIN DATA, Orders'!$I:$I,"Ammunition")/1000000000)</f>
        <v>0</v>
      </c>
      <c r="H59" s="15">
        <f>(SUMIFS('MAIN DATA, Orders'!$U:$U,'MAIN DATA, Orders'!$Y:$Y,$A59,'MAIN DATA, Orders'!$D:$D,"Poland",'MAIN DATA, Orders'!$I:$I,"Development - Ammunition")/1000000000)</f>
        <v>0</v>
      </c>
      <c r="I59" s="15">
        <f>(SUMIFS('MAIN DATA, Orders'!$U:$U,'MAIN DATA, Orders'!$Y:$Y,$A59,'MAIN DATA, Orders'!$D:$D,"Poland",'MAIN DATA, Orders'!$I:$I,"Armoured vehicle")/1000000000)</f>
        <v>0</v>
      </c>
      <c r="J59" s="15">
        <f>(SUMIFS('MAIN DATA, Orders'!$U:$U,'MAIN DATA, Orders'!$Y:$Y,$A59,'MAIN DATA, Orders'!$D:$D,"Poland",'MAIN DATA, Orders'!$I:$I,"Development - Armoured vehicle")/1000000000)</f>
        <v>0</v>
      </c>
      <c r="K59" s="15">
        <f>(SUMIFS('MAIN DATA, Orders'!$U:$U,'MAIN DATA, Orders'!$Y:$Y,$A59,'MAIN DATA, Orders'!$D:$D,"Poland",'MAIN DATA, Orders'!$I:$I,"Artillery")/1000000000)</f>
        <v>0</v>
      </c>
      <c r="L59" s="15">
        <f>(SUMIFS('MAIN DATA, Orders'!$U:$U,'MAIN DATA, Orders'!$Y:$Y,$A59,'MAIN DATA, Orders'!$D:$D,"Poland",'MAIN DATA, Orders'!$I:$I,"Development - Artillery")/1000000000)</f>
        <v>0</v>
      </c>
      <c r="M59" s="15">
        <f>(SUMIFS('MAIN DATA, Orders'!$U:$U,'MAIN DATA, Orders'!$Y:$Y,$A59,'MAIN DATA, Orders'!$D:$D,"Poland",'MAIN DATA, Orders'!$I:$I,"Drone")/1000000000)</f>
        <v>0</v>
      </c>
      <c r="N59" s="15">
        <f>(SUMIFS('MAIN DATA, Orders'!$U:$U,'MAIN DATA, Orders'!$Y:$Y,$A59,'MAIN DATA, Orders'!$D:$D,"Poland",'MAIN DATA, Orders'!$I:$I,"Development - Drone")/1000000000)</f>
        <v>0</v>
      </c>
      <c r="O59" s="15">
        <f>(SUMIFS('MAIN DATA, Orders'!$U:$U,'MAIN DATA, Orders'!$Y:$Y,$A59,'MAIN DATA, Orders'!$D:$D,"Poland",'MAIN DATA, Orders'!$I:$I,"Helicopter")/1000000000)</f>
        <v>0</v>
      </c>
      <c r="P59" s="15">
        <f>(SUMIFS('MAIN DATA, Orders'!$U:$U,'MAIN DATA, Orders'!$Y:$Y,$A59,'MAIN DATA, Orders'!$D:$D,"Poland",'MAIN DATA, Orders'!$I:$I,"Development - Helicopter")/1000000000)</f>
        <v>0</v>
      </c>
      <c r="Q59" s="15">
        <f>(SUMIFS('MAIN DATA, Orders'!$U:$U,'MAIN DATA, Orders'!$Y:$Y,$A59,'MAIN DATA, Orders'!$D:$D,"Poland",'MAIN DATA, Orders'!$I:$I,"Infantry")/1000000000)</f>
        <v>0</v>
      </c>
      <c r="R59" s="15">
        <f>(SUMIFS('MAIN DATA, Orders'!$U:$U,'MAIN DATA, Orders'!$Y:$Y,$A59,'MAIN DATA, Orders'!$D:$D,"Poland",'MAIN DATA, Orders'!$I:$I,"Development - Infantry")/1000000000)</f>
        <v>0</v>
      </c>
      <c r="S59" s="15">
        <f>(SUMIFS('MAIN DATA, Orders'!$U:$U,'MAIN DATA, Orders'!$Y:$Y,$A59,'MAIN DATA, Orders'!$D:$D,"Poland",'MAIN DATA, Orders'!$I:$I,"Tank")/1000000000)</f>
        <v>0</v>
      </c>
      <c r="T59" s="15">
        <f>(SUMIFS('MAIN DATA, Orders'!$U:$U,'MAIN DATA, Orders'!$Y:$Y,$A59,'MAIN DATA, Orders'!$D:$D,"Poland",'MAIN DATA, Orders'!$I:$I,"Development - Tank")/1000000000)</f>
        <v>0</v>
      </c>
      <c r="U59" s="15">
        <f>(SUMIFS('MAIN DATA, Orders'!$U:$U,'MAIN DATA, Orders'!$Y:$Y,$A59,'MAIN DATA, Orders'!$D:$D,"Poland",'MAIN DATA, Orders'!$I:$I,"Maintenance")/1000000000)</f>
        <v>0</v>
      </c>
      <c r="V59" s="15">
        <f>(SUMIFS('MAIN DATA, Orders'!$U:$U,'MAIN DATA, Orders'!$Y:$Y,$A59,'MAIN DATA, Orders'!$D:$D,"Poland",'MAIN DATA, Orders'!$I:$I,"Development - Maintenance")/1000000000)</f>
        <v>0</v>
      </c>
      <c r="W59" s="15">
        <f>(SUMIFS('MAIN DATA, Orders'!$U:$U,'MAIN DATA, Orders'!$Y:$Y,$A59,'MAIN DATA, Orders'!$D:$D,"Poland",'MAIN DATA, Orders'!$I:$I,"Mine")/1000000000)</f>
        <v>0</v>
      </c>
      <c r="X59" s="15">
        <f>(SUMIFS('MAIN DATA, Orders'!$U:$U,'MAIN DATA, Orders'!$Y:$Y,$A59,'MAIN DATA, Orders'!$D:$D,"Poland",'MAIN DATA, Orders'!$I:$I,"Development - Mine")/1000000000)</f>
        <v>0</v>
      </c>
      <c r="Y59" s="15">
        <f>(SUMIFS('MAIN DATA, Orders'!$U:$U,'MAIN DATA, Orders'!$Y:$Y,$A59,'MAIN DATA, Orders'!$D:$D,"Poland",'MAIN DATA, Orders'!$J:$J,"6")/1000000000)</f>
        <v>0</v>
      </c>
      <c r="Z59" s="15" cm="1">
        <f t="array" ref="Z59">SUM(SUMIFS('MAIN DATA, Orders'!$U:$U,'MAIN DATA, Orders'!$Y:$Y,$A59,'MAIN DATA, Orders'!$D:$D,"Poland",'MAIN DATA, Orders'!$I:$I,{"Development - Missile (Land)","Development - Missile (Naval)","Development - Missile (Air)"})/1000000000)</f>
        <v>0</v>
      </c>
      <c r="AA59" s="15">
        <f>(SUMIFS('MAIN DATA, Orders'!$U:$U,'MAIN DATA, Orders'!$Y:$Y,$A59,'MAIN DATA, Orders'!$D:$D,"Poland",'MAIN DATA, Orders'!$I:$I,"Modernisation")/1000000000)</f>
        <v>0</v>
      </c>
      <c r="AB59" s="15">
        <f>(SUMIFS('MAIN DATA, Orders'!$U:$U,'MAIN DATA, Orders'!$Y:$Y,$A59,'MAIN DATA, Orders'!$D:$D,"Poland",'MAIN DATA, Orders'!$I:$I,"Development - Modernisation")/1000000000)</f>
        <v>0</v>
      </c>
      <c r="AC59" s="15">
        <f>(SUMIFS('MAIN DATA, Orders'!$U:$U,'MAIN DATA, Orders'!$Y:$Y,$A59,'MAIN DATA, Orders'!$D:$D,"Poland",'MAIN DATA, Orders'!$I:$I,"Naval")/1000000000)</f>
        <v>0</v>
      </c>
      <c r="AD59" s="15">
        <f>(SUMIFS('MAIN DATA, Orders'!$U:$U,'MAIN DATA, Orders'!$Y:$Y,$A59,'MAIN DATA, Orders'!$D:$D,"Poland",'MAIN DATA, Orders'!$I:$I,"Development - Naval")/1000000000)</f>
        <v>0</v>
      </c>
      <c r="AE59" s="15">
        <f>(SUMIFS('MAIN DATA, Orders'!$U:$U,'MAIN DATA, Orders'!$Y:$Y,$A59,'MAIN DATA, Orders'!$D:$D,"Poland",'MAIN DATA, Orders'!$I:$I,"Other")/1000000000)</f>
        <v>0</v>
      </c>
      <c r="AF59" s="15">
        <f>(SUMIFS('MAIN DATA, Orders'!$U:$U,'MAIN DATA, Orders'!$Y:$Y,$A59,'MAIN DATA, Orders'!$D:$D,"Poland",'MAIN DATA, Orders'!$I:$I,"Development - Other")/1000000000)</f>
        <v>0</v>
      </c>
      <c r="AG59" s="15"/>
      <c r="AH59" s="15" cm="1">
        <f t="array" ref="AH59">SUM(SUMIFS('MAIN DATA, Orders'!$U:$U,'MAIN DATA, Orders'!$Y:$Y,$A59,'MAIN DATA, Orders'!$D:$D,"Poland",'MAIN DATA, Orders'!$I:$I,{"Missile (Land)","Development - Missile (Land)"})/1000000000)</f>
        <v>0</v>
      </c>
      <c r="AI59" s="15" cm="1">
        <f t="array" ref="AI59">SUM(SUMIFS('MAIN DATA, Orders'!$U:$U,'MAIN DATA, Orders'!$Y:$Y,$A59,'MAIN DATA, Orders'!$D:$D,"Poland",'MAIN DATA, Orders'!$I:$I,{"Missile (Air)","Development - Missile (Air)"})/1000000000)</f>
        <v>0</v>
      </c>
      <c r="AJ59" s="15" cm="1">
        <f t="array" ref="AJ59">SUM(SUMIFS('MAIN DATA, Orders'!$U:$U,'MAIN DATA, Orders'!$Y:$Y,$A59,'MAIN DATA, Orders'!$D:$D,"Poland",'MAIN DATA, Orders'!$I:$I,{"Missile (Naval)","Development - Missile (Naval)"})/1000000000)</f>
        <v>0</v>
      </c>
    </row>
    <row r="60" spans="1:36" x14ac:dyDescent="0.35">
      <c r="A60" s="20">
        <v>202306</v>
      </c>
      <c r="B60" s="17">
        <v>45078</v>
      </c>
      <c r="C60" s="15">
        <f>(SUMIFS('MAIN DATA, Orders'!$U:$U,'MAIN DATA, Orders'!$Y:$Y,$A60,'MAIN DATA, Orders'!$D:$D,"Poland",'MAIN DATA, Orders'!$I:$I,"Air defence system")/1000000000)</f>
        <v>0</v>
      </c>
      <c r="D60" s="15">
        <f>(SUMIFS('MAIN DATA, Orders'!$U:$U,'MAIN DATA, Orders'!$Y:$Y,$A60,'MAIN DATA, Orders'!$D:$D,"Poland",'MAIN DATA, Orders'!$I:$I,"Development - Air defence system")/1000000000)</f>
        <v>0</v>
      </c>
      <c r="E60" s="15">
        <f>(SUMIFS('MAIN DATA, Orders'!$U:$U,'MAIN DATA, Orders'!$Y:$Y,$A60,'MAIN DATA, Orders'!$D:$D,"Poland",'MAIN DATA, Orders'!$I:$I,"Aircraft")/1000000000)</f>
        <v>0</v>
      </c>
      <c r="F60" s="15">
        <f>(SUMIFS('MAIN DATA, Orders'!$U:$U,'MAIN DATA, Orders'!$Y:$Y,$A60,'MAIN DATA, Orders'!$D:$D,"Poland",'MAIN DATA, Orders'!$I:$I,"Development - Aircraft")/1000000000)</f>
        <v>0</v>
      </c>
      <c r="G60" s="15">
        <f>(SUMIFS('MAIN DATA, Orders'!$U:$U,'MAIN DATA, Orders'!$Y:$Y,$A60,'MAIN DATA, Orders'!$D:$D,"Poland",'MAIN DATA, Orders'!$I:$I,"Ammunition")/1000000000)</f>
        <v>0</v>
      </c>
      <c r="H60" s="15">
        <f>(SUMIFS('MAIN DATA, Orders'!$U:$U,'MAIN DATA, Orders'!$Y:$Y,$A60,'MAIN DATA, Orders'!$D:$D,"Poland",'MAIN DATA, Orders'!$I:$I,"Development - Ammunition")/1000000000)</f>
        <v>0</v>
      </c>
      <c r="I60" s="15">
        <f>(SUMIFS('MAIN DATA, Orders'!$U:$U,'MAIN DATA, Orders'!$Y:$Y,$A60,'MAIN DATA, Orders'!$D:$D,"Poland",'MAIN DATA, Orders'!$I:$I,"Armoured vehicle")/1000000000)</f>
        <v>0</v>
      </c>
      <c r="J60" s="15">
        <f>(SUMIFS('MAIN DATA, Orders'!$U:$U,'MAIN DATA, Orders'!$Y:$Y,$A60,'MAIN DATA, Orders'!$D:$D,"Poland",'MAIN DATA, Orders'!$I:$I,"Development - Armoured vehicle")/1000000000)</f>
        <v>0</v>
      </c>
      <c r="K60" s="15">
        <f>(SUMIFS('MAIN DATA, Orders'!$U:$U,'MAIN DATA, Orders'!$Y:$Y,$A60,'MAIN DATA, Orders'!$D:$D,"Poland",'MAIN DATA, Orders'!$I:$I,"Artillery")/1000000000)</f>
        <v>0</v>
      </c>
      <c r="L60" s="15">
        <f>(SUMIFS('MAIN DATA, Orders'!$U:$U,'MAIN DATA, Orders'!$Y:$Y,$A60,'MAIN DATA, Orders'!$D:$D,"Poland",'MAIN DATA, Orders'!$I:$I,"Development - Artillery")/1000000000)</f>
        <v>0</v>
      </c>
      <c r="M60" s="15">
        <f>(SUMIFS('MAIN DATA, Orders'!$U:$U,'MAIN DATA, Orders'!$Y:$Y,$A60,'MAIN DATA, Orders'!$D:$D,"Poland",'MAIN DATA, Orders'!$I:$I,"Drone")/1000000000)</f>
        <v>0</v>
      </c>
      <c r="N60" s="15">
        <f>(SUMIFS('MAIN DATA, Orders'!$U:$U,'MAIN DATA, Orders'!$Y:$Y,$A60,'MAIN DATA, Orders'!$D:$D,"Poland",'MAIN DATA, Orders'!$I:$I,"Development - Drone")/1000000000)</f>
        <v>0</v>
      </c>
      <c r="O60" s="15">
        <f>(SUMIFS('MAIN DATA, Orders'!$U:$U,'MAIN DATA, Orders'!$Y:$Y,$A60,'MAIN DATA, Orders'!$D:$D,"Poland",'MAIN DATA, Orders'!$I:$I,"Helicopter")/1000000000)</f>
        <v>0</v>
      </c>
      <c r="P60" s="15">
        <f>(SUMIFS('MAIN DATA, Orders'!$U:$U,'MAIN DATA, Orders'!$Y:$Y,$A60,'MAIN DATA, Orders'!$D:$D,"Poland",'MAIN DATA, Orders'!$I:$I,"Development - Helicopter")/1000000000)</f>
        <v>0</v>
      </c>
      <c r="Q60" s="15">
        <f>(SUMIFS('MAIN DATA, Orders'!$U:$U,'MAIN DATA, Orders'!$Y:$Y,$A60,'MAIN DATA, Orders'!$D:$D,"Poland",'MAIN DATA, Orders'!$I:$I,"Infantry")/1000000000)</f>
        <v>0</v>
      </c>
      <c r="R60" s="15">
        <f>(SUMIFS('MAIN DATA, Orders'!$U:$U,'MAIN DATA, Orders'!$Y:$Y,$A60,'MAIN DATA, Orders'!$D:$D,"Poland",'MAIN DATA, Orders'!$I:$I,"Development - Infantry")/1000000000)</f>
        <v>0</v>
      </c>
      <c r="S60" s="15">
        <f>(SUMIFS('MAIN DATA, Orders'!$U:$U,'MAIN DATA, Orders'!$Y:$Y,$A60,'MAIN DATA, Orders'!$D:$D,"Poland",'MAIN DATA, Orders'!$I:$I,"Tank")/1000000000)</f>
        <v>0</v>
      </c>
      <c r="T60" s="15">
        <f>(SUMIFS('MAIN DATA, Orders'!$U:$U,'MAIN DATA, Orders'!$Y:$Y,$A60,'MAIN DATA, Orders'!$D:$D,"Poland",'MAIN DATA, Orders'!$I:$I,"Development - Tank")/1000000000)</f>
        <v>0</v>
      </c>
      <c r="U60" s="15">
        <f>(SUMIFS('MAIN DATA, Orders'!$U:$U,'MAIN DATA, Orders'!$Y:$Y,$A60,'MAIN DATA, Orders'!$D:$D,"Poland",'MAIN DATA, Orders'!$I:$I,"Maintenance")/1000000000)</f>
        <v>0</v>
      </c>
      <c r="V60" s="15">
        <f>(SUMIFS('MAIN DATA, Orders'!$U:$U,'MAIN DATA, Orders'!$Y:$Y,$A60,'MAIN DATA, Orders'!$D:$D,"Poland",'MAIN DATA, Orders'!$I:$I,"Development - Maintenance")/1000000000)</f>
        <v>0</v>
      </c>
      <c r="W60" s="15">
        <f>(SUMIFS('MAIN DATA, Orders'!$U:$U,'MAIN DATA, Orders'!$Y:$Y,$A60,'MAIN DATA, Orders'!$D:$D,"Poland",'MAIN DATA, Orders'!$I:$I,"Mine")/1000000000)</f>
        <v>0.11228533685601057</v>
      </c>
      <c r="X60" s="15">
        <f>(SUMIFS('MAIN DATA, Orders'!$U:$U,'MAIN DATA, Orders'!$Y:$Y,$A60,'MAIN DATA, Orders'!$D:$D,"Poland",'MAIN DATA, Orders'!$I:$I,"Development - Mine")/1000000000)</f>
        <v>0</v>
      </c>
      <c r="Y60" s="15">
        <f>(SUMIFS('MAIN DATA, Orders'!$U:$U,'MAIN DATA, Orders'!$Y:$Y,$A60,'MAIN DATA, Orders'!$D:$D,"Poland",'MAIN DATA, Orders'!$J:$J,"6")/1000000000)</f>
        <v>0</v>
      </c>
      <c r="Z60" s="15" cm="1">
        <f t="array" ref="Z60">SUM(SUMIFS('MAIN DATA, Orders'!$U:$U,'MAIN DATA, Orders'!$Y:$Y,$A60,'MAIN DATA, Orders'!$D:$D,"Poland",'MAIN DATA, Orders'!$I:$I,{"Development - Missile (Land)","Development - Missile (Naval)","Development - Missile (Air)"})/1000000000)</f>
        <v>0</v>
      </c>
      <c r="AA60" s="15">
        <f>(SUMIFS('MAIN DATA, Orders'!$U:$U,'MAIN DATA, Orders'!$Y:$Y,$A60,'MAIN DATA, Orders'!$D:$D,"Poland",'MAIN DATA, Orders'!$I:$I,"Modernisation")/1000000000)</f>
        <v>0</v>
      </c>
      <c r="AB60" s="15">
        <f>(SUMIFS('MAIN DATA, Orders'!$U:$U,'MAIN DATA, Orders'!$Y:$Y,$A60,'MAIN DATA, Orders'!$D:$D,"Poland",'MAIN DATA, Orders'!$I:$I,"Development - Modernisation")/1000000000)</f>
        <v>0</v>
      </c>
      <c r="AC60" s="15">
        <f>(SUMIFS('MAIN DATA, Orders'!$U:$U,'MAIN DATA, Orders'!$Y:$Y,$A60,'MAIN DATA, Orders'!$D:$D,"Poland",'MAIN DATA, Orders'!$I:$I,"Naval")/1000000000)</f>
        <v>0</v>
      </c>
      <c r="AD60" s="15">
        <f>(SUMIFS('MAIN DATA, Orders'!$U:$U,'MAIN DATA, Orders'!$Y:$Y,$A60,'MAIN DATA, Orders'!$D:$D,"Poland",'MAIN DATA, Orders'!$I:$I,"Development - Naval")/1000000000)</f>
        <v>0</v>
      </c>
      <c r="AE60" s="15">
        <f>(SUMIFS('MAIN DATA, Orders'!$U:$U,'MAIN DATA, Orders'!$Y:$Y,$A60,'MAIN DATA, Orders'!$D:$D,"Poland",'MAIN DATA, Orders'!$I:$I,"Other")/1000000000)</f>
        <v>0</v>
      </c>
      <c r="AF60" s="15">
        <f>(SUMIFS('MAIN DATA, Orders'!$U:$U,'MAIN DATA, Orders'!$Y:$Y,$A60,'MAIN DATA, Orders'!$D:$D,"Poland",'MAIN DATA, Orders'!$I:$I,"Development - Other")/1000000000)</f>
        <v>0</v>
      </c>
      <c r="AG60" s="15"/>
      <c r="AH60" s="15" cm="1">
        <f t="array" ref="AH60">SUM(SUMIFS('MAIN DATA, Orders'!$U:$U,'MAIN DATA, Orders'!$Y:$Y,$A60,'MAIN DATA, Orders'!$D:$D,"Poland",'MAIN DATA, Orders'!$I:$I,{"Missile (Land)","Development - Missile (Land)"})/1000000000)</f>
        <v>0</v>
      </c>
      <c r="AI60" s="15" cm="1">
        <f t="array" ref="AI60">SUM(SUMIFS('MAIN DATA, Orders'!$U:$U,'MAIN DATA, Orders'!$Y:$Y,$A60,'MAIN DATA, Orders'!$D:$D,"Poland",'MAIN DATA, Orders'!$I:$I,{"Missile (Air)","Development - Missile (Air)"})/1000000000)</f>
        <v>0</v>
      </c>
      <c r="AJ60" s="15" cm="1">
        <f t="array" ref="AJ60">SUM(SUMIFS('MAIN DATA, Orders'!$U:$U,'MAIN DATA, Orders'!$Y:$Y,$A60,'MAIN DATA, Orders'!$D:$D,"Poland",'MAIN DATA, Orders'!$I:$I,{"Missile (Naval)","Development - Missile (Naval)"})/1000000000)</f>
        <v>0</v>
      </c>
    </row>
    <row r="61" spans="1:36" x14ac:dyDescent="0.35">
      <c r="A61" s="20">
        <v>202307</v>
      </c>
      <c r="B61" s="17">
        <v>45108</v>
      </c>
      <c r="C61" s="15">
        <f>(SUMIFS('MAIN DATA, Orders'!$U:$U,'MAIN DATA, Orders'!$Y:$Y,$A61,'MAIN DATA, Orders'!$D:$D,"Poland",'MAIN DATA, Orders'!$I:$I,"Air defence system")/1000000000)</f>
        <v>0</v>
      </c>
      <c r="D61" s="15">
        <f>(SUMIFS('MAIN DATA, Orders'!$U:$U,'MAIN DATA, Orders'!$Y:$Y,$A61,'MAIN DATA, Orders'!$D:$D,"Poland",'MAIN DATA, Orders'!$I:$I,"Development - Air defence system")/1000000000)</f>
        <v>0</v>
      </c>
      <c r="E61" s="15">
        <f>(SUMIFS('MAIN DATA, Orders'!$U:$U,'MAIN DATA, Orders'!$Y:$Y,$A61,'MAIN DATA, Orders'!$D:$D,"Poland",'MAIN DATA, Orders'!$I:$I,"Aircraft")/1000000000)</f>
        <v>5.3463423656709523E-2</v>
      </c>
      <c r="F61" s="15">
        <f>(SUMIFS('MAIN DATA, Orders'!$U:$U,'MAIN DATA, Orders'!$Y:$Y,$A61,'MAIN DATA, Orders'!$D:$D,"Poland",'MAIN DATA, Orders'!$I:$I,"Development - Aircraft")/1000000000)</f>
        <v>0</v>
      </c>
      <c r="G61" s="15">
        <f>(SUMIFS('MAIN DATA, Orders'!$U:$U,'MAIN DATA, Orders'!$Y:$Y,$A61,'MAIN DATA, Orders'!$D:$D,"Poland",'MAIN DATA, Orders'!$I:$I,"Ammunition")/1000000000)</f>
        <v>0</v>
      </c>
      <c r="H61" s="15">
        <f>(SUMIFS('MAIN DATA, Orders'!$U:$U,'MAIN DATA, Orders'!$Y:$Y,$A61,'MAIN DATA, Orders'!$D:$D,"Poland",'MAIN DATA, Orders'!$I:$I,"Development - Ammunition")/1000000000)</f>
        <v>0</v>
      </c>
      <c r="I61" s="15">
        <f>(SUMIFS('MAIN DATA, Orders'!$U:$U,'MAIN DATA, Orders'!$Y:$Y,$A61,'MAIN DATA, Orders'!$D:$D,"Poland",'MAIN DATA, Orders'!$I:$I,"Armoured vehicle")/1000000000)</f>
        <v>0</v>
      </c>
      <c r="J61" s="15">
        <f>(SUMIFS('MAIN DATA, Orders'!$U:$U,'MAIN DATA, Orders'!$Y:$Y,$A61,'MAIN DATA, Orders'!$D:$D,"Poland",'MAIN DATA, Orders'!$I:$I,"Development - Armoured vehicle")/1000000000)</f>
        <v>0</v>
      </c>
      <c r="K61" s="15">
        <f>(SUMIFS('MAIN DATA, Orders'!$U:$U,'MAIN DATA, Orders'!$Y:$Y,$A61,'MAIN DATA, Orders'!$D:$D,"Poland",'MAIN DATA, Orders'!$I:$I,"Artillery")/1000000000)</f>
        <v>0</v>
      </c>
      <c r="L61" s="15">
        <f>(SUMIFS('MAIN DATA, Orders'!$U:$U,'MAIN DATA, Orders'!$Y:$Y,$A61,'MAIN DATA, Orders'!$D:$D,"Poland",'MAIN DATA, Orders'!$I:$I,"Development - Artillery")/1000000000)</f>
        <v>0</v>
      </c>
      <c r="M61" s="15">
        <f>(SUMIFS('MAIN DATA, Orders'!$U:$U,'MAIN DATA, Orders'!$Y:$Y,$A61,'MAIN DATA, Orders'!$D:$D,"Poland",'MAIN DATA, Orders'!$I:$I,"Drone")/1000000000)</f>
        <v>0</v>
      </c>
      <c r="N61" s="15">
        <f>(SUMIFS('MAIN DATA, Orders'!$U:$U,'MAIN DATA, Orders'!$Y:$Y,$A61,'MAIN DATA, Orders'!$D:$D,"Poland",'MAIN DATA, Orders'!$I:$I,"Development - Drone")/1000000000)</f>
        <v>0</v>
      </c>
      <c r="O61" s="15">
        <f>(SUMIFS('MAIN DATA, Orders'!$U:$U,'MAIN DATA, Orders'!$Y:$Y,$A61,'MAIN DATA, Orders'!$D:$D,"Poland",'MAIN DATA, Orders'!$I:$I,"Helicopter")/1000000000)</f>
        <v>0</v>
      </c>
      <c r="P61" s="15">
        <f>(SUMIFS('MAIN DATA, Orders'!$U:$U,'MAIN DATA, Orders'!$Y:$Y,$A61,'MAIN DATA, Orders'!$D:$D,"Poland",'MAIN DATA, Orders'!$I:$I,"Development - Helicopter")/1000000000)</f>
        <v>0</v>
      </c>
      <c r="Q61" s="15">
        <f>(SUMIFS('MAIN DATA, Orders'!$U:$U,'MAIN DATA, Orders'!$Y:$Y,$A61,'MAIN DATA, Orders'!$D:$D,"Poland",'MAIN DATA, Orders'!$I:$I,"Infantry")/1000000000)</f>
        <v>0</v>
      </c>
      <c r="R61" s="15">
        <f>(SUMIFS('MAIN DATA, Orders'!$U:$U,'MAIN DATA, Orders'!$Y:$Y,$A61,'MAIN DATA, Orders'!$D:$D,"Poland",'MAIN DATA, Orders'!$I:$I,"Development - Infantry")/1000000000)</f>
        <v>0</v>
      </c>
      <c r="S61" s="15">
        <f>(SUMIFS('MAIN DATA, Orders'!$U:$U,'MAIN DATA, Orders'!$Y:$Y,$A61,'MAIN DATA, Orders'!$D:$D,"Poland",'MAIN DATA, Orders'!$I:$I,"Tank")/1000000000)</f>
        <v>0</v>
      </c>
      <c r="T61" s="15">
        <f>(SUMIFS('MAIN DATA, Orders'!$U:$U,'MAIN DATA, Orders'!$Y:$Y,$A61,'MAIN DATA, Orders'!$D:$D,"Poland",'MAIN DATA, Orders'!$I:$I,"Development - Tank")/1000000000)</f>
        <v>0</v>
      </c>
      <c r="U61" s="15">
        <f>(SUMIFS('MAIN DATA, Orders'!$U:$U,'MAIN DATA, Orders'!$Y:$Y,$A61,'MAIN DATA, Orders'!$D:$D,"Poland",'MAIN DATA, Orders'!$I:$I,"Maintenance")/1000000000)</f>
        <v>0</v>
      </c>
      <c r="V61" s="15">
        <f>(SUMIFS('MAIN DATA, Orders'!$U:$U,'MAIN DATA, Orders'!$Y:$Y,$A61,'MAIN DATA, Orders'!$D:$D,"Poland",'MAIN DATA, Orders'!$I:$I,"Development - Maintenance")/1000000000)</f>
        <v>0</v>
      </c>
      <c r="W61" s="15">
        <f>(SUMIFS('MAIN DATA, Orders'!$U:$U,'MAIN DATA, Orders'!$Y:$Y,$A61,'MAIN DATA, Orders'!$D:$D,"Poland",'MAIN DATA, Orders'!$I:$I,"Mine")/1000000000)</f>
        <v>0</v>
      </c>
      <c r="X61" s="15">
        <f>(SUMIFS('MAIN DATA, Orders'!$U:$U,'MAIN DATA, Orders'!$Y:$Y,$A61,'MAIN DATA, Orders'!$D:$D,"Poland",'MAIN DATA, Orders'!$I:$I,"Development - Mine")/1000000000)</f>
        <v>0</v>
      </c>
      <c r="Y61" s="15">
        <f>(SUMIFS('MAIN DATA, Orders'!$U:$U,'MAIN DATA, Orders'!$Y:$Y,$A61,'MAIN DATA, Orders'!$D:$D,"Poland",'MAIN DATA, Orders'!$J:$J,"6")/1000000000)</f>
        <v>0</v>
      </c>
      <c r="Z61" s="15" cm="1">
        <f t="array" ref="Z61">SUM(SUMIFS('MAIN DATA, Orders'!$U:$U,'MAIN DATA, Orders'!$Y:$Y,$A61,'MAIN DATA, Orders'!$D:$D,"Poland",'MAIN DATA, Orders'!$I:$I,{"Development - Missile (Land)","Development - Missile (Naval)","Development - Missile (Air)"})/1000000000)</f>
        <v>0</v>
      </c>
      <c r="AA61" s="15">
        <f>(SUMIFS('MAIN DATA, Orders'!$U:$U,'MAIN DATA, Orders'!$Y:$Y,$A61,'MAIN DATA, Orders'!$D:$D,"Poland",'MAIN DATA, Orders'!$I:$I,"Modernisation")/1000000000)</f>
        <v>0</v>
      </c>
      <c r="AB61" s="15">
        <f>(SUMIFS('MAIN DATA, Orders'!$U:$U,'MAIN DATA, Orders'!$Y:$Y,$A61,'MAIN DATA, Orders'!$D:$D,"Poland",'MAIN DATA, Orders'!$I:$I,"Development - Modernisation")/1000000000)</f>
        <v>0</v>
      </c>
      <c r="AC61" s="15">
        <f>(SUMIFS('MAIN DATA, Orders'!$U:$U,'MAIN DATA, Orders'!$Y:$Y,$A61,'MAIN DATA, Orders'!$D:$D,"Poland",'MAIN DATA, Orders'!$I:$I,"Naval")/1000000000)</f>
        <v>0</v>
      </c>
      <c r="AD61" s="15">
        <f>(SUMIFS('MAIN DATA, Orders'!$U:$U,'MAIN DATA, Orders'!$Y:$Y,$A61,'MAIN DATA, Orders'!$D:$D,"Poland",'MAIN DATA, Orders'!$I:$I,"Development - Naval")/1000000000)</f>
        <v>0</v>
      </c>
      <c r="AE61" s="15">
        <f>(SUMIFS('MAIN DATA, Orders'!$U:$U,'MAIN DATA, Orders'!$Y:$Y,$A61,'MAIN DATA, Orders'!$D:$D,"Poland",'MAIN DATA, Orders'!$I:$I,"Other")/1000000000)</f>
        <v>0</v>
      </c>
      <c r="AF61" s="15">
        <f>(SUMIFS('MAIN DATA, Orders'!$U:$U,'MAIN DATA, Orders'!$Y:$Y,$A61,'MAIN DATA, Orders'!$D:$D,"Poland",'MAIN DATA, Orders'!$I:$I,"Development - Other")/1000000000)</f>
        <v>0</v>
      </c>
      <c r="AG61" s="15"/>
      <c r="AH61" s="15" cm="1">
        <f t="array" ref="AH61">SUM(SUMIFS('MAIN DATA, Orders'!$U:$U,'MAIN DATA, Orders'!$Y:$Y,$A61,'MAIN DATA, Orders'!$D:$D,"Poland",'MAIN DATA, Orders'!$I:$I,{"Missile (Land)","Development - Missile (Land)"})/1000000000)</f>
        <v>0</v>
      </c>
      <c r="AI61" s="15" cm="1">
        <f t="array" ref="AI61">SUM(SUMIFS('MAIN DATA, Orders'!$U:$U,'MAIN DATA, Orders'!$Y:$Y,$A61,'MAIN DATA, Orders'!$D:$D,"Poland",'MAIN DATA, Orders'!$I:$I,{"Missile (Air)","Development - Missile (Air)"})/1000000000)</f>
        <v>0</v>
      </c>
      <c r="AJ61" s="15" cm="1">
        <f t="array" ref="AJ61">SUM(SUMIFS('MAIN DATA, Orders'!$U:$U,'MAIN DATA, Orders'!$Y:$Y,$A61,'MAIN DATA, Orders'!$D:$D,"Poland",'MAIN DATA, Orders'!$I:$I,{"Missile (Naval)","Development - Missile (Naval)"})/1000000000)</f>
        <v>0</v>
      </c>
    </row>
    <row r="62" spans="1:36" x14ac:dyDescent="0.35">
      <c r="A62" s="20">
        <v>202308</v>
      </c>
      <c r="B62" s="17">
        <v>45139</v>
      </c>
      <c r="C62" s="15">
        <f>(SUMIFS('MAIN DATA, Orders'!$U:$U,'MAIN DATA, Orders'!$Y:$Y,$A62,'MAIN DATA, Orders'!$D:$D,"Poland",'MAIN DATA, Orders'!$I:$I,"Air defence system")/1000000000)</f>
        <v>0.22016732716864817</v>
      </c>
      <c r="D62" s="15">
        <f>(SUMIFS('MAIN DATA, Orders'!$U:$U,'MAIN DATA, Orders'!$Y:$Y,$A62,'MAIN DATA, Orders'!$D:$D,"Poland",'MAIN DATA, Orders'!$I:$I,"Development - Air defence system")/1000000000)</f>
        <v>0</v>
      </c>
      <c r="E62" s="15">
        <f>(SUMIFS('MAIN DATA, Orders'!$U:$U,'MAIN DATA, Orders'!$Y:$Y,$A62,'MAIN DATA, Orders'!$D:$D,"Poland",'MAIN DATA, Orders'!$I:$I,"Aircraft")/1000000000)</f>
        <v>0</v>
      </c>
      <c r="F62" s="15">
        <f>(SUMIFS('MAIN DATA, Orders'!$U:$U,'MAIN DATA, Orders'!$Y:$Y,$A62,'MAIN DATA, Orders'!$D:$D,"Poland",'MAIN DATA, Orders'!$I:$I,"Development - Aircraft")/1000000000)</f>
        <v>0</v>
      </c>
      <c r="G62" s="15">
        <f>(SUMIFS('MAIN DATA, Orders'!$U:$U,'MAIN DATA, Orders'!$Y:$Y,$A62,'MAIN DATA, Orders'!$D:$D,"Poland",'MAIN DATA, Orders'!$I:$I,"Ammunition")/1000000000)</f>
        <v>0</v>
      </c>
      <c r="H62" s="15">
        <f>(SUMIFS('MAIN DATA, Orders'!$U:$U,'MAIN DATA, Orders'!$Y:$Y,$A62,'MAIN DATA, Orders'!$D:$D,"Poland",'MAIN DATA, Orders'!$I:$I,"Development - Ammunition")/1000000000)</f>
        <v>0</v>
      </c>
      <c r="I62" s="15">
        <f>(SUMIFS('MAIN DATA, Orders'!$U:$U,'MAIN DATA, Orders'!$Y:$Y,$A62,'MAIN DATA, Orders'!$D:$D,"Poland",'MAIN DATA, Orders'!$I:$I,"Armoured vehicle")/1000000000)</f>
        <v>0.26420079260237783</v>
      </c>
      <c r="J62" s="15">
        <f>(SUMIFS('MAIN DATA, Orders'!$U:$U,'MAIN DATA, Orders'!$Y:$Y,$A62,'MAIN DATA, Orders'!$D:$D,"Poland",'MAIN DATA, Orders'!$I:$I,"Development - Armoured vehicle")/1000000000)</f>
        <v>0</v>
      </c>
      <c r="K62" s="15">
        <f>(SUMIFS('MAIN DATA, Orders'!$U:$U,'MAIN DATA, Orders'!$Y:$Y,$A62,'MAIN DATA, Orders'!$D:$D,"Poland",'MAIN DATA, Orders'!$I:$I,"Artillery")/1000000000)</f>
        <v>0</v>
      </c>
      <c r="L62" s="15">
        <f>(SUMIFS('MAIN DATA, Orders'!$U:$U,'MAIN DATA, Orders'!$Y:$Y,$A62,'MAIN DATA, Orders'!$D:$D,"Poland",'MAIN DATA, Orders'!$I:$I,"Development - Artillery")/1000000000)</f>
        <v>0</v>
      </c>
      <c r="M62" s="15">
        <f>(SUMIFS('MAIN DATA, Orders'!$U:$U,'MAIN DATA, Orders'!$Y:$Y,$A62,'MAIN DATA, Orders'!$D:$D,"Poland",'MAIN DATA, Orders'!$I:$I,"Drone")/1000000000)</f>
        <v>0</v>
      </c>
      <c r="N62" s="15">
        <f>(SUMIFS('MAIN DATA, Orders'!$U:$U,'MAIN DATA, Orders'!$Y:$Y,$A62,'MAIN DATA, Orders'!$D:$D,"Poland",'MAIN DATA, Orders'!$I:$I,"Development - Drone")/1000000000)</f>
        <v>0</v>
      </c>
      <c r="O62" s="15">
        <f>(SUMIFS('MAIN DATA, Orders'!$U:$U,'MAIN DATA, Orders'!$Y:$Y,$A62,'MAIN DATA, Orders'!$D:$D,"Poland",'MAIN DATA, Orders'!$I:$I,"Helicopter")/1000000000)</f>
        <v>0</v>
      </c>
      <c r="P62" s="15">
        <f>(SUMIFS('MAIN DATA, Orders'!$U:$U,'MAIN DATA, Orders'!$Y:$Y,$A62,'MAIN DATA, Orders'!$D:$D,"Poland",'MAIN DATA, Orders'!$I:$I,"Development - Helicopter")/1000000000)</f>
        <v>0</v>
      </c>
      <c r="Q62" s="15">
        <f>(SUMIFS('MAIN DATA, Orders'!$U:$U,'MAIN DATA, Orders'!$Y:$Y,$A62,'MAIN DATA, Orders'!$D:$D,"Poland",'MAIN DATA, Orders'!$I:$I,"Infantry")/1000000000)</f>
        <v>0</v>
      </c>
      <c r="R62" s="15">
        <f>(SUMIFS('MAIN DATA, Orders'!$U:$U,'MAIN DATA, Orders'!$Y:$Y,$A62,'MAIN DATA, Orders'!$D:$D,"Poland",'MAIN DATA, Orders'!$I:$I,"Development - Infantry")/1000000000)</f>
        <v>0</v>
      </c>
      <c r="S62" s="15">
        <f>(SUMIFS('MAIN DATA, Orders'!$U:$U,'MAIN DATA, Orders'!$Y:$Y,$A62,'MAIN DATA, Orders'!$D:$D,"Poland",'MAIN DATA, Orders'!$I:$I,"Tank")/1000000000)</f>
        <v>0</v>
      </c>
      <c r="T62" s="15">
        <f>(SUMIFS('MAIN DATA, Orders'!$U:$U,'MAIN DATA, Orders'!$Y:$Y,$A62,'MAIN DATA, Orders'!$D:$D,"Poland",'MAIN DATA, Orders'!$I:$I,"Development - Tank")/1000000000)</f>
        <v>0</v>
      </c>
      <c r="U62" s="15">
        <f>(SUMIFS('MAIN DATA, Orders'!$U:$U,'MAIN DATA, Orders'!$Y:$Y,$A62,'MAIN DATA, Orders'!$D:$D,"Poland",'MAIN DATA, Orders'!$I:$I,"Maintenance")/1000000000)</f>
        <v>0</v>
      </c>
      <c r="V62" s="15">
        <f>(SUMIFS('MAIN DATA, Orders'!$U:$U,'MAIN DATA, Orders'!$Y:$Y,$A62,'MAIN DATA, Orders'!$D:$D,"Poland",'MAIN DATA, Orders'!$I:$I,"Development - Maintenance")/1000000000)</f>
        <v>0</v>
      </c>
      <c r="W62" s="15">
        <f>(SUMIFS('MAIN DATA, Orders'!$U:$U,'MAIN DATA, Orders'!$Y:$Y,$A62,'MAIN DATA, Orders'!$D:$D,"Poland",'MAIN DATA, Orders'!$I:$I,"Mine")/1000000000)</f>
        <v>0</v>
      </c>
      <c r="X62" s="15">
        <f>(SUMIFS('MAIN DATA, Orders'!$U:$U,'MAIN DATA, Orders'!$Y:$Y,$A62,'MAIN DATA, Orders'!$D:$D,"Poland",'MAIN DATA, Orders'!$I:$I,"Development - Mine")/1000000000)</f>
        <v>0</v>
      </c>
      <c r="Y62" s="15">
        <f>(SUMIFS('MAIN DATA, Orders'!$U:$U,'MAIN DATA, Orders'!$Y:$Y,$A62,'MAIN DATA, Orders'!$D:$D,"Poland",'MAIN DATA, Orders'!$J:$J,"6")/1000000000)</f>
        <v>0</v>
      </c>
      <c r="Z62" s="15" cm="1">
        <f t="array" ref="Z62">SUM(SUMIFS('MAIN DATA, Orders'!$U:$U,'MAIN DATA, Orders'!$Y:$Y,$A62,'MAIN DATA, Orders'!$D:$D,"Poland",'MAIN DATA, Orders'!$I:$I,{"Development - Missile (Land)","Development - Missile (Naval)","Development - Missile (Air)"})/1000000000)</f>
        <v>0</v>
      </c>
      <c r="AA62" s="15">
        <f>(SUMIFS('MAIN DATA, Orders'!$U:$U,'MAIN DATA, Orders'!$Y:$Y,$A62,'MAIN DATA, Orders'!$D:$D,"Poland",'MAIN DATA, Orders'!$I:$I,"Modernisation")/1000000000)</f>
        <v>0</v>
      </c>
      <c r="AB62" s="15">
        <f>(SUMIFS('MAIN DATA, Orders'!$U:$U,'MAIN DATA, Orders'!$Y:$Y,$A62,'MAIN DATA, Orders'!$D:$D,"Poland",'MAIN DATA, Orders'!$I:$I,"Development - Modernisation")/1000000000)</f>
        <v>0</v>
      </c>
      <c r="AC62" s="15">
        <f>(SUMIFS('MAIN DATA, Orders'!$U:$U,'MAIN DATA, Orders'!$Y:$Y,$A62,'MAIN DATA, Orders'!$D:$D,"Poland",'MAIN DATA, Orders'!$I:$I,"Naval")/1000000000)</f>
        <v>0</v>
      </c>
      <c r="AD62" s="15">
        <f>(SUMIFS('MAIN DATA, Orders'!$U:$U,'MAIN DATA, Orders'!$Y:$Y,$A62,'MAIN DATA, Orders'!$D:$D,"Poland",'MAIN DATA, Orders'!$I:$I,"Development - Naval")/1000000000)</f>
        <v>0</v>
      </c>
      <c r="AE62" s="15">
        <f>(SUMIFS('MAIN DATA, Orders'!$U:$U,'MAIN DATA, Orders'!$Y:$Y,$A62,'MAIN DATA, Orders'!$D:$D,"Poland",'MAIN DATA, Orders'!$I:$I,"Other")/1000000000)</f>
        <v>0</v>
      </c>
      <c r="AF62" s="15">
        <f>(SUMIFS('MAIN DATA, Orders'!$U:$U,'MAIN DATA, Orders'!$Y:$Y,$A62,'MAIN DATA, Orders'!$D:$D,"Poland",'MAIN DATA, Orders'!$I:$I,"Development - Other")/1000000000)</f>
        <v>0</v>
      </c>
      <c r="AG62" s="15"/>
      <c r="AH62" s="15" cm="1">
        <f t="array" ref="AH62">SUM(SUMIFS('MAIN DATA, Orders'!$U:$U,'MAIN DATA, Orders'!$Y:$Y,$A62,'MAIN DATA, Orders'!$D:$D,"Poland",'MAIN DATA, Orders'!$I:$I,{"Missile (Land)","Development - Missile (Land)"})/1000000000)</f>
        <v>0</v>
      </c>
      <c r="AI62" s="15" cm="1">
        <f t="array" ref="AI62">SUM(SUMIFS('MAIN DATA, Orders'!$U:$U,'MAIN DATA, Orders'!$Y:$Y,$A62,'MAIN DATA, Orders'!$D:$D,"Poland",'MAIN DATA, Orders'!$I:$I,{"Missile (Air)","Development - Missile (Air)"})/1000000000)</f>
        <v>0</v>
      </c>
      <c r="AJ62" s="15" cm="1">
        <f t="array" ref="AJ62">SUM(SUMIFS('MAIN DATA, Orders'!$U:$U,'MAIN DATA, Orders'!$Y:$Y,$A62,'MAIN DATA, Orders'!$D:$D,"Poland",'MAIN DATA, Orders'!$I:$I,{"Missile (Naval)","Development - Missile (Naval)"})/1000000000)</f>
        <v>0</v>
      </c>
    </row>
    <row r="63" spans="1:36" x14ac:dyDescent="0.35">
      <c r="A63" s="20">
        <v>202309</v>
      </c>
      <c r="B63" s="17">
        <v>45170</v>
      </c>
      <c r="C63" s="15">
        <f>(SUMIFS('MAIN DATA, Orders'!$U:$U,'MAIN DATA, Orders'!$Y:$Y,$A63,'MAIN DATA, Orders'!$D:$D,"Poland",'MAIN DATA, Orders'!$I:$I,"Air defence system")/1000000000)</f>
        <v>0</v>
      </c>
      <c r="D63" s="15">
        <f>(SUMIFS('MAIN DATA, Orders'!$U:$U,'MAIN DATA, Orders'!$Y:$Y,$A63,'MAIN DATA, Orders'!$D:$D,"Poland",'MAIN DATA, Orders'!$I:$I,"Development - Air defence system")/1000000000)</f>
        <v>0</v>
      </c>
      <c r="E63" s="15">
        <f>(SUMIFS('MAIN DATA, Orders'!$U:$U,'MAIN DATA, Orders'!$Y:$Y,$A63,'MAIN DATA, Orders'!$D:$D,"Poland",'MAIN DATA, Orders'!$I:$I,"Aircraft")/1000000000)</f>
        <v>0</v>
      </c>
      <c r="F63" s="15">
        <f>(SUMIFS('MAIN DATA, Orders'!$U:$U,'MAIN DATA, Orders'!$Y:$Y,$A63,'MAIN DATA, Orders'!$D:$D,"Poland",'MAIN DATA, Orders'!$I:$I,"Development - Aircraft")/1000000000)</f>
        <v>0</v>
      </c>
      <c r="G63" s="15">
        <f>(SUMIFS('MAIN DATA, Orders'!$U:$U,'MAIN DATA, Orders'!$Y:$Y,$A63,'MAIN DATA, Orders'!$D:$D,"Poland",'MAIN DATA, Orders'!$I:$I,"Ammunition")/1000000000)</f>
        <v>0</v>
      </c>
      <c r="H63" s="15">
        <f>(SUMIFS('MAIN DATA, Orders'!$U:$U,'MAIN DATA, Orders'!$Y:$Y,$A63,'MAIN DATA, Orders'!$D:$D,"Poland",'MAIN DATA, Orders'!$I:$I,"Development - Ammunition")/1000000000)</f>
        <v>0</v>
      </c>
      <c r="I63" s="15">
        <f>(SUMIFS('MAIN DATA, Orders'!$U:$U,'MAIN DATA, Orders'!$Y:$Y,$A63,'MAIN DATA, Orders'!$D:$D,"Poland",'MAIN DATA, Orders'!$I:$I,"Armoured vehicle")/1000000000)</f>
        <v>0</v>
      </c>
      <c r="J63" s="15">
        <f>(SUMIFS('MAIN DATA, Orders'!$U:$U,'MAIN DATA, Orders'!$Y:$Y,$A63,'MAIN DATA, Orders'!$D:$D,"Poland",'MAIN DATA, Orders'!$I:$I,"Development - Armoured vehicle")/1000000000)</f>
        <v>0</v>
      </c>
      <c r="K63" s="15">
        <f>(SUMIFS('MAIN DATA, Orders'!$U:$U,'MAIN DATA, Orders'!$Y:$Y,$A63,'MAIN DATA, Orders'!$D:$D,"Poland",'MAIN DATA, Orders'!$I:$I,"Artillery")/1000000000)</f>
        <v>0</v>
      </c>
      <c r="L63" s="15">
        <f>(SUMIFS('MAIN DATA, Orders'!$U:$U,'MAIN DATA, Orders'!$Y:$Y,$A63,'MAIN DATA, Orders'!$D:$D,"Poland",'MAIN DATA, Orders'!$I:$I,"Development - Artillery")/1000000000)</f>
        <v>0</v>
      </c>
      <c r="M63" s="15">
        <f>(SUMIFS('MAIN DATA, Orders'!$U:$U,'MAIN DATA, Orders'!$Y:$Y,$A63,'MAIN DATA, Orders'!$D:$D,"Poland",'MAIN DATA, Orders'!$I:$I,"Drone")/1000000000)</f>
        <v>0</v>
      </c>
      <c r="N63" s="15">
        <f>(SUMIFS('MAIN DATA, Orders'!$U:$U,'MAIN DATA, Orders'!$Y:$Y,$A63,'MAIN DATA, Orders'!$D:$D,"Poland",'MAIN DATA, Orders'!$I:$I,"Development - Drone")/1000000000)</f>
        <v>0</v>
      </c>
      <c r="O63" s="15">
        <f>(SUMIFS('MAIN DATA, Orders'!$U:$U,'MAIN DATA, Orders'!$Y:$Y,$A63,'MAIN DATA, Orders'!$D:$D,"Poland",'MAIN DATA, Orders'!$I:$I,"Helicopter")/1000000000)</f>
        <v>6.6050198150594458E-2</v>
      </c>
      <c r="P63" s="15">
        <f>(SUMIFS('MAIN DATA, Orders'!$U:$U,'MAIN DATA, Orders'!$Y:$Y,$A63,'MAIN DATA, Orders'!$D:$D,"Poland",'MAIN DATA, Orders'!$I:$I,"Development - Helicopter")/1000000000)</f>
        <v>0</v>
      </c>
      <c r="Q63" s="15">
        <f>(SUMIFS('MAIN DATA, Orders'!$U:$U,'MAIN DATA, Orders'!$Y:$Y,$A63,'MAIN DATA, Orders'!$D:$D,"Poland",'MAIN DATA, Orders'!$I:$I,"Infantry")/1000000000)</f>
        <v>0</v>
      </c>
      <c r="R63" s="15">
        <f>(SUMIFS('MAIN DATA, Orders'!$U:$U,'MAIN DATA, Orders'!$Y:$Y,$A63,'MAIN DATA, Orders'!$D:$D,"Poland",'MAIN DATA, Orders'!$I:$I,"Development - Infantry")/1000000000)</f>
        <v>0</v>
      </c>
      <c r="S63" s="15">
        <f>(SUMIFS('MAIN DATA, Orders'!$U:$U,'MAIN DATA, Orders'!$Y:$Y,$A63,'MAIN DATA, Orders'!$D:$D,"Poland",'MAIN DATA, Orders'!$I:$I,"Tank")/1000000000)</f>
        <v>0</v>
      </c>
      <c r="T63" s="15">
        <f>(SUMIFS('MAIN DATA, Orders'!$U:$U,'MAIN DATA, Orders'!$Y:$Y,$A63,'MAIN DATA, Orders'!$D:$D,"Poland",'MAIN DATA, Orders'!$I:$I,"Development - Tank")/1000000000)</f>
        <v>0</v>
      </c>
      <c r="U63" s="15">
        <f>(SUMIFS('MAIN DATA, Orders'!$U:$U,'MAIN DATA, Orders'!$Y:$Y,$A63,'MAIN DATA, Orders'!$D:$D,"Poland",'MAIN DATA, Orders'!$I:$I,"Maintenance")/1000000000)</f>
        <v>0</v>
      </c>
      <c r="V63" s="15">
        <f>(SUMIFS('MAIN DATA, Orders'!$U:$U,'MAIN DATA, Orders'!$Y:$Y,$A63,'MAIN DATA, Orders'!$D:$D,"Poland",'MAIN DATA, Orders'!$I:$I,"Development - Maintenance")/1000000000)</f>
        <v>0</v>
      </c>
      <c r="W63" s="15">
        <f>(SUMIFS('MAIN DATA, Orders'!$U:$U,'MAIN DATA, Orders'!$Y:$Y,$A63,'MAIN DATA, Orders'!$D:$D,"Poland",'MAIN DATA, Orders'!$I:$I,"Mine")/1000000000)</f>
        <v>0</v>
      </c>
      <c r="X63" s="15">
        <f>(SUMIFS('MAIN DATA, Orders'!$U:$U,'MAIN DATA, Orders'!$Y:$Y,$A63,'MAIN DATA, Orders'!$D:$D,"Poland",'MAIN DATA, Orders'!$I:$I,"Development - Mine")/1000000000)</f>
        <v>0</v>
      </c>
      <c r="Y63" s="15">
        <f>(SUMIFS('MAIN DATA, Orders'!$U:$U,'MAIN DATA, Orders'!$Y:$Y,$A63,'MAIN DATA, Orders'!$D:$D,"Poland",'MAIN DATA, Orders'!$J:$J,"6")/1000000000)</f>
        <v>0</v>
      </c>
      <c r="Z63" s="15" cm="1">
        <f t="array" ref="Z63">SUM(SUMIFS('MAIN DATA, Orders'!$U:$U,'MAIN DATA, Orders'!$Y:$Y,$A63,'MAIN DATA, Orders'!$D:$D,"Poland",'MAIN DATA, Orders'!$I:$I,{"Development - Missile (Land)","Development - Missile (Naval)","Development - Missile (Air)"})/1000000000)</f>
        <v>0</v>
      </c>
      <c r="AA63" s="15">
        <f>(SUMIFS('MAIN DATA, Orders'!$U:$U,'MAIN DATA, Orders'!$Y:$Y,$A63,'MAIN DATA, Orders'!$D:$D,"Poland",'MAIN DATA, Orders'!$I:$I,"Modernisation")/1000000000)</f>
        <v>0</v>
      </c>
      <c r="AB63" s="15">
        <f>(SUMIFS('MAIN DATA, Orders'!$U:$U,'MAIN DATA, Orders'!$Y:$Y,$A63,'MAIN DATA, Orders'!$D:$D,"Poland",'MAIN DATA, Orders'!$I:$I,"Development - Modernisation")/1000000000)</f>
        <v>0</v>
      </c>
      <c r="AC63" s="15">
        <f>(SUMIFS('MAIN DATA, Orders'!$U:$U,'MAIN DATA, Orders'!$Y:$Y,$A63,'MAIN DATA, Orders'!$D:$D,"Poland",'MAIN DATA, Orders'!$I:$I,"Naval")/1000000000)</f>
        <v>1.7613386173491854</v>
      </c>
      <c r="AD63" s="15">
        <f>(SUMIFS('MAIN DATA, Orders'!$U:$U,'MAIN DATA, Orders'!$Y:$Y,$A63,'MAIN DATA, Orders'!$D:$D,"Poland",'MAIN DATA, Orders'!$I:$I,"Development - Naval")/1000000000)</f>
        <v>0</v>
      </c>
      <c r="AE63" s="15">
        <f>(SUMIFS('MAIN DATA, Orders'!$U:$U,'MAIN DATA, Orders'!$Y:$Y,$A63,'MAIN DATA, Orders'!$D:$D,"Poland",'MAIN DATA, Orders'!$I:$I,"Other")/1000000000)</f>
        <v>0</v>
      </c>
      <c r="AF63" s="15">
        <f>(SUMIFS('MAIN DATA, Orders'!$U:$U,'MAIN DATA, Orders'!$Y:$Y,$A63,'MAIN DATA, Orders'!$D:$D,"Poland",'MAIN DATA, Orders'!$I:$I,"Development - Other")/1000000000)</f>
        <v>0</v>
      </c>
      <c r="AG63" s="15"/>
      <c r="AH63" s="15" cm="1">
        <f t="array" ref="AH63">SUM(SUMIFS('MAIN DATA, Orders'!$U:$U,'MAIN DATA, Orders'!$Y:$Y,$A63,'MAIN DATA, Orders'!$D:$D,"Poland",'MAIN DATA, Orders'!$I:$I,{"Missile (Land)","Development - Missile (Land)"})/1000000000)</f>
        <v>0</v>
      </c>
      <c r="AI63" s="15" cm="1">
        <f t="array" ref="AI63">SUM(SUMIFS('MAIN DATA, Orders'!$U:$U,'MAIN DATA, Orders'!$Y:$Y,$A63,'MAIN DATA, Orders'!$D:$D,"Poland",'MAIN DATA, Orders'!$I:$I,{"Missile (Air)","Development - Missile (Air)"})/1000000000)</f>
        <v>0</v>
      </c>
      <c r="AJ63" s="15" cm="1">
        <f t="array" ref="AJ63">SUM(SUMIFS('MAIN DATA, Orders'!$U:$U,'MAIN DATA, Orders'!$Y:$Y,$A63,'MAIN DATA, Orders'!$D:$D,"Poland",'MAIN DATA, Orders'!$I:$I,{"Missile (Naval)","Development - Missile (Naval)"})/1000000000)</f>
        <v>0</v>
      </c>
    </row>
    <row r="64" spans="1:36" x14ac:dyDescent="0.35">
      <c r="A64" s="20">
        <v>202310</v>
      </c>
      <c r="B64" s="17">
        <v>45200</v>
      </c>
      <c r="C64" s="15">
        <f>(SUMIFS('MAIN DATA, Orders'!$U:$U,'MAIN DATA, Orders'!$Y:$Y,$A64,'MAIN DATA, Orders'!$D:$D,"Poland",'MAIN DATA, Orders'!$I:$I,"Air defence system")/1000000000)</f>
        <v>0</v>
      </c>
      <c r="D64" s="15">
        <f>(SUMIFS('MAIN DATA, Orders'!$U:$U,'MAIN DATA, Orders'!$Y:$Y,$A64,'MAIN DATA, Orders'!$D:$D,"Poland",'MAIN DATA, Orders'!$I:$I,"Development - Air defence system")/1000000000)</f>
        <v>0</v>
      </c>
      <c r="E64" s="15">
        <f>(SUMIFS('MAIN DATA, Orders'!$U:$U,'MAIN DATA, Orders'!$Y:$Y,$A64,'MAIN DATA, Orders'!$D:$D,"Poland",'MAIN DATA, Orders'!$I:$I,"Aircraft")/1000000000)</f>
        <v>0</v>
      </c>
      <c r="F64" s="15">
        <f>(SUMIFS('MAIN DATA, Orders'!$U:$U,'MAIN DATA, Orders'!$Y:$Y,$A64,'MAIN DATA, Orders'!$D:$D,"Poland",'MAIN DATA, Orders'!$I:$I,"Development - Aircraft")/1000000000)</f>
        <v>0</v>
      </c>
      <c r="G64" s="15">
        <f>(SUMIFS('MAIN DATA, Orders'!$U:$U,'MAIN DATA, Orders'!$Y:$Y,$A64,'MAIN DATA, Orders'!$D:$D,"Poland",'MAIN DATA, Orders'!$I:$I,"Ammunition")/1000000000)</f>
        <v>0</v>
      </c>
      <c r="H64" s="15">
        <f>(SUMIFS('MAIN DATA, Orders'!$U:$U,'MAIN DATA, Orders'!$Y:$Y,$A64,'MAIN DATA, Orders'!$D:$D,"Poland",'MAIN DATA, Orders'!$I:$I,"Development - Ammunition")/1000000000)</f>
        <v>0</v>
      </c>
      <c r="I64" s="15">
        <f>(SUMIFS('MAIN DATA, Orders'!$U:$U,'MAIN DATA, Orders'!$Y:$Y,$A64,'MAIN DATA, Orders'!$D:$D,"Poland",'MAIN DATA, Orders'!$I:$I,"Armoured vehicle")/1000000000)</f>
        <v>0</v>
      </c>
      <c r="J64" s="15">
        <f>(SUMIFS('MAIN DATA, Orders'!$U:$U,'MAIN DATA, Orders'!$Y:$Y,$A64,'MAIN DATA, Orders'!$D:$D,"Poland",'MAIN DATA, Orders'!$I:$I,"Development - Armoured vehicle")/1000000000)</f>
        <v>0</v>
      </c>
      <c r="K64" s="15">
        <f>(SUMIFS('MAIN DATA, Orders'!$U:$U,'MAIN DATA, Orders'!$Y:$Y,$A64,'MAIN DATA, Orders'!$D:$D,"Poland",'MAIN DATA, Orders'!$I:$I,"Artillery")/1000000000)</f>
        <v>0</v>
      </c>
      <c r="L64" s="15">
        <f>(SUMIFS('MAIN DATA, Orders'!$U:$U,'MAIN DATA, Orders'!$Y:$Y,$A64,'MAIN DATA, Orders'!$D:$D,"Poland",'MAIN DATA, Orders'!$I:$I,"Development - Artillery")/1000000000)</f>
        <v>0</v>
      </c>
      <c r="M64" s="15">
        <f>(SUMIFS('MAIN DATA, Orders'!$U:$U,'MAIN DATA, Orders'!$Y:$Y,$A64,'MAIN DATA, Orders'!$D:$D,"Poland",'MAIN DATA, Orders'!$I:$I,"Drone")/1000000000)</f>
        <v>0</v>
      </c>
      <c r="N64" s="15">
        <f>(SUMIFS('MAIN DATA, Orders'!$U:$U,'MAIN DATA, Orders'!$Y:$Y,$A64,'MAIN DATA, Orders'!$D:$D,"Poland",'MAIN DATA, Orders'!$I:$I,"Development - Drone")/1000000000)</f>
        <v>0</v>
      </c>
      <c r="O64" s="15">
        <f>(SUMIFS('MAIN DATA, Orders'!$U:$U,'MAIN DATA, Orders'!$Y:$Y,$A64,'MAIN DATA, Orders'!$D:$D,"Poland",'MAIN DATA, Orders'!$I:$I,"Helicopter")/1000000000)</f>
        <v>0</v>
      </c>
      <c r="P64" s="15">
        <f>(SUMIFS('MAIN DATA, Orders'!$U:$U,'MAIN DATA, Orders'!$Y:$Y,$A64,'MAIN DATA, Orders'!$D:$D,"Poland",'MAIN DATA, Orders'!$I:$I,"Development - Helicopter")/1000000000)</f>
        <v>0</v>
      </c>
      <c r="Q64" s="15">
        <f>(SUMIFS('MAIN DATA, Orders'!$U:$U,'MAIN DATA, Orders'!$Y:$Y,$A64,'MAIN DATA, Orders'!$D:$D,"Poland",'MAIN DATA, Orders'!$I:$I,"Infantry")/1000000000)</f>
        <v>0</v>
      </c>
      <c r="R64" s="15">
        <f>(SUMIFS('MAIN DATA, Orders'!$U:$U,'MAIN DATA, Orders'!$Y:$Y,$A64,'MAIN DATA, Orders'!$D:$D,"Poland",'MAIN DATA, Orders'!$I:$I,"Development - Infantry")/1000000000)</f>
        <v>0</v>
      </c>
      <c r="S64" s="15">
        <f>(SUMIFS('MAIN DATA, Orders'!$U:$U,'MAIN DATA, Orders'!$Y:$Y,$A64,'MAIN DATA, Orders'!$D:$D,"Poland",'MAIN DATA, Orders'!$I:$I,"Tank")/1000000000)</f>
        <v>0</v>
      </c>
      <c r="T64" s="15">
        <f>(SUMIFS('MAIN DATA, Orders'!$U:$U,'MAIN DATA, Orders'!$Y:$Y,$A64,'MAIN DATA, Orders'!$D:$D,"Poland",'MAIN DATA, Orders'!$I:$I,"Development - Tank")/1000000000)</f>
        <v>0</v>
      </c>
      <c r="U64" s="15">
        <f>(SUMIFS('MAIN DATA, Orders'!$U:$U,'MAIN DATA, Orders'!$Y:$Y,$A64,'MAIN DATA, Orders'!$D:$D,"Poland",'MAIN DATA, Orders'!$I:$I,"Maintenance")/1000000000)</f>
        <v>0</v>
      </c>
      <c r="V64" s="15">
        <f>(SUMIFS('MAIN DATA, Orders'!$U:$U,'MAIN DATA, Orders'!$Y:$Y,$A64,'MAIN DATA, Orders'!$D:$D,"Poland",'MAIN DATA, Orders'!$I:$I,"Development - Maintenance")/1000000000)</f>
        <v>0</v>
      </c>
      <c r="W64" s="15">
        <f>(SUMIFS('MAIN DATA, Orders'!$U:$U,'MAIN DATA, Orders'!$Y:$Y,$A64,'MAIN DATA, Orders'!$D:$D,"Poland",'MAIN DATA, Orders'!$I:$I,"Mine")/1000000000)</f>
        <v>0</v>
      </c>
      <c r="X64" s="15">
        <f>(SUMIFS('MAIN DATA, Orders'!$U:$U,'MAIN DATA, Orders'!$Y:$Y,$A64,'MAIN DATA, Orders'!$D:$D,"Poland",'MAIN DATA, Orders'!$I:$I,"Development - Mine")/1000000000)</f>
        <v>0</v>
      </c>
      <c r="Y64" s="15">
        <f>(SUMIFS('MAIN DATA, Orders'!$U:$U,'MAIN DATA, Orders'!$Y:$Y,$A64,'MAIN DATA, Orders'!$D:$D,"Poland",'MAIN DATA, Orders'!$J:$J,"6")/1000000000)</f>
        <v>0</v>
      </c>
      <c r="Z64" s="15" cm="1">
        <f t="array" ref="Z64">SUM(SUMIFS('MAIN DATA, Orders'!$U:$U,'MAIN DATA, Orders'!$Y:$Y,$A64,'MAIN DATA, Orders'!$D:$D,"Poland",'MAIN DATA, Orders'!$I:$I,{"Development - Missile (Land)","Development - Missile (Naval)","Development - Missile (Air)"})/1000000000)</f>
        <v>0</v>
      </c>
      <c r="AA64" s="15">
        <f>(SUMIFS('MAIN DATA, Orders'!$U:$U,'MAIN DATA, Orders'!$Y:$Y,$A64,'MAIN DATA, Orders'!$D:$D,"Poland",'MAIN DATA, Orders'!$I:$I,"Modernisation")/1000000000)</f>
        <v>0</v>
      </c>
      <c r="AB64" s="15">
        <f>(SUMIFS('MAIN DATA, Orders'!$U:$U,'MAIN DATA, Orders'!$Y:$Y,$A64,'MAIN DATA, Orders'!$D:$D,"Poland",'MAIN DATA, Orders'!$I:$I,"Development - Modernisation")/1000000000)</f>
        <v>0</v>
      </c>
      <c r="AC64" s="15">
        <f>(SUMIFS('MAIN DATA, Orders'!$U:$U,'MAIN DATA, Orders'!$Y:$Y,$A64,'MAIN DATA, Orders'!$D:$D,"Poland",'MAIN DATA, Orders'!$I:$I,"Naval")/1000000000)</f>
        <v>0</v>
      </c>
      <c r="AD64" s="15">
        <f>(SUMIFS('MAIN DATA, Orders'!$U:$U,'MAIN DATA, Orders'!$Y:$Y,$A64,'MAIN DATA, Orders'!$D:$D,"Poland",'MAIN DATA, Orders'!$I:$I,"Development - Naval")/1000000000)</f>
        <v>0</v>
      </c>
      <c r="AE64" s="15">
        <f>(SUMIFS('MAIN DATA, Orders'!$U:$U,'MAIN DATA, Orders'!$Y:$Y,$A64,'MAIN DATA, Orders'!$D:$D,"Poland",'MAIN DATA, Orders'!$I:$I,"Other")/1000000000)</f>
        <v>0</v>
      </c>
      <c r="AF64" s="15">
        <f>(SUMIFS('MAIN DATA, Orders'!$U:$U,'MAIN DATA, Orders'!$Y:$Y,$A64,'MAIN DATA, Orders'!$D:$D,"Poland",'MAIN DATA, Orders'!$I:$I,"Development - Other")/1000000000)</f>
        <v>0</v>
      </c>
      <c r="AG64" s="15"/>
      <c r="AH64" s="15" cm="1">
        <f t="array" ref="AH64">SUM(SUMIFS('MAIN DATA, Orders'!$U:$U,'MAIN DATA, Orders'!$Y:$Y,$A64,'MAIN DATA, Orders'!$D:$D,"Poland",'MAIN DATA, Orders'!$I:$I,{"Missile (Land)","Development - Missile (Land)"})/1000000000)</f>
        <v>0</v>
      </c>
      <c r="AI64" s="15" cm="1">
        <f t="array" ref="AI64">SUM(SUMIFS('MAIN DATA, Orders'!$U:$U,'MAIN DATA, Orders'!$Y:$Y,$A64,'MAIN DATA, Orders'!$D:$D,"Poland",'MAIN DATA, Orders'!$I:$I,{"Missile (Air)","Development - Missile (Air)"})/1000000000)</f>
        <v>0</v>
      </c>
      <c r="AJ64" s="15" cm="1">
        <f t="array" ref="AJ64">SUM(SUMIFS('MAIN DATA, Orders'!$U:$U,'MAIN DATA, Orders'!$Y:$Y,$A64,'MAIN DATA, Orders'!$D:$D,"Poland",'MAIN DATA, Orders'!$I:$I,{"Missile (Naval)","Development - Missile (Naval)"})/1000000000)</f>
        <v>0</v>
      </c>
    </row>
    <row r="65" spans="1:36" x14ac:dyDescent="0.35">
      <c r="A65" s="20">
        <v>202311</v>
      </c>
      <c r="B65" s="17">
        <v>45231</v>
      </c>
      <c r="C65" s="15">
        <f>(SUMIFS('MAIN DATA, Orders'!$U:$U,'MAIN DATA, Orders'!$Y:$Y,$A65,'MAIN DATA, Orders'!$D:$D,"Poland",'MAIN DATA, Orders'!$I:$I,"Air defence system")/1000000000)</f>
        <v>0</v>
      </c>
      <c r="D65" s="15">
        <f>(SUMIFS('MAIN DATA, Orders'!$U:$U,'MAIN DATA, Orders'!$Y:$Y,$A65,'MAIN DATA, Orders'!$D:$D,"Poland",'MAIN DATA, Orders'!$I:$I,"Development - Air defence system")/1000000000)</f>
        <v>0</v>
      </c>
      <c r="E65" s="15">
        <f>(SUMIFS('MAIN DATA, Orders'!$U:$U,'MAIN DATA, Orders'!$Y:$Y,$A65,'MAIN DATA, Orders'!$D:$D,"Poland",'MAIN DATA, Orders'!$I:$I,"Aircraft")/1000000000)</f>
        <v>0</v>
      </c>
      <c r="F65" s="15">
        <f>(SUMIFS('MAIN DATA, Orders'!$U:$U,'MAIN DATA, Orders'!$Y:$Y,$A65,'MAIN DATA, Orders'!$D:$D,"Poland",'MAIN DATA, Orders'!$I:$I,"Development - Aircraft")/1000000000)</f>
        <v>0</v>
      </c>
      <c r="G65" s="15">
        <f>(SUMIFS('MAIN DATA, Orders'!$U:$U,'MAIN DATA, Orders'!$Y:$Y,$A65,'MAIN DATA, Orders'!$D:$D,"Poland",'MAIN DATA, Orders'!$I:$I,"Ammunition")/1000000000)</f>
        <v>0</v>
      </c>
      <c r="H65" s="15">
        <f>(SUMIFS('MAIN DATA, Orders'!$U:$U,'MAIN DATA, Orders'!$Y:$Y,$A65,'MAIN DATA, Orders'!$D:$D,"Poland",'MAIN DATA, Orders'!$I:$I,"Development - Ammunition")/1000000000)</f>
        <v>0</v>
      </c>
      <c r="I65" s="15">
        <f>(SUMIFS('MAIN DATA, Orders'!$U:$U,'MAIN DATA, Orders'!$Y:$Y,$A65,'MAIN DATA, Orders'!$D:$D,"Poland",'MAIN DATA, Orders'!$I:$I,"Armoured vehicle")/1000000000)</f>
        <v>0</v>
      </c>
      <c r="J65" s="15">
        <f>(SUMIFS('MAIN DATA, Orders'!$U:$U,'MAIN DATA, Orders'!$Y:$Y,$A65,'MAIN DATA, Orders'!$D:$D,"Poland",'MAIN DATA, Orders'!$I:$I,"Development - Armoured vehicle")/1000000000)</f>
        <v>0</v>
      </c>
      <c r="K65" s="15">
        <f>(SUMIFS('MAIN DATA, Orders'!$U:$U,'MAIN DATA, Orders'!$Y:$Y,$A65,'MAIN DATA, Orders'!$D:$D,"Poland",'MAIN DATA, Orders'!$I:$I,"Artillery")/1000000000)</f>
        <v>0</v>
      </c>
      <c r="L65" s="15">
        <f>(SUMIFS('MAIN DATA, Orders'!$U:$U,'MAIN DATA, Orders'!$Y:$Y,$A65,'MAIN DATA, Orders'!$D:$D,"Poland",'MAIN DATA, Orders'!$I:$I,"Development - Artillery")/1000000000)</f>
        <v>0</v>
      </c>
      <c r="M65" s="15">
        <f>(SUMIFS('MAIN DATA, Orders'!$U:$U,'MAIN DATA, Orders'!$Y:$Y,$A65,'MAIN DATA, Orders'!$D:$D,"Poland",'MAIN DATA, Orders'!$I:$I,"Drone")/1000000000)</f>
        <v>0</v>
      </c>
      <c r="N65" s="15">
        <f>(SUMIFS('MAIN DATA, Orders'!$U:$U,'MAIN DATA, Orders'!$Y:$Y,$A65,'MAIN DATA, Orders'!$D:$D,"Poland",'MAIN DATA, Orders'!$I:$I,"Development - Drone")/1000000000)</f>
        <v>0</v>
      </c>
      <c r="O65" s="15">
        <f>(SUMIFS('MAIN DATA, Orders'!$U:$U,'MAIN DATA, Orders'!$Y:$Y,$A65,'MAIN DATA, Orders'!$D:$D,"Poland",'MAIN DATA, Orders'!$I:$I,"Helicopter")/1000000000)</f>
        <v>0</v>
      </c>
      <c r="P65" s="15">
        <f>(SUMIFS('MAIN DATA, Orders'!$U:$U,'MAIN DATA, Orders'!$Y:$Y,$A65,'MAIN DATA, Orders'!$D:$D,"Poland",'MAIN DATA, Orders'!$I:$I,"Development - Helicopter")/1000000000)</f>
        <v>0</v>
      </c>
      <c r="Q65" s="15">
        <f>(SUMIFS('MAIN DATA, Orders'!$U:$U,'MAIN DATA, Orders'!$Y:$Y,$A65,'MAIN DATA, Orders'!$D:$D,"Poland",'MAIN DATA, Orders'!$I:$I,"Infantry")/1000000000)</f>
        <v>0</v>
      </c>
      <c r="R65" s="15">
        <f>(SUMIFS('MAIN DATA, Orders'!$U:$U,'MAIN DATA, Orders'!$Y:$Y,$A65,'MAIN DATA, Orders'!$D:$D,"Poland",'MAIN DATA, Orders'!$I:$I,"Development - Infantry")/1000000000)</f>
        <v>0</v>
      </c>
      <c r="S65" s="15">
        <f>(SUMIFS('MAIN DATA, Orders'!$U:$U,'MAIN DATA, Orders'!$Y:$Y,$A65,'MAIN DATA, Orders'!$D:$D,"Poland",'MAIN DATA, Orders'!$I:$I,"Tank")/1000000000)</f>
        <v>0</v>
      </c>
      <c r="T65" s="15">
        <f>(SUMIFS('MAIN DATA, Orders'!$U:$U,'MAIN DATA, Orders'!$Y:$Y,$A65,'MAIN DATA, Orders'!$D:$D,"Poland",'MAIN DATA, Orders'!$I:$I,"Development - Tank")/1000000000)</f>
        <v>0</v>
      </c>
      <c r="U65" s="15">
        <f>(SUMIFS('MAIN DATA, Orders'!$U:$U,'MAIN DATA, Orders'!$Y:$Y,$A65,'MAIN DATA, Orders'!$D:$D,"Poland",'MAIN DATA, Orders'!$I:$I,"Maintenance")/1000000000)</f>
        <v>0</v>
      </c>
      <c r="V65" s="15">
        <f>(SUMIFS('MAIN DATA, Orders'!$U:$U,'MAIN DATA, Orders'!$Y:$Y,$A65,'MAIN DATA, Orders'!$D:$D,"Poland",'MAIN DATA, Orders'!$I:$I,"Development - Maintenance")/1000000000)</f>
        <v>0</v>
      </c>
      <c r="W65" s="15">
        <f>(SUMIFS('MAIN DATA, Orders'!$U:$U,'MAIN DATA, Orders'!$Y:$Y,$A65,'MAIN DATA, Orders'!$D:$D,"Poland",'MAIN DATA, Orders'!$I:$I,"Mine")/1000000000)</f>
        <v>0</v>
      </c>
      <c r="X65" s="15">
        <f>(SUMIFS('MAIN DATA, Orders'!$U:$U,'MAIN DATA, Orders'!$Y:$Y,$A65,'MAIN DATA, Orders'!$D:$D,"Poland",'MAIN DATA, Orders'!$I:$I,"Development - Mine")/1000000000)</f>
        <v>0</v>
      </c>
      <c r="Y65" s="15">
        <f>(SUMIFS('MAIN DATA, Orders'!$U:$U,'MAIN DATA, Orders'!$Y:$Y,$A65,'MAIN DATA, Orders'!$D:$D,"Poland",'MAIN DATA, Orders'!$J:$J,"6")/1000000000)</f>
        <v>0</v>
      </c>
      <c r="Z65" s="15" cm="1">
        <f t="array" ref="Z65">SUM(SUMIFS('MAIN DATA, Orders'!$U:$U,'MAIN DATA, Orders'!$Y:$Y,$A65,'MAIN DATA, Orders'!$D:$D,"Poland",'MAIN DATA, Orders'!$I:$I,{"Development - Missile (Land)","Development - Missile (Naval)","Development - Missile (Air)"})/1000000000)</f>
        <v>0</v>
      </c>
      <c r="AA65" s="15">
        <f>(SUMIFS('MAIN DATA, Orders'!$U:$U,'MAIN DATA, Orders'!$Y:$Y,$A65,'MAIN DATA, Orders'!$D:$D,"Poland",'MAIN DATA, Orders'!$I:$I,"Modernisation")/1000000000)</f>
        <v>0</v>
      </c>
      <c r="AB65" s="15">
        <f>(SUMIFS('MAIN DATA, Orders'!$U:$U,'MAIN DATA, Orders'!$Y:$Y,$A65,'MAIN DATA, Orders'!$D:$D,"Poland",'MAIN DATA, Orders'!$I:$I,"Development - Modernisation")/1000000000)</f>
        <v>0</v>
      </c>
      <c r="AC65" s="15">
        <f>(SUMIFS('MAIN DATA, Orders'!$U:$U,'MAIN DATA, Orders'!$Y:$Y,$A65,'MAIN DATA, Orders'!$D:$D,"Poland",'MAIN DATA, Orders'!$I:$I,"Naval")/1000000000)</f>
        <v>0</v>
      </c>
      <c r="AD65" s="15">
        <f>(SUMIFS('MAIN DATA, Orders'!$U:$U,'MAIN DATA, Orders'!$Y:$Y,$A65,'MAIN DATA, Orders'!$D:$D,"Poland",'MAIN DATA, Orders'!$I:$I,"Development - Naval")/1000000000)</f>
        <v>0</v>
      </c>
      <c r="AE65" s="15">
        <f>(SUMIFS('MAIN DATA, Orders'!$U:$U,'MAIN DATA, Orders'!$Y:$Y,$A65,'MAIN DATA, Orders'!$D:$D,"Poland",'MAIN DATA, Orders'!$I:$I,"Other")/1000000000)</f>
        <v>0</v>
      </c>
      <c r="AF65" s="15">
        <f>(SUMIFS('MAIN DATA, Orders'!$U:$U,'MAIN DATA, Orders'!$Y:$Y,$A65,'MAIN DATA, Orders'!$D:$D,"Poland",'MAIN DATA, Orders'!$I:$I,"Development - Other")/1000000000)</f>
        <v>0</v>
      </c>
      <c r="AG65" s="15"/>
      <c r="AH65" s="15" cm="1">
        <f t="array" ref="AH65">SUM(SUMIFS('MAIN DATA, Orders'!$U:$U,'MAIN DATA, Orders'!$Y:$Y,$A65,'MAIN DATA, Orders'!$D:$D,"Poland",'MAIN DATA, Orders'!$I:$I,{"Missile (Land)","Development - Missile (Land)"})/1000000000)</f>
        <v>0</v>
      </c>
      <c r="AI65" s="15" cm="1">
        <f t="array" ref="AI65">SUM(SUMIFS('MAIN DATA, Orders'!$U:$U,'MAIN DATA, Orders'!$Y:$Y,$A65,'MAIN DATA, Orders'!$D:$D,"Poland",'MAIN DATA, Orders'!$I:$I,{"Missile (Air)","Development - Missile (Air)"})/1000000000)</f>
        <v>0</v>
      </c>
      <c r="AJ65" s="15" cm="1">
        <f t="array" ref="AJ65">SUM(SUMIFS('MAIN DATA, Orders'!$U:$U,'MAIN DATA, Orders'!$Y:$Y,$A65,'MAIN DATA, Orders'!$D:$D,"Poland",'MAIN DATA, Orders'!$I:$I,{"Missile (Naval)","Development - Missile (Naval)"})/1000000000)</f>
        <v>0</v>
      </c>
    </row>
    <row r="66" spans="1:36" x14ac:dyDescent="0.35">
      <c r="A66" s="20">
        <v>202312</v>
      </c>
      <c r="B66" s="17">
        <v>45261</v>
      </c>
      <c r="C66" s="15">
        <f>(SUMIFS('MAIN DATA, Orders'!$U:$U,'MAIN DATA, Orders'!$Y:$Y,$A66,'MAIN DATA, Orders'!$D:$D,"Poland",'MAIN DATA, Orders'!$I:$I,"Air defence system")/1000000000)</f>
        <v>0</v>
      </c>
      <c r="D66" s="15">
        <f>(SUMIFS('MAIN DATA, Orders'!$U:$U,'MAIN DATA, Orders'!$Y:$Y,$A66,'MAIN DATA, Orders'!$D:$D,"Poland",'MAIN DATA, Orders'!$I:$I,"Development - Air defence system")/1000000000)</f>
        <v>0</v>
      </c>
      <c r="E66" s="15">
        <f>(SUMIFS('MAIN DATA, Orders'!$U:$U,'MAIN DATA, Orders'!$Y:$Y,$A66,'MAIN DATA, Orders'!$D:$D,"Poland",'MAIN DATA, Orders'!$I:$I,"Aircraft")/1000000000)</f>
        <v>0</v>
      </c>
      <c r="F66" s="15">
        <f>(SUMIFS('MAIN DATA, Orders'!$U:$U,'MAIN DATA, Orders'!$Y:$Y,$A66,'MAIN DATA, Orders'!$D:$D,"Poland",'MAIN DATA, Orders'!$I:$I,"Development - Aircraft")/1000000000)</f>
        <v>0</v>
      </c>
      <c r="G66" s="15">
        <f>(SUMIFS('MAIN DATA, Orders'!$U:$U,'MAIN DATA, Orders'!$Y:$Y,$A66,'MAIN DATA, Orders'!$D:$D,"Poland",'MAIN DATA, Orders'!$I:$I,"Ammunition")/1000000000)</f>
        <v>0</v>
      </c>
      <c r="H66" s="15">
        <f>(SUMIFS('MAIN DATA, Orders'!$U:$U,'MAIN DATA, Orders'!$Y:$Y,$A66,'MAIN DATA, Orders'!$D:$D,"Poland",'MAIN DATA, Orders'!$I:$I,"Development - Ammunition")/1000000000)</f>
        <v>0</v>
      </c>
      <c r="I66" s="15">
        <f>(SUMIFS('MAIN DATA, Orders'!$U:$U,'MAIN DATA, Orders'!$Y:$Y,$A66,'MAIN DATA, Orders'!$D:$D,"Poland",'MAIN DATA, Orders'!$I:$I,"Armoured vehicle")/1000000000)</f>
        <v>0</v>
      </c>
      <c r="J66" s="15">
        <f>(SUMIFS('MAIN DATA, Orders'!$U:$U,'MAIN DATA, Orders'!$Y:$Y,$A66,'MAIN DATA, Orders'!$D:$D,"Poland",'MAIN DATA, Orders'!$I:$I,"Development - Armoured vehicle")/1000000000)</f>
        <v>0</v>
      </c>
      <c r="K66" s="15">
        <f>(SUMIFS('MAIN DATA, Orders'!$U:$U,'MAIN DATA, Orders'!$Y:$Y,$A66,'MAIN DATA, Orders'!$D:$D,"Poland",'MAIN DATA, Orders'!$I:$I,"Artillery")/1000000000)</f>
        <v>2.2016732716864817</v>
      </c>
      <c r="L66" s="15">
        <f>(SUMIFS('MAIN DATA, Orders'!$U:$U,'MAIN DATA, Orders'!$Y:$Y,$A66,'MAIN DATA, Orders'!$D:$D,"Poland",'MAIN DATA, Orders'!$I:$I,"Development - Artillery")/1000000000)</f>
        <v>0</v>
      </c>
      <c r="M66" s="15">
        <f>(SUMIFS('MAIN DATA, Orders'!$U:$U,'MAIN DATA, Orders'!$Y:$Y,$A66,'MAIN DATA, Orders'!$D:$D,"Poland",'MAIN DATA, Orders'!$I:$I,"Drone")/1000000000)</f>
        <v>0</v>
      </c>
      <c r="N66" s="15">
        <f>(SUMIFS('MAIN DATA, Orders'!$U:$U,'MAIN DATA, Orders'!$Y:$Y,$A66,'MAIN DATA, Orders'!$D:$D,"Poland",'MAIN DATA, Orders'!$I:$I,"Development - Drone")/1000000000)</f>
        <v>0</v>
      </c>
      <c r="O66" s="15">
        <f>(SUMIFS('MAIN DATA, Orders'!$U:$U,'MAIN DATA, Orders'!$Y:$Y,$A66,'MAIN DATA, Orders'!$D:$D,"Poland",'MAIN DATA, Orders'!$I:$I,"Helicopter")/1000000000)</f>
        <v>0</v>
      </c>
      <c r="P66" s="15">
        <f>(SUMIFS('MAIN DATA, Orders'!$U:$U,'MAIN DATA, Orders'!$Y:$Y,$A66,'MAIN DATA, Orders'!$D:$D,"Poland",'MAIN DATA, Orders'!$I:$I,"Development - Helicopter")/1000000000)</f>
        <v>0</v>
      </c>
      <c r="Q66" s="15">
        <f>(SUMIFS('MAIN DATA, Orders'!$U:$U,'MAIN DATA, Orders'!$Y:$Y,$A66,'MAIN DATA, Orders'!$D:$D,"Poland",'MAIN DATA, Orders'!$I:$I,"Infantry")/1000000000)</f>
        <v>0</v>
      </c>
      <c r="R66" s="15">
        <f>(SUMIFS('MAIN DATA, Orders'!$U:$U,'MAIN DATA, Orders'!$Y:$Y,$A66,'MAIN DATA, Orders'!$D:$D,"Poland",'MAIN DATA, Orders'!$I:$I,"Development - Infantry")/1000000000)</f>
        <v>0</v>
      </c>
      <c r="S66" s="15">
        <f>(SUMIFS('MAIN DATA, Orders'!$U:$U,'MAIN DATA, Orders'!$Y:$Y,$A66,'MAIN DATA, Orders'!$D:$D,"Poland",'MAIN DATA, Orders'!$I:$I,"Tank")/1000000000)</f>
        <v>0</v>
      </c>
      <c r="T66" s="15">
        <f>(SUMIFS('MAIN DATA, Orders'!$U:$U,'MAIN DATA, Orders'!$Y:$Y,$A66,'MAIN DATA, Orders'!$D:$D,"Poland",'MAIN DATA, Orders'!$I:$I,"Development - Tank")/1000000000)</f>
        <v>0</v>
      </c>
      <c r="U66" s="15">
        <f>(SUMIFS('MAIN DATA, Orders'!$U:$U,'MAIN DATA, Orders'!$Y:$Y,$A66,'MAIN DATA, Orders'!$D:$D,"Poland",'MAIN DATA, Orders'!$I:$I,"Maintenance")/1000000000)</f>
        <v>0</v>
      </c>
      <c r="V66" s="15">
        <f>(SUMIFS('MAIN DATA, Orders'!$U:$U,'MAIN DATA, Orders'!$Y:$Y,$A66,'MAIN DATA, Orders'!$D:$D,"Poland",'MAIN DATA, Orders'!$I:$I,"Development - Maintenance")/1000000000)</f>
        <v>0</v>
      </c>
      <c r="W66" s="15">
        <f>(SUMIFS('MAIN DATA, Orders'!$U:$U,'MAIN DATA, Orders'!$Y:$Y,$A66,'MAIN DATA, Orders'!$D:$D,"Poland",'MAIN DATA, Orders'!$I:$I,"Mine")/1000000000)</f>
        <v>0</v>
      </c>
      <c r="X66" s="15">
        <f>(SUMIFS('MAIN DATA, Orders'!$U:$U,'MAIN DATA, Orders'!$Y:$Y,$A66,'MAIN DATA, Orders'!$D:$D,"Poland",'MAIN DATA, Orders'!$I:$I,"Development - Mine")/1000000000)</f>
        <v>0</v>
      </c>
      <c r="Y66" s="15">
        <f>(SUMIFS('MAIN DATA, Orders'!$U:$U,'MAIN DATA, Orders'!$Y:$Y,$A66,'MAIN DATA, Orders'!$D:$D,"Poland",'MAIN DATA, Orders'!$J:$J,"6")/1000000000)</f>
        <v>0</v>
      </c>
      <c r="Z66" s="15" cm="1">
        <f t="array" ref="Z66">SUM(SUMIFS('MAIN DATA, Orders'!$U:$U,'MAIN DATA, Orders'!$Y:$Y,$A66,'MAIN DATA, Orders'!$D:$D,"Poland",'MAIN DATA, Orders'!$I:$I,{"Development - Missile (Land)","Development - Missile (Naval)","Development - Missile (Air)"})/1000000000)</f>
        <v>0</v>
      </c>
      <c r="AA66" s="15">
        <f>(SUMIFS('MAIN DATA, Orders'!$U:$U,'MAIN DATA, Orders'!$Y:$Y,$A66,'MAIN DATA, Orders'!$D:$D,"Poland",'MAIN DATA, Orders'!$I:$I,"Modernisation")/1000000000)</f>
        <v>0</v>
      </c>
      <c r="AB66" s="15">
        <f>(SUMIFS('MAIN DATA, Orders'!$U:$U,'MAIN DATA, Orders'!$Y:$Y,$A66,'MAIN DATA, Orders'!$D:$D,"Poland",'MAIN DATA, Orders'!$I:$I,"Development - Modernisation")/1000000000)</f>
        <v>0</v>
      </c>
      <c r="AC66" s="15">
        <f>(SUMIFS('MAIN DATA, Orders'!$U:$U,'MAIN DATA, Orders'!$Y:$Y,$A66,'MAIN DATA, Orders'!$D:$D,"Poland",'MAIN DATA, Orders'!$I:$I,"Naval")/1000000000)</f>
        <v>0</v>
      </c>
      <c r="AD66" s="15">
        <f>(SUMIFS('MAIN DATA, Orders'!$U:$U,'MAIN DATA, Orders'!$Y:$Y,$A66,'MAIN DATA, Orders'!$D:$D,"Poland",'MAIN DATA, Orders'!$I:$I,"Development - Naval")/1000000000)</f>
        <v>0</v>
      </c>
      <c r="AE66" s="15">
        <f>(SUMIFS('MAIN DATA, Orders'!$U:$U,'MAIN DATA, Orders'!$Y:$Y,$A66,'MAIN DATA, Orders'!$D:$D,"Poland",'MAIN DATA, Orders'!$I:$I,"Other")/1000000000)</f>
        <v>0</v>
      </c>
      <c r="AF66" s="15">
        <f>(SUMIFS('MAIN DATA, Orders'!$U:$U,'MAIN DATA, Orders'!$Y:$Y,$A66,'MAIN DATA, Orders'!$D:$D,"Poland",'MAIN DATA, Orders'!$I:$I,"Development - Other")/1000000000)</f>
        <v>0</v>
      </c>
      <c r="AG66" s="15"/>
      <c r="AH66" s="15" cm="1">
        <f t="array" ref="AH66">SUM(SUMIFS('MAIN DATA, Orders'!$U:$U,'MAIN DATA, Orders'!$Y:$Y,$A66,'MAIN DATA, Orders'!$D:$D,"Poland",'MAIN DATA, Orders'!$I:$I,{"Missile (Land)","Development - Missile (Land)"})/1000000000)</f>
        <v>0</v>
      </c>
      <c r="AI66" s="15" cm="1">
        <f t="array" ref="AI66">SUM(SUMIFS('MAIN DATA, Orders'!$U:$U,'MAIN DATA, Orders'!$Y:$Y,$A66,'MAIN DATA, Orders'!$D:$D,"Poland",'MAIN DATA, Orders'!$I:$I,{"Missile (Air)","Development - Missile (Air)"})/1000000000)</f>
        <v>0</v>
      </c>
      <c r="AJ66" s="15" cm="1">
        <f t="array" ref="AJ66">SUM(SUMIFS('MAIN DATA, Orders'!$U:$U,'MAIN DATA, Orders'!$Y:$Y,$A66,'MAIN DATA, Orders'!$D:$D,"Poland",'MAIN DATA, Orders'!$I:$I,{"Missile (Naval)","Development - Missile (Naval)"})/1000000000)</f>
        <v>0</v>
      </c>
    </row>
    <row r="67" spans="1:36" x14ac:dyDescent="0.35">
      <c r="A67" s="20">
        <v>202401</v>
      </c>
      <c r="B67" s="17">
        <v>45292</v>
      </c>
      <c r="C67" s="15">
        <f>(SUMIFS('MAIN DATA, Orders'!$U:$U,'MAIN DATA, Orders'!$Y:$Y,$A67,'MAIN DATA, Orders'!$D:$D,"Poland",'MAIN DATA, Orders'!$I:$I,"Air defence system")/1000000000)</f>
        <v>0</v>
      </c>
      <c r="D67" s="15">
        <f>(SUMIFS('MAIN DATA, Orders'!$U:$U,'MAIN DATA, Orders'!$Y:$Y,$A67,'MAIN DATA, Orders'!$D:$D,"Poland",'MAIN DATA, Orders'!$I:$I,"Development - Air defence system")/1000000000)</f>
        <v>0</v>
      </c>
      <c r="E67" s="15">
        <f>(SUMIFS('MAIN DATA, Orders'!$U:$U,'MAIN DATA, Orders'!$Y:$Y,$A67,'MAIN DATA, Orders'!$D:$D,"Poland",'MAIN DATA, Orders'!$I:$I,"Aircraft")/1000000000)</f>
        <v>0</v>
      </c>
      <c r="F67" s="15">
        <f>(SUMIFS('MAIN DATA, Orders'!$U:$U,'MAIN DATA, Orders'!$Y:$Y,$A67,'MAIN DATA, Orders'!$D:$D,"Poland",'MAIN DATA, Orders'!$I:$I,"Development - Aircraft")/1000000000)</f>
        <v>0</v>
      </c>
      <c r="G67" s="15">
        <f>(SUMIFS('MAIN DATA, Orders'!$U:$U,'MAIN DATA, Orders'!$Y:$Y,$A67,'MAIN DATA, Orders'!$D:$D,"Poland",'MAIN DATA, Orders'!$I:$I,"Ammunition")/1000000000)</f>
        <v>0</v>
      </c>
      <c r="H67" s="15">
        <f>(SUMIFS('MAIN DATA, Orders'!$U:$U,'MAIN DATA, Orders'!$Y:$Y,$A67,'MAIN DATA, Orders'!$D:$D,"Poland",'MAIN DATA, Orders'!$I:$I,"Development - Ammunition")/1000000000)</f>
        <v>0</v>
      </c>
      <c r="I67" s="15">
        <f>(SUMIFS('MAIN DATA, Orders'!$U:$U,'MAIN DATA, Orders'!$Y:$Y,$A67,'MAIN DATA, Orders'!$D:$D,"Poland",'MAIN DATA, Orders'!$I:$I,"Armoured vehicle")/1000000000)</f>
        <v>0</v>
      </c>
      <c r="J67" s="15">
        <f>(SUMIFS('MAIN DATA, Orders'!$U:$U,'MAIN DATA, Orders'!$Y:$Y,$A67,'MAIN DATA, Orders'!$D:$D,"Poland",'MAIN DATA, Orders'!$I:$I,"Development - Armoured vehicle")/1000000000)</f>
        <v>0</v>
      </c>
      <c r="K67" s="15">
        <f>(SUMIFS('MAIN DATA, Orders'!$U:$U,'MAIN DATA, Orders'!$Y:$Y,$A67,'MAIN DATA, Orders'!$D:$D,"Poland",'MAIN DATA, Orders'!$I:$I,"Artillery")/1000000000)</f>
        <v>0</v>
      </c>
      <c r="L67" s="15">
        <f>(SUMIFS('MAIN DATA, Orders'!$U:$U,'MAIN DATA, Orders'!$Y:$Y,$A67,'MAIN DATA, Orders'!$D:$D,"Poland",'MAIN DATA, Orders'!$I:$I,"Development - Artillery")/1000000000)</f>
        <v>0</v>
      </c>
      <c r="M67" s="15">
        <f>(SUMIFS('MAIN DATA, Orders'!$U:$U,'MAIN DATA, Orders'!$Y:$Y,$A67,'MAIN DATA, Orders'!$D:$D,"Poland",'MAIN DATA, Orders'!$I:$I,"Drone")/1000000000)</f>
        <v>0</v>
      </c>
      <c r="N67" s="15">
        <f>(SUMIFS('MAIN DATA, Orders'!$U:$U,'MAIN DATA, Orders'!$Y:$Y,$A67,'MAIN DATA, Orders'!$D:$D,"Poland",'MAIN DATA, Orders'!$I:$I,"Development - Drone")/1000000000)</f>
        <v>0</v>
      </c>
      <c r="O67" s="15">
        <f>(SUMIFS('MAIN DATA, Orders'!$U:$U,'MAIN DATA, Orders'!$Y:$Y,$A67,'MAIN DATA, Orders'!$D:$D,"Poland",'MAIN DATA, Orders'!$I:$I,"Helicopter")/1000000000)</f>
        <v>0</v>
      </c>
      <c r="P67" s="15">
        <f>(SUMIFS('MAIN DATA, Orders'!$U:$U,'MAIN DATA, Orders'!$Y:$Y,$A67,'MAIN DATA, Orders'!$D:$D,"Poland",'MAIN DATA, Orders'!$I:$I,"Development - Helicopter")/1000000000)</f>
        <v>0</v>
      </c>
      <c r="Q67" s="15">
        <f>(SUMIFS('MAIN DATA, Orders'!$U:$U,'MAIN DATA, Orders'!$Y:$Y,$A67,'MAIN DATA, Orders'!$D:$D,"Poland",'MAIN DATA, Orders'!$I:$I,"Infantry")/1000000000)</f>
        <v>0</v>
      </c>
      <c r="R67" s="15">
        <f>(SUMIFS('MAIN DATA, Orders'!$U:$U,'MAIN DATA, Orders'!$Y:$Y,$A67,'MAIN DATA, Orders'!$D:$D,"Poland",'MAIN DATA, Orders'!$I:$I,"Development - Infantry")/1000000000)</f>
        <v>0</v>
      </c>
      <c r="S67" s="15">
        <f>(SUMIFS('MAIN DATA, Orders'!$U:$U,'MAIN DATA, Orders'!$Y:$Y,$A67,'MAIN DATA, Orders'!$D:$D,"Poland",'MAIN DATA, Orders'!$I:$I,"Tank")/1000000000)</f>
        <v>0</v>
      </c>
      <c r="T67" s="15">
        <f>(SUMIFS('MAIN DATA, Orders'!$U:$U,'MAIN DATA, Orders'!$Y:$Y,$A67,'MAIN DATA, Orders'!$D:$D,"Poland",'MAIN DATA, Orders'!$I:$I,"Development - Tank")/1000000000)</f>
        <v>0</v>
      </c>
      <c r="U67" s="15">
        <f>(SUMIFS('MAIN DATA, Orders'!$U:$U,'MAIN DATA, Orders'!$Y:$Y,$A67,'MAIN DATA, Orders'!$D:$D,"Poland",'MAIN DATA, Orders'!$I:$I,"Maintenance")/1000000000)</f>
        <v>0</v>
      </c>
      <c r="V67" s="15">
        <f>(SUMIFS('MAIN DATA, Orders'!$U:$U,'MAIN DATA, Orders'!$Y:$Y,$A67,'MAIN DATA, Orders'!$D:$D,"Poland",'MAIN DATA, Orders'!$I:$I,"Development - Maintenance")/1000000000)</f>
        <v>0</v>
      </c>
      <c r="W67" s="15">
        <f>(SUMIFS('MAIN DATA, Orders'!$U:$U,'MAIN DATA, Orders'!$Y:$Y,$A67,'MAIN DATA, Orders'!$D:$D,"Poland",'MAIN DATA, Orders'!$I:$I,"Mine")/1000000000)</f>
        <v>0</v>
      </c>
      <c r="X67" s="15">
        <f>(SUMIFS('MAIN DATA, Orders'!$U:$U,'MAIN DATA, Orders'!$Y:$Y,$A67,'MAIN DATA, Orders'!$D:$D,"Poland",'MAIN DATA, Orders'!$I:$I,"Development - Mine")/1000000000)</f>
        <v>0</v>
      </c>
      <c r="Y67" s="15">
        <f>(SUMIFS('MAIN DATA, Orders'!$U:$U,'MAIN DATA, Orders'!$Y:$Y,$A67,'MAIN DATA, Orders'!$D:$D,"Poland",'MAIN DATA, Orders'!$J:$J,"6")/1000000000)</f>
        <v>0</v>
      </c>
      <c r="Z67" s="15" cm="1">
        <f t="array" ref="Z67">SUM(SUMIFS('MAIN DATA, Orders'!$U:$U,'MAIN DATA, Orders'!$Y:$Y,$A67,'MAIN DATA, Orders'!$D:$D,"Poland",'MAIN DATA, Orders'!$I:$I,{"Development - Missile (Land)","Development - Missile (Naval)","Development - Missile (Air)"})/1000000000)</f>
        <v>0</v>
      </c>
      <c r="AA67" s="15">
        <f>(SUMIFS('MAIN DATA, Orders'!$U:$U,'MAIN DATA, Orders'!$Y:$Y,$A67,'MAIN DATA, Orders'!$D:$D,"Poland",'MAIN DATA, Orders'!$I:$I,"Modernisation")/1000000000)</f>
        <v>0</v>
      </c>
      <c r="AB67" s="15">
        <f>(SUMIFS('MAIN DATA, Orders'!$U:$U,'MAIN DATA, Orders'!$Y:$Y,$A67,'MAIN DATA, Orders'!$D:$D,"Poland",'MAIN DATA, Orders'!$I:$I,"Development - Modernisation")/1000000000)</f>
        <v>0</v>
      </c>
      <c r="AC67" s="15">
        <f>(SUMIFS('MAIN DATA, Orders'!$U:$U,'MAIN DATA, Orders'!$Y:$Y,$A67,'MAIN DATA, Orders'!$D:$D,"Poland",'MAIN DATA, Orders'!$I:$I,"Naval")/1000000000)</f>
        <v>0</v>
      </c>
      <c r="AD67" s="15">
        <f>(SUMIFS('MAIN DATA, Orders'!$U:$U,'MAIN DATA, Orders'!$Y:$Y,$A67,'MAIN DATA, Orders'!$D:$D,"Poland",'MAIN DATA, Orders'!$I:$I,"Development - Naval")/1000000000)</f>
        <v>0</v>
      </c>
      <c r="AE67" s="15">
        <f>(SUMIFS('MAIN DATA, Orders'!$U:$U,'MAIN DATA, Orders'!$Y:$Y,$A67,'MAIN DATA, Orders'!$D:$D,"Poland",'MAIN DATA, Orders'!$I:$I,"Other")/1000000000)</f>
        <v>0</v>
      </c>
      <c r="AF67" s="15">
        <f>(SUMIFS('MAIN DATA, Orders'!$U:$U,'MAIN DATA, Orders'!$Y:$Y,$A67,'MAIN DATA, Orders'!$D:$D,"Poland",'MAIN DATA, Orders'!$I:$I,"Development - Other")/1000000000)</f>
        <v>0</v>
      </c>
      <c r="AG67" s="15"/>
      <c r="AH67" s="15" cm="1">
        <f t="array" ref="AH67">SUM(SUMIFS('MAIN DATA, Orders'!$U:$U,'MAIN DATA, Orders'!$Y:$Y,$A67,'MAIN DATA, Orders'!$D:$D,"Poland",'MAIN DATA, Orders'!$I:$I,{"Missile (Land)","Development - Missile (Land)"})/1000000000)</f>
        <v>0</v>
      </c>
      <c r="AI67" s="15" cm="1">
        <f t="array" ref="AI67">SUM(SUMIFS('MAIN DATA, Orders'!$U:$U,'MAIN DATA, Orders'!$Y:$Y,$A67,'MAIN DATA, Orders'!$D:$D,"Poland",'MAIN DATA, Orders'!$I:$I,{"Missile (Air)","Development - Missile (Air)"})/1000000000)</f>
        <v>0</v>
      </c>
      <c r="AJ67" s="15" cm="1">
        <f t="array" ref="AJ67">SUM(SUMIFS('MAIN DATA, Orders'!$U:$U,'MAIN DATA, Orders'!$Y:$Y,$A67,'MAIN DATA, Orders'!$D:$D,"Poland",'MAIN DATA, Orders'!$I:$I,{"Missile (Naval)","Development - Missile (Naval)"})/1000000000)</f>
        <v>0</v>
      </c>
    </row>
    <row r="68" spans="1:36" x14ac:dyDescent="0.35">
      <c r="A68" s="20">
        <v>202402</v>
      </c>
      <c r="B68" s="17">
        <v>45323</v>
      </c>
      <c r="C68" s="15">
        <f>(SUMIFS('MAIN DATA, Orders'!$U:$U,'MAIN DATA, Orders'!$Y:$Y,$A68,'MAIN DATA, Orders'!$D:$D,"Poland",'MAIN DATA, Orders'!$I:$I,"Air defence system")/1000000000)</f>
        <v>2.3373983739837398</v>
      </c>
      <c r="D68" s="15">
        <f>(SUMIFS('MAIN DATA, Orders'!$U:$U,'MAIN DATA, Orders'!$Y:$Y,$A68,'MAIN DATA, Orders'!$D:$D,"Poland",'MAIN DATA, Orders'!$I:$I,"Development - Air defence system")/1000000000)</f>
        <v>0</v>
      </c>
      <c r="E68" s="15">
        <f>(SUMIFS('MAIN DATA, Orders'!$U:$U,'MAIN DATA, Orders'!$Y:$Y,$A68,'MAIN DATA, Orders'!$D:$D,"Poland",'MAIN DATA, Orders'!$I:$I,"Aircraft")/1000000000)</f>
        <v>0</v>
      </c>
      <c r="F68" s="15">
        <f>(SUMIFS('MAIN DATA, Orders'!$U:$U,'MAIN DATA, Orders'!$Y:$Y,$A68,'MAIN DATA, Orders'!$D:$D,"Poland",'MAIN DATA, Orders'!$I:$I,"Development - Aircraft")/1000000000)</f>
        <v>0</v>
      </c>
      <c r="G68" s="15">
        <f>(SUMIFS('MAIN DATA, Orders'!$U:$U,'MAIN DATA, Orders'!$Y:$Y,$A68,'MAIN DATA, Orders'!$D:$D,"Poland",'MAIN DATA, Orders'!$I:$I,"Ammunition")/1000000000)</f>
        <v>0</v>
      </c>
      <c r="H68" s="15">
        <f>(SUMIFS('MAIN DATA, Orders'!$U:$U,'MAIN DATA, Orders'!$Y:$Y,$A68,'MAIN DATA, Orders'!$D:$D,"Poland",'MAIN DATA, Orders'!$I:$I,"Development - Ammunition")/1000000000)</f>
        <v>0</v>
      </c>
      <c r="I68" s="15">
        <f>(SUMIFS('MAIN DATA, Orders'!$U:$U,'MAIN DATA, Orders'!$Y:$Y,$A68,'MAIN DATA, Orders'!$D:$D,"Poland",'MAIN DATA, Orders'!$I:$I,"Armoured vehicle")/1000000000)</f>
        <v>0</v>
      </c>
      <c r="J68" s="15">
        <f>(SUMIFS('MAIN DATA, Orders'!$U:$U,'MAIN DATA, Orders'!$Y:$Y,$A68,'MAIN DATA, Orders'!$D:$D,"Poland",'MAIN DATA, Orders'!$I:$I,"Development - Armoured vehicle")/1000000000)</f>
        <v>0</v>
      </c>
      <c r="K68" s="15">
        <f>(SUMIFS('MAIN DATA, Orders'!$U:$U,'MAIN DATA, Orders'!$Y:$Y,$A68,'MAIN DATA, Orders'!$D:$D,"Poland",'MAIN DATA, Orders'!$I:$I,"Artillery")/1000000000)</f>
        <v>0</v>
      </c>
      <c r="L68" s="15">
        <f>(SUMIFS('MAIN DATA, Orders'!$U:$U,'MAIN DATA, Orders'!$Y:$Y,$A68,'MAIN DATA, Orders'!$D:$D,"Poland",'MAIN DATA, Orders'!$I:$I,"Development - Artillery")/1000000000)</f>
        <v>0</v>
      </c>
      <c r="M68" s="15">
        <f>(SUMIFS('MAIN DATA, Orders'!$U:$U,'MAIN DATA, Orders'!$Y:$Y,$A68,'MAIN DATA, Orders'!$D:$D,"Poland",'MAIN DATA, Orders'!$I:$I,"Drone")/1000000000)</f>
        <v>0</v>
      </c>
      <c r="N68" s="15">
        <f>(SUMIFS('MAIN DATA, Orders'!$U:$U,'MAIN DATA, Orders'!$Y:$Y,$A68,'MAIN DATA, Orders'!$D:$D,"Poland",'MAIN DATA, Orders'!$I:$I,"Development - Drone")/1000000000)</f>
        <v>0</v>
      </c>
      <c r="O68" s="15">
        <f>(SUMIFS('MAIN DATA, Orders'!$U:$U,'MAIN DATA, Orders'!$Y:$Y,$A68,'MAIN DATA, Orders'!$D:$D,"Poland",'MAIN DATA, Orders'!$I:$I,"Helicopter")/1000000000)</f>
        <v>0</v>
      </c>
      <c r="P68" s="15">
        <f>(SUMIFS('MAIN DATA, Orders'!$U:$U,'MAIN DATA, Orders'!$Y:$Y,$A68,'MAIN DATA, Orders'!$D:$D,"Poland",'MAIN DATA, Orders'!$I:$I,"Development - Helicopter")/1000000000)</f>
        <v>0</v>
      </c>
      <c r="Q68" s="15">
        <f>(SUMIFS('MAIN DATA, Orders'!$U:$U,'MAIN DATA, Orders'!$Y:$Y,$A68,'MAIN DATA, Orders'!$D:$D,"Poland",'MAIN DATA, Orders'!$I:$I,"Infantry")/1000000000)</f>
        <v>0</v>
      </c>
      <c r="R68" s="15">
        <f>(SUMIFS('MAIN DATA, Orders'!$U:$U,'MAIN DATA, Orders'!$Y:$Y,$A68,'MAIN DATA, Orders'!$D:$D,"Poland",'MAIN DATA, Orders'!$I:$I,"Development - Infantry")/1000000000)</f>
        <v>0</v>
      </c>
      <c r="S68" s="15">
        <f>(SUMIFS('MAIN DATA, Orders'!$U:$U,'MAIN DATA, Orders'!$Y:$Y,$A68,'MAIN DATA, Orders'!$D:$D,"Poland",'MAIN DATA, Orders'!$I:$I,"Tank")/1000000000)</f>
        <v>0</v>
      </c>
      <c r="T68" s="15">
        <f>(SUMIFS('MAIN DATA, Orders'!$U:$U,'MAIN DATA, Orders'!$Y:$Y,$A68,'MAIN DATA, Orders'!$D:$D,"Poland",'MAIN DATA, Orders'!$I:$I,"Development - Tank")/1000000000)</f>
        <v>0</v>
      </c>
      <c r="U68" s="15">
        <f>(SUMIFS('MAIN DATA, Orders'!$U:$U,'MAIN DATA, Orders'!$Y:$Y,$A68,'MAIN DATA, Orders'!$D:$D,"Poland",'MAIN DATA, Orders'!$I:$I,"Maintenance")/1000000000)</f>
        <v>0</v>
      </c>
      <c r="V68" s="15">
        <f>(SUMIFS('MAIN DATA, Orders'!$U:$U,'MAIN DATA, Orders'!$Y:$Y,$A68,'MAIN DATA, Orders'!$D:$D,"Poland",'MAIN DATA, Orders'!$I:$I,"Development - Maintenance")/1000000000)</f>
        <v>0</v>
      </c>
      <c r="W68" s="15">
        <f>(SUMIFS('MAIN DATA, Orders'!$U:$U,'MAIN DATA, Orders'!$Y:$Y,$A68,'MAIN DATA, Orders'!$D:$D,"Poland",'MAIN DATA, Orders'!$I:$I,"Mine")/1000000000)</f>
        <v>0</v>
      </c>
      <c r="X68" s="15">
        <f>(SUMIFS('MAIN DATA, Orders'!$U:$U,'MAIN DATA, Orders'!$Y:$Y,$A68,'MAIN DATA, Orders'!$D:$D,"Poland",'MAIN DATA, Orders'!$I:$I,"Development - Mine")/1000000000)</f>
        <v>0</v>
      </c>
      <c r="Y68" s="15">
        <f>(SUMIFS('MAIN DATA, Orders'!$U:$U,'MAIN DATA, Orders'!$Y:$Y,$A68,'MAIN DATA, Orders'!$D:$D,"Poland",'MAIN DATA, Orders'!$J:$J,"6")/1000000000)</f>
        <v>0</v>
      </c>
      <c r="Z68" s="15" cm="1">
        <f t="array" ref="Z68">SUM(SUMIFS('MAIN DATA, Orders'!$U:$U,'MAIN DATA, Orders'!$Y:$Y,$A68,'MAIN DATA, Orders'!$D:$D,"Poland",'MAIN DATA, Orders'!$I:$I,{"Development - Missile (Land)","Development - Missile (Naval)","Development - Missile (Air)"})/1000000000)</f>
        <v>0</v>
      </c>
      <c r="AA68" s="15">
        <f>(SUMIFS('MAIN DATA, Orders'!$U:$U,'MAIN DATA, Orders'!$Y:$Y,$A68,'MAIN DATA, Orders'!$D:$D,"Poland",'MAIN DATA, Orders'!$I:$I,"Modernisation")/1000000000)</f>
        <v>0</v>
      </c>
      <c r="AB68" s="15">
        <f>(SUMIFS('MAIN DATA, Orders'!$U:$U,'MAIN DATA, Orders'!$Y:$Y,$A68,'MAIN DATA, Orders'!$D:$D,"Poland",'MAIN DATA, Orders'!$I:$I,"Development - Modernisation")/1000000000)</f>
        <v>0</v>
      </c>
      <c r="AC68" s="15">
        <f>(SUMIFS('MAIN DATA, Orders'!$U:$U,'MAIN DATA, Orders'!$Y:$Y,$A68,'MAIN DATA, Orders'!$D:$D,"Poland",'MAIN DATA, Orders'!$I:$I,"Naval")/1000000000)</f>
        <v>0</v>
      </c>
      <c r="AD68" s="15">
        <f>(SUMIFS('MAIN DATA, Orders'!$U:$U,'MAIN DATA, Orders'!$Y:$Y,$A68,'MAIN DATA, Orders'!$D:$D,"Poland",'MAIN DATA, Orders'!$I:$I,"Development - Naval")/1000000000)</f>
        <v>0</v>
      </c>
      <c r="AE68" s="15">
        <f>(SUMIFS('MAIN DATA, Orders'!$U:$U,'MAIN DATA, Orders'!$Y:$Y,$A68,'MAIN DATA, Orders'!$D:$D,"Poland",'MAIN DATA, Orders'!$I:$I,"Other")/1000000000)</f>
        <v>6.9673463700125407E-2</v>
      </c>
      <c r="AF68" s="15">
        <f>(SUMIFS('MAIN DATA, Orders'!$U:$U,'MAIN DATA, Orders'!$Y:$Y,$A68,'MAIN DATA, Orders'!$D:$D,"Poland",'MAIN DATA, Orders'!$I:$I,"Development - Other")/1000000000)</f>
        <v>0</v>
      </c>
      <c r="AG68" s="15"/>
      <c r="AH68" s="15" cm="1">
        <f t="array" ref="AH68">SUM(SUMIFS('MAIN DATA, Orders'!$U:$U,'MAIN DATA, Orders'!$Y:$Y,$A68,'MAIN DATA, Orders'!$D:$D,"Poland",'MAIN DATA, Orders'!$I:$I,{"Missile (Land)","Development - Missile (Land)"})/1000000000)</f>
        <v>0</v>
      </c>
      <c r="AI68" s="15" cm="1">
        <f t="array" ref="AI68">SUM(SUMIFS('MAIN DATA, Orders'!$U:$U,'MAIN DATA, Orders'!$Y:$Y,$A68,'MAIN DATA, Orders'!$D:$D,"Poland",'MAIN DATA, Orders'!$I:$I,{"Missile (Air)","Development - Missile (Air)"})/1000000000)</f>
        <v>0</v>
      </c>
      <c r="AJ68" s="15" cm="1">
        <f t="array" ref="AJ68">SUM(SUMIFS('MAIN DATA, Orders'!$U:$U,'MAIN DATA, Orders'!$Y:$Y,$A68,'MAIN DATA, Orders'!$D:$D,"Poland",'MAIN DATA, Orders'!$I:$I,{"Missile (Naval)","Development - Missile (Naval)"})/1000000000)</f>
        <v>0</v>
      </c>
    </row>
    <row r="69" spans="1:36" x14ac:dyDescent="0.35">
      <c r="A69" s="20">
        <v>202403</v>
      </c>
      <c r="B69" s="17">
        <v>45352</v>
      </c>
      <c r="C69" s="15">
        <f>(SUMIFS('MAIN DATA, Orders'!$U:$U,'MAIN DATA, Orders'!$Y:$Y,$A69,'MAIN DATA, Orders'!$D:$D,"Poland",'MAIN DATA, Orders'!$I:$I,"Air defence system")/1000000000)</f>
        <v>0</v>
      </c>
      <c r="D69" s="15">
        <f>(SUMIFS('MAIN DATA, Orders'!$U:$U,'MAIN DATA, Orders'!$Y:$Y,$A69,'MAIN DATA, Orders'!$D:$D,"Poland",'MAIN DATA, Orders'!$I:$I,"Development - Air defence system")/1000000000)</f>
        <v>0</v>
      </c>
      <c r="E69" s="15">
        <f>(SUMIFS('MAIN DATA, Orders'!$U:$U,'MAIN DATA, Orders'!$Y:$Y,$A69,'MAIN DATA, Orders'!$D:$D,"Poland",'MAIN DATA, Orders'!$I:$I,"Aircraft")/1000000000)</f>
        <v>0</v>
      </c>
      <c r="F69" s="15">
        <f>(SUMIFS('MAIN DATA, Orders'!$U:$U,'MAIN DATA, Orders'!$Y:$Y,$A69,'MAIN DATA, Orders'!$D:$D,"Poland",'MAIN DATA, Orders'!$I:$I,"Development - Aircraft")/1000000000)</f>
        <v>0</v>
      </c>
      <c r="G69" s="15">
        <f>(SUMIFS('MAIN DATA, Orders'!$U:$U,'MAIN DATA, Orders'!$Y:$Y,$A69,'MAIN DATA, Orders'!$D:$D,"Poland",'MAIN DATA, Orders'!$I:$I,"Ammunition")/1000000000)</f>
        <v>0</v>
      </c>
      <c r="H69" s="15">
        <f>(SUMIFS('MAIN DATA, Orders'!$U:$U,'MAIN DATA, Orders'!$Y:$Y,$A69,'MAIN DATA, Orders'!$D:$D,"Poland",'MAIN DATA, Orders'!$I:$I,"Development - Ammunition")/1000000000)</f>
        <v>0</v>
      </c>
      <c r="I69" s="15">
        <f>(SUMIFS('MAIN DATA, Orders'!$U:$U,'MAIN DATA, Orders'!$Y:$Y,$A69,'MAIN DATA, Orders'!$D:$D,"Poland",'MAIN DATA, Orders'!$I:$I,"Armoured vehicle")/1000000000)</f>
        <v>0</v>
      </c>
      <c r="J69" s="15">
        <f>(SUMIFS('MAIN DATA, Orders'!$U:$U,'MAIN DATA, Orders'!$Y:$Y,$A69,'MAIN DATA, Orders'!$D:$D,"Poland",'MAIN DATA, Orders'!$I:$I,"Development - Armoured vehicle")/1000000000)</f>
        <v>0</v>
      </c>
      <c r="K69" s="15">
        <f>(SUMIFS('MAIN DATA, Orders'!$U:$U,'MAIN DATA, Orders'!$Y:$Y,$A69,'MAIN DATA, Orders'!$D:$D,"Poland",'MAIN DATA, Orders'!$I:$I,"Artillery")/1000000000)</f>
        <v>0</v>
      </c>
      <c r="L69" s="15">
        <f>(SUMIFS('MAIN DATA, Orders'!$U:$U,'MAIN DATA, Orders'!$Y:$Y,$A69,'MAIN DATA, Orders'!$D:$D,"Poland",'MAIN DATA, Orders'!$I:$I,"Development - Artillery")/1000000000)</f>
        <v>0</v>
      </c>
      <c r="M69" s="15">
        <f>(SUMIFS('MAIN DATA, Orders'!$U:$U,'MAIN DATA, Orders'!$Y:$Y,$A69,'MAIN DATA, Orders'!$D:$D,"Poland",'MAIN DATA, Orders'!$I:$I,"Drone")/1000000000)</f>
        <v>0</v>
      </c>
      <c r="N69" s="15">
        <f>(SUMIFS('MAIN DATA, Orders'!$U:$U,'MAIN DATA, Orders'!$Y:$Y,$A69,'MAIN DATA, Orders'!$D:$D,"Poland",'MAIN DATA, Orders'!$I:$I,"Development - Drone")/1000000000)</f>
        <v>0</v>
      </c>
      <c r="O69" s="15">
        <f>(SUMIFS('MAIN DATA, Orders'!$U:$U,'MAIN DATA, Orders'!$Y:$Y,$A69,'MAIN DATA, Orders'!$D:$D,"Poland",'MAIN DATA, Orders'!$I:$I,"Helicopter")/1000000000)</f>
        <v>0</v>
      </c>
      <c r="P69" s="15">
        <f>(SUMIFS('MAIN DATA, Orders'!$U:$U,'MAIN DATA, Orders'!$Y:$Y,$A69,'MAIN DATA, Orders'!$D:$D,"Poland",'MAIN DATA, Orders'!$I:$I,"Development - Helicopter")/1000000000)</f>
        <v>0</v>
      </c>
      <c r="Q69" s="15">
        <f>(SUMIFS('MAIN DATA, Orders'!$U:$U,'MAIN DATA, Orders'!$Y:$Y,$A69,'MAIN DATA, Orders'!$D:$D,"Poland",'MAIN DATA, Orders'!$I:$I,"Infantry")/1000000000)</f>
        <v>1.5095917135027175</v>
      </c>
      <c r="R69" s="15">
        <f>(SUMIFS('MAIN DATA, Orders'!$U:$U,'MAIN DATA, Orders'!$Y:$Y,$A69,'MAIN DATA, Orders'!$D:$D,"Poland",'MAIN DATA, Orders'!$I:$I,"Development - Infantry")/1000000000)</f>
        <v>0</v>
      </c>
      <c r="S69" s="15">
        <f>(SUMIFS('MAIN DATA, Orders'!$U:$U,'MAIN DATA, Orders'!$Y:$Y,$A69,'MAIN DATA, Orders'!$D:$D,"Poland",'MAIN DATA, Orders'!$I:$I,"Tank")/1000000000)</f>
        <v>0</v>
      </c>
      <c r="T69" s="15">
        <f>(SUMIFS('MAIN DATA, Orders'!$U:$U,'MAIN DATA, Orders'!$Y:$Y,$A69,'MAIN DATA, Orders'!$D:$D,"Poland",'MAIN DATA, Orders'!$I:$I,"Development - Tank")/1000000000)</f>
        <v>0</v>
      </c>
      <c r="U69" s="15">
        <f>(SUMIFS('MAIN DATA, Orders'!$U:$U,'MAIN DATA, Orders'!$Y:$Y,$A69,'MAIN DATA, Orders'!$D:$D,"Poland",'MAIN DATA, Orders'!$I:$I,"Maintenance")/1000000000)</f>
        <v>0</v>
      </c>
      <c r="V69" s="15">
        <f>(SUMIFS('MAIN DATA, Orders'!$U:$U,'MAIN DATA, Orders'!$Y:$Y,$A69,'MAIN DATA, Orders'!$D:$D,"Poland",'MAIN DATA, Orders'!$I:$I,"Development - Maintenance")/1000000000)</f>
        <v>0</v>
      </c>
      <c r="W69" s="15">
        <f>(SUMIFS('MAIN DATA, Orders'!$U:$U,'MAIN DATA, Orders'!$Y:$Y,$A69,'MAIN DATA, Orders'!$D:$D,"Poland",'MAIN DATA, Orders'!$I:$I,"Mine")/1000000000)</f>
        <v>0</v>
      </c>
      <c r="X69" s="15">
        <f>(SUMIFS('MAIN DATA, Orders'!$U:$U,'MAIN DATA, Orders'!$Y:$Y,$A69,'MAIN DATA, Orders'!$D:$D,"Poland",'MAIN DATA, Orders'!$I:$I,"Development - Mine")/1000000000)</f>
        <v>0</v>
      </c>
      <c r="Y69" s="15">
        <f>(SUMIFS('MAIN DATA, Orders'!$U:$U,'MAIN DATA, Orders'!$Y:$Y,$A69,'MAIN DATA, Orders'!$D:$D,"Poland",'MAIN DATA, Orders'!$J:$J,"6")/1000000000)</f>
        <v>0</v>
      </c>
      <c r="Z69" s="15" cm="1">
        <f t="array" ref="Z69">SUM(SUMIFS('MAIN DATA, Orders'!$U:$U,'MAIN DATA, Orders'!$Y:$Y,$A69,'MAIN DATA, Orders'!$D:$D,"Poland",'MAIN DATA, Orders'!$I:$I,{"Development - Missile (Land)","Development - Missile (Naval)","Development - Missile (Air)"})/1000000000)</f>
        <v>0</v>
      </c>
      <c r="AA69" s="15">
        <f>(SUMIFS('MAIN DATA, Orders'!$U:$U,'MAIN DATA, Orders'!$Y:$Y,$A69,'MAIN DATA, Orders'!$D:$D,"Poland",'MAIN DATA, Orders'!$I:$I,"Modernisation")/1000000000)</f>
        <v>0</v>
      </c>
      <c r="AB69" s="15">
        <f>(SUMIFS('MAIN DATA, Orders'!$U:$U,'MAIN DATA, Orders'!$Y:$Y,$A69,'MAIN DATA, Orders'!$D:$D,"Poland",'MAIN DATA, Orders'!$I:$I,"Development - Modernisation")/1000000000)</f>
        <v>0</v>
      </c>
      <c r="AC69" s="15">
        <f>(SUMIFS('MAIN DATA, Orders'!$U:$U,'MAIN DATA, Orders'!$Y:$Y,$A69,'MAIN DATA, Orders'!$D:$D,"Poland",'MAIN DATA, Orders'!$I:$I,"Naval")/1000000000)</f>
        <v>0</v>
      </c>
      <c r="AD69" s="15">
        <f>(SUMIFS('MAIN DATA, Orders'!$U:$U,'MAIN DATA, Orders'!$Y:$Y,$A69,'MAIN DATA, Orders'!$D:$D,"Poland",'MAIN DATA, Orders'!$I:$I,"Development - Naval")/1000000000)</f>
        <v>0</v>
      </c>
      <c r="AE69" s="15">
        <f>(SUMIFS('MAIN DATA, Orders'!$U:$U,'MAIN DATA, Orders'!$Y:$Y,$A69,'MAIN DATA, Orders'!$D:$D,"Poland",'MAIN DATA, Orders'!$I:$I,"Other")/1000000000)</f>
        <v>0</v>
      </c>
      <c r="AF69" s="15">
        <f>(SUMIFS('MAIN DATA, Orders'!$U:$U,'MAIN DATA, Orders'!$Y:$Y,$A69,'MAIN DATA, Orders'!$D:$D,"Poland",'MAIN DATA, Orders'!$I:$I,"Development - Other")/1000000000)</f>
        <v>0</v>
      </c>
      <c r="AG69" s="15"/>
      <c r="AH69" s="15" cm="1">
        <f t="array" ref="AH69">SUM(SUMIFS('MAIN DATA, Orders'!$U:$U,'MAIN DATA, Orders'!$Y:$Y,$A69,'MAIN DATA, Orders'!$D:$D,"Poland",'MAIN DATA, Orders'!$I:$I,{"Missile (Land)","Development - Missile (Land)"})/1000000000)</f>
        <v>0</v>
      </c>
      <c r="AI69" s="15" cm="1">
        <f t="array" ref="AI69">SUM(SUMIFS('MAIN DATA, Orders'!$U:$U,'MAIN DATA, Orders'!$Y:$Y,$A69,'MAIN DATA, Orders'!$D:$D,"Poland",'MAIN DATA, Orders'!$I:$I,{"Missile (Air)","Development - Missile (Air)"})/1000000000)</f>
        <v>0</v>
      </c>
      <c r="AJ69" s="15" cm="1">
        <f t="array" ref="AJ69">SUM(SUMIFS('MAIN DATA, Orders'!$U:$U,'MAIN DATA, Orders'!$Y:$Y,$A69,'MAIN DATA, Orders'!$D:$D,"Poland",'MAIN DATA, Orders'!$I:$I,{"Missile (Naval)","Development - Missile (Naval)"})/1000000000)</f>
        <v>0</v>
      </c>
    </row>
    <row r="70" spans="1:36" x14ac:dyDescent="0.35">
      <c r="A70" s="20">
        <v>202404</v>
      </c>
      <c r="B70" s="17">
        <v>45383</v>
      </c>
      <c r="C70" s="15">
        <f>(SUMIFS('MAIN DATA, Orders'!$U:$U,'MAIN DATA, Orders'!$Y:$Y,$A70,'MAIN DATA, Orders'!$D:$D,"Poland",'MAIN DATA, Orders'!$I:$I,"Air defence system")/1000000000)</f>
        <v>0</v>
      </c>
      <c r="D70" s="15">
        <f>(SUMIFS('MAIN DATA, Orders'!$U:$U,'MAIN DATA, Orders'!$Y:$Y,$A70,'MAIN DATA, Orders'!$D:$D,"Poland",'MAIN DATA, Orders'!$I:$I,"Development - Air defence system")/1000000000)</f>
        <v>0</v>
      </c>
      <c r="E70" s="15">
        <f>(SUMIFS('MAIN DATA, Orders'!$U:$U,'MAIN DATA, Orders'!$Y:$Y,$A70,'MAIN DATA, Orders'!$D:$D,"Poland",'MAIN DATA, Orders'!$I:$I,"Aircraft")/1000000000)</f>
        <v>0</v>
      </c>
      <c r="F70" s="15">
        <f>(SUMIFS('MAIN DATA, Orders'!$U:$U,'MAIN DATA, Orders'!$Y:$Y,$A70,'MAIN DATA, Orders'!$D:$D,"Poland",'MAIN DATA, Orders'!$I:$I,"Development - Aircraft")/1000000000)</f>
        <v>0</v>
      </c>
      <c r="G70" s="15">
        <f>(SUMIFS('MAIN DATA, Orders'!$U:$U,'MAIN DATA, Orders'!$Y:$Y,$A70,'MAIN DATA, Orders'!$D:$D,"Poland",'MAIN DATA, Orders'!$I:$I,"Ammunition")/1000000000)</f>
        <v>0</v>
      </c>
      <c r="H70" s="15">
        <f>(SUMIFS('MAIN DATA, Orders'!$U:$U,'MAIN DATA, Orders'!$Y:$Y,$A70,'MAIN DATA, Orders'!$D:$D,"Poland",'MAIN DATA, Orders'!$I:$I,"Development - Ammunition")/1000000000)</f>
        <v>0</v>
      </c>
      <c r="I70" s="15">
        <f>(SUMIFS('MAIN DATA, Orders'!$U:$U,'MAIN DATA, Orders'!$Y:$Y,$A70,'MAIN DATA, Orders'!$D:$D,"Poland",'MAIN DATA, Orders'!$I:$I,"Armoured vehicle")/1000000000)</f>
        <v>0</v>
      </c>
      <c r="J70" s="15">
        <f>(SUMIFS('MAIN DATA, Orders'!$U:$U,'MAIN DATA, Orders'!$Y:$Y,$A70,'MAIN DATA, Orders'!$D:$D,"Poland",'MAIN DATA, Orders'!$I:$I,"Development - Armoured vehicle")/1000000000)</f>
        <v>0</v>
      </c>
      <c r="K70" s="15">
        <f>(SUMIFS('MAIN DATA, Orders'!$U:$U,'MAIN DATA, Orders'!$Y:$Y,$A70,'MAIN DATA, Orders'!$D:$D,"Poland",'MAIN DATA, Orders'!$I:$I,"Artillery")/1000000000)</f>
        <v>1.4781966001478195</v>
      </c>
      <c r="L70" s="15">
        <f>(SUMIFS('MAIN DATA, Orders'!$U:$U,'MAIN DATA, Orders'!$Y:$Y,$A70,'MAIN DATA, Orders'!$D:$D,"Poland",'MAIN DATA, Orders'!$I:$I,"Development - Artillery")/1000000000)</f>
        <v>0</v>
      </c>
      <c r="M70" s="15">
        <f>(SUMIFS('MAIN DATA, Orders'!$U:$U,'MAIN DATA, Orders'!$Y:$Y,$A70,'MAIN DATA, Orders'!$D:$D,"Poland",'MAIN DATA, Orders'!$I:$I,"Drone")/1000000000)</f>
        <v>1.3377305030424081E-2</v>
      </c>
      <c r="N70" s="15">
        <f>(SUMIFS('MAIN DATA, Orders'!$U:$U,'MAIN DATA, Orders'!$Y:$Y,$A70,'MAIN DATA, Orders'!$D:$D,"Poland",'MAIN DATA, Orders'!$I:$I,"Development - Drone")/1000000000)</f>
        <v>0</v>
      </c>
      <c r="O70" s="15">
        <f>(SUMIFS('MAIN DATA, Orders'!$U:$U,'MAIN DATA, Orders'!$Y:$Y,$A70,'MAIN DATA, Orders'!$D:$D,"Poland",'MAIN DATA, Orders'!$I:$I,"Helicopter")/1000000000)</f>
        <v>0</v>
      </c>
      <c r="P70" s="15">
        <f>(SUMIFS('MAIN DATA, Orders'!$U:$U,'MAIN DATA, Orders'!$Y:$Y,$A70,'MAIN DATA, Orders'!$D:$D,"Poland",'MAIN DATA, Orders'!$I:$I,"Development - Helicopter")/1000000000)</f>
        <v>0</v>
      </c>
      <c r="Q70" s="15">
        <f>(SUMIFS('MAIN DATA, Orders'!$U:$U,'MAIN DATA, Orders'!$Y:$Y,$A70,'MAIN DATA, Orders'!$D:$D,"Poland",'MAIN DATA, Orders'!$I:$I,"Infantry")/1000000000)</f>
        <v>0</v>
      </c>
      <c r="R70" s="15">
        <f>(SUMIFS('MAIN DATA, Orders'!$U:$U,'MAIN DATA, Orders'!$Y:$Y,$A70,'MAIN DATA, Orders'!$D:$D,"Poland",'MAIN DATA, Orders'!$I:$I,"Development - Infantry")/1000000000)</f>
        <v>0</v>
      </c>
      <c r="S70" s="15">
        <f>(SUMIFS('MAIN DATA, Orders'!$U:$U,'MAIN DATA, Orders'!$Y:$Y,$A70,'MAIN DATA, Orders'!$D:$D,"Poland",'MAIN DATA, Orders'!$I:$I,"Tank")/1000000000)</f>
        <v>0</v>
      </c>
      <c r="T70" s="15">
        <f>(SUMIFS('MAIN DATA, Orders'!$U:$U,'MAIN DATA, Orders'!$Y:$Y,$A70,'MAIN DATA, Orders'!$D:$D,"Poland",'MAIN DATA, Orders'!$I:$I,"Development - Tank")/1000000000)</f>
        <v>0</v>
      </c>
      <c r="U70" s="15">
        <f>(SUMIFS('MAIN DATA, Orders'!$U:$U,'MAIN DATA, Orders'!$Y:$Y,$A70,'MAIN DATA, Orders'!$D:$D,"Poland",'MAIN DATA, Orders'!$I:$I,"Maintenance")/1000000000)</f>
        <v>0</v>
      </c>
      <c r="V70" s="15">
        <f>(SUMIFS('MAIN DATA, Orders'!$U:$U,'MAIN DATA, Orders'!$Y:$Y,$A70,'MAIN DATA, Orders'!$D:$D,"Poland",'MAIN DATA, Orders'!$I:$I,"Development - Maintenance")/1000000000)</f>
        <v>0</v>
      </c>
      <c r="W70" s="15">
        <f>(SUMIFS('MAIN DATA, Orders'!$U:$U,'MAIN DATA, Orders'!$Y:$Y,$A70,'MAIN DATA, Orders'!$D:$D,"Poland",'MAIN DATA, Orders'!$I:$I,"Mine")/1000000000)</f>
        <v>0</v>
      </c>
      <c r="X70" s="15">
        <f>(SUMIFS('MAIN DATA, Orders'!$U:$U,'MAIN DATA, Orders'!$Y:$Y,$A70,'MAIN DATA, Orders'!$D:$D,"Poland",'MAIN DATA, Orders'!$I:$I,"Development - Mine")/1000000000)</f>
        <v>0</v>
      </c>
      <c r="Y70" s="15">
        <f>(SUMIFS('MAIN DATA, Orders'!$U:$U,'MAIN DATA, Orders'!$Y:$Y,$A70,'MAIN DATA, Orders'!$D:$D,"Poland",'MAIN DATA, Orders'!$J:$J,"6")/1000000000)</f>
        <v>0</v>
      </c>
      <c r="Z70" s="15" cm="1">
        <f t="array" ref="Z70">SUM(SUMIFS('MAIN DATA, Orders'!$U:$U,'MAIN DATA, Orders'!$Y:$Y,$A70,'MAIN DATA, Orders'!$D:$D,"Poland",'MAIN DATA, Orders'!$I:$I,{"Development - Missile (Land)","Development - Missile (Naval)","Development - Missile (Air)"})/1000000000)</f>
        <v>0</v>
      </c>
      <c r="AA70" s="15">
        <f>(SUMIFS('MAIN DATA, Orders'!$U:$U,'MAIN DATA, Orders'!$Y:$Y,$A70,'MAIN DATA, Orders'!$D:$D,"Poland",'MAIN DATA, Orders'!$I:$I,"Modernisation")/1000000000)</f>
        <v>0</v>
      </c>
      <c r="AB70" s="15">
        <f>(SUMIFS('MAIN DATA, Orders'!$U:$U,'MAIN DATA, Orders'!$Y:$Y,$A70,'MAIN DATA, Orders'!$D:$D,"Poland",'MAIN DATA, Orders'!$I:$I,"Development - Modernisation")/1000000000)</f>
        <v>0</v>
      </c>
      <c r="AC70" s="15">
        <f>(SUMIFS('MAIN DATA, Orders'!$U:$U,'MAIN DATA, Orders'!$Y:$Y,$A70,'MAIN DATA, Orders'!$D:$D,"Poland",'MAIN DATA, Orders'!$I:$I,"Naval")/1000000000)</f>
        <v>0</v>
      </c>
      <c r="AD70" s="15">
        <f>(SUMIFS('MAIN DATA, Orders'!$U:$U,'MAIN DATA, Orders'!$Y:$Y,$A70,'MAIN DATA, Orders'!$D:$D,"Poland",'MAIN DATA, Orders'!$I:$I,"Development - Naval")/1000000000)</f>
        <v>0</v>
      </c>
      <c r="AE70" s="15">
        <f>(SUMIFS('MAIN DATA, Orders'!$U:$U,'MAIN DATA, Orders'!$Y:$Y,$A70,'MAIN DATA, Orders'!$D:$D,"Poland",'MAIN DATA, Orders'!$I:$I,"Other")/1000000000)</f>
        <v>0</v>
      </c>
      <c r="AF70" s="15">
        <f>(SUMIFS('MAIN DATA, Orders'!$U:$U,'MAIN DATA, Orders'!$Y:$Y,$A70,'MAIN DATA, Orders'!$D:$D,"Poland",'MAIN DATA, Orders'!$I:$I,"Development - Other")/1000000000)</f>
        <v>0</v>
      </c>
      <c r="AG70" s="15"/>
      <c r="AH70" s="15" cm="1">
        <f t="array" ref="AH70">SUM(SUMIFS('MAIN DATA, Orders'!$U:$U,'MAIN DATA, Orders'!$Y:$Y,$A70,'MAIN DATA, Orders'!$D:$D,"Poland",'MAIN DATA, Orders'!$I:$I,{"Missile (Land)","Development - Missile (Land)"})/1000000000)</f>
        <v>0</v>
      </c>
      <c r="AI70" s="15" cm="1">
        <f t="array" ref="AI70">SUM(SUMIFS('MAIN DATA, Orders'!$U:$U,'MAIN DATA, Orders'!$Y:$Y,$A70,'MAIN DATA, Orders'!$D:$D,"Poland",'MAIN DATA, Orders'!$I:$I,{"Missile (Air)","Development - Missile (Air)"})/1000000000)</f>
        <v>0</v>
      </c>
      <c r="AJ70" s="15" cm="1">
        <f t="array" ref="AJ70">SUM(SUMIFS('MAIN DATA, Orders'!$U:$U,'MAIN DATA, Orders'!$Y:$Y,$A70,'MAIN DATA, Orders'!$D:$D,"Poland",'MAIN DATA, Orders'!$I:$I,{"Missile (Naval)","Development - Missile (Naval)"})/1000000000)</f>
        <v>0</v>
      </c>
    </row>
    <row r="71" spans="1:36" x14ac:dyDescent="0.35">
      <c r="A71" s="20">
        <v>202405</v>
      </c>
      <c r="B71" s="17">
        <v>45413</v>
      </c>
      <c r="C71" s="15">
        <f>(SUMIFS('MAIN DATA, Orders'!$U:$U,'MAIN DATA, Orders'!$Y:$Y,$A71,'MAIN DATA, Orders'!$D:$D,"Poland",'MAIN DATA, Orders'!$I:$I,"Air defence system")/1000000000)</f>
        <v>0.88691796008869184</v>
      </c>
      <c r="D71" s="15">
        <f>(SUMIFS('MAIN DATA, Orders'!$U:$U,'MAIN DATA, Orders'!$Y:$Y,$A71,'MAIN DATA, Orders'!$D:$D,"Poland",'MAIN DATA, Orders'!$I:$I,"Development - Air defence system")/1000000000)</f>
        <v>0</v>
      </c>
      <c r="E71" s="15">
        <f>(SUMIFS('MAIN DATA, Orders'!$U:$U,'MAIN DATA, Orders'!$Y:$Y,$A71,'MAIN DATA, Orders'!$D:$D,"Poland",'MAIN DATA, Orders'!$I:$I,"Aircraft")/1000000000)</f>
        <v>0</v>
      </c>
      <c r="F71" s="15">
        <f>(SUMIFS('MAIN DATA, Orders'!$U:$U,'MAIN DATA, Orders'!$Y:$Y,$A71,'MAIN DATA, Orders'!$D:$D,"Poland",'MAIN DATA, Orders'!$I:$I,"Development - Aircraft")/1000000000)</f>
        <v>0</v>
      </c>
      <c r="G71" s="15">
        <f>(SUMIFS('MAIN DATA, Orders'!$U:$U,'MAIN DATA, Orders'!$Y:$Y,$A71,'MAIN DATA, Orders'!$D:$D,"Poland",'MAIN DATA, Orders'!$I:$I,"Ammunition")/1000000000)</f>
        <v>0</v>
      </c>
      <c r="H71" s="15">
        <f>(SUMIFS('MAIN DATA, Orders'!$U:$U,'MAIN DATA, Orders'!$Y:$Y,$A71,'MAIN DATA, Orders'!$D:$D,"Poland",'MAIN DATA, Orders'!$I:$I,"Development - Ammunition")/1000000000)</f>
        <v>0</v>
      </c>
      <c r="I71" s="15">
        <f>(SUMIFS('MAIN DATA, Orders'!$U:$U,'MAIN DATA, Orders'!$Y:$Y,$A71,'MAIN DATA, Orders'!$D:$D,"Poland",'MAIN DATA, Orders'!$I:$I,"Armoured vehicle")/1000000000)</f>
        <v>0</v>
      </c>
      <c r="J71" s="15">
        <f>(SUMIFS('MAIN DATA, Orders'!$U:$U,'MAIN DATA, Orders'!$Y:$Y,$A71,'MAIN DATA, Orders'!$D:$D,"Poland",'MAIN DATA, Orders'!$I:$I,"Development - Armoured vehicle")/1000000000)</f>
        <v>0</v>
      </c>
      <c r="K71" s="15">
        <f>(SUMIFS('MAIN DATA, Orders'!$U:$U,'MAIN DATA, Orders'!$Y:$Y,$A71,'MAIN DATA, Orders'!$D:$D,"Poland",'MAIN DATA, Orders'!$I:$I,"Artillery")/1000000000)</f>
        <v>0</v>
      </c>
      <c r="L71" s="15">
        <f>(SUMIFS('MAIN DATA, Orders'!$U:$U,'MAIN DATA, Orders'!$Y:$Y,$A71,'MAIN DATA, Orders'!$D:$D,"Poland",'MAIN DATA, Orders'!$I:$I,"Development - Artillery")/1000000000)</f>
        <v>0</v>
      </c>
      <c r="M71" s="15">
        <f>(SUMIFS('MAIN DATA, Orders'!$U:$U,'MAIN DATA, Orders'!$Y:$Y,$A71,'MAIN DATA, Orders'!$D:$D,"Poland",'MAIN DATA, Orders'!$I:$I,"Drone")/1000000000)</f>
        <v>0</v>
      </c>
      <c r="N71" s="15">
        <f>(SUMIFS('MAIN DATA, Orders'!$U:$U,'MAIN DATA, Orders'!$Y:$Y,$A71,'MAIN DATA, Orders'!$D:$D,"Poland",'MAIN DATA, Orders'!$I:$I,"Development - Drone")/1000000000)</f>
        <v>0</v>
      </c>
      <c r="O71" s="15">
        <f>(SUMIFS('MAIN DATA, Orders'!$U:$U,'MAIN DATA, Orders'!$Y:$Y,$A71,'MAIN DATA, Orders'!$D:$D,"Poland",'MAIN DATA, Orders'!$I:$I,"Helicopter")/1000000000)</f>
        <v>0</v>
      </c>
      <c r="P71" s="15">
        <f>(SUMIFS('MAIN DATA, Orders'!$U:$U,'MAIN DATA, Orders'!$Y:$Y,$A71,'MAIN DATA, Orders'!$D:$D,"Poland",'MAIN DATA, Orders'!$I:$I,"Development - Helicopter")/1000000000)</f>
        <v>0</v>
      </c>
      <c r="Q71" s="15">
        <f>(SUMIFS('MAIN DATA, Orders'!$U:$U,'MAIN DATA, Orders'!$Y:$Y,$A71,'MAIN DATA, Orders'!$D:$D,"Poland",'MAIN DATA, Orders'!$I:$I,"Infantry")/1000000000)</f>
        <v>0</v>
      </c>
      <c r="R71" s="15">
        <f>(SUMIFS('MAIN DATA, Orders'!$U:$U,'MAIN DATA, Orders'!$Y:$Y,$A71,'MAIN DATA, Orders'!$D:$D,"Poland",'MAIN DATA, Orders'!$I:$I,"Development - Infantry")/1000000000)</f>
        <v>0</v>
      </c>
      <c r="S71" s="15">
        <f>(SUMIFS('MAIN DATA, Orders'!$U:$U,'MAIN DATA, Orders'!$Y:$Y,$A71,'MAIN DATA, Orders'!$D:$D,"Poland",'MAIN DATA, Orders'!$I:$I,"Tank")/1000000000)</f>
        <v>0</v>
      </c>
      <c r="T71" s="15">
        <f>(SUMIFS('MAIN DATA, Orders'!$U:$U,'MAIN DATA, Orders'!$Y:$Y,$A71,'MAIN DATA, Orders'!$D:$D,"Poland",'MAIN DATA, Orders'!$I:$I,"Development - Tank")/1000000000)</f>
        <v>0</v>
      </c>
      <c r="U71" s="15">
        <f>(SUMIFS('MAIN DATA, Orders'!$U:$U,'MAIN DATA, Orders'!$Y:$Y,$A71,'MAIN DATA, Orders'!$D:$D,"Poland",'MAIN DATA, Orders'!$I:$I,"Maintenance")/1000000000)</f>
        <v>0</v>
      </c>
      <c r="V71" s="15">
        <f>(SUMIFS('MAIN DATA, Orders'!$U:$U,'MAIN DATA, Orders'!$Y:$Y,$A71,'MAIN DATA, Orders'!$D:$D,"Poland",'MAIN DATA, Orders'!$I:$I,"Development - Maintenance")/1000000000)</f>
        <v>0</v>
      </c>
      <c r="W71" s="15">
        <f>(SUMIFS('MAIN DATA, Orders'!$U:$U,'MAIN DATA, Orders'!$Y:$Y,$A71,'MAIN DATA, Orders'!$D:$D,"Poland",'MAIN DATA, Orders'!$I:$I,"Mine")/1000000000)</f>
        <v>0</v>
      </c>
      <c r="X71" s="15">
        <f>(SUMIFS('MAIN DATA, Orders'!$U:$U,'MAIN DATA, Orders'!$Y:$Y,$A71,'MAIN DATA, Orders'!$D:$D,"Poland",'MAIN DATA, Orders'!$I:$I,"Development - Mine")/1000000000)</f>
        <v>0</v>
      </c>
      <c r="Y71" s="15">
        <f>(SUMIFS('MAIN DATA, Orders'!$U:$U,'MAIN DATA, Orders'!$Y:$Y,$A71,'MAIN DATA, Orders'!$D:$D,"Poland",'MAIN DATA, Orders'!$J:$J,"6")/1000000000)</f>
        <v>0.67904656319290457</v>
      </c>
      <c r="Z71" s="15" cm="1">
        <f t="array" ref="Z71">SUM(SUMIFS('MAIN DATA, Orders'!$U:$U,'MAIN DATA, Orders'!$Y:$Y,$A71,'MAIN DATA, Orders'!$D:$D,"Poland",'MAIN DATA, Orders'!$I:$I,{"Development - Missile (Land)","Development - Missile (Naval)","Development - Missile (Air)"})/1000000000)</f>
        <v>0</v>
      </c>
      <c r="AA71" s="15">
        <f>(SUMIFS('MAIN DATA, Orders'!$U:$U,'MAIN DATA, Orders'!$Y:$Y,$A71,'MAIN DATA, Orders'!$D:$D,"Poland",'MAIN DATA, Orders'!$I:$I,"Modernisation")/1000000000)</f>
        <v>0</v>
      </c>
      <c r="AB71" s="15">
        <f>(SUMIFS('MAIN DATA, Orders'!$U:$U,'MAIN DATA, Orders'!$Y:$Y,$A71,'MAIN DATA, Orders'!$D:$D,"Poland",'MAIN DATA, Orders'!$I:$I,"Development - Modernisation")/1000000000)</f>
        <v>0</v>
      </c>
      <c r="AC71" s="15">
        <f>(SUMIFS('MAIN DATA, Orders'!$U:$U,'MAIN DATA, Orders'!$Y:$Y,$A71,'MAIN DATA, Orders'!$D:$D,"Poland",'MAIN DATA, Orders'!$I:$I,"Naval")/1000000000)</f>
        <v>0</v>
      </c>
      <c r="AD71" s="15">
        <f>(SUMIFS('MAIN DATA, Orders'!$U:$U,'MAIN DATA, Orders'!$Y:$Y,$A71,'MAIN DATA, Orders'!$D:$D,"Poland",'MAIN DATA, Orders'!$I:$I,"Development - Naval")/1000000000)</f>
        <v>0</v>
      </c>
      <c r="AE71" s="15">
        <f>(SUMIFS('MAIN DATA, Orders'!$U:$U,'MAIN DATA, Orders'!$Y:$Y,$A71,'MAIN DATA, Orders'!$D:$D,"Poland",'MAIN DATA, Orders'!$I:$I,"Other")/1000000000)</f>
        <v>0</v>
      </c>
      <c r="AF71" s="15">
        <f>(SUMIFS('MAIN DATA, Orders'!$U:$U,'MAIN DATA, Orders'!$Y:$Y,$A71,'MAIN DATA, Orders'!$D:$D,"Poland",'MAIN DATA, Orders'!$I:$I,"Development - Other")/1000000000)</f>
        <v>0</v>
      </c>
      <c r="AG71" s="15"/>
      <c r="AH71" s="15" cm="1">
        <f t="array" ref="AH71">SUM(SUMIFS('MAIN DATA, Orders'!$U:$U,'MAIN DATA, Orders'!$Y:$Y,$A71,'MAIN DATA, Orders'!$D:$D,"Poland",'MAIN DATA, Orders'!$I:$I,{"Missile (Land)","Development - Missile (Land)"})/1000000000)</f>
        <v>0.67904656319290457</v>
      </c>
      <c r="AI71" s="15" cm="1">
        <f t="array" ref="AI71">SUM(SUMIFS('MAIN DATA, Orders'!$U:$U,'MAIN DATA, Orders'!$Y:$Y,$A71,'MAIN DATA, Orders'!$D:$D,"Poland",'MAIN DATA, Orders'!$I:$I,{"Missile (Air)","Development - Missile (Air)"})/1000000000)</f>
        <v>0</v>
      </c>
      <c r="AJ71" s="15" cm="1">
        <f t="array" ref="AJ71">SUM(SUMIFS('MAIN DATA, Orders'!$U:$U,'MAIN DATA, Orders'!$Y:$Y,$A71,'MAIN DATA, Orders'!$D:$D,"Poland",'MAIN DATA, Orders'!$I:$I,{"Missile (Naval)","Development - Missile (Naval)"})/1000000000)</f>
        <v>0</v>
      </c>
    </row>
    <row r="72" spans="1:36" x14ac:dyDescent="0.35">
      <c r="A72" s="20">
        <v>202406</v>
      </c>
      <c r="B72" s="17">
        <v>45444</v>
      </c>
      <c r="C72" s="15">
        <f>(SUMIFS('MAIN DATA, Orders'!$U:$U,'MAIN DATA, Orders'!$Y:$Y,$A72,'MAIN DATA, Orders'!$D:$D,"Poland",'MAIN DATA, Orders'!$I:$I,"Air defence system")/1000000000)</f>
        <v>0</v>
      </c>
      <c r="D72" s="15">
        <f>(SUMIFS('MAIN DATA, Orders'!$U:$U,'MAIN DATA, Orders'!$Y:$Y,$A72,'MAIN DATA, Orders'!$D:$D,"Poland",'MAIN DATA, Orders'!$I:$I,"Development - Air defence system")/1000000000)</f>
        <v>0</v>
      </c>
      <c r="E72" s="15">
        <f>(SUMIFS('MAIN DATA, Orders'!$U:$U,'MAIN DATA, Orders'!$Y:$Y,$A72,'MAIN DATA, Orders'!$D:$D,"Poland",'MAIN DATA, Orders'!$I:$I,"Aircraft")/1000000000)</f>
        <v>0</v>
      </c>
      <c r="F72" s="15">
        <f>(SUMIFS('MAIN DATA, Orders'!$U:$U,'MAIN DATA, Orders'!$Y:$Y,$A72,'MAIN DATA, Orders'!$D:$D,"Poland",'MAIN DATA, Orders'!$I:$I,"Development - Aircraft")/1000000000)</f>
        <v>0</v>
      </c>
      <c r="G72" s="15">
        <f>(SUMIFS('MAIN DATA, Orders'!$U:$U,'MAIN DATA, Orders'!$Y:$Y,$A72,'MAIN DATA, Orders'!$D:$D,"Poland",'MAIN DATA, Orders'!$I:$I,"Ammunition")/1000000000)</f>
        <v>0</v>
      </c>
      <c r="H72" s="15">
        <f>(SUMIFS('MAIN DATA, Orders'!$U:$U,'MAIN DATA, Orders'!$Y:$Y,$A72,'MAIN DATA, Orders'!$D:$D,"Poland",'MAIN DATA, Orders'!$I:$I,"Development - Ammunition")/1000000000)</f>
        <v>0</v>
      </c>
      <c r="I72" s="15">
        <f>(SUMIFS('MAIN DATA, Orders'!$U:$U,'MAIN DATA, Orders'!$Y:$Y,$A72,'MAIN DATA, Orders'!$D:$D,"Poland",'MAIN DATA, Orders'!$I:$I,"Armoured vehicle")/1000000000)</f>
        <v>0</v>
      </c>
      <c r="J72" s="15">
        <f>(SUMIFS('MAIN DATA, Orders'!$U:$U,'MAIN DATA, Orders'!$Y:$Y,$A72,'MAIN DATA, Orders'!$D:$D,"Poland",'MAIN DATA, Orders'!$I:$I,"Development - Armoured vehicle")/1000000000)</f>
        <v>0</v>
      </c>
      <c r="K72" s="15">
        <f>(SUMIFS('MAIN DATA, Orders'!$U:$U,'MAIN DATA, Orders'!$Y:$Y,$A72,'MAIN DATA, Orders'!$D:$D,"Poland",'MAIN DATA, Orders'!$I:$I,"Artillery")/1000000000)</f>
        <v>0</v>
      </c>
      <c r="L72" s="15">
        <f>(SUMIFS('MAIN DATA, Orders'!$U:$U,'MAIN DATA, Orders'!$Y:$Y,$A72,'MAIN DATA, Orders'!$D:$D,"Poland",'MAIN DATA, Orders'!$I:$I,"Development - Artillery")/1000000000)</f>
        <v>0</v>
      </c>
      <c r="M72" s="15">
        <f>(SUMIFS('MAIN DATA, Orders'!$U:$U,'MAIN DATA, Orders'!$Y:$Y,$A72,'MAIN DATA, Orders'!$D:$D,"Poland",'MAIN DATA, Orders'!$I:$I,"Drone")/1000000000)</f>
        <v>0</v>
      </c>
      <c r="N72" s="15">
        <f>(SUMIFS('MAIN DATA, Orders'!$U:$U,'MAIN DATA, Orders'!$Y:$Y,$A72,'MAIN DATA, Orders'!$D:$D,"Poland",'MAIN DATA, Orders'!$I:$I,"Development - Drone")/1000000000)</f>
        <v>0</v>
      </c>
      <c r="O72" s="15">
        <f>(SUMIFS('MAIN DATA, Orders'!$U:$U,'MAIN DATA, Orders'!$Y:$Y,$A72,'MAIN DATA, Orders'!$D:$D,"Poland",'MAIN DATA, Orders'!$I:$I,"Helicopter")/1000000000)</f>
        <v>0</v>
      </c>
      <c r="P72" s="15">
        <f>(SUMIFS('MAIN DATA, Orders'!$U:$U,'MAIN DATA, Orders'!$Y:$Y,$A72,'MAIN DATA, Orders'!$D:$D,"Poland",'MAIN DATA, Orders'!$I:$I,"Development - Helicopter")/1000000000)</f>
        <v>0</v>
      </c>
      <c r="Q72" s="15">
        <f>(SUMIFS('MAIN DATA, Orders'!$U:$U,'MAIN DATA, Orders'!$Y:$Y,$A72,'MAIN DATA, Orders'!$D:$D,"Poland",'MAIN DATA, Orders'!$I:$I,"Infantry")/1000000000)</f>
        <v>0</v>
      </c>
      <c r="R72" s="15">
        <f>(SUMIFS('MAIN DATA, Orders'!$U:$U,'MAIN DATA, Orders'!$Y:$Y,$A72,'MAIN DATA, Orders'!$D:$D,"Poland",'MAIN DATA, Orders'!$I:$I,"Development - Infantry")/1000000000)</f>
        <v>0</v>
      </c>
      <c r="S72" s="15">
        <f>(SUMIFS('MAIN DATA, Orders'!$U:$U,'MAIN DATA, Orders'!$Y:$Y,$A72,'MAIN DATA, Orders'!$D:$D,"Poland",'MAIN DATA, Orders'!$I:$I,"Tank")/1000000000)</f>
        <v>0</v>
      </c>
      <c r="T72" s="15">
        <f>(SUMIFS('MAIN DATA, Orders'!$U:$U,'MAIN DATA, Orders'!$Y:$Y,$A72,'MAIN DATA, Orders'!$D:$D,"Poland",'MAIN DATA, Orders'!$I:$I,"Development - Tank")/1000000000)</f>
        <v>0</v>
      </c>
      <c r="U72" s="15">
        <f>(SUMIFS('MAIN DATA, Orders'!$U:$U,'MAIN DATA, Orders'!$Y:$Y,$A72,'MAIN DATA, Orders'!$D:$D,"Poland",'MAIN DATA, Orders'!$I:$I,"Maintenance")/1000000000)</f>
        <v>0</v>
      </c>
      <c r="V72" s="15">
        <f>(SUMIFS('MAIN DATA, Orders'!$U:$U,'MAIN DATA, Orders'!$Y:$Y,$A72,'MAIN DATA, Orders'!$D:$D,"Poland",'MAIN DATA, Orders'!$I:$I,"Development - Maintenance")/1000000000)</f>
        <v>0</v>
      </c>
      <c r="W72" s="15">
        <f>(SUMIFS('MAIN DATA, Orders'!$U:$U,'MAIN DATA, Orders'!$Y:$Y,$A72,'MAIN DATA, Orders'!$D:$D,"Poland",'MAIN DATA, Orders'!$I:$I,"Mine")/1000000000)</f>
        <v>0</v>
      </c>
      <c r="X72" s="15">
        <f>(SUMIFS('MAIN DATA, Orders'!$U:$U,'MAIN DATA, Orders'!$Y:$Y,$A72,'MAIN DATA, Orders'!$D:$D,"Poland",'MAIN DATA, Orders'!$I:$I,"Development - Mine")/1000000000)</f>
        <v>0</v>
      </c>
      <c r="Y72" s="15">
        <f>(SUMIFS('MAIN DATA, Orders'!$U:$U,'MAIN DATA, Orders'!$Y:$Y,$A72,'MAIN DATA, Orders'!$D:$D,"Poland",'MAIN DATA, Orders'!$J:$J,"6")/1000000000)</f>
        <v>0</v>
      </c>
      <c r="Z72" s="15" cm="1">
        <f t="array" ref="Z72">SUM(SUMIFS('MAIN DATA, Orders'!$U:$U,'MAIN DATA, Orders'!$Y:$Y,$A72,'MAIN DATA, Orders'!$D:$D,"Poland",'MAIN DATA, Orders'!$I:$I,{"Development - Missile (Land)","Development - Missile (Naval)","Development - Missile (Air)"})/1000000000)</f>
        <v>0</v>
      </c>
      <c r="AA72" s="15">
        <f>(SUMIFS('MAIN DATA, Orders'!$U:$U,'MAIN DATA, Orders'!$Y:$Y,$A72,'MAIN DATA, Orders'!$D:$D,"Poland",'MAIN DATA, Orders'!$I:$I,"Modernisation")/1000000000)</f>
        <v>0</v>
      </c>
      <c r="AB72" s="15">
        <f>(SUMIFS('MAIN DATA, Orders'!$U:$U,'MAIN DATA, Orders'!$Y:$Y,$A72,'MAIN DATA, Orders'!$D:$D,"Poland",'MAIN DATA, Orders'!$I:$I,"Development - Modernisation")/1000000000)</f>
        <v>0</v>
      </c>
      <c r="AC72" s="15">
        <f>(SUMIFS('MAIN DATA, Orders'!$U:$U,'MAIN DATA, Orders'!$Y:$Y,$A72,'MAIN DATA, Orders'!$D:$D,"Poland",'MAIN DATA, Orders'!$I:$I,"Naval")/1000000000)</f>
        <v>0</v>
      </c>
      <c r="AD72" s="15">
        <f>(SUMIFS('MAIN DATA, Orders'!$U:$U,'MAIN DATA, Orders'!$Y:$Y,$A72,'MAIN DATA, Orders'!$D:$D,"Poland",'MAIN DATA, Orders'!$I:$I,"Development - Naval")/1000000000)</f>
        <v>0</v>
      </c>
      <c r="AE72" s="15">
        <f>(SUMIFS('MAIN DATA, Orders'!$U:$U,'MAIN DATA, Orders'!$Y:$Y,$A72,'MAIN DATA, Orders'!$D:$D,"Poland",'MAIN DATA, Orders'!$I:$I,"Other")/1000000000)</f>
        <v>0</v>
      </c>
      <c r="AF72" s="15">
        <f>(SUMIFS('MAIN DATA, Orders'!$U:$U,'MAIN DATA, Orders'!$Y:$Y,$A72,'MAIN DATA, Orders'!$D:$D,"Poland",'MAIN DATA, Orders'!$I:$I,"Development - Other")/1000000000)</f>
        <v>0</v>
      </c>
      <c r="AG72" s="15"/>
      <c r="AH72" s="15" cm="1">
        <f t="array" ref="AH72">SUM(SUMIFS('MAIN DATA, Orders'!$U:$U,'MAIN DATA, Orders'!$Y:$Y,$A72,'MAIN DATA, Orders'!$D:$D,"Poland",'MAIN DATA, Orders'!$I:$I,{"Missile (Land)","Development - Missile (Land)"})/1000000000)</f>
        <v>0</v>
      </c>
      <c r="AI72" s="15" cm="1">
        <f t="array" ref="AI72">SUM(SUMIFS('MAIN DATA, Orders'!$U:$U,'MAIN DATA, Orders'!$Y:$Y,$A72,'MAIN DATA, Orders'!$D:$D,"Poland",'MAIN DATA, Orders'!$I:$I,{"Missile (Air)","Development - Missile (Air)"})/1000000000)</f>
        <v>0</v>
      </c>
      <c r="AJ72" s="15" cm="1">
        <f t="array" ref="AJ72">SUM(SUMIFS('MAIN DATA, Orders'!$U:$U,'MAIN DATA, Orders'!$Y:$Y,$A72,'MAIN DATA, Orders'!$D:$D,"Poland",'MAIN DATA, Orders'!$I:$I,{"Missile (Naval)","Development - Missile (Naval)"})/1000000000)</f>
        <v>0</v>
      </c>
    </row>
    <row r="73" spans="1:36" x14ac:dyDescent="0.35">
      <c r="A73" s="20">
        <v>202407</v>
      </c>
      <c r="B73" s="17">
        <v>45474</v>
      </c>
      <c r="C73" s="15">
        <f>(SUMIFS('MAIN DATA, Orders'!$U:$U,'MAIN DATA, Orders'!$Y:$Y,$A73,'MAIN DATA, Orders'!$D:$D,"Poland",'MAIN DATA, Orders'!$I:$I,"Air defence system")/1000000000)</f>
        <v>0.3251428306005853</v>
      </c>
      <c r="D73" s="15">
        <f>(SUMIFS('MAIN DATA, Orders'!$U:$U,'MAIN DATA, Orders'!$Y:$Y,$A73,'MAIN DATA, Orders'!$D:$D,"Poland",'MAIN DATA, Orders'!$I:$I,"Development - Air defence system")/1000000000)</f>
        <v>0</v>
      </c>
      <c r="E73" s="15">
        <f>(SUMIFS('MAIN DATA, Orders'!$U:$U,'MAIN DATA, Orders'!$Y:$Y,$A73,'MAIN DATA, Orders'!$D:$D,"Poland",'MAIN DATA, Orders'!$I:$I,"Aircraft")/1000000000)</f>
        <v>0</v>
      </c>
      <c r="F73" s="15">
        <f>(SUMIFS('MAIN DATA, Orders'!$U:$U,'MAIN DATA, Orders'!$Y:$Y,$A73,'MAIN DATA, Orders'!$D:$D,"Poland",'MAIN DATA, Orders'!$I:$I,"Development - Aircraft")/1000000000)</f>
        <v>0</v>
      </c>
      <c r="G73" s="15">
        <f>(SUMIFS('MAIN DATA, Orders'!$U:$U,'MAIN DATA, Orders'!$Y:$Y,$A73,'MAIN DATA, Orders'!$D:$D,"Poland",'MAIN DATA, Orders'!$I:$I,"Ammunition")/1000000000)</f>
        <v>0</v>
      </c>
      <c r="H73" s="15">
        <f>(SUMIFS('MAIN DATA, Orders'!$U:$U,'MAIN DATA, Orders'!$Y:$Y,$A73,'MAIN DATA, Orders'!$D:$D,"Poland",'MAIN DATA, Orders'!$I:$I,"Development - Ammunition")/1000000000)</f>
        <v>0</v>
      </c>
      <c r="I73" s="15">
        <f>(SUMIFS('MAIN DATA, Orders'!$U:$U,'MAIN DATA, Orders'!$Y:$Y,$A73,'MAIN DATA, Orders'!$D:$D,"Poland",'MAIN DATA, Orders'!$I:$I,"Armoured vehicle")/1000000000)</f>
        <v>0.60383668540108693</v>
      </c>
      <c r="J73" s="15">
        <f>(SUMIFS('MAIN DATA, Orders'!$U:$U,'MAIN DATA, Orders'!$Y:$Y,$A73,'MAIN DATA, Orders'!$D:$D,"Poland",'MAIN DATA, Orders'!$I:$I,"Development - Armoured vehicle")/1000000000)</f>
        <v>0</v>
      </c>
      <c r="K73" s="15">
        <f>(SUMIFS('MAIN DATA, Orders'!$U:$U,'MAIN DATA, Orders'!$Y:$Y,$A73,'MAIN DATA, Orders'!$D:$D,"Poland",'MAIN DATA, Orders'!$I:$I,"Artillery")/1000000000)</f>
        <v>0</v>
      </c>
      <c r="L73" s="15">
        <f>(SUMIFS('MAIN DATA, Orders'!$U:$U,'MAIN DATA, Orders'!$Y:$Y,$A73,'MAIN DATA, Orders'!$D:$D,"Poland",'MAIN DATA, Orders'!$I:$I,"Development - Artillery")/1000000000)</f>
        <v>0</v>
      </c>
      <c r="M73" s="15">
        <f>(SUMIFS('MAIN DATA, Orders'!$U:$U,'MAIN DATA, Orders'!$Y:$Y,$A73,'MAIN DATA, Orders'!$D:$D,"Poland",'MAIN DATA, Orders'!$I:$I,"Drone")/1000000000)</f>
        <v>0</v>
      </c>
      <c r="N73" s="15">
        <f>(SUMIFS('MAIN DATA, Orders'!$U:$U,'MAIN DATA, Orders'!$Y:$Y,$A73,'MAIN DATA, Orders'!$D:$D,"Poland",'MAIN DATA, Orders'!$I:$I,"Development - Drone")/1000000000)</f>
        <v>0</v>
      </c>
      <c r="O73" s="15">
        <f>(SUMIFS('MAIN DATA, Orders'!$U:$U,'MAIN DATA, Orders'!$Y:$Y,$A73,'MAIN DATA, Orders'!$D:$D,"Poland",'MAIN DATA, Orders'!$I:$I,"Helicopter")/1000000000)</f>
        <v>0</v>
      </c>
      <c r="P73" s="15">
        <f>(SUMIFS('MAIN DATA, Orders'!$U:$U,'MAIN DATA, Orders'!$Y:$Y,$A73,'MAIN DATA, Orders'!$D:$D,"Poland",'MAIN DATA, Orders'!$I:$I,"Development - Helicopter")/1000000000)</f>
        <v>0</v>
      </c>
      <c r="Q73" s="15">
        <f>(SUMIFS('MAIN DATA, Orders'!$U:$U,'MAIN DATA, Orders'!$Y:$Y,$A73,'MAIN DATA, Orders'!$D:$D,"Poland",'MAIN DATA, Orders'!$I:$I,"Infantry")/1000000000)</f>
        <v>0</v>
      </c>
      <c r="R73" s="15">
        <f>(SUMIFS('MAIN DATA, Orders'!$U:$U,'MAIN DATA, Orders'!$Y:$Y,$A73,'MAIN DATA, Orders'!$D:$D,"Poland",'MAIN DATA, Orders'!$I:$I,"Development - Infantry")/1000000000)</f>
        <v>0</v>
      </c>
      <c r="S73" s="15">
        <f>(SUMIFS('MAIN DATA, Orders'!$U:$U,'MAIN DATA, Orders'!$Y:$Y,$A73,'MAIN DATA, Orders'!$D:$D,"Poland",'MAIN DATA, Orders'!$I:$I,"Tank")/1000000000)</f>
        <v>0</v>
      </c>
      <c r="T73" s="15">
        <f>(SUMIFS('MAIN DATA, Orders'!$U:$U,'MAIN DATA, Orders'!$Y:$Y,$A73,'MAIN DATA, Orders'!$D:$D,"Poland",'MAIN DATA, Orders'!$I:$I,"Development - Tank")/1000000000)</f>
        <v>0</v>
      </c>
      <c r="U73" s="15">
        <f>(SUMIFS('MAIN DATA, Orders'!$U:$U,'MAIN DATA, Orders'!$Y:$Y,$A73,'MAIN DATA, Orders'!$D:$D,"Poland",'MAIN DATA, Orders'!$I:$I,"Maintenance")/1000000000)</f>
        <v>0</v>
      </c>
      <c r="V73" s="15">
        <f>(SUMIFS('MAIN DATA, Orders'!$U:$U,'MAIN DATA, Orders'!$Y:$Y,$A73,'MAIN DATA, Orders'!$D:$D,"Poland",'MAIN DATA, Orders'!$I:$I,"Development - Maintenance")/1000000000)</f>
        <v>0</v>
      </c>
      <c r="W73" s="15">
        <f>(SUMIFS('MAIN DATA, Orders'!$U:$U,'MAIN DATA, Orders'!$Y:$Y,$A73,'MAIN DATA, Orders'!$D:$D,"Poland",'MAIN DATA, Orders'!$I:$I,"Mine")/1000000000)</f>
        <v>0</v>
      </c>
      <c r="X73" s="15">
        <f>(SUMIFS('MAIN DATA, Orders'!$U:$U,'MAIN DATA, Orders'!$Y:$Y,$A73,'MAIN DATA, Orders'!$D:$D,"Poland",'MAIN DATA, Orders'!$I:$I,"Development - Mine")/1000000000)</f>
        <v>0</v>
      </c>
      <c r="Y73" s="15">
        <f>(SUMIFS('MAIN DATA, Orders'!$U:$U,'MAIN DATA, Orders'!$Y:$Y,$A73,'MAIN DATA, Orders'!$D:$D,"Poland",'MAIN DATA, Orders'!$J:$J,"6")/1000000000)</f>
        <v>0</v>
      </c>
      <c r="Z73" s="15" cm="1">
        <f t="array" ref="Z73">SUM(SUMIFS('MAIN DATA, Orders'!$U:$U,'MAIN DATA, Orders'!$Y:$Y,$A73,'MAIN DATA, Orders'!$D:$D,"Poland",'MAIN DATA, Orders'!$I:$I,{"Development - Missile (Land)","Development - Missile (Naval)","Development - Missile (Air)"})/1000000000)</f>
        <v>0</v>
      </c>
      <c r="AA73" s="15">
        <f>(SUMIFS('MAIN DATA, Orders'!$U:$U,'MAIN DATA, Orders'!$Y:$Y,$A73,'MAIN DATA, Orders'!$D:$D,"Poland",'MAIN DATA, Orders'!$I:$I,"Modernisation")/1000000000)</f>
        <v>0</v>
      </c>
      <c r="AB73" s="15">
        <f>(SUMIFS('MAIN DATA, Orders'!$U:$U,'MAIN DATA, Orders'!$Y:$Y,$A73,'MAIN DATA, Orders'!$D:$D,"Poland",'MAIN DATA, Orders'!$I:$I,"Development - Modernisation")/1000000000)</f>
        <v>0</v>
      </c>
      <c r="AC73" s="15">
        <f>(SUMIFS('MAIN DATA, Orders'!$U:$U,'MAIN DATA, Orders'!$Y:$Y,$A73,'MAIN DATA, Orders'!$D:$D,"Poland",'MAIN DATA, Orders'!$I:$I,"Naval")/1000000000)</f>
        <v>0</v>
      </c>
      <c r="AD73" s="15">
        <f>(SUMIFS('MAIN DATA, Orders'!$U:$U,'MAIN DATA, Orders'!$Y:$Y,$A73,'MAIN DATA, Orders'!$D:$D,"Poland",'MAIN DATA, Orders'!$I:$I,"Development - Naval")/1000000000)</f>
        <v>0</v>
      </c>
      <c r="AE73" s="15">
        <f>(SUMIFS('MAIN DATA, Orders'!$U:$U,'MAIN DATA, Orders'!$Y:$Y,$A73,'MAIN DATA, Orders'!$D:$D,"Poland",'MAIN DATA, Orders'!$I:$I,"Other")/1000000000)</f>
        <v>0</v>
      </c>
      <c r="AF73" s="15">
        <f>(SUMIFS('MAIN DATA, Orders'!$U:$U,'MAIN DATA, Orders'!$Y:$Y,$A73,'MAIN DATA, Orders'!$D:$D,"Poland",'MAIN DATA, Orders'!$I:$I,"Development - Other")/1000000000)</f>
        <v>0</v>
      </c>
      <c r="AG73" s="15"/>
      <c r="AH73" s="15" cm="1">
        <f t="array" ref="AH73">SUM(SUMIFS('MAIN DATA, Orders'!$U:$U,'MAIN DATA, Orders'!$Y:$Y,$A73,'MAIN DATA, Orders'!$D:$D,"Poland",'MAIN DATA, Orders'!$I:$I,{"Missile (Land)","Development - Missile (Land)"})/1000000000)</f>
        <v>0</v>
      </c>
      <c r="AI73" s="15" cm="1">
        <f t="array" ref="AI73">SUM(SUMIFS('MAIN DATA, Orders'!$U:$U,'MAIN DATA, Orders'!$Y:$Y,$A73,'MAIN DATA, Orders'!$D:$D,"Poland",'MAIN DATA, Orders'!$I:$I,{"Missile (Air)","Development - Missile (Air)"})/1000000000)</f>
        <v>0</v>
      </c>
      <c r="AJ73" s="15" cm="1">
        <f t="array" ref="AJ73">SUM(SUMIFS('MAIN DATA, Orders'!$U:$U,'MAIN DATA, Orders'!$Y:$Y,$A73,'MAIN DATA, Orders'!$D:$D,"Poland",'MAIN DATA, Orders'!$I:$I,{"Missile (Naval)","Development - Missile (Naval)"})/1000000000)</f>
        <v>0</v>
      </c>
    </row>
    <row r="74" spans="1:36" x14ac:dyDescent="0.35">
      <c r="A74" s="20">
        <v>202408</v>
      </c>
      <c r="B74" s="17">
        <v>45505</v>
      </c>
      <c r="C74" s="15">
        <f>(SUMIFS('MAIN DATA, Orders'!$U:$U,'MAIN DATA, Orders'!$Y:$Y,$A74,'MAIN DATA, Orders'!$D:$D,"Poland",'MAIN DATA, Orders'!$I:$I,"Air defence system")/1000000000)</f>
        <v>1.0915509313019649</v>
      </c>
      <c r="D74" s="15">
        <f>(SUMIFS('MAIN DATA, Orders'!$U:$U,'MAIN DATA, Orders'!$Y:$Y,$A74,'MAIN DATA, Orders'!$D:$D,"Poland",'MAIN DATA, Orders'!$I:$I,"Development - Air defence system")/1000000000)</f>
        <v>0</v>
      </c>
      <c r="E74" s="15">
        <f>(SUMIFS('MAIN DATA, Orders'!$U:$U,'MAIN DATA, Orders'!$Y:$Y,$A74,'MAIN DATA, Orders'!$D:$D,"Poland",'MAIN DATA, Orders'!$I:$I,"Aircraft")/1000000000)</f>
        <v>0</v>
      </c>
      <c r="F74" s="15">
        <f>(SUMIFS('MAIN DATA, Orders'!$U:$U,'MAIN DATA, Orders'!$Y:$Y,$A74,'MAIN DATA, Orders'!$D:$D,"Poland",'MAIN DATA, Orders'!$I:$I,"Development - Aircraft")/1000000000)</f>
        <v>0</v>
      </c>
      <c r="G74" s="15">
        <f>(SUMIFS('MAIN DATA, Orders'!$U:$U,'MAIN DATA, Orders'!$Y:$Y,$A74,'MAIN DATA, Orders'!$D:$D,"Poland",'MAIN DATA, Orders'!$I:$I,"Ammunition")/1000000000)</f>
        <v>0</v>
      </c>
      <c r="H74" s="15">
        <f>(SUMIFS('MAIN DATA, Orders'!$U:$U,'MAIN DATA, Orders'!$Y:$Y,$A74,'MAIN DATA, Orders'!$D:$D,"Poland",'MAIN DATA, Orders'!$I:$I,"Development - Ammunition")/1000000000)</f>
        <v>0</v>
      </c>
      <c r="I74" s="15">
        <f>(SUMIFS('MAIN DATA, Orders'!$U:$U,'MAIN DATA, Orders'!$Y:$Y,$A74,'MAIN DATA, Orders'!$D:$D,"Poland",'MAIN DATA, Orders'!$I:$I,"Armoured vehicle")/1000000000)</f>
        <v>0.18579590320033446</v>
      </c>
      <c r="J74" s="15">
        <f>(SUMIFS('MAIN DATA, Orders'!$U:$U,'MAIN DATA, Orders'!$Y:$Y,$A74,'MAIN DATA, Orders'!$D:$D,"Poland",'MAIN DATA, Orders'!$I:$I,"Development - Armoured vehicle")/1000000000)</f>
        <v>0</v>
      </c>
      <c r="K74" s="15">
        <f>(SUMIFS('MAIN DATA, Orders'!$U:$U,'MAIN DATA, Orders'!$Y:$Y,$A74,'MAIN DATA, Orders'!$D:$D,"Poland",'MAIN DATA, Orders'!$I:$I,"Artillery")/1000000000)</f>
        <v>0</v>
      </c>
      <c r="L74" s="15">
        <f>(SUMIFS('MAIN DATA, Orders'!$U:$U,'MAIN DATA, Orders'!$Y:$Y,$A74,'MAIN DATA, Orders'!$D:$D,"Poland",'MAIN DATA, Orders'!$I:$I,"Development - Artillery")/1000000000)</f>
        <v>0</v>
      </c>
      <c r="M74" s="15">
        <f>(SUMIFS('MAIN DATA, Orders'!$U:$U,'MAIN DATA, Orders'!$Y:$Y,$A74,'MAIN DATA, Orders'!$D:$D,"Poland",'MAIN DATA, Orders'!$I:$I,"Drone")/1000000000)</f>
        <v>0</v>
      </c>
      <c r="N74" s="15">
        <f>(SUMIFS('MAIN DATA, Orders'!$U:$U,'MAIN DATA, Orders'!$Y:$Y,$A74,'MAIN DATA, Orders'!$D:$D,"Poland",'MAIN DATA, Orders'!$I:$I,"Development - Drone")/1000000000)</f>
        <v>0</v>
      </c>
      <c r="O74" s="15">
        <f>(SUMIFS('MAIN DATA, Orders'!$U:$U,'MAIN DATA, Orders'!$Y:$Y,$A74,'MAIN DATA, Orders'!$D:$D,"Poland",'MAIN DATA, Orders'!$I:$I,"Helicopter")/1000000000)</f>
        <v>9.3316267025240389</v>
      </c>
      <c r="P74" s="15">
        <f>(SUMIFS('MAIN DATA, Orders'!$U:$U,'MAIN DATA, Orders'!$Y:$Y,$A74,'MAIN DATA, Orders'!$D:$D,"Poland",'MAIN DATA, Orders'!$I:$I,"Development - Helicopter")/1000000000)</f>
        <v>0</v>
      </c>
      <c r="Q74" s="15">
        <f>(SUMIFS('MAIN DATA, Orders'!$U:$U,'MAIN DATA, Orders'!$Y:$Y,$A74,'MAIN DATA, Orders'!$D:$D,"Poland",'MAIN DATA, Orders'!$I:$I,"Infantry")/1000000000)</f>
        <v>0</v>
      </c>
      <c r="R74" s="15">
        <f>(SUMIFS('MAIN DATA, Orders'!$U:$U,'MAIN DATA, Orders'!$Y:$Y,$A74,'MAIN DATA, Orders'!$D:$D,"Poland",'MAIN DATA, Orders'!$I:$I,"Development - Infantry")/1000000000)</f>
        <v>0</v>
      </c>
      <c r="S74" s="15">
        <f>(SUMIFS('MAIN DATA, Orders'!$U:$U,'MAIN DATA, Orders'!$Y:$Y,$A74,'MAIN DATA, Orders'!$D:$D,"Poland",'MAIN DATA, Orders'!$I:$I,"Tank")/1000000000)</f>
        <v>0</v>
      </c>
      <c r="T74" s="15">
        <f>(SUMIFS('MAIN DATA, Orders'!$U:$U,'MAIN DATA, Orders'!$Y:$Y,$A74,'MAIN DATA, Orders'!$D:$D,"Poland",'MAIN DATA, Orders'!$I:$I,"Development - Tank")/1000000000)</f>
        <v>0</v>
      </c>
      <c r="U74" s="15">
        <f>(SUMIFS('MAIN DATA, Orders'!$U:$U,'MAIN DATA, Orders'!$Y:$Y,$A74,'MAIN DATA, Orders'!$D:$D,"Poland",'MAIN DATA, Orders'!$I:$I,"Maintenance")/1000000000)</f>
        <v>0.12308978587022157</v>
      </c>
      <c r="V74" s="15">
        <f>(SUMIFS('MAIN DATA, Orders'!$U:$U,'MAIN DATA, Orders'!$Y:$Y,$A74,'MAIN DATA, Orders'!$D:$D,"Poland",'MAIN DATA, Orders'!$I:$I,"Development - Maintenance")/1000000000)</f>
        <v>0</v>
      </c>
      <c r="W74" s="15">
        <f>(SUMIFS('MAIN DATA, Orders'!$U:$U,'MAIN DATA, Orders'!$Y:$Y,$A74,'MAIN DATA, Orders'!$D:$D,"Poland",'MAIN DATA, Orders'!$I:$I,"Mine")/1000000000)</f>
        <v>0</v>
      </c>
      <c r="X74" s="15">
        <f>(SUMIFS('MAIN DATA, Orders'!$U:$U,'MAIN DATA, Orders'!$Y:$Y,$A74,'MAIN DATA, Orders'!$D:$D,"Poland",'MAIN DATA, Orders'!$I:$I,"Development - Mine")/1000000000)</f>
        <v>0</v>
      </c>
      <c r="Y74" s="15">
        <f>(SUMIFS('MAIN DATA, Orders'!$U:$U,'MAIN DATA, Orders'!$Y:$Y,$A74,'MAIN DATA, Orders'!$D:$D,"Poland",'MAIN DATA, Orders'!$J:$J,"6")/1000000000)</f>
        <v>0</v>
      </c>
      <c r="Z74" s="15" cm="1">
        <f t="array" ref="Z74">SUM(SUMIFS('MAIN DATA, Orders'!$U:$U,'MAIN DATA, Orders'!$Y:$Y,$A74,'MAIN DATA, Orders'!$D:$D,"Poland",'MAIN DATA, Orders'!$I:$I,{"Development - Missile (Land)","Development - Missile (Naval)","Development - Missile (Air)"})/1000000000)</f>
        <v>0</v>
      </c>
      <c r="AA74" s="15">
        <f>(SUMIFS('MAIN DATA, Orders'!$U:$U,'MAIN DATA, Orders'!$Y:$Y,$A74,'MAIN DATA, Orders'!$D:$D,"Poland",'MAIN DATA, Orders'!$I:$I,"Modernisation")/1000000000)</f>
        <v>0</v>
      </c>
      <c r="AB74" s="15">
        <f>(SUMIFS('MAIN DATA, Orders'!$U:$U,'MAIN DATA, Orders'!$Y:$Y,$A74,'MAIN DATA, Orders'!$D:$D,"Poland",'MAIN DATA, Orders'!$I:$I,"Development - Modernisation")/1000000000)</f>
        <v>0</v>
      </c>
      <c r="AC74" s="15">
        <f>(SUMIFS('MAIN DATA, Orders'!$U:$U,'MAIN DATA, Orders'!$Y:$Y,$A74,'MAIN DATA, Orders'!$D:$D,"Poland",'MAIN DATA, Orders'!$I:$I,"Naval")/1000000000)</f>
        <v>0</v>
      </c>
      <c r="AD74" s="15">
        <f>(SUMIFS('MAIN DATA, Orders'!$U:$U,'MAIN DATA, Orders'!$Y:$Y,$A74,'MAIN DATA, Orders'!$D:$D,"Poland",'MAIN DATA, Orders'!$I:$I,"Development - Naval")/1000000000)</f>
        <v>0</v>
      </c>
      <c r="AE74" s="15">
        <f>(SUMIFS('MAIN DATA, Orders'!$U:$U,'MAIN DATA, Orders'!$Y:$Y,$A74,'MAIN DATA, Orders'!$D:$D,"Poland",'MAIN DATA, Orders'!$I:$I,"Other")/1000000000)</f>
        <v>0</v>
      </c>
      <c r="AF74" s="15">
        <f>(SUMIFS('MAIN DATA, Orders'!$U:$U,'MAIN DATA, Orders'!$Y:$Y,$A74,'MAIN DATA, Orders'!$D:$D,"Poland",'MAIN DATA, Orders'!$I:$I,"Development - Other")/1000000000)</f>
        <v>0</v>
      </c>
      <c r="AG74" s="15"/>
      <c r="AH74" s="15" cm="1">
        <f t="array" ref="AH74">SUM(SUMIFS('MAIN DATA, Orders'!$U:$U,'MAIN DATA, Orders'!$Y:$Y,$A74,'MAIN DATA, Orders'!$D:$D,"Poland",'MAIN DATA, Orders'!$I:$I,{"Missile (Land)","Development - Missile (Land)"})/1000000000)</f>
        <v>0</v>
      </c>
      <c r="AI74" s="15" cm="1">
        <f t="array" ref="AI74">SUM(SUMIFS('MAIN DATA, Orders'!$U:$U,'MAIN DATA, Orders'!$Y:$Y,$A74,'MAIN DATA, Orders'!$D:$D,"Poland",'MAIN DATA, Orders'!$I:$I,{"Missile (Air)","Development - Missile (Air)"})/1000000000)</f>
        <v>0</v>
      </c>
      <c r="AJ74" s="15" cm="1">
        <f t="array" ref="AJ74">SUM(SUMIFS('MAIN DATA, Orders'!$U:$U,'MAIN DATA, Orders'!$Y:$Y,$A74,'MAIN DATA, Orders'!$D:$D,"Poland",'MAIN DATA, Orders'!$I:$I,{"Missile (Naval)","Development - Missile (Naval)"})/1000000000)</f>
        <v>0</v>
      </c>
    </row>
    <row r="75" spans="1:36" x14ac:dyDescent="0.35">
      <c r="A75" s="20">
        <v>202409</v>
      </c>
      <c r="B75" s="17">
        <v>45536</v>
      </c>
      <c r="C75" s="15">
        <f>(SUMIFS('MAIN DATA, Orders'!$U:$U,'MAIN DATA, Orders'!$Y:$Y,$A75,'MAIN DATA, Orders'!$D:$D,"Poland",'MAIN DATA, Orders'!$I:$I,"Air defence system")/1000000000)</f>
        <v>0</v>
      </c>
      <c r="D75" s="15">
        <f>(SUMIFS('MAIN DATA, Orders'!$U:$U,'MAIN DATA, Orders'!$Y:$Y,$A75,'MAIN DATA, Orders'!$D:$D,"Poland",'MAIN DATA, Orders'!$I:$I,"Development - Air defence system")/1000000000)</f>
        <v>0</v>
      </c>
      <c r="E75" s="15">
        <f>(SUMIFS('MAIN DATA, Orders'!$U:$U,'MAIN DATA, Orders'!$Y:$Y,$A75,'MAIN DATA, Orders'!$D:$D,"Poland",'MAIN DATA, Orders'!$I:$I,"Aircraft")/1000000000)</f>
        <v>0</v>
      </c>
      <c r="F75" s="15">
        <f>(SUMIFS('MAIN DATA, Orders'!$U:$U,'MAIN DATA, Orders'!$Y:$Y,$A75,'MAIN DATA, Orders'!$D:$D,"Poland",'MAIN DATA, Orders'!$I:$I,"Development - Aircraft")/1000000000)</f>
        <v>0</v>
      </c>
      <c r="G75" s="15">
        <f>(SUMIFS('MAIN DATA, Orders'!$U:$U,'MAIN DATA, Orders'!$Y:$Y,$A75,'MAIN DATA, Orders'!$D:$D,"Poland",'MAIN DATA, Orders'!$I:$I,"Ammunition")/1000000000)</f>
        <v>0</v>
      </c>
      <c r="H75" s="15">
        <f>(SUMIFS('MAIN DATA, Orders'!$U:$U,'MAIN DATA, Orders'!$Y:$Y,$A75,'MAIN DATA, Orders'!$D:$D,"Poland",'MAIN DATA, Orders'!$I:$I,"Development - Ammunition")/1000000000)</f>
        <v>0</v>
      </c>
      <c r="I75" s="15">
        <f>(SUMIFS('MAIN DATA, Orders'!$U:$U,'MAIN DATA, Orders'!$Y:$Y,$A75,'MAIN DATA, Orders'!$D:$D,"Poland",'MAIN DATA, Orders'!$I:$I,"Armoured vehicle")/1000000000)</f>
        <v>0</v>
      </c>
      <c r="J75" s="15">
        <f>(SUMIFS('MAIN DATA, Orders'!$U:$U,'MAIN DATA, Orders'!$Y:$Y,$A75,'MAIN DATA, Orders'!$D:$D,"Poland",'MAIN DATA, Orders'!$I:$I,"Development - Armoured vehicle")/1000000000)</f>
        <v>0</v>
      </c>
      <c r="K75" s="15">
        <f>(SUMIFS('MAIN DATA, Orders'!$U:$U,'MAIN DATA, Orders'!$Y:$Y,$A75,'MAIN DATA, Orders'!$D:$D,"Poland",'MAIN DATA, Orders'!$I:$I,"Artillery")/1000000000)</f>
        <v>0</v>
      </c>
      <c r="L75" s="15">
        <f>(SUMIFS('MAIN DATA, Orders'!$U:$U,'MAIN DATA, Orders'!$Y:$Y,$A75,'MAIN DATA, Orders'!$D:$D,"Poland",'MAIN DATA, Orders'!$I:$I,"Development - Artillery")/1000000000)</f>
        <v>0</v>
      </c>
      <c r="M75" s="15">
        <f>(SUMIFS('MAIN DATA, Orders'!$U:$U,'MAIN DATA, Orders'!$Y:$Y,$A75,'MAIN DATA, Orders'!$D:$D,"Poland",'MAIN DATA, Orders'!$I:$I,"Drone")/1000000000)</f>
        <v>1.5490733429327885E-2</v>
      </c>
      <c r="N75" s="15">
        <f>(SUMIFS('MAIN DATA, Orders'!$U:$U,'MAIN DATA, Orders'!$Y:$Y,$A75,'MAIN DATA, Orders'!$D:$D,"Poland",'MAIN DATA, Orders'!$I:$I,"Development - Drone")/1000000000)</f>
        <v>0</v>
      </c>
      <c r="O75" s="15">
        <f>(SUMIFS('MAIN DATA, Orders'!$U:$U,'MAIN DATA, Orders'!$Y:$Y,$A75,'MAIN DATA, Orders'!$D:$D,"Poland",'MAIN DATA, Orders'!$I:$I,"Helicopter")/1000000000)</f>
        <v>0</v>
      </c>
      <c r="P75" s="15">
        <f>(SUMIFS('MAIN DATA, Orders'!$U:$U,'MAIN DATA, Orders'!$Y:$Y,$A75,'MAIN DATA, Orders'!$D:$D,"Poland",'MAIN DATA, Orders'!$I:$I,"Development - Helicopter")/1000000000)</f>
        <v>0</v>
      </c>
      <c r="Q75" s="15">
        <f>(SUMIFS('MAIN DATA, Orders'!$U:$U,'MAIN DATA, Orders'!$Y:$Y,$A75,'MAIN DATA, Orders'!$D:$D,"Poland",'MAIN DATA, Orders'!$I:$I,"Infantry")/1000000000)</f>
        <v>0</v>
      </c>
      <c r="R75" s="15">
        <f>(SUMIFS('MAIN DATA, Orders'!$U:$U,'MAIN DATA, Orders'!$Y:$Y,$A75,'MAIN DATA, Orders'!$D:$D,"Poland",'MAIN DATA, Orders'!$I:$I,"Development - Infantry")/1000000000)</f>
        <v>0</v>
      </c>
      <c r="S75" s="15">
        <f>(SUMIFS('MAIN DATA, Orders'!$U:$U,'MAIN DATA, Orders'!$Y:$Y,$A75,'MAIN DATA, Orders'!$D:$D,"Poland",'MAIN DATA, Orders'!$I:$I,"Tank")/1000000000)</f>
        <v>0</v>
      </c>
      <c r="T75" s="15">
        <f>(SUMIFS('MAIN DATA, Orders'!$U:$U,'MAIN DATA, Orders'!$Y:$Y,$A75,'MAIN DATA, Orders'!$D:$D,"Poland",'MAIN DATA, Orders'!$I:$I,"Development - Tank")/1000000000)</f>
        <v>0</v>
      </c>
      <c r="U75" s="15">
        <f>(SUMIFS('MAIN DATA, Orders'!$U:$U,'MAIN DATA, Orders'!$Y:$Y,$A75,'MAIN DATA, Orders'!$D:$D,"Poland",'MAIN DATA, Orders'!$I:$I,"Maintenance")/1000000000)</f>
        <v>0</v>
      </c>
      <c r="V75" s="15">
        <f>(SUMIFS('MAIN DATA, Orders'!$U:$U,'MAIN DATA, Orders'!$Y:$Y,$A75,'MAIN DATA, Orders'!$D:$D,"Poland",'MAIN DATA, Orders'!$I:$I,"Development - Maintenance")/1000000000)</f>
        <v>0</v>
      </c>
      <c r="W75" s="15">
        <f>(SUMIFS('MAIN DATA, Orders'!$U:$U,'MAIN DATA, Orders'!$Y:$Y,$A75,'MAIN DATA, Orders'!$D:$D,"Poland",'MAIN DATA, Orders'!$I:$I,"Mine")/1000000000)</f>
        <v>0</v>
      </c>
      <c r="X75" s="15">
        <f>(SUMIFS('MAIN DATA, Orders'!$U:$U,'MAIN DATA, Orders'!$Y:$Y,$A75,'MAIN DATA, Orders'!$D:$D,"Poland",'MAIN DATA, Orders'!$I:$I,"Development - Mine")/1000000000)</f>
        <v>0</v>
      </c>
      <c r="Y75" s="15">
        <f>(SUMIFS('MAIN DATA, Orders'!$U:$U,'MAIN DATA, Orders'!$Y:$Y,$A75,'MAIN DATA, Orders'!$D:$D,"Poland",'MAIN DATA, Orders'!$J:$J,"6")/1000000000)</f>
        <v>0</v>
      </c>
      <c r="Z75" s="15" cm="1">
        <f t="array" ref="Z75">SUM(SUMIFS('MAIN DATA, Orders'!$U:$U,'MAIN DATA, Orders'!$Y:$Y,$A75,'MAIN DATA, Orders'!$D:$D,"Poland",'MAIN DATA, Orders'!$I:$I,{"Development - Missile (Land)","Development - Missile (Naval)","Development - Missile (Air)"})/1000000000)</f>
        <v>0</v>
      </c>
      <c r="AA75" s="15">
        <f>(SUMIFS('MAIN DATA, Orders'!$U:$U,'MAIN DATA, Orders'!$Y:$Y,$A75,'MAIN DATA, Orders'!$D:$D,"Poland",'MAIN DATA, Orders'!$I:$I,"Modernisation")/1000000000)</f>
        <v>0</v>
      </c>
      <c r="AB75" s="15">
        <f>(SUMIFS('MAIN DATA, Orders'!$U:$U,'MAIN DATA, Orders'!$Y:$Y,$A75,'MAIN DATA, Orders'!$D:$D,"Poland",'MAIN DATA, Orders'!$I:$I,"Development - Modernisation")/1000000000)</f>
        <v>0</v>
      </c>
      <c r="AC75" s="15">
        <f>(SUMIFS('MAIN DATA, Orders'!$U:$U,'MAIN DATA, Orders'!$Y:$Y,$A75,'MAIN DATA, Orders'!$D:$D,"Poland",'MAIN DATA, Orders'!$I:$I,"Naval")/1000000000)</f>
        <v>0</v>
      </c>
      <c r="AD75" s="15">
        <f>(SUMIFS('MAIN DATA, Orders'!$U:$U,'MAIN DATA, Orders'!$Y:$Y,$A75,'MAIN DATA, Orders'!$D:$D,"Poland",'MAIN DATA, Orders'!$I:$I,"Development - Naval")/1000000000)</f>
        <v>0</v>
      </c>
      <c r="AE75" s="15">
        <f>(SUMIFS('MAIN DATA, Orders'!$U:$U,'MAIN DATA, Orders'!$Y:$Y,$A75,'MAIN DATA, Orders'!$D:$D,"Poland",'MAIN DATA, Orders'!$I:$I,"Other")/1000000000)</f>
        <v>0</v>
      </c>
      <c r="AF75" s="15">
        <f>(SUMIFS('MAIN DATA, Orders'!$U:$U,'MAIN DATA, Orders'!$Y:$Y,$A75,'MAIN DATA, Orders'!$D:$D,"Poland",'MAIN DATA, Orders'!$I:$I,"Development - Other")/1000000000)</f>
        <v>0</v>
      </c>
      <c r="AG75" s="15"/>
      <c r="AH75" s="15" cm="1">
        <f t="array" ref="AH75">SUM(SUMIFS('MAIN DATA, Orders'!$U:$U,'MAIN DATA, Orders'!$Y:$Y,$A75,'MAIN DATA, Orders'!$D:$D,"Poland",'MAIN DATA, Orders'!$I:$I,{"Missile (Land)","Development - Missile (Land)"})/1000000000)</f>
        <v>0</v>
      </c>
      <c r="AI75" s="15" cm="1">
        <f t="array" ref="AI75">SUM(SUMIFS('MAIN DATA, Orders'!$U:$U,'MAIN DATA, Orders'!$Y:$Y,$A75,'MAIN DATA, Orders'!$D:$D,"Poland",'MAIN DATA, Orders'!$I:$I,{"Missile (Air)","Development - Missile (Air)"})/1000000000)</f>
        <v>0</v>
      </c>
      <c r="AJ75" s="15" cm="1">
        <f t="array" ref="AJ75">SUM(SUMIFS('MAIN DATA, Orders'!$U:$U,'MAIN DATA, Orders'!$Y:$Y,$A75,'MAIN DATA, Orders'!$D:$D,"Poland",'MAIN DATA, Orders'!$I:$I,{"Missile (Naval)","Development - Missile (Naval)"})/1000000000)</f>
        <v>0</v>
      </c>
    </row>
    <row r="76" spans="1:36" x14ac:dyDescent="0.35">
      <c r="A76" s="20">
        <v>202410</v>
      </c>
      <c r="B76" s="17">
        <v>45566</v>
      </c>
      <c r="C76" s="15">
        <f>(SUMIFS('MAIN DATA, Orders'!$U:$U,'MAIN DATA, Orders'!$Y:$Y,$A76,'MAIN DATA, Orders'!$D:$D,"Poland",'MAIN DATA, Orders'!$I:$I,"Air defence system")/1000000000)</f>
        <v>0</v>
      </c>
      <c r="D76" s="15">
        <f>(SUMIFS('MAIN DATA, Orders'!$U:$U,'MAIN DATA, Orders'!$Y:$Y,$A76,'MAIN DATA, Orders'!$D:$D,"Poland",'MAIN DATA, Orders'!$I:$I,"Development - Air defence system")/1000000000)</f>
        <v>0</v>
      </c>
      <c r="E76" s="15">
        <f>(SUMIFS('MAIN DATA, Orders'!$U:$U,'MAIN DATA, Orders'!$Y:$Y,$A76,'MAIN DATA, Orders'!$D:$D,"Poland",'MAIN DATA, Orders'!$I:$I,"Aircraft")/1000000000)</f>
        <v>0</v>
      </c>
      <c r="F76" s="15">
        <f>(SUMIFS('MAIN DATA, Orders'!$U:$U,'MAIN DATA, Orders'!$Y:$Y,$A76,'MAIN DATA, Orders'!$D:$D,"Poland",'MAIN DATA, Orders'!$I:$I,"Development - Aircraft")/1000000000)</f>
        <v>0</v>
      </c>
      <c r="G76" s="15">
        <f>(SUMIFS('MAIN DATA, Orders'!$U:$U,'MAIN DATA, Orders'!$Y:$Y,$A76,'MAIN DATA, Orders'!$D:$D,"Poland",'MAIN DATA, Orders'!$I:$I,"Ammunition")/1000000000)</f>
        <v>0</v>
      </c>
      <c r="H76" s="15">
        <f>(SUMIFS('MAIN DATA, Orders'!$U:$U,'MAIN DATA, Orders'!$Y:$Y,$A76,'MAIN DATA, Orders'!$D:$D,"Poland",'MAIN DATA, Orders'!$I:$I,"Development - Ammunition")/1000000000)</f>
        <v>0</v>
      </c>
      <c r="I76" s="15">
        <f>(SUMIFS('MAIN DATA, Orders'!$U:$U,'MAIN DATA, Orders'!$Y:$Y,$A76,'MAIN DATA, Orders'!$D:$D,"Poland",'MAIN DATA, Orders'!$I:$I,"Armoured vehicle")/1000000000)</f>
        <v>0</v>
      </c>
      <c r="J76" s="15">
        <f>(SUMIFS('MAIN DATA, Orders'!$U:$U,'MAIN DATA, Orders'!$Y:$Y,$A76,'MAIN DATA, Orders'!$D:$D,"Poland",'MAIN DATA, Orders'!$I:$I,"Development - Armoured vehicle")/1000000000)</f>
        <v>0</v>
      </c>
      <c r="K76" s="15">
        <f>(SUMIFS('MAIN DATA, Orders'!$U:$U,'MAIN DATA, Orders'!$Y:$Y,$A76,'MAIN DATA, Orders'!$D:$D,"Poland",'MAIN DATA, Orders'!$I:$I,"Artillery")/1000000000)</f>
        <v>0</v>
      </c>
      <c r="L76" s="15">
        <f>(SUMIFS('MAIN DATA, Orders'!$U:$U,'MAIN DATA, Orders'!$Y:$Y,$A76,'MAIN DATA, Orders'!$D:$D,"Poland",'MAIN DATA, Orders'!$I:$I,"Development - Artillery")/1000000000)</f>
        <v>0</v>
      </c>
      <c r="M76" s="15">
        <f>(SUMIFS('MAIN DATA, Orders'!$U:$U,'MAIN DATA, Orders'!$Y:$Y,$A76,'MAIN DATA, Orders'!$D:$D,"Poland",'MAIN DATA, Orders'!$I:$I,"Drone")/1000000000)</f>
        <v>0</v>
      </c>
      <c r="N76" s="15">
        <f>(SUMIFS('MAIN DATA, Orders'!$U:$U,'MAIN DATA, Orders'!$Y:$Y,$A76,'MAIN DATA, Orders'!$D:$D,"Poland",'MAIN DATA, Orders'!$I:$I,"Development - Drone")/1000000000)</f>
        <v>0</v>
      </c>
      <c r="O76" s="15">
        <f>(SUMIFS('MAIN DATA, Orders'!$U:$U,'MAIN DATA, Orders'!$Y:$Y,$A76,'MAIN DATA, Orders'!$D:$D,"Poland",'MAIN DATA, Orders'!$I:$I,"Helicopter")/1000000000)</f>
        <v>0</v>
      </c>
      <c r="P76" s="15">
        <f>(SUMIFS('MAIN DATA, Orders'!$U:$U,'MAIN DATA, Orders'!$Y:$Y,$A76,'MAIN DATA, Orders'!$D:$D,"Poland",'MAIN DATA, Orders'!$I:$I,"Development - Helicopter")/1000000000)</f>
        <v>0</v>
      </c>
      <c r="Q76" s="15">
        <f>(SUMIFS('MAIN DATA, Orders'!$U:$U,'MAIN DATA, Orders'!$Y:$Y,$A76,'MAIN DATA, Orders'!$D:$D,"Poland",'MAIN DATA, Orders'!$I:$I,"Infantry")/1000000000)</f>
        <v>0</v>
      </c>
      <c r="R76" s="15">
        <f>(SUMIFS('MAIN DATA, Orders'!$U:$U,'MAIN DATA, Orders'!$Y:$Y,$A76,'MAIN DATA, Orders'!$D:$D,"Poland",'MAIN DATA, Orders'!$I:$I,"Development - Infantry")/1000000000)</f>
        <v>0</v>
      </c>
      <c r="S76" s="15">
        <f>(SUMIFS('MAIN DATA, Orders'!$U:$U,'MAIN DATA, Orders'!$Y:$Y,$A76,'MAIN DATA, Orders'!$D:$D,"Poland",'MAIN DATA, Orders'!$I:$I,"Tank")/1000000000)</f>
        <v>0</v>
      </c>
      <c r="T76" s="15">
        <f>(SUMIFS('MAIN DATA, Orders'!$U:$U,'MAIN DATA, Orders'!$Y:$Y,$A76,'MAIN DATA, Orders'!$D:$D,"Poland",'MAIN DATA, Orders'!$I:$I,"Development - Tank")/1000000000)</f>
        <v>0</v>
      </c>
      <c r="U76" s="15">
        <f>(SUMIFS('MAIN DATA, Orders'!$U:$U,'MAIN DATA, Orders'!$Y:$Y,$A76,'MAIN DATA, Orders'!$D:$D,"Poland",'MAIN DATA, Orders'!$I:$I,"Maintenance")/1000000000)</f>
        <v>0</v>
      </c>
      <c r="V76" s="15">
        <f>(SUMIFS('MAIN DATA, Orders'!$U:$U,'MAIN DATA, Orders'!$Y:$Y,$A76,'MAIN DATA, Orders'!$D:$D,"Poland",'MAIN DATA, Orders'!$I:$I,"Development - Maintenance")/1000000000)</f>
        <v>0</v>
      </c>
      <c r="W76" s="15">
        <f>(SUMIFS('MAIN DATA, Orders'!$U:$U,'MAIN DATA, Orders'!$Y:$Y,$A76,'MAIN DATA, Orders'!$D:$D,"Poland",'MAIN DATA, Orders'!$I:$I,"Mine")/1000000000)</f>
        <v>0</v>
      </c>
      <c r="X76" s="15">
        <f>(SUMIFS('MAIN DATA, Orders'!$U:$U,'MAIN DATA, Orders'!$Y:$Y,$A76,'MAIN DATA, Orders'!$D:$D,"Poland",'MAIN DATA, Orders'!$I:$I,"Development - Mine")/1000000000)</f>
        <v>0</v>
      </c>
      <c r="Y76" s="15">
        <f>(SUMIFS('MAIN DATA, Orders'!$U:$U,'MAIN DATA, Orders'!$Y:$Y,$A76,'MAIN DATA, Orders'!$D:$D,"Poland",'MAIN DATA, Orders'!$J:$J,"6")/1000000000)</f>
        <v>0</v>
      </c>
      <c r="Z76" s="15" cm="1">
        <f t="array" ref="Z76">SUM(SUMIFS('MAIN DATA, Orders'!$U:$U,'MAIN DATA, Orders'!$Y:$Y,$A76,'MAIN DATA, Orders'!$D:$D,"Poland",'MAIN DATA, Orders'!$I:$I,{"Development - Missile (Land)","Development - Missile (Naval)","Development - Missile (Air)"})/1000000000)</f>
        <v>0</v>
      </c>
      <c r="AA76" s="15">
        <f>(SUMIFS('MAIN DATA, Orders'!$U:$U,'MAIN DATA, Orders'!$Y:$Y,$A76,'MAIN DATA, Orders'!$D:$D,"Poland",'MAIN DATA, Orders'!$I:$I,"Modernisation")/1000000000)</f>
        <v>0</v>
      </c>
      <c r="AB76" s="15">
        <f>(SUMIFS('MAIN DATA, Orders'!$U:$U,'MAIN DATA, Orders'!$Y:$Y,$A76,'MAIN DATA, Orders'!$D:$D,"Poland",'MAIN DATA, Orders'!$I:$I,"Development - Modernisation")/1000000000)</f>
        <v>0</v>
      </c>
      <c r="AC76" s="15">
        <f>(SUMIFS('MAIN DATA, Orders'!$U:$U,'MAIN DATA, Orders'!$Y:$Y,$A76,'MAIN DATA, Orders'!$D:$D,"Poland",'MAIN DATA, Orders'!$I:$I,"Naval")/1000000000)</f>
        <v>0</v>
      </c>
      <c r="AD76" s="15">
        <f>(SUMIFS('MAIN DATA, Orders'!$U:$U,'MAIN DATA, Orders'!$Y:$Y,$A76,'MAIN DATA, Orders'!$D:$D,"Poland",'MAIN DATA, Orders'!$I:$I,"Development - Naval")/1000000000)</f>
        <v>0</v>
      </c>
      <c r="AE76" s="15">
        <f>(SUMIFS('MAIN DATA, Orders'!$U:$U,'MAIN DATA, Orders'!$Y:$Y,$A76,'MAIN DATA, Orders'!$D:$D,"Poland",'MAIN DATA, Orders'!$I:$I,"Other")/1000000000)</f>
        <v>0</v>
      </c>
      <c r="AF76" s="15">
        <f>(SUMIFS('MAIN DATA, Orders'!$U:$U,'MAIN DATA, Orders'!$Y:$Y,$A76,'MAIN DATA, Orders'!$D:$D,"Poland",'MAIN DATA, Orders'!$I:$I,"Development - Other")/1000000000)</f>
        <v>0</v>
      </c>
      <c r="AG76" s="15"/>
      <c r="AH76" s="15" cm="1">
        <f t="array" ref="AH76">SUM(SUMIFS('MAIN DATA, Orders'!$U:$U,'MAIN DATA, Orders'!$Y:$Y,$A76,'MAIN DATA, Orders'!$D:$D,"Poland",'MAIN DATA, Orders'!$I:$I,{"Missile (Land)","Development - Missile (Land)"})/1000000000)</f>
        <v>0</v>
      </c>
      <c r="AI76" s="15" cm="1">
        <f t="array" ref="AI76">SUM(SUMIFS('MAIN DATA, Orders'!$U:$U,'MAIN DATA, Orders'!$Y:$Y,$A76,'MAIN DATA, Orders'!$D:$D,"Poland",'MAIN DATA, Orders'!$I:$I,{"Missile (Air)","Development - Missile (Air)"})/1000000000)</f>
        <v>0</v>
      </c>
      <c r="AJ76" s="15" cm="1">
        <f t="array" ref="AJ76">SUM(SUMIFS('MAIN DATA, Orders'!$U:$U,'MAIN DATA, Orders'!$Y:$Y,$A76,'MAIN DATA, Orders'!$D:$D,"Poland",'MAIN DATA, Orders'!$I:$I,{"Missile (Naval)","Development - Missile (Naval)"})/1000000000)</f>
        <v>0</v>
      </c>
    </row>
    <row r="77" spans="1:36" x14ac:dyDescent="0.35">
      <c r="A77" s="20">
        <v>202411</v>
      </c>
      <c r="B77" s="17">
        <v>45597</v>
      </c>
      <c r="C77" s="15">
        <f>(SUMIFS('MAIN DATA, Orders'!$U:$U,'MAIN DATA, Orders'!$Y:$Y,$A77,'MAIN DATA, Orders'!$D:$D,"Poland",'MAIN DATA, Orders'!$I:$I,"Air defence system")/1000000000)</f>
        <v>0</v>
      </c>
      <c r="D77" s="15">
        <f>(SUMIFS('MAIN DATA, Orders'!$U:$U,'MAIN DATA, Orders'!$Y:$Y,$A77,'MAIN DATA, Orders'!$D:$D,"Poland",'MAIN DATA, Orders'!$I:$I,"Development - Air defence system")/1000000000)</f>
        <v>0</v>
      </c>
      <c r="E77" s="15">
        <f>(SUMIFS('MAIN DATA, Orders'!$U:$U,'MAIN DATA, Orders'!$Y:$Y,$A77,'MAIN DATA, Orders'!$D:$D,"Poland",'MAIN DATA, Orders'!$I:$I,"Aircraft")/1000000000)</f>
        <v>0</v>
      </c>
      <c r="F77" s="15">
        <f>(SUMIFS('MAIN DATA, Orders'!$U:$U,'MAIN DATA, Orders'!$Y:$Y,$A77,'MAIN DATA, Orders'!$D:$D,"Poland",'MAIN DATA, Orders'!$I:$I,"Development - Aircraft")/1000000000)</f>
        <v>0</v>
      </c>
      <c r="G77" s="15">
        <f>(SUMIFS('MAIN DATA, Orders'!$U:$U,'MAIN DATA, Orders'!$Y:$Y,$A77,'MAIN DATA, Orders'!$D:$D,"Poland",'MAIN DATA, Orders'!$I:$I,"Ammunition")/1000000000)</f>
        <v>0</v>
      </c>
      <c r="H77" s="15">
        <f>(SUMIFS('MAIN DATA, Orders'!$U:$U,'MAIN DATA, Orders'!$Y:$Y,$A77,'MAIN DATA, Orders'!$D:$D,"Poland",'MAIN DATA, Orders'!$I:$I,"Development - Ammunition")/1000000000)</f>
        <v>0</v>
      </c>
      <c r="I77" s="15">
        <f>(SUMIFS('MAIN DATA, Orders'!$U:$U,'MAIN DATA, Orders'!$Y:$Y,$A77,'MAIN DATA, Orders'!$D:$D,"Poland",'MAIN DATA, Orders'!$I:$I,"Armoured vehicle")/1000000000)</f>
        <v>0</v>
      </c>
      <c r="J77" s="15">
        <f>(SUMIFS('MAIN DATA, Orders'!$U:$U,'MAIN DATA, Orders'!$Y:$Y,$A77,'MAIN DATA, Orders'!$D:$D,"Poland",'MAIN DATA, Orders'!$I:$I,"Development - Armoured vehicle")/1000000000)</f>
        <v>0</v>
      </c>
      <c r="K77" s="15">
        <f>(SUMIFS('MAIN DATA, Orders'!$U:$U,'MAIN DATA, Orders'!$Y:$Y,$A77,'MAIN DATA, Orders'!$D:$D,"Poland",'MAIN DATA, Orders'!$I:$I,"Artillery")/1000000000)</f>
        <v>0.30191834270054346</v>
      </c>
      <c r="L77" s="15">
        <f>(SUMIFS('MAIN DATA, Orders'!$U:$U,'MAIN DATA, Orders'!$Y:$Y,$A77,'MAIN DATA, Orders'!$D:$D,"Poland",'MAIN DATA, Orders'!$I:$I,"Development - Artillery")/1000000000)</f>
        <v>0</v>
      </c>
      <c r="M77" s="15">
        <f>(SUMIFS('MAIN DATA, Orders'!$U:$U,'MAIN DATA, Orders'!$Y:$Y,$A77,'MAIN DATA, Orders'!$D:$D,"Poland",'MAIN DATA, Orders'!$I:$I,"Drone")/1000000000)</f>
        <v>2.3224487900041807E-2</v>
      </c>
      <c r="N77" s="15">
        <f>(SUMIFS('MAIN DATA, Orders'!$U:$U,'MAIN DATA, Orders'!$Y:$Y,$A77,'MAIN DATA, Orders'!$D:$D,"Poland",'MAIN DATA, Orders'!$I:$I,"Development - Drone")/1000000000)</f>
        <v>0</v>
      </c>
      <c r="O77" s="15">
        <f>(SUMIFS('MAIN DATA, Orders'!$U:$U,'MAIN DATA, Orders'!$Y:$Y,$A77,'MAIN DATA, Orders'!$D:$D,"Poland",'MAIN DATA, Orders'!$I:$I,"Helicopter")/1000000000)</f>
        <v>0</v>
      </c>
      <c r="P77" s="15">
        <f>(SUMIFS('MAIN DATA, Orders'!$U:$U,'MAIN DATA, Orders'!$Y:$Y,$A77,'MAIN DATA, Orders'!$D:$D,"Poland",'MAIN DATA, Orders'!$I:$I,"Development - Helicopter")/1000000000)</f>
        <v>0</v>
      </c>
      <c r="Q77" s="15">
        <f>(SUMIFS('MAIN DATA, Orders'!$U:$U,'MAIN DATA, Orders'!$Y:$Y,$A77,'MAIN DATA, Orders'!$D:$D,"Poland",'MAIN DATA, Orders'!$I:$I,"Infantry")/1000000000)</f>
        <v>0</v>
      </c>
      <c r="R77" s="15">
        <f>(SUMIFS('MAIN DATA, Orders'!$U:$U,'MAIN DATA, Orders'!$Y:$Y,$A77,'MAIN DATA, Orders'!$D:$D,"Poland",'MAIN DATA, Orders'!$I:$I,"Development - Infantry")/1000000000)</f>
        <v>0</v>
      </c>
      <c r="S77" s="15">
        <f>(SUMIFS('MAIN DATA, Orders'!$U:$U,'MAIN DATA, Orders'!$Y:$Y,$A77,'MAIN DATA, Orders'!$D:$D,"Poland",'MAIN DATA, Orders'!$I:$I,"Tank")/1000000000)</f>
        <v>0</v>
      </c>
      <c r="T77" s="15">
        <f>(SUMIFS('MAIN DATA, Orders'!$U:$U,'MAIN DATA, Orders'!$Y:$Y,$A77,'MAIN DATA, Orders'!$D:$D,"Poland",'MAIN DATA, Orders'!$I:$I,"Development - Tank")/1000000000)</f>
        <v>0</v>
      </c>
      <c r="U77" s="15">
        <f>(SUMIFS('MAIN DATA, Orders'!$U:$U,'MAIN DATA, Orders'!$Y:$Y,$A77,'MAIN DATA, Orders'!$D:$D,"Poland",'MAIN DATA, Orders'!$I:$I,"Maintenance")/1000000000)</f>
        <v>0</v>
      </c>
      <c r="V77" s="15">
        <f>(SUMIFS('MAIN DATA, Orders'!$U:$U,'MAIN DATA, Orders'!$Y:$Y,$A77,'MAIN DATA, Orders'!$D:$D,"Poland",'MAIN DATA, Orders'!$I:$I,"Development - Maintenance")/1000000000)</f>
        <v>0</v>
      </c>
      <c r="W77" s="15">
        <f>(SUMIFS('MAIN DATA, Orders'!$U:$U,'MAIN DATA, Orders'!$Y:$Y,$A77,'MAIN DATA, Orders'!$D:$D,"Poland",'MAIN DATA, Orders'!$I:$I,"Mine")/1000000000)</f>
        <v>0</v>
      </c>
      <c r="X77" s="15">
        <f>(SUMIFS('MAIN DATA, Orders'!$U:$U,'MAIN DATA, Orders'!$Y:$Y,$A77,'MAIN DATA, Orders'!$D:$D,"Poland",'MAIN DATA, Orders'!$I:$I,"Development - Mine")/1000000000)</f>
        <v>0</v>
      </c>
      <c r="Y77" s="15">
        <f>(SUMIFS('MAIN DATA, Orders'!$U:$U,'MAIN DATA, Orders'!$Y:$Y,$A77,'MAIN DATA, Orders'!$D:$D,"Poland",'MAIN DATA, Orders'!$J:$J,"6")/1000000000)</f>
        <v>0.16167775314116775</v>
      </c>
      <c r="Z77" s="15" cm="1">
        <f t="array" ref="Z77">SUM(SUMIFS('MAIN DATA, Orders'!$U:$U,'MAIN DATA, Orders'!$Y:$Y,$A77,'MAIN DATA, Orders'!$D:$D,"Poland",'MAIN DATA, Orders'!$I:$I,{"Development - Missile (Land)","Development - Missile (Naval)","Development - Missile (Air)"})/1000000000)</f>
        <v>0</v>
      </c>
      <c r="AA77" s="15">
        <f>(SUMIFS('MAIN DATA, Orders'!$U:$U,'MAIN DATA, Orders'!$Y:$Y,$A77,'MAIN DATA, Orders'!$D:$D,"Poland",'MAIN DATA, Orders'!$I:$I,"Modernisation")/1000000000)</f>
        <v>0</v>
      </c>
      <c r="AB77" s="15">
        <f>(SUMIFS('MAIN DATA, Orders'!$U:$U,'MAIN DATA, Orders'!$Y:$Y,$A77,'MAIN DATA, Orders'!$D:$D,"Poland",'MAIN DATA, Orders'!$I:$I,"Development - Modernisation")/1000000000)</f>
        <v>0</v>
      </c>
      <c r="AC77" s="15">
        <f>(SUMIFS('MAIN DATA, Orders'!$U:$U,'MAIN DATA, Orders'!$Y:$Y,$A77,'MAIN DATA, Orders'!$D:$D,"Poland",'MAIN DATA, Orders'!$I:$I,"Naval")/1000000000)</f>
        <v>0</v>
      </c>
      <c r="AD77" s="15">
        <f>(SUMIFS('MAIN DATA, Orders'!$U:$U,'MAIN DATA, Orders'!$Y:$Y,$A77,'MAIN DATA, Orders'!$D:$D,"Poland",'MAIN DATA, Orders'!$I:$I,"Development - Naval")/1000000000)</f>
        <v>0</v>
      </c>
      <c r="AE77" s="15">
        <f>(SUMIFS('MAIN DATA, Orders'!$U:$U,'MAIN DATA, Orders'!$Y:$Y,$A77,'MAIN DATA, Orders'!$D:$D,"Poland",'MAIN DATA, Orders'!$I:$I,"Other")/1000000000)</f>
        <v>0</v>
      </c>
      <c r="AF77" s="15">
        <f>(SUMIFS('MAIN DATA, Orders'!$U:$U,'MAIN DATA, Orders'!$Y:$Y,$A77,'MAIN DATA, Orders'!$D:$D,"Poland",'MAIN DATA, Orders'!$I:$I,"Development - Other")/1000000000)</f>
        <v>0</v>
      </c>
      <c r="AG77" s="15"/>
      <c r="AH77" s="15" cm="1">
        <f t="array" ref="AH77">SUM(SUMIFS('MAIN DATA, Orders'!$U:$U,'MAIN DATA, Orders'!$Y:$Y,$A77,'MAIN DATA, Orders'!$D:$D,"Poland",'MAIN DATA, Orders'!$I:$I,{"Missile (Land)","Development - Missile (Land)"})/1000000000)</f>
        <v>0</v>
      </c>
      <c r="AI77" s="15" cm="1">
        <f t="array" ref="AI77">SUM(SUMIFS('MAIN DATA, Orders'!$U:$U,'MAIN DATA, Orders'!$Y:$Y,$A77,'MAIN DATA, Orders'!$D:$D,"Poland",'MAIN DATA, Orders'!$I:$I,{"Missile (Air)","Development - Missile (Air)"})/1000000000)</f>
        <v>0.16167775314116775</v>
      </c>
      <c r="AJ77" s="15" cm="1">
        <f t="array" ref="AJ77">SUM(SUMIFS('MAIN DATA, Orders'!$U:$U,'MAIN DATA, Orders'!$Y:$Y,$A77,'MAIN DATA, Orders'!$D:$D,"Poland",'MAIN DATA, Orders'!$I:$I,{"Missile (Naval)","Development - Missile (Naval)"})/1000000000)</f>
        <v>0</v>
      </c>
    </row>
    <row r="78" spans="1:36" x14ac:dyDescent="0.35">
      <c r="A78" s="20">
        <v>202412</v>
      </c>
      <c r="B78" s="17">
        <v>45627</v>
      </c>
      <c r="C78" s="15">
        <f>(SUMIFS('MAIN DATA, Orders'!$U:$U,'MAIN DATA, Orders'!$Y:$Y,$A78,'MAIN DATA, Orders'!$D:$D,"Poland",'MAIN DATA, Orders'!$I:$I,"Air defence system")/1000000000)</f>
        <v>0</v>
      </c>
      <c r="D78" s="15">
        <f>(SUMIFS('MAIN DATA, Orders'!$U:$U,'MAIN DATA, Orders'!$Y:$Y,$A78,'MAIN DATA, Orders'!$D:$D,"Poland",'MAIN DATA, Orders'!$I:$I,"Development - Air defence system")/1000000000)</f>
        <v>0</v>
      </c>
      <c r="E78" s="15">
        <f>(SUMIFS('MAIN DATA, Orders'!$U:$U,'MAIN DATA, Orders'!$Y:$Y,$A78,'MAIN DATA, Orders'!$D:$D,"Poland",'MAIN DATA, Orders'!$I:$I,"Aircraft")/1000000000)</f>
        <v>0.1027</v>
      </c>
      <c r="F78" s="15">
        <f>(SUMIFS('MAIN DATA, Orders'!$U:$U,'MAIN DATA, Orders'!$Y:$Y,$A78,'MAIN DATA, Orders'!$D:$D,"Poland",'MAIN DATA, Orders'!$I:$I,"Development - Aircraft")/1000000000)</f>
        <v>0</v>
      </c>
      <c r="G78" s="15">
        <f>(SUMIFS('MAIN DATA, Orders'!$U:$U,'MAIN DATA, Orders'!$Y:$Y,$A78,'MAIN DATA, Orders'!$D:$D,"Poland",'MAIN DATA, Orders'!$I:$I,"Ammunition")/1000000000)</f>
        <v>0</v>
      </c>
      <c r="H78" s="15">
        <f>(SUMIFS('MAIN DATA, Orders'!$U:$U,'MAIN DATA, Orders'!$Y:$Y,$A78,'MAIN DATA, Orders'!$D:$D,"Poland",'MAIN DATA, Orders'!$I:$I,"Development - Ammunition")/1000000000)</f>
        <v>0</v>
      </c>
      <c r="I78" s="15">
        <f>(SUMIFS('MAIN DATA, Orders'!$U:$U,'MAIN DATA, Orders'!$Y:$Y,$A78,'MAIN DATA, Orders'!$D:$D,"Poland",'MAIN DATA, Orders'!$I:$I,"Armoured vehicle")/1000000000)</f>
        <v>0.99865297970179756</v>
      </c>
      <c r="J78" s="15">
        <f>(SUMIFS('MAIN DATA, Orders'!$U:$U,'MAIN DATA, Orders'!$Y:$Y,$A78,'MAIN DATA, Orders'!$D:$D,"Poland",'MAIN DATA, Orders'!$I:$I,"Development - Armoured vehicle")/1000000000)</f>
        <v>0</v>
      </c>
      <c r="K78" s="15">
        <f>(SUMIFS('MAIN DATA, Orders'!$U:$U,'MAIN DATA, Orders'!$Y:$Y,$A78,'MAIN DATA, Orders'!$D:$D,"Poland",'MAIN DATA, Orders'!$I:$I,"Artillery")/1000000000)</f>
        <v>3.9481629430071075</v>
      </c>
      <c r="L78" s="15">
        <f>(SUMIFS('MAIN DATA, Orders'!$U:$U,'MAIN DATA, Orders'!$Y:$Y,$A78,'MAIN DATA, Orders'!$D:$D,"Poland",'MAIN DATA, Orders'!$I:$I,"Development - Artillery")/1000000000)</f>
        <v>0</v>
      </c>
      <c r="M78" s="15">
        <f>(SUMIFS('MAIN DATA, Orders'!$U:$U,'MAIN DATA, Orders'!$Y:$Y,$A78,'MAIN DATA, Orders'!$D:$D,"Poland",'MAIN DATA, Orders'!$I:$I,"Drone")/1000000000)</f>
        <v>0.39458404942171027</v>
      </c>
      <c r="N78" s="15">
        <f>(SUMIFS('MAIN DATA, Orders'!$U:$U,'MAIN DATA, Orders'!$Y:$Y,$A78,'MAIN DATA, Orders'!$D:$D,"Poland",'MAIN DATA, Orders'!$I:$I,"Development - Drone")/1000000000)</f>
        <v>0</v>
      </c>
      <c r="O78" s="15">
        <f>(SUMIFS('MAIN DATA, Orders'!$U:$U,'MAIN DATA, Orders'!$Y:$Y,$A78,'MAIN DATA, Orders'!$D:$D,"Poland",'MAIN DATA, Orders'!$I:$I,"Helicopter")/1000000000)</f>
        <v>0</v>
      </c>
      <c r="P78" s="15">
        <f>(SUMIFS('MAIN DATA, Orders'!$U:$U,'MAIN DATA, Orders'!$Y:$Y,$A78,'MAIN DATA, Orders'!$D:$D,"Poland",'MAIN DATA, Orders'!$I:$I,"Development - Helicopter")/1000000000)</f>
        <v>0</v>
      </c>
      <c r="Q78" s="15">
        <f>(SUMIFS('MAIN DATA, Orders'!$U:$U,'MAIN DATA, Orders'!$Y:$Y,$A78,'MAIN DATA, Orders'!$D:$D,"Poland",'MAIN DATA, Orders'!$I:$I,"Infantry")/1000000000)</f>
        <v>0.23224487900041807</v>
      </c>
      <c r="R78" s="15">
        <f>(SUMIFS('MAIN DATA, Orders'!$U:$U,'MAIN DATA, Orders'!$Y:$Y,$A78,'MAIN DATA, Orders'!$D:$D,"Poland",'MAIN DATA, Orders'!$I:$I,"Development - Infantry")/1000000000)</f>
        <v>0</v>
      </c>
      <c r="S78" s="15">
        <f>(SUMIFS('MAIN DATA, Orders'!$U:$U,'MAIN DATA, Orders'!$Y:$Y,$A78,'MAIN DATA, Orders'!$D:$D,"Poland",'MAIN DATA, Orders'!$I:$I,"Tank")/1000000000)</f>
        <v>0</v>
      </c>
      <c r="T78" s="15">
        <f>(SUMIFS('MAIN DATA, Orders'!$U:$U,'MAIN DATA, Orders'!$Y:$Y,$A78,'MAIN DATA, Orders'!$D:$D,"Poland",'MAIN DATA, Orders'!$I:$I,"Development - Tank")/1000000000)</f>
        <v>0</v>
      </c>
      <c r="U78" s="15">
        <f>(SUMIFS('MAIN DATA, Orders'!$U:$U,'MAIN DATA, Orders'!$Y:$Y,$A78,'MAIN DATA, Orders'!$D:$D,"Poland",'MAIN DATA, Orders'!$I:$I,"Maintenance")/1000000000)</f>
        <v>0</v>
      </c>
      <c r="V78" s="15">
        <f>(SUMIFS('MAIN DATA, Orders'!$U:$U,'MAIN DATA, Orders'!$Y:$Y,$A78,'MAIN DATA, Orders'!$D:$D,"Poland",'MAIN DATA, Orders'!$I:$I,"Development - Maintenance")/1000000000)</f>
        <v>0</v>
      </c>
      <c r="W78" s="15">
        <f>(SUMIFS('MAIN DATA, Orders'!$U:$U,'MAIN DATA, Orders'!$Y:$Y,$A78,'MAIN DATA, Orders'!$D:$D,"Poland",'MAIN DATA, Orders'!$I:$I,"Mine")/1000000000)</f>
        <v>0</v>
      </c>
      <c r="X78" s="15">
        <f>(SUMIFS('MAIN DATA, Orders'!$U:$U,'MAIN DATA, Orders'!$Y:$Y,$A78,'MAIN DATA, Orders'!$D:$D,"Poland",'MAIN DATA, Orders'!$I:$I,"Development - Mine")/1000000000)</f>
        <v>0</v>
      </c>
      <c r="Y78" s="15">
        <f>(SUMIFS('MAIN DATA, Orders'!$U:$U,'MAIN DATA, Orders'!$Y:$Y,$A78,'MAIN DATA, Orders'!$D:$D,"Poland",'MAIN DATA, Orders'!$J:$J,"6")/1000000000)</f>
        <v>0</v>
      </c>
      <c r="Z78" s="15" cm="1">
        <f t="array" ref="Z78">SUM(SUMIFS('MAIN DATA, Orders'!$U:$U,'MAIN DATA, Orders'!$Y:$Y,$A78,'MAIN DATA, Orders'!$D:$D,"Poland",'MAIN DATA, Orders'!$I:$I,{"Development - Missile (Land)","Development - Missile (Naval)","Development - Missile (Air)"})/1000000000)</f>
        <v>0</v>
      </c>
      <c r="AA78" s="15">
        <f>(SUMIFS('MAIN DATA, Orders'!$U:$U,'MAIN DATA, Orders'!$Y:$Y,$A78,'MAIN DATA, Orders'!$D:$D,"Poland",'MAIN DATA, Orders'!$I:$I,"Modernisation")/1000000000)</f>
        <v>0.12773468345022992</v>
      </c>
      <c r="AB78" s="15">
        <f>(SUMIFS('MAIN DATA, Orders'!$U:$U,'MAIN DATA, Orders'!$Y:$Y,$A78,'MAIN DATA, Orders'!$D:$D,"Poland",'MAIN DATA, Orders'!$I:$I,"Development - Modernisation")/1000000000)</f>
        <v>0</v>
      </c>
      <c r="AC78" s="15">
        <f>(SUMIFS('MAIN DATA, Orders'!$U:$U,'MAIN DATA, Orders'!$Y:$Y,$A78,'MAIN DATA, Orders'!$D:$D,"Poland",'MAIN DATA, Orders'!$I:$I,"Naval")/1000000000)</f>
        <v>0</v>
      </c>
      <c r="AD78" s="15">
        <f>(SUMIFS('MAIN DATA, Orders'!$U:$U,'MAIN DATA, Orders'!$Y:$Y,$A78,'MAIN DATA, Orders'!$D:$D,"Poland",'MAIN DATA, Orders'!$I:$I,"Development - Naval")/1000000000)</f>
        <v>0</v>
      </c>
      <c r="AE78" s="15">
        <f>(SUMIFS('MAIN DATA, Orders'!$U:$U,'MAIN DATA, Orders'!$Y:$Y,$A78,'MAIN DATA, Orders'!$D:$D,"Poland",'MAIN DATA, Orders'!$I:$I,"Other")/1000000000)</f>
        <v>0.16257141530029265</v>
      </c>
      <c r="AF78" s="15">
        <f>(SUMIFS('MAIN DATA, Orders'!$U:$U,'MAIN DATA, Orders'!$Y:$Y,$A78,'MAIN DATA, Orders'!$D:$D,"Poland",'MAIN DATA, Orders'!$I:$I,"Development - Other")/1000000000)</f>
        <v>0</v>
      </c>
      <c r="AG78" s="15"/>
      <c r="AH78" s="15" cm="1">
        <f t="array" ref="AH78">SUM(SUMIFS('MAIN DATA, Orders'!$U:$U,'MAIN DATA, Orders'!$Y:$Y,$A78,'MAIN DATA, Orders'!$D:$D,"Poland",'MAIN DATA, Orders'!$I:$I,{"Missile (Land)","Development - Missile (Land)"})/1000000000)</f>
        <v>0</v>
      </c>
      <c r="AI78" s="15" cm="1">
        <f t="array" ref="AI78">SUM(SUMIFS('MAIN DATA, Orders'!$U:$U,'MAIN DATA, Orders'!$Y:$Y,$A78,'MAIN DATA, Orders'!$D:$D,"Poland",'MAIN DATA, Orders'!$I:$I,{"Missile (Air)","Development - Missile (Air)"})/1000000000)</f>
        <v>0</v>
      </c>
      <c r="AJ78" s="15" cm="1">
        <f t="array" ref="AJ78">SUM(SUMIFS('MAIN DATA, Orders'!$U:$U,'MAIN DATA, Orders'!$Y:$Y,$A78,'MAIN DATA, Orders'!$D:$D,"Poland",'MAIN DATA, Orders'!$I:$I,{"Missile (Naval)","Development - Missile (Naval)"})/1000000000)</f>
        <v>0</v>
      </c>
    </row>
    <row r="79" spans="1:36" x14ac:dyDescent="0.35">
      <c r="A79" s="20">
        <v>202501</v>
      </c>
      <c r="B79" s="17">
        <v>45658</v>
      </c>
      <c r="C79" s="15">
        <f>(SUMIFS('MAIN DATA, Orders'!$U:$U,'MAIN DATA, Orders'!$Y:$Y,$A79,'MAIN DATA, Orders'!$D:$D,"Poland",'MAIN DATA, Orders'!$I:$I,"Air defence system")/1000000000)</f>
        <v>0</v>
      </c>
      <c r="D79" s="15">
        <f>(SUMIFS('MAIN DATA, Orders'!$U:$U,'MAIN DATA, Orders'!$Y:$Y,$A79,'MAIN DATA, Orders'!$D:$D,"Poland",'MAIN DATA, Orders'!$I:$I,"Development - Air defence system")/1000000000)</f>
        <v>0</v>
      </c>
      <c r="E79" s="15">
        <f>(SUMIFS('MAIN DATA, Orders'!$U:$U,'MAIN DATA, Orders'!$Y:$Y,$A79,'MAIN DATA, Orders'!$D:$D,"Poland",'MAIN DATA, Orders'!$I:$I,"Aircraft")/1000000000)</f>
        <v>0</v>
      </c>
      <c r="F79" s="15">
        <f>(SUMIFS('MAIN DATA, Orders'!$U:$U,'MAIN DATA, Orders'!$Y:$Y,$A79,'MAIN DATA, Orders'!$D:$D,"Poland",'MAIN DATA, Orders'!$I:$I,"Development - Aircraft")/1000000000)</f>
        <v>0</v>
      </c>
      <c r="G79" s="15">
        <f>(SUMIFS('MAIN DATA, Orders'!$U:$U,'MAIN DATA, Orders'!$Y:$Y,$A79,'MAIN DATA, Orders'!$D:$D,"Poland",'MAIN DATA, Orders'!$I:$I,"Ammunition")/1000000000)</f>
        <v>0</v>
      </c>
      <c r="H79" s="15">
        <f>(SUMIFS('MAIN DATA, Orders'!$U:$U,'MAIN DATA, Orders'!$Y:$Y,$A79,'MAIN DATA, Orders'!$D:$D,"Poland",'MAIN DATA, Orders'!$I:$I,"Development - Ammunition")/1000000000)</f>
        <v>0</v>
      </c>
      <c r="I79" s="15">
        <f>(SUMIFS('MAIN DATA, Orders'!$U:$U,'MAIN DATA, Orders'!$Y:$Y,$A79,'MAIN DATA, Orders'!$D:$D,"Poland",'MAIN DATA, Orders'!$I:$I,"Armoured vehicle")/1000000000)</f>
        <v>0</v>
      </c>
      <c r="J79" s="15">
        <f>(SUMIFS('MAIN DATA, Orders'!$U:$U,'MAIN DATA, Orders'!$Y:$Y,$A79,'MAIN DATA, Orders'!$D:$D,"Poland",'MAIN DATA, Orders'!$I:$I,"Development - Armoured vehicle")/1000000000)</f>
        <v>0</v>
      </c>
      <c r="K79" s="15">
        <f>(SUMIFS('MAIN DATA, Orders'!$U:$U,'MAIN DATA, Orders'!$Y:$Y,$A79,'MAIN DATA, Orders'!$D:$D,"Poland",'MAIN DATA, Orders'!$I:$I,"Artillery")/1000000000)</f>
        <v>0</v>
      </c>
      <c r="L79" s="15">
        <f>(SUMIFS('MAIN DATA, Orders'!$U:$U,'MAIN DATA, Orders'!$Y:$Y,$A79,'MAIN DATA, Orders'!$D:$D,"Poland",'MAIN DATA, Orders'!$I:$I,"Development - Artillery")/1000000000)</f>
        <v>0</v>
      </c>
      <c r="M79" s="15">
        <f>(SUMIFS('MAIN DATA, Orders'!$U:$U,'MAIN DATA, Orders'!$Y:$Y,$A79,'MAIN DATA, Orders'!$D:$D,"Poland",'MAIN DATA, Orders'!$I:$I,"Drone")/1000000000)</f>
        <v>0</v>
      </c>
      <c r="N79" s="15">
        <f>(SUMIFS('MAIN DATA, Orders'!$U:$U,'MAIN DATA, Orders'!$Y:$Y,$A79,'MAIN DATA, Orders'!$D:$D,"Poland",'MAIN DATA, Orders'!$I:$I,"Development - Drone")/1000000000)</f>
        <v>0</v>
      </c>
      <c r="O79" s="15">
        <f>(SUMIFS('MAIN DATA, Orders'!$U:$U,'MAIN DATA, Orders'!$Y:$Y,$A79,'MAIN DATA, Orders'!$D:$D,"Poland",'MAIN DATA, Orders'!$I:$I,"Helicopter")/1000000000)</f>
        <v>0</v>
      </c>
      <c r="P79" s="15">
        <f>(SUMIFS('MAIN DATA, Orders'!$U:$U,'MAIN DATA, Orders'!$Y:$Y,$A79,'MAIN DATA, Orders'!$D:$D,"Poland",'MAIN DATA, Orders'!$I:$I,"Development - Helicopter")/1000000000)</f>
        <v>0</v>
      </c>
      <c r="Q79" s="15">
        <f>(SUMIFS('MAIN DATA, Orders'!$U:$U,'MAIN DATA, Orders'!$Y:$Y,$A79,'MAIN DATA, Orders'!$D:$D,"Poland",'MAIN DATA, Orders'!$I:$I,"Infantry")/1000000000)</f>
        <v>0</v>
      </c>
      <c r="R79" s="15">
        <f>(SUMIFS('MAIN DATA, Orders'!$U:$U,'MAIN DATA, Orders'!$Y:$Y,$A79,'MAIN DATA, Orders'!$D:$D,"Poland",'MAIN DATA, Orders'!$I:$I,"Development - Infantry")/1000000000)</f>
        <v>0</v>
      </c>
      <c r="S79" s="15">
        <f>(SUMIFS('MAIN DATA, Orders'!$U:$U,'MAIN DATA, Orders'!$Y:$Y,$A79,'MAIN DATA, Orders'!$D:$D,"Poland",'MAIN DATA, Orders'!$I:$I,"Tank")/1000000000)</f>
        <v>0</v>
      </c>
      <c r="T79" s="15">
        <f>(SUMIFS('MAIN DATA, Orders'!$U:$U,'MAIN DATA, Orders'!$Y:$Y,$A79,'MAIN DATA, Orders'!$D:$D,"Poland",'MAIN DATA, Orders'!$I:$I,"Development - Tank")/1000000000)</f>
        <v>0</v>
      </c>
      <c r="U79" s="15">
        <f>(SUMIFS('MAIN DATA, Orders'!$U:$U,'MAIN DATA, Orders'!$Y:$Y,$A79,'MAIN DATA, Orders'!$D:$D,"Poland",'MAIN DATA, Orders'!$I:$I,"Maintenance")/1000000000)</f>
        <v>0</v>
      </c>
      <c r="V79" s="15">
        <f>(SUMIFS('MAIN DATA, Orders'!$U:$U,'MAIN DATA, Orders'!$Y:$Y,$A79,'MAIN DATA, Orders'!$D:$D,"Poland",'MAIN DATA, Orders'!$I:$I,"Development - Maintenance")/1000000000)</f>
        <v>0</v>
      </c>
      <c r="W79" s="15">
        <f>(SUMIFS('MAIN DATA, Orders'!$U:$U,'MAIN DATA, Orders'!$Y:$Y,$A79,'MAIN DATA, Orders'!$D:$D,"Poland",'MAIN DATA, Orders'!$I:$I,"Mine")/1000000000)</f>
        <v>0</v>
      </c>
      <c r="X79" s="15">
        <f>(SUMIFS('MAIN DATA, Orders'!$U:$U,'MAIN DATA, Orders'!$Y:$Y,$A79,'MAIN DATA, Orders'!$D:$D,"Poland",'MAIN DATA, Orders'!$I:$I,"Development - Mine")/1000000000)</f>
        <v>0</v>
      </c>
      <c r="Y79" s="15">
        <f>(SUMIFS('MAIN DATA, Orders'!$U:$U,'MAIN DATA, Orders'!$Y:$Y,$A79,'MAIN DATA, Orders'!$D:$D,"Poland",'MAIN DATA, Orders'!$J:$J,"6")/1000000000)</f>
        <v>0.65929203539823023</v>
      </c>
      <c r="Z79" s="15" cm="1">
        <f t="array" ref="Z79">SUM(SUMIFS('MAIN DATA, Orders'!$U:$U,'MAIN DATA, Orders'!$Y:$Y,$A79,'MAIN DATA, Orders'!$D:$D,"Poland",'MAIN DATA, Orders'!$I:$I,{"Development - Missile (Land)","Development - Missile (Naval)","Development - Missile (Air)"})/1000000000)</f>
        <v>0</v>
      </c>
      <c r="AA79" s="15">
        <f>(SUMIFS('MAIN DATA, Orders'!$U:$U,'MAIN DATA, Orders'!$Y:$Y,$A79,'MAIN DATA, Orders'!$D:$D,"Poland",'MAIN DATA, Orders'!$I:$I,"Modernisation")/1000000000)</f>
        <v>0</v>
      </c>
      <c r="AB79" s="15">
        <f>(SUMIFS('MAIN DATA, Orders'!$U:$U,'MAIN DATA, Orders'!$Y:$Y,$A79,'MAIN DATA, Orders'!$D:$D,"Poland",'MAIN DATA, Orders'!$I:$I,"Development - Modernisation")/1000000000)</f>
        <v>0</v>
      </c>
      <c r="AC79" s="15">
        <f>(SUMIFS('MAIN DATA, Orders'!$U:$U,'MAIN DATA, Orders'!$Y:$Y,$A79,'MAIN DATA, Orders'!$D:$D,"Poland",'MAIN DATA, Orders'!$I:$I,"Naval")/1000000000)</f>
        <v>0</v>
      </c>
      <c r="AD79" s="15">
        <f>(SUMIFS('MAIN DATA, Orders'!$U:$U,'MAIN DATA, Orders'!$Y:$Y,$A79,'MAIN DATA, Orders'!$D:$D,"Poland",'MAIN DATA, Orders'!$I:$I,"Development - Naval")/1000000000)</f>
        <v>0</v>
      </c>
      <c r="AE79" s="15">
        <f>(SUMIFS('MAIN DATA, Orders'!$U:$U,'MAIN DATA, Orders'!$Y:$Y,$A79,'MAIN DATA, Orders'!$D:$D,"Poland",'MAIN DATA, Orders'!$I:$I,"Other")/1000000000)</f>
        <v>0</v>
      </c>
      <c r="AF79" s="15">
        <f>(SUMIFS('MAIN DATA, Orders'!$U:$U,'MAIN DATA, Orders'!$Y:$Y,$A79,'MAIN DATA, Orders'!$D:$D,"Poland",'MAIN DATA, Orders'!$I:$I,"Development - Other")/1000000000)</f>
        <v>0</v>
      </c>
      <c r="AG79" s="15"/>
      <c r="AH79" s="15" cm="1">
        <f t="array" ref="AH79">SUM(SUMIFS('MAIN DATA, Orders'!$U:$U,'MAIN DATA, Orders'!$Y:$Y,$A79,'MAIN DATA, Orders'!$D:$D,"Poland",'MAIN DATA, Orders'!$I:$I,{"Missile (Land)","Development - Missile (Land)"})/1000000000)</f>
        <v>0.65929203539823023</v>
      </c>
      <c r="AI79" s="15" cm="1">
        <f t="array" ref="AI79">SUM(SUMIFS('MAIN DATA, Orders'!$U:$U,'MAIN DATA, Orders'!$Y:$Y,$A79,'MAIN DATA, Orders'!$D:$D,"Poland",'MAIN DATA, Orders'!$I:$I,{"Missile (Air)","Development - Missile (Air)"})/1000000000)</f>
        <v>0</v>
      </c>
      <c r="AJ79" s="15" cm="1">
        <f t="array" ref="AJ79">SUM(SUMIFS('MAIN DATA, Orders'!$U:$U,'MAIN DATA, Orders'!$Y:$Y,$A79,'MAIN DATA, Orders'!$D:$D,"Poland",'MAIN DATA, Orders'!$I:$I,{"Missile (Naval)","Development - Missile (Naval)"})/1000000000)</f>
        <v>0</v>
      </c>
    </row>
    <row r="80" spans="1:36" x14ac:dyDescent="0.35">
      <c r="A80" s="20">
        <v>202502</v>
      </c>
      <c r="B80" s="17">
        <v>45689</v>
      </c>
      <c r="C80" s="15">
        <f>(SUMIFS('MAIN DATA, Orders'!$U:$U,'MAIN DATA, Orders'!$Y:$Y,$A80,'MAIN DATA, Orders'!$D:$D,"Poland",'MAIN DATA, Orders'!$I:$I,"Air defence system")/1000000000)</f>
        <v>0</v>
      </c>
      <c r="D80" s="15">
        <f>(SUMIFS('MAIN DATA, Orders'!$U:$U,'MAIN DATA, Orders'!$Y:$Y,$A80,'MAIN DATA, Orders'!$D:$D,"Poland",'MAIN DATA, Orders'!$I:$I,"Development - Air defence system")/1000000000)</f>
        <v>0</v>
      </c>
      <c r="E80" s="15">
        <f>(SUMIFS('MAIN DATA, Orders'!$U:$U,'MAIN DATA, Orders'!$Y:$Y,$A80,'MAIN DATA, Orders'!$D:$D,"Poland",'MAIN DATA, Orders'!$I:$I,"Aircraft")/1000000000)</f>
        <v>0</v>
      </c>
      <c r="F80" s="15">
        <f>(SUMIFS('MAIN DATA, Orders'!$U:$U,'MAIN DATA, Orders'!$Y:$Y,$A80,'MAIN DATA, Orders'!$D:$D,"Poland",'MAIN DATA, Orders'!$I:$I,"Development - Aircraft")/1000000000)</f>
        <v>0</v>
      </c>
      <c r="G80" s="15">
        <f>(SUMIFS('MAIN DATA, Orders'!$U:$U,'MAIN DATA, Orders'!$Y:$Y,$A80,'MAIN DATA, Orders'!$D:$D,"Poland",'MAIN DATA, Orders'!$I:$I,"Ammunition")/1000000000)</f>
        <v>0</v>
      </c>
      <c r="H80" s="15">
        <f>(SUMIFS('MAIN DATA, Orders'!$U:$U,'MAIN DATA, Orders'!$Y:$Y,$A80,'MAIN DATA, Orders'!$D:$D,"Poland",'MAIN DATA, Orders'!$I:$I,"Development - Ammunition")/1000000000)</f>
        <v>0</v>
      </c>
      <c r="I80" s="15">
        <f>(SUMIFS('MAIN DATA, Orders'!$U:$U,'MAIN DATA, Orders'!$Y:$Y,$A80,'MAIN DATA, Orders'!$D:$D,"Poland",'MAIN DATA, Orders'!$I:$I,"Armoured vehicle")/1000000000)</f>
        <v>0</v>
      </c>
      <c r="J80" s="15">
        <f>(SUMIFS('MAIN DATA, Orders'!$U:$U,'MAIN DATA, Orders'!$Y:$Y,$A80,'MAIN DATA, Orders'!$D:$D,"Poland",'MAIN DATA, Orders'!$I:$I,"Development - Armoured vehicle")/1000000000)</f>
        <v>0</v>
      </c>
      <c r="K80" s="15">
        <f>(SUMIFS('MAIN DATA, Orders'!$U:$U,'MAIN DATA, Orders'!$Y:$Y,$A80,'MAIN DATA, Orders'!$D:$D,"Poland",'MAIN DATA, Orders'!$I:$I,"Artillery")/1000000000)</f>
        <v>0</v>
      </c>
      <c r="L80" s="15">
        <f>(SUMIFS('MAIN DATA, Orders'!$U:$U,'MAIN DATA, Orders'!$Y:$Y,$A80,'MAIN DATA, Orders'!$D:$D,"Poland",'MAIN DATA, Orders'!$I:$I,"Development - Artillery")/1000000000)</f>
        <v>0</v>
      </c>
      <c r="M80" s="15">
        <f>(SUMIFS('MAIN DATA, Orders'!$U:$U,'MAIN DATA, Orders'!$Y:$Y,$A80,'MAIN DATA, Orders'!$D:$D,"Poland",'MAIN DATA, Orders'!$I:$I,"Drone")/1000000000)</f>
        <v>0</v>
      </c>
      <c r="N80" s="15">
        <f>(SUMIFS('MAIN DATA, Orders'!$U:$U,'MAIN DATA, Orders'!$Y:$Y,$A80,'MAIN DATA, Orders'!$D:$D,"Poland",'MAIN DATA, Orders'!$I:$I,"Development - Drone")/1000000000)</f>
        <v>0</v>
      </c>
      <c r="O80" s="15">
        <f>(SUMIFS('MAIN DATA, Orders'!$U:$U,'MAIN DATA, Orders'!$Y:$Y,$A80,'MAIN DATA, Orders'!$D:$D,"Poland",'MAIN DATA, Orders'!$I:$I,"Helicopter")/1000000000)</f>
        <v>0.26548672566371684</v>
      </c>
      <c r="P80" s="15">
        <f>(SUMIFS('MAIN DATA, Orders'!$U:$U,'MAIN DATA, Orders'!$Y:$Y,$A80,'MAIN DATA, Orders'!$D:$D,"Poland",'MAIN DATA, Orders'!$I:$I,"Development - Helicopter")/1000000000)</f>
        <v>0</v>
      </c>
      <c r="Q80" s="15">
        <f>(SUMIFS('MAIN DATA, Orders'!$U:$U,'MAIN DATA, Orders'!$Y:$Y,$A80,'MAIN DATA, Orders'!$D:$D,"Poland",'MAIN DATA, Orders'!$I:$I,"Infantry")/1000000000)</f>
        <v>0</v>
      </c>
      <c r="R80" s="15">
        <f>(SUMIFS('MAIN DATA, Orders'!$U:$U,'MAIN DATA, Orders'!$Y:$Y,$A80,'MAIN DATA, Orders'!$D:$D,"Poland",'MAIN DATA, Orders'!$I:$I,"Development - Infantry")/1000000000)</f>
        <v>0</v>
      </c>
      <c r="S80" s="15">
        <f>(SUMIFS('MAIN DATA, Orders'!$U:$U,'MAIN DATA, Orders'!$Y:$Y,$A80,'MAIN DATA, Orders'!$D:$D,"Poland",'MAIN DATA, Orders'!$I:$I,"Tank")/1000000000)</f>
        <v>0</v>
      </c>
      <c r="T80" s="15">
        <f>(SUMIFS('MAIN DATA, Orders'!$U:$U,'MAIN DATA, Orders'!$Y:$Y,$A80,'MAIN DATA, Orders'!$D:$D,"Poland",'MAIN DATA, Orders'!$I:$I,"Development - Tank")/1000000000)</f>
        <v>0</v>
      </c>
      <c r="U80" s="15">
        <f>(SUMIFS('MAIN DATA, Orders'!$U:$U,'MAIN DATA, Orders'!$Y:$Y,$A80,'MAIN DATA, Orders'!$D:$D,"Poland",'MAIN DATA, Orders'!$I:$I,"Maintenance")/1000000000)</f>
        <v>0</v>
      </c>
      <c r="V80" s="15">
        <f>(SUMIFS('MAIN DATA, Orders'!$U:$U,'MAIN DATA, Orders'!$Y:$Y,$A80,'MAIN DATA, Orders'!$D:$D,"Poland",'MAIN DATA, Orders'!$I:$I,"Development - Maintenance")/1000000000)</f>
        <v>0</v>
      </c>
      <c r="W80" s="15">
        <f>(SUMIFS('MAIN DATA, Orders'!$U:$U,'MAIN DATA, Orders'!$Y:$Y,$A80,'MAIN DATA, Orders'!$D:$D,"Poland",'MAIN DATA, Orders'!$I:$I,"Mine")/1000000000)</f>
        <v>0</v>
      </c>
      <c r="X80" s="15">
        <f>(SUMIFS('MAIN DATA, Orders'!$U:$U,'MAIN DATA, Orders'!$Y:$Y,$A80,'MAIN DATA, Orders'!$D:$D,"Poland",'MAIN DATA, Orders'!$I:$I,"Development - Mine")/1000000000)</f>
        <v>0</v>
      </c>
      <c r="Y80" s="15">
        <f>(SUMIFS('MAIN DATA, Orders'!$U:$U,'MAIN DATA, Orders'!$Y:$Y,$A80,'MAIN DATA, Orders'!$D:$D,"Poland",'MAIN DATA, Orders'!$J:$J,"6")/1000000000)</f>
        <v>0</v>
      </c>
      <c r="Z80" s="15" cm="1">
        <f t="array" ref="Z80">SUM(SUMIFS('MAIN DATA, Orders'!$U:$U,'MAIN DATA, Orders'!$Y:$Y,$A80,'MAIN DATA, Orders'!$D:$D,"Poland",'MAIN DATA, Orders'!$I:$I,{"Development - Missile (Land)","Development - Missile (Naval)","Development - Missile (Air)"})/1000000000)</f>
        <v>0</v>
      </c>
      <c r="AA80" s="15">
        <f>(SUMIFS('MAIN DATA, Orders'!$U:$U,'MAIN DATA, Orders'!$Y:$Y,$A80,'MAIN DATA, Orders'!$D:$D,"Poland",'MAIN DATA, Orders'!$I:$I,"Modernisation")/1000000000)</f>
        <v>0</v>
      </c>
      <c r="AB80" s="15">
        <f>(SUMIFS('MAIN DATA, Orders'!$U:$U,'MAIN DATA, Orders'!$Y:$Y,$A80,'MAIN DATA, Orders'!$D:$D,"Poland",'MAIN DATA, Orders'!$I:$I,"Development - Modernisation")/1000000000)</f>
        <v>0</v>
      </c>
      <c r="AC80" s="15">
        <f>(SUMIFS('MAIN DATA, Orders'!$U:$U,'MAIN DATA, Orders'!$Y:$Y,$A80,'MAIN DATA, Orders'!$D:$D,"Poland",'MAIN DATA, Orders'!$I:$I,"Naval")/1000000000)</f>
        <v>0</v>
      </c>
      <c r="AD80" s="15">
        <f>(SUMIFS('MAIN DATA, Orders'!$U:$U,'MAIN DATA, Orders'!$Y:$Y,$A80,'MAIN DATA, Orders'!$D:$D,"Poland",'MAIN DATA, Orders'!$I:$I,"Development - Naval")/1000000000)</f>
        <v>0</v>
      </c>
      <c r="AE80" s="15">
        <f>(SUMIFS('MAIN DATA, Orders'!$U:$U,'MAIN DATA, Orders'!$Y:$Y,$A80,'MAIN DATA, Orders'!$D:$D,"Poland",'MAIN DATA, Orders'!$I:$I,"Other")/1000000000)</f>
        <v>0</v>
      </c>
      <c r="AF80" s="15">
        <f>(SUMIFS('MAIN DATA, Orders'!$U:$U,'MAIN DATA, Orders'!$Y:$Y,$A80,'MAIN DATA, Orders'!$D:$D,"Poland",'MAIN DATA, Orders'!$I:$I,"Development - Other")/1000000000)</f>
        <v>0</v>
      </c>
      <c r="AG80" s="15"/>
      <c r="AH80" s="15" cm="1">
        <f t="array" ref="AH80">SUM(SUMIFS('MAIN DATA, Orders'!$U:$U,'MAIN DATA, Orders'!$Y:$Y,$A80,'MAIN DATA, Orders'!$D:$D,"Poland",'MAIN DATA, Orders'!$I:$I,{"Missile (Land)","Development - Missile (Land)"})/1000000000)</f>
        <v>0</v>
      </c>
      <c r="AI80" s="15" cm="1">
        <f t="array" ref="AI80">SUM(SUMIFS('MAIN DATA, Orders'!$U:$U,'MAIN DATA, Orders'!$Y:$Y,$A80,'MAIN DATA, Orders'!$D:$D,"Poland",'MAIN DATA, Orders'!$I:$I,{"Missile (Air)","Development - Missile (Air)"})/1000000000)</f>
        <v>0</v>
      </c>
      <c r="AJ80" s="15" cm="1">
        <f t="array" ref="AJ80">SUM(SUMIFS('MAIN DATA, Orders'!$U:$U,'MAIN DATA, Orders'!$Y:$Y,$A80,'MAIN DATA, Orders'!$D:$D,"Poland",'MAIN DATA, Orders'!$I:$I,{"Missile (Naval)","Development - Missile (Naval)"})/1000000000)</f>
        <v>0</v>
      </c>
    </row>
    <row r="81" spans="1:36" x14ac:dyDescent="0.35">
      <c r="A81" s="20">
        <v>202503</v>
      </c>
      <c r="B81" s="17">
        <v>45717</v>
      </c>
      <c r="C81" s="15">
        <f>(SUMIFS('MAIN DATA, Orders'!$U:$U,'MAIN DATA, Orders'!$Y:$Y,$A81,'MAIN DATA, Orders'!$D:$D,"Poland",'MAIN DATA, Orders'!$I:$I,"Air defence system")/1000000000)</f>
        <v>1.7699115044247788</v>
      </c>
      <c r="D81" s="15">
        <f>(SUMIFS('MAIN DATA, Orders'!$U:$U,'MAIN DATA, Orders'!$Y:$Y,$A81,'MAIN DATA, Orders'!$D:$D,"Poland",'MAIN DATA, Orders'!$I:$I,"Development - Air defence system")/1000000000)</f>
        <v>0</v>
      </c>
      <c r="E81" s="15">
        <f>(SUMIFS('MAIN DATA, Orders'!$U:$U,'MAIN DATA, Orders'!$Y:$Y,$A81,'MAIN DATA, Orders'!$D:$D,"Poland",'MAIN DATA, Orders'!$I:$I,"Aircraft")/1000000000)</f>
        <v>0</v>
      </c>
      <c r="F81" s="15">
        <f>(SUMIFS('MAIN DATA, Orders'!$U:$U,'MAIN DATA, Orders'!$Y:$Y,$A81,'MAIN DATA, Orders'!$D:$D,"Poland",'MAIN DATA, Orders'!$I:$I,"Development - Aircraft")/1000000000)</f>
        <v>0</v>
      </c>
      <c r="G81" s="15">
        <f>(SUMIFS('MAIN DATA, Orders'!$U:$U,'MAIN DATA, Orders'!$Y:$Y,$A81,'MAIN DATA, Orders'!$D:$D,"Poland",'MAIN DATA, Orders'!$I:$I,"Ammunition")/1000000000)</f>
        <v>0</v>
      </c>
      <c r="H81" s="15">
        <f>(SUMIFS('MAIN DATA, Orders'!$U:$U,'MAIN DATA, Orders'!$Y:$Y,$A81,'MAIN DATA, Orders'!$D:$D,"Poland",'MAIN DATA, Orders'!$I:$I,"Development - Ammunition")/1000000000)</f>
        <v>0</v>
      </c>
      <c r="I81" s="15">
        <f>(SUMIFS('MAIN DATA, Orders'!$U:$U,'MAIN DATA, Orders'!$Y:$Y,$A81,'MAIN DATA, Orders'!$D:$D,"Poland",'MAIN DATA, Orders'!$I:$I,"Armoured vehicle")/1000000000)</f>
        <v>1.5496379460810907</v>
      </c>
      <c r="J81" s="15">
        <f>(SUMIFS('MAIN DATA, Orders'!$U:$U,'MAIN DATA, Orders'!$Y:$Y,$A81,'MAIN DATA, Orders'!$D:$D,"Poland",'MAIN DATA, Orders'!$I:$I,"Development - Armoured vehicle")/1000000000)</f>
        <v>0</v>
      </c>
      <c r="K81" s="15">
        <f>(SUMIFS('MAIN DATA, Orders'!$U:$U,'MAIN DATA, Orders'!$Y:$Y,$A81,'MAIN DATA, Orders'!$D:$D,"Poland",'MAIN DATA, Orders'!$I:$I,"Artillery")/1000000000)</f>
        <v>0</v>
      </c>
      <c r="L81" s="15">
        <f>(SUMIFS('MAIN DATA, Orders'!$U:$U,'MAIN DATA, Orders'!$Y:$Y,$A81,'MAIN DATA, Orders'!$D:$D,"Poland",'MAIN DATA, Orders'!$I:$I,"Development - Artillery")/1000000000)</f>
        <v>0</v>
      </c>
      <c r="M81" s="15">
        <f>(SUMIFS('MAIN DATA, Orders'!$U:$U,'MAIN DATA, Orders'!$Y:$Y,$A81,'MAIN DATA, Orders'!$D:$D,"Poland",'MAIN DATA, Orders'!$I:$I,"Drone")/1000000000)</f>
        <v>1.17932872608911E-2</v>
      </c>
      <c r="N81" s="15">
        <f>(SUMIFS('MAIN DATA, Orders'!$U:$U,'MAIN DATA, Orders'!$Y:$Y,$A81,'MAIN DATA, Orders'!$D:$D,"Poland",'MAIN DATA, Orders'!$I:$I,"Development - Drone")/1000000000)</f>
        <v>0</v>
      </c>
      <c r="O81" s="15">
        <f>(SUMIFS('MAIN DATA, Orders'!$U:$U,'MAIN DATA, Orders'!$Y:$Y,$A81,'MAIN DATA, Orders'!$D:$D,"Poland",'MAIN DATA, Orders'!$I:$I,"Helicopter")/1000000000)</f>
        <v>0</v>
      </c>
      <c r="P81" s="15">
        <f>(SUMIFS('MAIN DATA, Orders'!$U:$U,'MAIN DATA, Orders'!$Y:$Y,$A81,'MAIN DATA, Orders'!$D:$D,"Poland",'MAIN DATA, Orders'!$I:$I,"Development - Helicopter")/1000000000)</f>
        <v>0</v>
      </c>
      <c r="Q81" s="15">
        <f>(SUMIFS('MAIN DATA, Orders'!$U:$U,'MAIN DATA, Orders'!$Y:$Y,$A81,'MAIN DATA, Orders'!$D:$D,"Poland",'MAIN DATA, Orders'!$I:$I,"Infantry")/1000000000)</f>
        <v>0</v>
      </c>
      <c r="R81" s="15">
        <f>(SUMIFS('MAIN DATA, Orders'!$U:$U,'MAIN DATA, Orders'!$Y:$Y,$A81,'MAIN DATA, Orders'!$D:$D,"Poland",'MAIN DATA, Orders'!$I:$I,"Development - Infantry")/1000000000)</f>
        <v>0</v>
      </c>
      <c r="S81" s="15">
        <f>(SUMIFS('MAIN DATA, Orders'!$U:$U,'MAIN DATA, Orders'!$Y:$Y,$A81,'MAIN DATA, Orders'!$D:$D,"Poland",'MAIN DATA, Orders'!$I:$I,"Tank")/1000000000)</f>
        <v>0</v>
      </c>
      <c r="T81" s="15">
        <f>(SUMIFS('MAIN DATA, Orders'!$U:$U,'MAIN DATA, Orders'!$Y:$Y,$A81,'MAIN DATA, Orders'!$D:$D,"Poland",'MAIN DATA, Orders'!$I:$I,"Development - Tank")/1000000000)</f>
        <v>0</v>
      </c>
      <c r="U81" s="15">
        <f>(SUMIFS('MAIN DATA, Orders'!$U:$U,'MAIN DATA, Orders'!$Y:$Y,$A81,'MAIN DATA, Orders'!$D:$D,"Poland",'MAIN DATA, Orders'!$I:$I,"Maintenance")/1000000000)</f>
        <v>0</v>
      </c>
      <c r="V81" s="15">
        <f>(SUMIFS('MAIN DATA, Orders'!$U:$U,'MAIN DATA, Orders'!$Y:$Y,$A81,'MAIN DATA, Orders'!$D:$D,"Poland",'MAIN DATA, Orders'!$I:$I,"Development - Maintenance")/1000000000)</f>
        <v>0</v>
      </c>
      <c r="W81" s="15">
        <f>(SUMIFS('MAIN DATA, Orders'!$U:$U,'MAIN DATA, Orders'!$Y:$Y,$A81,'MAIN DATA, Orders'!$D:$D,"Poland",'MAIN DATA, Orders'!$I:$I,"Mine")/1000000000)</f>
        <v>0</v>
      </c>
      <c r="X81" s="15">
        <f>(SUMIFS('MAIN DATA, Orders'!$U:$U,'MAIN DATA, Orders'!$Y:$Y,$A81,'MAIN DATA, Orders'!$D:$D,"Poland",'MAIN DATA, Orders'!$I:$I,"Development - Mine")/1000000000)</f>
        <v>0</v>
      </c>
      <c r="Y81" s="15">
        <f>(SUMIFS('MAIN DATA, Orders'!$U:$U,'MAIN DATA, Orders'!$Y:$Y,$A81,'MAIN DATA, Orders'!$D:$D,"Poland",'MAIN DATA, Orders'!$J:$J,"6")/1000000000)</f>
        <v>0</v>
      </c>
      <c r="Z81" s="15" cm="1">
        <f t="array" ref="Z81">SUM(SUMIFS('MAIN DATA, Orders'!$U:$U,'MAIN DATA, Orders'!$Y:$Y,$A81,'MAIN DATA, Orders'!$D:$D,"Poland",'MAIN DATA, Orders'!$I:$I,{"Development - Missile (Land)","Development - Missile (Naval)","Development - Missile (Air)"})/1000000000)</f>
        <v>0</v>
      </c>
      <c r="AA81" s="15">
        <f>(SUMIFS('MAIN DATA, Orders'!$U:$U,'MAIN DATA, Orders'!$Y:$Y,$A81,'MAIN DATA, Orders'!$D:$D,"Poland",'MAIN DATA, Orders'!$I:$I,"Modernisation")/1000000000)</f>
        <v>0</v>
      </c>
      <c r="AB81" s="15">
        <f>(SUMIFS('MAIN DATA, Orders'!$U:$U,'MAIN DATA, Orders'!$Y:$Y,$A81,'MAIN DATA, Orders'!$D:$D,"Poland",'MAIN DATA, Orders'!$I:$I,"Development - Modernisation")/1000000000)</f>
        <v>0</v>
      </c>
      <c r="AC81" s="15">
        <f>(SUMIFS('MAIN DATA, Orders'!$U:$U,'MAIN DATA, Orders'!$Y:$Y,$A81,'MAIN DATA, Orders'!$D:$D,"Poland",'MAIN DATA, Orders'!$I:$I,"Naval")/1000000000)</f>
        <v>0</v>
      </c>
      <c r="AD81" s="15">
        <f>(SUMIFS('MAIN DATA, Orders'!$U:$U,'MAIN DATA, Orders'!$Y:$Y,$A81,'MAIN DATA, Orders'!$D:$D,"Poland",'MAIN DATA, Orders'!$I:$I,"Development - Naval")/1000000000)</f>
        <v>0</v>
      </c>
      <c r="AE81" s="15">
        <f>(SUMIFS('MAIN DATA, Orders'!$U:$U,'MAIN DATA, Orders'!$Y:$Y,$A81,'MAIN DATA, Orders'!$D:$D,"Poland",'MAIN DATA, Orders'!$I:$I,"Other")/1000000000)</f>
        <v>0</v>
      </c>
      <c r="AF81" s="15">
        <f>(SUMIFS('MAIN DATA, Orders'!$U:$U,'MAIN DATA, Orders'!$Y:$Y,$A81,'MAIN DATA, Orders'!$D:$D,"Poland",'MAIN DATA, Orders'!$I:$I,"Development - Other")/1000000000)</f>
        <v>0</v>
      </c>
      <c r="AG81" s="15"/>
      <c r="AH81" s="15" cm="1">
        <f t="array" ref="AH81">SUM(SUMIFS('MAIN DATA, Orders'!$U:$U,'MAIN DATA, Orders'!$Y:$Y,$A81,'MAIN DATA, Orders'!$D:$D,"Poland",'MAIN DATA, Orders'!$I:$I,{"Missile (Land)","Development - Missile (Land)"})/1000000000)</f>
        <v>0</v>
      </c>
      <c r="AI81" s="15" cm="1">
        <f t="array" ref="AI81">SUM(SUMIFS('MAIN DATA, Orders'!$U:$U,'MAIN DATA, Orders'!$Y:$Y,$A81,'MAIN DATA, Orders'!$D:$D,"Poland",'MAIN DATA, Orders'!$I:$I,{"Missile (Air)","Development - Missile (Air)"})/1000000000)</f>
        <v>0</v>
      </c>
      <c r="AJ81" s="15" cm="1">
        <f t="array" ref="AJ81">SUM(SUMIFS('MAIN DATA, Orders'!$U:$U,'MAIN DATA, Orders'!$Y:$Y,$A81,'MAIN DATA, Orders'!$D:$D,"Poland",'MAIN DATA, Orders'!$I:$I,{"Missile (Naval)","Development - Missile (Naval)"})/1000000000)</f>
        <v>0</v>
      </c>
    </row>
    <row r="82" spans="1:36" x14ac:dyDescent="0.35">
      <c r="A82" s="20">
        <v>202504</v>
      </c>
      <c r="B82" s="17">
        <v>45748</v>
      </c>
      <c r="C82" s="15">
        <f>(SUMIFS('MAIN DATA, Orders'!$U:$U,'MAIN DATA, Orders'!$Y:$Y,$A82,'MAIN DATA, Orders'!$D:$D,"Poland",'MAIN DATA, Orders'!$I:$I,"Air defence system")/1000000000)</f>
        <v>0</v>
      </c>
      <c r="D82" s="15">
        <f>(SUMIFS('MAIN DATA, Orders'!$U:$U,'MAIN DATA, Orders'!$Y:$Y,$A82,'MAIN DATA, Orders'!$D:$D,"Poland",'MAIN DATA, Orders'!$I:$I,"Development - Air defence system")/1000000000)</f>
        <v>0</v>
      </c>
      <c r="E82" s="15">
        <f>(SUMIFS('MAIN DATA, Orders'!$U:$U,'MAIN DATA, Orders'!$Y:$Y,$A82,'MAIN DATA, Orders'!$D:$D,"Poland",'MAIN DATA, Orders'!$I:$I,"Aircraft")/1000000000)</f>
        <v>0</v>
      </c>
      <c r="F82" s="15">
        <f>(SUMIFS('MAIN DATA, Orders'!$U:$U,'MAIN DATA, Orders'!$Y:$Y,$A82,'MAIN DATA, Orders'!$D:$D,"Poland",'MAIN DATA, Orders'!$I:$I,"Development - Aircraft")/1000000000)</f>
        <v>0</v>
      </c>
      <c r="G82" s="15">
        <f>(SUMIFS('MAIN DATA, Orders'!$U:$U,'MAIN DATA, Orders'!$Y:$Y,$A82,'MAIN DATA, Orders'!$D:$D,"Poland",'MAIN DATA, Orders'!$I:$I,"Ammunition")/1000000000)</f>
        <v>0</v>
      </c>
      <c r="H82" s="15">
        <f>(SUMIFS('MAIN DATA, Orders'!$U:$U,'MAIN DATA, Orders'!$Y:$Y,$A82,'MAIN DATA, Orders'!$D:$D,"Poland",'MAIN DATA, Orders'!$I:$I,"Development - Ammunition")/1000000000)</f>
        <v>0</v>
      </c>
      <c r="I82" s="15">
        <f>(SUMIFS('MAIN DATA, Orders'!$U:$U,'MAIN DATA, Orders'!$Y:$Y,$A82,'MAIN DATA, Orders'!$D:$D,"Poland",'MAIN DATA, Orders'!$I:$I,"Armoured vehicle")/1000000000)</f>
        <v>0</v>
      </c>
      <c r="J82" s="15">
        <f>(SUMIFS('MAIN DATA, Orders'!$U:$U,'MAIN DATA, Orders'!$Y:$Y,$A82,'MAIN DATA, Orders'!$D:$D,"Poland",'MAIN DATA, Orders'!$I:$I,"Development - Armoured vehicle")/1000000000)</f>
        <v>0</v>
      </c>
      <c r="K82" s="15">
        <f>(SUMIFS('MAIN DATA, Orders'!$U:$U,'MAIN DATA, Orders'!$Y:$Y,$A82,'MAIN DATA, Orders'!$D:$D,"Poland",'MAIN DATA, Orders'!$I:$I,"Artillery")/1000000000)</f>
        <v>0</v>
      </c>
      <c r="L82" s="15">
        <f>(SUMIFS('MAIN DATA, Orders'!$U:$U,'MAIN DATA, Orders'!$Y:$Y,$A82,'MAIN DATA, Orders'!$D:$D,"Poland",'MAIN DATA, Orders'!$I:$I,"Development - Artillery")/1000000000)</f>
        <v>0</v>
      </c>
      <c r="M82" s="15">
        <f>(SUMIFS('MAIN DATA, Orders'!$U:$U,'MAIN DATA, Orders'!$Y:$Y,$A82,'MAIN DATA, Orders'!$D:$D,"Poland",'MAIN DATA, Orders'!$I:$I,"Drone")/1000000000)</f>
        <v>0</v>
      </c>
      <c r="N82" s="15">
        <f>(SUMIFS('MAIN DATA, Orders'!$U:$U,'MAIN DATA, Orders'!$Y:$Y,$A82,'MAIN DATA, Orders'!$D:$D,"Poland",'MAIN DATA, Orders'!$I:$I,"Development - Drone")/1000000000)</f>
        <v>0</v>
      </c>
      <c r="O82" s="15">
        <f>(SUMIFS('MAIN DATA, Orders'!$U:$U,'MAIN DATA, Orders'!$Y:$Y,$A82,'MAIN DATA, Orders'!$D:$D,"Poland",'MAIN DATA, Orders'!$I:$I,"Helicopter")/1000000000)</f>
        <v>0</v>
      </c>
      <c r="P82" s="15">
        <f>(SUMIFS('MAIN DATA, Orders'!$U:$U,'MAIN DATA, Orders'!$Y:$Y,$A82,'MAIN DATA, Orders'!$D:$D,"Poland",'MAIN DATA, Orders'!$I:$I,"Development - Helicopter")/1000000000)</f>
        <v>0</v>
      </c>
      <c r="Q82" s="15">
        <f>(SUMIFS('MAIN DATA, Orders'!$U:$U,'MAIN DATA, Orders'!$Y:$Y,$A82,'MAIN DATA, Orders'!$D:$D,"Poland",'MAIN DATA, Orders'!$I:$I,"Infantry")/1000000000)</f>
        <v>0</v>
      </c>
      <c r="R82" s="15">
        <f>(SUMIFS('MAIN DATA, Orders'!$U:$U,'MAIN DATA, Orders'!$Y:$Y,$A82,'MAIN DATA, Orders'!$D:$D,"Poland",'MAIN DATA, Orders'!$I:$I,"Development - Infantry")/1000000000)</f>
        <v>0</v>
      </c>
      <c r="S82" s="15">
        <f>(SUMIFS('MAIN DATA, Orders'!$U:$U,'MAIN DATA, Orders'!$Y:$Y,$A82,'MAIN DATA, Orders'!$D:$D,"Poland",'MAIN DATA, Orders'!$I:$I,"Tank")/1000000000)</f>
        <v>0</v>
      </c>
      <c r="T82" s="15">
        <f>(SUMIFS('MAIN DATA, Orders'!$U:$U,'MAIN DATA, Orders'!$Y:$Y,$A82,'MAIN DATA, Orders'!$D:$D,"Poland",'MAIN DATA, Orders'!$I:$I,"Development - Tank")/1000000000)</f>
        <v>0</v>
      </c>
      <c r="U82" s="15">
        <f>(SUMIFS('MAIN DATA, Orders'!$U:$U,'MAIN DATA, Orders'!$Y:$Y,$A82,'MAIN DATA, Orders'!$D:$D,"Poland",'MAIN DATA, Orders'!$I:$I,"Maintenance")/1000000000)</f>
        <v>0</v>
      </c>
      <c r="V82" s="15">
        <f>(SUMIFS('MAIN DATA, Orders'!$U:$U,'MAIN DATA, Orders'!$Y:$Y,$A82,'MAIN DATA, Orders'!$D:$D,"Poland",'MAIN DATA, Orders'!$I:$I,"Development - Maintenance")/1000000000)</f>
        <v>0</v>
      </c>
      <c r="W82" s="15">
        <f>(SUMIFS('MAIN DATA, Orders'!$U:$U,'MAIN DATA, Orders'!$Y:$Y,$A82,'MAIN DATA, Orders'!$D:$D,"Poland",'MAIN DATA, Orders'!$I:$I,"Mine")/1000000000)</f>
        <v>0</v>
      </c>
      <c r="X82" s="15">
        <f>(SUMIFS('MAIN DATA, Orders'!$U:$U,'MAIN DATA, Orders'!$Y:$Y,$A82,'MAIN DATA, Orders'!$D:$D,"Poland",'MAIN DATA, Orders'!$I:$I,"Development - Mine")/1000000000)</f>
        <v>0</v>
      </c>
      <c r="Y82" s="15">
        <f>(SUMIFS('MAIN DATA, Orders'!$U:$U,'MAIN DATA, Orders'!$Y:$Y,$A82,'MAIN DATA, Orders'!$D:$D,"Poland",'MAIN DATA, Orders'!$J:$J,"6")/1000000000)</f>
        <v>0</v>
      </c>
      <c r="Z82" s="15" cm="1">
        <f t="array" ref="Z82">SUM(SUMIFS('MAIN DATA, Orders'!$U:$U,'MAIN DATA, Orders'!$Y:$Y,$A82,'MAIN DATA, Orders'!$D:$D,"Poland",'MAIN DATA, Orders'!$I:$I,{"Development - Missile (Land)","Development - Missile (Naval)","Development - Missile (Air)"})/1000000000)</f>
        <v>0</v>
      </c>
      <c r="AA82" s="15">
        <f>(SUMIFS('MAIN DATA, Orders'!$U:$U,'MAIN DATA, Orders'!$Y:$Y,$A82,'MAIN DATA, Orders'!$D:$D,"Poland",'MAIN DATA, Orders'!$I:$I,"Modernisation")/1000000000)</f>
        <v>0</v>
      </c>
      <c r="AB82" s="15">
        <f>(SUMIFS('MAIN DATA, Orders'!$U:$U,'MAIN DATA, Orders'!$Y:$Y,$A82,'MAIN DATA, Orders'!$D:$D,"Poland",'MAIN DATA, Orders'!$I:$I,"Development - Modernisation")/1000000000)</f>
        <v>0</v>
      </c>
      <c r="AC82" s="15">
        <f>(SUMIFS('MAIN DATA, Orders'!$U:$U,'MAIN DATA, Orders'!$Y:$Y,$A82,'MAIN DATA, Orders'!$D:$D,"Poland",'MAIN DATA, Orders'!$I:$I,"Naval")/1000000000)</f>
        <v>0</v>
      </c>
      <c r="AD82" s="15">
        <f>(SUMIFS('MAIN DATA, Orders'!$U:$U,'MAIN DATA, Orders'!$Y:$Y,$A82,'MAIN DATA, Orders'!$D:$D,"Poland",'MAIN DATA, Orders'!$I:$I,"Development - Naval")/1000000000)</f>
        <v>0</v>
      </c>
      <c r="AE82" s="15">
        <f>(SUMIFS('MAIN DATA, Orders'!$U:$U,'MAIN DATA, Orders'!$Y:$Y,$A82,'MAIN DATA, Orders'!$D:$D,"Poland",'MAIN DATA, Orders'!$I:$I,"Other")/1000000000)</f>
        <v>0</v>
      </c>
      <c r="AF82" s="15">
        <f>(SUMIFS('MAIN DATA, Orders'!$U:$U,'MAIN DATA, Orders'!$Y:$Y,$A82,'MAIN DATA, Orders'!$D:$D,"Poland",'MAIN DATA, Orders'!$I:$I,"Development - Other")/1000000000)</f>
        <v>0</v>
      </c>
      <c r="AG82" s="15"/>
      <c r="AH82" s="15" cm="1">
        <f t="array" ref="AH82">SUM(SUMIFS('MAIN DATA, Orders'!$U:$U,'MAIN DATA, Orders'!$Y:$Y,$A82,'MAIN DATA, Orders'!$D:$D,"Poland",'MAIN DATA, Orders'!$I:$I,{"Missile (Land)","Development - Missile (Land)"})/1000000000)</f>
        <v>0</v>
      </c>
      <c r="AI82" s="15" cm="1">
        <f t="array" ref="AI82">SUM(SUMIFS('MAIN DATA, Orders'!$U:$U,'MAIN DATA, Orders'!$Y:$Y,$A82,'MAIN DATA, Orders'!$D:$D,"Poland",'MAIN DATA, Orders'!$I:$I,{"Missile (Air)","Development - Missile (Air)"})/1000000000)</f>
        <v>0</v>
      </c>
      <c r="AJ82" s="15" cm="1">
        <f t="array" ref="AJ82">SUM(SUMIFS('MAIN DATA, Orders'!$U:$U,'MAIN DATA, Orders'!$Y:$Y,$A82,'MAIN DATA, Orders'!$D:$D,"Poland",'MAIN DATA, Orders'!$I:$I,{"Missile (Naval)","Development - Missile (Naval)"})/1000000000)</f>
        <v>0</v>
      </c>
    </row>
    <row r="83" spans="1:36" x14ac:dyDescent="0.35">
      <c r="A83" s="20">
        <v>202505</v>
      </c>
      <c r="B83" s="17">
        <v>45778</v>
      </c>
      <c r="C83" s="15">
        <f>(SUMIFS('MAIN DATA, Orders'!$U:$U,'MAIN DATA, Orders'!$Y:$Y,$A83,'MAIN DATA, Orders'!$D:$D,"Poland",'MAIN DATA, Orders'!$I:$I,"Air defence system")/1000000000)</f>
        <v>0</v>
      </c>
      <c r="D83" s="15">
        <f>(SUMIFS('MAIN DATA, Orders'!$U:$U,'MAIN DATA, Orders'!$Y:$Y,$A83,'MAIN DATA, Orders'!$D:$D,"Poland",'MAIN DATA, Orders'!$I:$I,"Development - Air defence system")/1000000000)</f>
        <v>0</v>
      </c>
      <c r="E83" s="15">
        <f>(SUMIFS('MAIN DATA, Orders'!$U:$U,'MAIN DATA, Orders'!$Y:$Y,$A83,'MAIN DATA, Orders'!$D:$D,"Poland",'MAIN DATA, Orders'!$I:$I,"Aircraft")/1000000000)</f>
        <v>0</v>
      </c>
      <c r="F83" s="15">
        <f>(SUMIFS('MAIN DATA, Orders'!$U:$U,'MAIN DATA, Orders'!$Y:$Y,$A83,'MAIN DATA, Orders'!$D:$D,"Poland",'MAIN DATA, Orders'!$I:$I,"Development - Aircraft")/1000000000)</f>
        <v>0</v>
      </c>
      <c r="G83" s="15">
        <f>(SUMIFS('MAIN DATA, Orders'!$U:$U,'MAIN DATA, Orders'!$Y:$Y,$A83,'MAIN DATA, Orders'!$D:$D,"Poland",'MAIN DATA, Orders'!$I:$I,"Ammunition")/1000000000)</f>
        <v>0</v>
      </c>
      <c r="H83" s="15">
        <f>(SUMIFS('MAIN DATA, Orders'!$U:$U,'MAIN DATA, Orders'!$Y:$Y,$A83,'MAIN DATA, Orders'!$D:$D,"Poland",'MAIN DATA, Orders'!$I:$I,"Development - Ammunition")/1000000000)</f>
        <v>0</v>
      </c>
      <c r="I83" s="15">
        <f>(SUMIFS('MAIN DATA, Orders'!$U:$U,'MAIN DATA, Orders'!$Y:$Y,$A83,'MAIN DATA, Orders'!$D:$D,"Poland",'MAIN DATA, Orders'!$I:$I,"Armoured vehicle")/1000000000)</f>
        <v>0</v>
      </c>
      <c r="J83" s="15">
        <f>(SUMIFS('MAIN DATA, Orders'!$U:$U,'MAIN DATA, Orders'!$Y:$Y,$A83,'MAIN DATA, Orders'!$D:$D,"Poland",'MAIN DATA, Orders'!$I:$I,"Development - Armoured vehicle")/1000000000)</f>
        <v>0</v>
      </c>
      <c r="K83" s="15">
        <f>(SUMIFS('MAIN DATA, Orders'!$U:$U,'MAIN DATA, Orders'!$Y:$Y,$A83,'MAIN DATA, Orders'!$D:$D,"Poland",'MAIN DATA, Orders'!$I:$I,"Artillery")/1000000000)</f>
        <v>0</v>
      </c>
      <c r="L83" s="15">
        <f>(SUMIFS('MAIN DATA, Orders'!$U:$U,'MAIN DATA, Orders'!$Y:$Y,$A83,'MAIN DATA, Orders'!$D:$D,"Poland",'MAIN DATA, Orders'!$I:$I,"Development - Artillery")/1000000000)</f>
        <v>0</v>
      </c>
      <c r="M83" s="15">
        <f>(SUMIFS('MAIN DATA, Orders'!$U:$U,'MAIN DATA, Orders'!$Y:$Y,$A83,'MAIN DATA, Orders'!$D:$D,"Poland",'MAIN DATA, Orders'!$I:$I,"Drone")/1000000000)</f>
        <v>0</v>
      </c>
      <c r="N83" s="15">
        <f>(SUMIFS('MAIN DATA, Orders'!$U:$U,'MAIN DATA, Orders'!$Y:$Y,$A83,'MAIN DATA, Orders'!$D:$D,"Poland",'MAIN DATA, Orders'!$I:$I,"Development - Drone")/1000000000)</f>
        <v>0</v>
      </c>
      <c r="O83" s="15">
        <f>(SUMIFS('MAIN DATA, Orders'!$U:$U,'MAIN DATA, Orders'!$Y:$Y,$A83,'MAIN DATA, Orders'!$D:$D,"Poland",'MAIN DATA, Orders'!$I:$I,"Helicopter")/1000000000)</f>
        <v>0</v>
      </c>
      <c r="P83" s="15">
        <f>(SUMIFS('MAIN DATA, Orders'!$U:$U,'MAIN DATA, Orders'!$Y:$Y,$A83,'MAIN DATA, Orders'!$D:$D,"Poland",'MAIN DATA, Orders'!$I:$I,"Development - Helicopter")/1000000000)</f>
        <v>0</v>
      </c>
      <c r="Q83" s="15">
        <f>(SUMIFS('MAIN DATA, Orders'!$U:$U,'MAIN DATA, Orders'!$Y:$Y,$A83,'MAIN DATA, Orders'!$D:$D,"Poland",'MAIN DATA, Orders'!$I:$I,"Infantry")/1000000000)</f>
        <v>0</v>
      </c>
      <c r="R83" s="15">
        <f>(SUMIFS('MAIN DATA, Orders'!$U:$U,'MAIN DATA, Orders'!$Y:$Y,$A83,'MAIN DATA, Orders'!$D:$D,"Poland",'MAIN DATA, Orders'!$I:$I,"Development - Infantry")/1000000000)</f>
        <v>0</v>
      </c>
      <c r="S83" s="15">
        <f>(SUMIFS('MAIN DATA, Orders'!$U:$U,'MAIN DATA, Orders'!$Y:$Y,$A83,'MAIN DATA, Orders'!$D:$D,"Poland",'MAIN DATA, Orders'!$I:$I,"Tank")/1000000000)</f>
        <v>0</v>
      </c>
      <c r="T83" s="15">
        <f>(SUMIFS('MAIN DATA, Orders'!$U:$U,'MAIN DATA, Orders'!$Y:$Y,$A83,'MAIN DATA, Orders'!$D:$D,"Poland",'MAIN DATA, Orders'!$I:$I,"Development - Tank")/1000000000)</f>
        <v>0</v>
      </c>
      <c r="U83" s="15">
        <f>(SUMIFS('MAIN DATA, Orders'!$U:$U,'MAIN DATA, Orders'!$Y:$Y,$A83,'MAIN DATA, Orders'!$D:$D,"Poland",'MAIN DATA, Orders'!$I:$I,"Maintenance")/1000000000)</f>
        <v>0</v>
      </c>
      <c r="V83" s="15">
        <f>(SUMIFS('MAIN DATA, Orders'!$U:$U,'MAIN DATA, Orders'!$Y:$Y,$A83,'MAIN DATA, Orders'!$D:$D,"Poland",'MAIN DATA, Orders'!$I:$I,"Development - Maintenance")/1000000000)</f>
        <v>0</v>
      </c>
      <c r="W83" s="15">
        <f>(SUMIFS('MAIN DATA, Orders'!$U:$U,'MAIN DATA, Orders'!$Y:$Y,$A83,'MAIN DATA, Orders'!$D:$D,"Poland",'MAIN DATA, Orders'!$I:$I,"Mine")/1000000000)</f>
        <v>0</v>
      </c>
      <c r="X83" s="15">
        <f>(SUMIFS('MAIN DATA, Orders'!$U:$U,'MAIN DATA, Orders'!$Y:$Y,$A83,'MAIN DATA, Orders'!$D:$D,"Poland",'MAIN DATA, Orders'!$I:$I,"Development - Mine")/1000000000)</f>
        <v>0</v>
      </c>
      <c r="Y83" s="15">
        <f>(SUMIFS('MAIN DATA, Orders'!$U:$U,'MAIN DATA, Orders'!$Y:$Y,$A83,'MAIN DATA, Orders'!$D:$D,"Poland",'MAIN DATA, Orders'!$J:$J,"6")/1000000000)</f>
        <v>0</v>
      </c>
      <c r="Z83" s="15" cm="1">
        <f t="array" ref="Z83">SUM(SUMIFS('MAIN DATA, Orders'!$U:$U,'MAIN DATA, Orders'!$Y:$Y,$A83,'MAIN DATA, Orders'!$D:$D,"Poland",'MAIN DATA, Orders'!$I:$I,{"Development - Missile (Land)","Development - Missile (Naval)","Development - Missile (Air)"})/1000000000)</f>
        <v>0</v>
      </c>
      <c r="AA83" s="15">
        <f>(SUMIFS('MAIN DATA, Orders'!$U:$U,'MAIN DATA, Orders'!$Y:$Y,$A83,'MAIN DATA, Orders'!$D:$D,"Poland",'MAIN DATA, Orders'!$I:$I,"Modernisation")/1000000000)</f>
        <v>0.20284454088732692</v>
      </c>
      <c r="AB83" s="15">
        <f>(SUMIFS('MAIN DATA, Orders'!$U:$U,'MAIN DATA, Orders'!$Y:$Y,$A83,'MAIN DATA, Orders'!$D:$D,"Poland",'MAIN DATA, Orders'!$I:$I,"Development - Modernisation")/1000000000)</f>
        <v>0</v>
      </c>
      <c r="AC83" s="15">
        <f>(SUMIFS('MAIN DATA, Orders'!$U:$U,'MAIN DATA, Orders'!$Y:$Y,$A83,'MAIN DATA, Orders'!$D:$D,"Poland",'MAIN DATA, Orders'!$I:$I,"Naval")/1000000000)</f>
        <v>0</v>
      </c>
      <c r="AD83" s="15">
        <f>(SUMIFS('MAIN DATA, Orders'!$U:$U,'MAIN DATA, Orders'!$Y:$Y,$A83,'MAIN DATA, Orders'!$D:$D,"Poland",'MAIN DATA, Orders'!$I:$I,"Development - Naval")/1000000000)</f>
        <v>0</v>
      </c>
      <c r="AE83" s="15">
        <f>(SUMIFS('MAIN DATA, Orders'!$U:$U,'MAIN DATA, Orders'!$Y:$Y,$A83,'MAIN DATA, Orders'!$D:$D,"Poland",'MAIN DATA, Orders'!$I:$I,"Other")/1000000000)</f>
        <v>0</v>
      </c>
      <c r="AF83" s="15">
        <f>(SUMIFS('MAIN DATA, Orders'!$U:$U,'MAIN DATA, Orders'!$Y:$Y,$A83,'MAIN DATA, Orders'!$D:$D,"Poland",'MAIN DATA, Orders'!$I:$I,"Development - Other")/1000000000)</f>
        <v>0</v>
      </c>
      <c r="AG83" s="15"/>
      <c r="AH83" s="15" cm="1">
        <f t="array" ref="AH83">SUM(SUMIFS('MAIN DATA, Orders'!$U:$U,'MAIN DATA, Orders'!$Y:$Y,$A83,'MAIN DATA, Orders'!$D:$D,"Poland",'MAIN DATA, Orders'!$I:$I,{"Missile (Land)","Development - Missile (Land)"})/1000000000)</f>
        <v>0</v>
      </c>
      <c r="AI83" s="15" cm="1">
        <f t="array" ref="AI83">SUM(SUMIFS('MAIN DATA, Orders'!$U:$U,'MAIN DATA, Orders'!$Y:$Y,$A83,'MAIN DATA, Orders'!$D:$D,"Poland",'MAIN DATA, Orders'!$I:$I,{"Missile (Air)","Development - Missile (Air)"})/1000000000)</f>
        <v>0</v>
      </c>
      <c r="AJ83" s="15" cm="1">
        <f t="array" ref="AJ83">SUM(SUMIFS('MAIN DATA, Orders'!$U:$U,'MAIN DATA, Orders'!$Y:$Y,$A83,'MAIN DATA, Orders'!$D:$D,"Poland",'MAIN DATA, Orders'!$I:$I,{"Missile (Naval)","Development - Missile (Naval)"})/1000000000)</f>
        <v>0</v>
      </c>
    </row>
    <row r="84" spans="1:36" x14ac:dyDescent="0.35">
      <c r="A84" s="20">
        <v>202506</v>
      </c>
      <c r="B84" s="17">
        <v>45809</v>
      </c>
      <c r="C84" s="15">
        <f>(SUMIFS('MAIN DATA, Orders'!$U:$U,'MAIN DATA, Orders'!$Y:$Y,$A84,'MAIN DATA, Orders'!$D:$D,"Poland",'MAIN DATA, Orders'!$I:$I,"Air defence system")/1000000000)</f>
        <v>0</v>
      </c>
      <c r="D84" s="15">
        <f>(SUMIFS('MAIN DATA, Orders'!$U:$U,'MAIN DATA, Orders'!$Y:$Y,$A84,'MAIN DATA, Orders'!$D:$D,"Poland",'MAIN DATA, Orders'!$I:$I,"Development - Air defence system")/1000000000)</f>
        <v>0</v>
      </c>
      <c r="E84" s="15">
        <f>(SUMIFS('MAIN DATA, Orders'!$U:$U,'MAIN DATA, Orders'!$Y:$Y,$A84,'MAIN DATA, Orders'!$D:$D,"Poland",'MAIN DATA, Orders'!$I:$I,"Aircraft")/1000000000)</f>
        <v>0</v>
      </c>
      <c r="F84" s="15">
        <f>(SUMIFS('MAIN DATA, Orders'!$U:$U,'MAIN DATA, Orders'!$Y:$Y,$A84,'MAIN DATA, Orders'!$D:$D,"Poland",'MAIN DATA, Orders'!$I:$I,"Development - Aircraft")/1000000000)</f>
        <v>0</v>
      </c>
      <c r="G84" s="15">
        <f>(SUMIFS('MAIN DATA, Orders'!$U:$U,'MAIN DATA, Orders'!$Y:$Y,$A84,'MAIN DATA, Orders'!$D:$D,"Poland",'MAIN DATA, Orders'!$I:$I,"Ammunition")/1000000000)</f>
        <v>0</v>
      </c>
      <c r="H84" s="15">
        <f>(SUMIFS('MAIN DATA, Orders'!$U:$U,'MAIN DATA, Orders'!$Y:$Y,$A84,'MAIN DATA, Orders'!$D:$D,"Poland",'MAIN DATA, Orders'!$I:$I,"Development - Ammunition")/1000000000)</f>
        <v>0</v>
      </c>
      <c r="I84" s="15">
        <f>(SUMIFS('MAIN DATA, Orders'!$U:$U,'MAIN DATA, Orders'!$Y:$Y,$A84,'MAIN DATA, Orders'!$D:$D,"Poland",'MAIN DATA, Orders'!$I:$I,"Armoured vehicle")/1000000000)</f>
        <v>5.8966436304455506E-2</v>
      </c>
      <c r="J84" s="15">
        <f>(SUMIFS('MAIN DATA, Orders'!$U:$U,'MAIN DATA, Orders'!$Y:$Y,$A84,'MAIN DATA, Orders'!$D:$D,"Poland",'MAIN DATA, Orders'!$I:$I,"Development - Armoured vehicle")/1000000000)</f>
        <v>0</v>
      </c>
      <c r="K84" s="15">
        <f>(SUMIFS('MAIN DATA, Orders'!$U:$U,'MAIN DATA, Orders'!$Y:$Y,$A84,'MAIN DATA, Orders'!$D:$D,"Poland",'MAIN DATA, Orders'!$I:$I,"Artillery")/1000000000)</f>
        <v>0</v>
      </c>
      <c r="L84" s="15">
        <f>(SUMIFS('MAIN DATA, Orders'!$U:$U,'MAIN DATA, Orders'!$Y:$Y,$A84,'MAIN DATA, Orders'!$D:$D,"Poland",'MAIN DATA, Orders'!$I:$I,"Development - Artillery")/1000000000)</f>
        <v>0</v>
      </c>
      <c r="M84" s="15">
        <f>(SUMIFS('MAIN DATA, Orders'!$U:$U,'MAIN DATA, Orders'!$Y:$Y,$A84,'MAIN DATA, Orders'!$D:$D,"Poland",'MAIN DATA, Orders'!$I:$I,"Drone")/1000000000)</f>
        <v>0</v>
      </c>
      <c r="N84" s="15">
        <f>(SUMIFS('MAIN DATA, Orders'!$U:$U,'MAIN DATA, Orders'!$Y:$Y,$A84,'MAIN DATA, Orders'!$D:$D,"Poland",'MAIN DATA, Orders'!$I:$I,"Development - Drone")/1000000000)</f>
        <v>0</v>
      </c>
      <c r="O84" s="15">
        <f>(SUMIFS('MAIN DATA, Orders'!$U:$U,'MAIN DATA, Orders'!$Y:$Y,$A84,'MAIN DATA, Orders'!$D:$D,"Poland",'MAIN DATA, Orders'!$I:$I,"Helicopter")/1000000000)</f>
        <v>0</v>
      </c>
      <c r="P84" s="15">
        <f>(SUMIFS('MAIN DATA, Orders'!$U:$U,'MAIN DATA, Orders'!$Y:$Y,$A84,'MAIN DATA, Orders'!$D:$D,"Poland",'MAIN DATA, Orders'!$I:$I,"Development - Helicopter")/1000000000)</f>
        <v>0</v>
      </c>
      <c r="Q84" s="15">
        <f>(SUMIFS('MAIN DATA, Orders'!$U:$U,'MAIN DATA, Orders'!$Y:$Y,$A84,'MAIN DATA, Orders'!$D:$D,"Poland",'MAIN DATA, Orders'!$I:$I,"Infantry")/1000000000)</f>
        <v>0</v>
      </c>
      <c r="R84" s="15">
        <f>(SUMIFS('MAIN DATA, Orders'!$U:$U,'MAIN DATA, Orders'!$Y:$Y,$A84,'MAIN DATA, Orders'!$D:$D,"Poland",'MAIN DATA, Orders'!$I:$I,"Development - Infantry")/1000000000)</f>
        <v>0</v>
      </c>
      <c r="S84" s="15">
        <f>(SUMIFS('MAIN DATA, Orders'!$U:$U,'MAIN DATA, Orders'!$Y:$Y,$A84,'MAIN DATA, Orders'!$D:$D,"Poland",'MAIN DATA, Orders'!$I:$I,"Tank")/1000000000)</f>
        <v>0</v>
      </c>
      <c r="T84" s="15">
        <f>(SUMIFS('MAIN DATA, Orders'!$U:$U,'MAIN DATA, Orders'!$Y:$Y,$A84,'MAIN DATA, Orders'!$D:$D,"Poland",'MAIN DATA, Orders'!$I:$I,"Development - Tank")/1000000000)</f>
        <v>0</v>
      </c>
      <c r="U84" s="15">
        <f>(SUMIFS('MAIN DATA, Orders'!$U:$U,'MAIN DATA, Orders'!$Y:$Y,$A84,'MAIN DATA, Orders'!$D:$D,"Poland",'MAIN DATA, Orders'!$I:$I,"Maintenance")/1000000000)</f>
        <v>0</v>
      </c>
      <c r="V84" s="15">
        <f>(SUMIFS('MAIN DATA, Orders'!$U:$U,'MAIN DATA, Orders'!$Y:$Y,$A84,'MAIN DATA, Orders'!$D:$D,"Poland",'MAIN DATA, Orders'!$I:$I,"Development - Maintenance")/1000000000)</f>
        <v>0</v>
      </c>
      <c r="W84" s="15">
        <f>(SUMIFS('MAIN DATA, Orders'!$U:$U,'MAIN DATA, Orders'!$Y:$Y,$A84,'MAIN DATA, Orders'!$D:$D,"Poland",'MAIN DATA, Orders'!$I:$I,"Mine")/1000000000)</f>
        <v>0</v>
      </c>
      <c r="X84" s="15">
        <f>(SUMIFS('MAIN DATA, Orders'!$U:$U,'MAIN DATA, Orders'!$Y:$Y,$A84,'MAIN DATA, Orders'!$D:$D,"Poland",'MAIN DATA, Orders'!$I:$I,"Development - Mine")/1000000000)</f>
        <v>0</v>
      </c>
      <c r="Y84" s="15">
        <f>(SUMIFS('MAIN DATA, Orders'!$U:$U,'MAIN DATA, Orders'!$Y:$Y,$A84,'MAIN DATA, Orders'!$D:$D,"Poland",'MAIN DATA, Orders'!$J:$J,"6")/1000000000)</f>
        <v>0</v>
      </c>
      <c r="Z84" s="15" cm="1">
        <f t="array" ref="Z84">SUM(SUMIFS('MAIN DATA, Orders'!$U:$U,'MAIN DATA, Orders'!$Y:$Y,$A84,'MAIN DATA, Orders'!$D:$D,"Poland",'MAIN DATA, Orders'!$I:$I,{"Development - Missile (Land)","Development - Missile (Naval)","Development - Missile (Air)"})/1000000000)</f>
        <v>0</v>
      </c>
      <c r="AA84" s="15">
        <f>(SUMIFS('MAIN DATA, Orders'!$U:$U,'MAIN DATA, Orders'!$Y:$Y,$A84,'MAIN DATA, Orders'!$D:$D,"Poland",'MAIN DATA, Orders'!$I:$I,"Modernisation")/1000000000)</f>
        <v>0</v>
      </c>
      <c r="AB84" s="15">
        <f>(SUMIFS('MAIN DATA, Orders'!$U:$U,'MAIN DATA, Orders'!$Y:$Y,$A84,'MAIN DATA, Orders'!$D:$D,"Poland",'MAIN DATA, Orders'!$I:$I,"Development - Modernisation")/1000000000)</f>
        <v>0</v>
      </c>
      <c r="AC84" s="15">
        <f>(SUMIFS('MAIN DATA, Orders'!$U:$U,'MAIN DATA, Orders'!$Y:$Y,$A84,'MAIN DATA, Orders'!$D:$D,"Poland",'MAIN DATA, Orders'!$I:$I,"Naval")/1000000000)</f>
        <v>0</v>
      </c>
      <c r="AD84" s="15">
        <f>(SUMIFS('MAIN DATA, Orders'!$U:$U,'MAIN DATA, Orders'!$Y:$Y,$A84,'MAIN DATA, Orders'!$D:$D,"Poland",'MAIN DATA, Orders'!$I:$I,"Development - Naval")/1000000000)</f>
        <v>0</v>
      </c>
      <c r="AE84" s="15">
        <f>(SUMIFS('MAIN DATA, Orders'!$U:$U,'MAIN DATA, Orders'!$Y:$Y,$A84,'MAIN DATA, Orders'!$D:$D,"Poland",'MAIN DATA, Orders'!$I:$I,"Other")/1000000000)</f>
        <v>0</v>
      </c>
      <c r="AF84" s="15">
        <f>(SUMIFS('MAIN DATA, Orders'!$U:$U,'MAIN DATA, Orders'!$Y:$Y,$A84,'MAIN DATA, Orders'!$D:$D,"Poland",'MAIN DATA, Orders'!$I:$I,"Development - Other")/1000000000)</f>
        <v>0</v>
      </c>
      <c r="AG84" s="15"/>
      <c r="AH84" s="15" cm="1">
        <f t="array" ref="AH84">SUM(SUMIFS('MAIN DATA, Orders'!$U:$U,'MAIN DATA, Orders'!$Y:$Y,$A84,'MAIN DATA, Orders'!$D:$D,"Poland",'MAIN DATA, Orders'!$I:$I,{"Missile (Land)","Development - Missile (Land)"})/1000000000)</f>
        <v>0</v>
      </c>
      <c r="AI84" s="15" cm="1">
        <f t="array" ref="AI84">SUM(SUMIFS('MAIN DATA, Orders'!$U:$U,'MAIN DATA, Orders'!$Y:$Y,$A84,'MAIN DATA, Orders'!$D:$D,"Poland",'MAIN DATA, Orders'!$I:$I,{"Missile (Air)","Development - Missile (Air)"})/1000000000)</f>
        <v>0</v>
      </c>
      <c r="AJ84" s="15" cm="1">
        <f t="array" ref="AJ84">SUM(SUMIFS('MAIN DATA, Orders'!$U:$U,'MAIN DATA, Orders'!$Y:$Y,$A84,'MAIN DATA, Orders'!$D:$D,"Poland",'MAIN DATA, Orders'!$I:$I,{"Missile (Naval)","Development - Missile (Naval)"})/1000000000)</f>
        <v>0</v>
      </c>
    </row>
    <row r="85" spans="1:36" x14ac:dyDescent="0.35">
      <c r="A85" s="20">
        <v>202507</v>
      </c>
      <c r="B85" s="17">
        <v>45839</v>
      </c>
      <c r="C85" s="15">
        <f>(SUMIFS('MAIN DATA, Orders'!$U:$U,'MAIN DATA, Orders'!$Y:$Y,$A85,'MAIN DATA, Orders'!$D:$D,"Poland",'MAIN DATA, Orders'!$I:$I,"Air defence system")/1000000000)</f>
        <v>0</v>
      </c>
      <c r="D85" s="15">
        <f>(SUMIFS('MAIN DATA, Orders'!$U:$U,'MAIN DATA, Orders'!$Y:$Y,$A85,'MAIN DATA, Orders'!$D:$D,"Poland",'MAIN DATA, Orders'!$I:$I,"Development - Air defence system")/1000000000)</f>
        <v>0</v>
      </c>
      <c r="E85" s="15">
        <f>(SUMIFS('MAIN DATA, Orders'!$U:$U,'MAIN DATA, Orders'!$Y:$Y,$A85,'MAIN DATA, Orders'!$D:$D,"Poland",'MAIN DATA, Orders'!$I:$I,"Aircraft")/1000000000)</f>
        <v>0</v>
      </c>
      <c r="F85" s="15">
        <f>(SUMIFS('MAIN DATA, Orders'!$U:$U,'MAIN DATA, Orders'!$Y:$Y,$A85,'MAIN DATA, Orders'!$D:$D,"Poland",'MAIN DATA, Orders'!$I:$I,"Development - Aircraft")/1000000000)</f>
        <v>0</v>
      </c>
      <c r="G85" s="15">
        <f>(SUMIFS('MAIN DATA, Orders'!$U:$U,'MAIN DATA, Orders'!$Y:$Y,$A85,'MAIN DATA, Orders'!$D:$D,"Poland",'MAIN DATA, Orders'!$I:$I,"Ammunition")/1000000000)</f>
        <v>0</v>
      </c>
      <c r="H85" s="15">
        <f>(SUMIFS('MAIN DATA, Orders'!$U:$U,'MAIN DATA, Orders'!$Y:$Y,$A85,'MAIN DATA, Orders'!$D:$D,"Poland",'MAIN DATA, Orders'!$I:$I,"Development - Ammunition")/1000000000)</f>
        <v>0</v>
      </c>
      <c r="I85" s="15">
        <f>(SUMIFS('MAIN DATA, Orders'!$U:$U,'MAIN DATA, Orders'!$Y:$Y,$A85,'MAIN DATA, Orders'!$D:$D,"Poland",'MAIN DATA, Orders'!$I:$I,"Armoured vehicle")/1000000000)</f>
        <v>0.1017699115044248</v>
      </c>
      <c r="J85" s="15">
        <f>(SUMIFS('MAIN DATA, Orders'!$U:$U,'MAIN DATA, Orders'!$Y:$Y,$A85,'MAIN DATA, Orders'!$D:$D,"Poland",'MAIN DATA, Orders'!$I:$I,"Development - Armoured vehicle")/1000000000)</f>
        <v>0</v>
      </c>
      <c r="K85" s="15">
        <f>(SUMIFS('MAIN DATA, Orders'!$U:$U,'MAIN DATA, Orders'!$Y:$Y,$A85,'MAIN DATA, Orders'!$D:$D,"Poland",'MAIN DATA, Orders'!$I:$I,"Artillery")/1000000000)</f>
        <v>0</v>
      </c>
      <c r="L85" s="15">
        <f>(SUMIFS('MAIN DATA, Orders'!$U:$U,'MAIN DATA, Orders'!$Y:$Y,$A85,'MAIN DATA, Orders'!$D:$D,"Poland",'MAIN DATA, Orders'!$I:$I,"Development - Artillery")/1000000000)</f>
        <v>0</v>
      </c>
      <c r="M85" s="15">
        <f>(SUMIFS('MAIN DATA, Orders'!$U:$U,'MAIN DATA, Orders'!$Y:$Y,$A85,'MAIN DATA, Orders'!$D:$D,"Poland",'MAIN DATA, Orders'!$I:$I,"Drone")/1000000000)</f>
        <v>0</v>
      </c>
      <c r="N85" s="15">
        <f>(SUMIFS('MAIN DATA, Orders'!$U:$U,'MAIN DATA, Orders'!$Y:$Y,$A85,'MAIN DATA, Orders'!$D:$D,"Poland",'MAIN DATA, Orders'!$I:$I,"Development - Drone")/1000000000)</f>
        <v>0</v>
      </c>
      <c r="O85" s="15">
        <f>(SUMIFS('MAIN DATA, Orders'!$U:$U,'MAIN DATA, Orders'!$Y:$Y,$A85,'MAIN DATA, Orders'!$D:$D,"Poland",'MAIN DATA, Orders'!$I:$I,"Helicopter")/1000000000)</f>
        <v>0</v>
      </c>
      <c r="P85" s="15">
        <f>(SUMIFS('MAIN DATA, Orders'!$U:$U,'MAIN DATA, Orders'!$Y:$Y,$A85,'MAIN DATA, Orders'!$D:$D,"Poland",'MAIN DATA, Orders'!$I:$I,"Development - Helicopter")/1000000000)</f>
        <v>0</v>
      </c>
      <c r="Q85" s="15">
        <f>(SUMIFS('MAIN DATA, Orders'!$U:$U,'MAIN DATA, Orders'!$Y:$Y,$A85,'MAIN DATA, Orders'!$D:$D,"Poland",'MAIN DATA, Orders'!$I:$I,"Infantry")/1000000000)</f>
        <v>0</v>
      </c>
      <c r="R85" s="15">
        <f>(SUMIFS('MAIN DATA, Orders'!$U:$U,'MAIN DATA, Orders'!$Y:$Y,$A85,'MAIN DATA, Orders'!$D:$D,"Poland",'MAIN DATA, Orders'!$I:$I,"Development - Infantry")/1000000000)</f>
        <v>0</v>
      </c>
      <c r="S85" s="15">
        <f>(SUMIFS('MAIN DATA, Orders'!$U:$U,'MAIN DATA, Orders'!$Y:$Y,$A85,'MAIN DATA, Orders'!$D:$D,"Poland",'MAIN DATA, Orders'!$I:$I,"Tank")/1000000000)</f>
        <v>0</v>
      </c>
      <c r="T85" s="15">
        <f>(SUMIFS('MAIN DATA, Orders'!$U:$U,'MAIN DATA, Orders'!$Y:$Y,$A85,'MAIN DATA, Orders'!$D:$D,"Poland",'MAIN DATA, Orders'!$I:$I,"Development - Tank")/1000000000)</f>
        <v>0</v>
      </c>
      <c r="U85" s="15">
        <f>(SUMIFS('MAIN DATA, Orders'!$U:$U,'MAIN DATA, Orders'!$Y:$Y,$A85,'MAIN DATA, Orders'!$D:$D,"Poland",'MAIN DATA, Orders'!$I:$I,"Maintenance")/1000000000)</f>
        <v>0</v>
      </c>
      <c r="V85" s="15">
        <f>(SUMIFS('MAIN DATA, Orders'!$U:$U,'MAIN DATA, Orders'!$Y:$Y,$A85,'MAIN DATA, Orders'!$D:$D,"Poland",'MAIN DATA, Orders'!$I:$I,"Development - Maintenance")/1000000000)</f>
        <v>0</v>
      </c>
      <c r="W85" s="15">
        <f>(SUMIFS('MAIN DATA, Orders'!$U:$U,'MAIN DATA, Orders'!$Y:$Y,$A85,'MAIN DATA, Orders'!$D:$D,"Poland",'MAIN DATA, Orders'!$I:$I,"Mine")/1000000000)</f>
        <v>0</v>
      </c>
      <c r="X85" s="15">
        <f>(SUMIFS('MAIN DATA, Orders'!$U:$U,'MAIN DATA, Orders'!$Y:$Y,$A85,'MAIN DATA, Orders'!$D:$D,"Poland",'MAIN DATA, Orders'!$I:$I,"Development - Mine")/1000000000)</f>
        <v>0</v>
      </c>
      <c r="Y85" s="15">
        <f>(SUMIFS('MAIN DATA, Orders'!$U:$U,'MAIN DATA, Orders'!$Y:$Y,$A85,'MAIN DATA, Orders'!$D:$D,"Poland",'MAIN DATA, Orders'!$J:$J,"6")/1000000000)</f>
        <v>0</v>
      </c>
      <c r="Z85" s="15" cm="1">
        <f t="array" ref="Z85">SUM(SUMIFS('MAIN DATA, Orders'!$U:$U,'MAIN DATA, Orders'!$Y:$Y,$A85,'MAIN DATA, Orders'!$D:$D,"Poland",'MAIN DATA, Orders'!$I:$I,{"Development - Missile (Land)","Development - Missile (Naval)","Development - Missile (Air)"})/1000000000)</f>
        <v>0</v>
      </c>
      <c r="AA85" s="15">
        <f>(SUMIFS('MAIN DATA, Orders'!$U:$U,'MAIN DATA, Orders'!$Y:$Y,$A85,'MAIN DATA, Orders'!$D:$D,"Poland",'MAIN DATA, Orders'!$I:$I,"Modernisation")/1000000000)</f>
        <v>0</v>
      </c>
      <c r="AB85" s="15">
        <f>(SUMIFS('MAIN DATA, Orders'!$U:$U,'MAIN DATA, Orders'!$Y:$Y,$A85,'MAIN DATA, Orders'!$D:$D,"Poland",'MAIN DATA, Orders'!$I:$I,"Development - Modernisation")/1000000000)</f>
        <v>0</v>
      </c>
      <c r="AC85" s="15">
        <f>(SUMIFS('MAIN DATA, Orders'!$U:$U,'MAIN DATA, Orders'!$Y:$Y,$A85,'MAIN DATA, Orders'!$D:$D,"Poland",'MAIN DATA, Orders'!$I:$I,"Naval")/1000000000)</f>
        <v>0</v>
      </c>
      <c r="AD85" s="15">
        <f>(SUMIFS('MAIN DATA, Orders'!$U:$U,'MAIN DATA, Orders'!$Y:$Y,$A85,'MAIN DATA, Orders'!$D:$D,"Poland",'MAIN DATA, Orders'!$I:$I,"Development - Naval")/1000000000)</f>
        <v>0</v>
      </c>
      <c r="AE85" s="15">
        <f>(SUMIFS('MAIN DATA, Orders'!$U:$U,'MAIN DATA, Orders'!$Y:$Y,$A85,'MAIN DATA, Orders'!$D:$D,"Poland",'MAIN DATA, Orders'!$I:$I,"Other")/1000000000)</f>
        <v>4.7173149043564407E-3</v>
      </c>
      <c r="AF85" s="15">
        <f>(SUMIFS('MAIN DATA, Orders'!$U:$U,'MAIN DATA, Orders'!$Y:$Y,$A85,'MAIN DATA, Orders'!$D:$D,"Poland",'MAIN DATA, Orders'!$I:$I,"Development - Other")/1000000000)</f>
        <v>0</v>
      </c>
      <c r="AG85" s="15"/>
      <c r="AH85" s="15" cm="1">
        <f t="array" ref="AH85">SUM(SUMIFS('MAIN DATA, Orders'!$U:$U,'MAIN DATA, Orders'!$Y:$Y,$A85,'MAIN DATA, Orders'!$D:$D,"Poland",'MAIN DATA, Orders'!$I:$I,{"Missile (Land)","Development - Missile (Land)"})/1000000000)</f>
        <v>0</v>
      </c>
      <c r="AI85" s="15" cm="1">
        <f t="array" ref="AI85">SUM(SUMIFS('MAIN DATA, Orders'!$U:$U,'MAIN DATA, Orders'!$Y:$Y,$A85,'MAIN DATA, Orders'!$D:$D,"Poland",'MAIN DATA, Orders'!$I:$I,{"Missile (Air)","Development - Missile (Air)"})/1000000000)</f>
        <v>0</v>
      </c>
      <c r="AJ85" s="15" cm="1">
        <f t="array" ref="AJ85">SUM(SUMIFS('MAIN DATA, Orders'!$U:$U,'MAIN DATA, Orders'!$Y:$Y,$A85,'MAIN DATA, Orders'!$D:$D,"Poland",'MAIN DATA, Orders'!$I:$I,{"Missile (Naval)","Development - Missile (Naval)"})/1000000000)</f>
        <v>0</v>
      </c>
    </row>
    <row r="86" spans="1:36" x14ac:dyDescent="0.35">
      <c r="A86" s="20">
        <v>202508</v>
      </c>
      <c r="B86" s="17">
        <v>45870</v>
      </c>
      <c r="C86" s="15">
        <f>(SUMIFS('MAIN DATA, Orders'!$U:$U,'MAIN DATA, Orders'!$Y:$Y,$A86,'MAIN DATA, Orders'!$D:$D,"Poland",'MAIN DATA, Orders'!$I:$I,"Air defence system")/1000000000)</f>
        <v>0</v>
      </c>
      <c r="D86" s="15">
        <f>(SUMIFS('MAIN DATA, Orders'!$U:$U,'MAIN DATA, Orders'!$Y:$Y,$A86,'MAIN DATA, Orders'!$D:$D,"Poland",'MAIN DATA, Orders'!$I:$I,"Development - Air defence system")/1000000000)</f>
        <v>0</v>
      </c>
      <c r="E86" s="15">
        <f>(SUMIFS('MAIN DATA, Orders'!$U:$U,'MAIN DATA, Orders'!$Y:$Y,$A86,'MAIN DATA, Orders'!$D:$D,"Poland",'MAIN DATA, Orders'!$I:$I,"Aircraft")/1000000000)</f>
        <v>3.36283185840708</v>
      </c>
      <c r="F86" s="15">
        <f>(SUMIFS('MAIN DATA, Orders'!$U:$U,'MAIN DATA, Orders'!$Y:$Y,$A86,'MAIN DATA, Orders'!$D:$D,"Poland",'MAIN DATA, Orders'!$I:$I,"Development - Aircraft")/1000000000)</f>
        <v>0</v>
      </c>
      <c r="G86" s="15">
        <f>(SUMIFS('MAIN DATA, Orders'!$U:$U,'MAIN DATA, Orders'!$Y:$Y,$A86,'MAIN DATA, Orders'!$D:$D,"Poland",'MAIN DATA, Orders'!$I:$I,"Ammunition")/1000000000)</f>
        <v>0</v>
      </c>
      <c r="H86" s="15">
        <f>(SUMIFS('MAIN DATA, Orders'!$U:$U,'MAIN DATA, Orders'!$Y:$Y,$A86,'MAIN DATA, Orders'!$D:$D,"Poland",'MAIN DATA, Orders'!$I:$I,"Development - Ammunition")/1000000000)</f>
        <v>0</v>
      </c>
      <c r="I86" s="15">
        <f>(SUMIFS('MAIN DATA, Orders'!$U:$U,'MAIN DATA, Orders'!$Y:$Y,$A86,'MAIN DATA, Orders'!$D:$D,"Poland",'MAIN DATA, Orders'!$I:$I,"Armoured vehicle")/1000000000)</f>
        <v>0</v>
      </c>
      <c r="J86" s="15">
        <f>(SUMIFS('MAIN DATA, Orders'!$U:$U,'MAIN DATA, Orders'!$Y:$Y,$A86,'MAIN DATA, Orders'!$D:$D,"Poland",'MAIN DATA, Orders'!$I:$I,"Development - Armoured vehicle")/1000000000)</f>
        <v>0</v>
      </c>
      <c r="K86" s="15">
        <f>(SUMIFS('MAIN DATA, Orders'!$U:$U,'MAIN DATA, Orders'!$Y:$Y,$A86,'MAIN DATA, Orders'!$D:$D,"Poland",'MAIN DATA, Orders'!$I:$I,"Artillery")/1000000000)</f>
        <v>0</v>
      </c>
      <c r="L86" s="15">
        <f>(SUMIFS('MAIN DATA, Orders'!$U:$U,'MAIN DATA, Orders'!$Y:$Y,$A86,'MAIN DATA, Orders'!$D:$D,"Poland",'MAIN DATA, Orders'!$I:$I,"Development - Artillery")/1000000000)</f>
        <v>0</v>
      </c>
      <c r="M86" s="15">
        <f>(SUMIFS('MAIN DATA, Orders'!$U:$U,'MAIN DATA, Orders'!$Y:$Y,$A86,'MAIN DATA, Orders'!$D:$D,"Poland",'MAIN DATA, Orders'!$I:$I,"Drone")/1000000000)</f>
        <v>0</v>
      </c>
      <c r="N86" s="15">
        <f>(SUMIFS('MAIN DATA, Orders'!$U:$U,'MAIN DATA, Orders'!$Y:$Y,$A86,'MAIN DATA, Orders'!$D:$D,"Poland",'MAIN DATA, Orders'!$I:$I,"Development - Drone")/1000000000)</f>
        <v>0</v>
      </c>
      <c r="O86" s="15">
        <f>(SUMIFS('MAIN DATA, Orders'!$U:$U,'MAIN DATA, Orders'!$Y:$Y,$A86,'MAIN DATA, Orders'!$D:$D,"Poland",'MAIN DATA, Orders'!$I:$I,"Helicopter")/1000000000)</f>
        <v>0</v>
      </c>
      <c r="P86" s="15">
        <f>(SUMIFS('MAIN DATA, Orders'!$U:$U,'MAIN DATA, Orders'!$Y:$Y,$A86,'MAIN DATA, Orders'!$D:$D,"Poland",'MAIN DATA, Orders'!$I:$I,"Development - Helicopter")/1000000000)</f>
        <v>0</v>
      </c>
      <c r="Q86" s="15">
        <f>(SUMIFS('MAIN DATA, Orders'!$U:$U,'MAIN DATA, Orders'!$Y:$Y,$A86,'MAIN DATA, Orders'!$D:$D,"Poland",'MAIN DATA, Orders'!$I:$I,"Infantry")/1000000000)</f>
        <v>0</v>
      </c>
      <c r="R86" s="15">
        <f>(SUMIFS('MAIN DATA, Orders'!$U:$U,'MAIN DATA, Orders'!$Y:$Y,$A86,'MAIN DATA, Orders'!$D:$D,"Poland",'MAIN DATA, Orders'!$I:$I,"Development - Infantry")/1000000000)</f>
        <v>0</v>
      </c>
      <c r="S86" s="15">
        <f>(SUMIFS('MAIN DATA, Orders'!$U:$U,'MAIN DATA, Orders'!$Y:$Y,$A86,'MAIN DATA, Orders'!$D:$D,"Poland",'MAIN DATA, Orders'!$I:$I,"Tank")/1000000000)</f>
        <v>5.7522123893805315</v>
      </c>
      <c r="T86" s="15">
        <f>(SUMIFS('MAIN DATA, Orders'!$U:$U,'MAIN DATA, Orders'!$Y:$Y,$A86,'MAIN DATA, Orders'!$D:$D,"Poland",'MAIN DATA, Orders'!$I:$I,"Development - Tank")/1000000000)</f>
        <v>0</v>
      </c>
      <c r="U86" s="15">
        <f>(SUMIFS('MAIN DATA, Orders'!$U:$U,'MAIN DATA, Orders'!$Y:$Y,$A86,'MAIN DATA, Orders'!$D:$D,"Poland",'MAIN DATA, Orders'!$I:$I,"Maintenance")/1000000000)</f>
        <v>0</v>
      </c>
      <c r="V86" s="15">
        <f>(SUMIFS('MAIN DATA, Orders'!$U:$U,'MAIN DATA, Orders'!$Y:$Y,$A86,'MAIN DATA, Orders'!$D:$D,"Poland",'MAIN DATA, Orders'!$I:$I,"Development - Maintenance")/1000000000)</f>
        <v>0</v>
      </c>
      <c r="W86" s="15">
        <f>(SUMIFS('MAIN DATA, Orders'!$U:$U,'MAIN DATA, Orders'!$Y:$Y,$A86,'MAIN DATA, Orders'!$D:$D,"Poland",'MAIN DATA, Orders'!$I:$I,"Mine")/1000000000)</f>
        <v>0</v>
      </c>
      <c r="X86" s="15">
        <f>(SUMIFS('MAIN DATA, Orders'!$U:$U,'MAIN DATA, Orders'!$Y:$Y,$A86,'MAIN DATA, Orders'!$D:$D,"Poland",'MAIN DATA, Orders'!$I:$I,"Development - Mine")/1000000000)</f>
        <v>0</v>
      </c>
      <c r="Y86" s="15">
        <f>(SUMIFS('MAIN DATA, Orders'!$U:$U,'MAIN DATA, Orders'!$Y:$Y,$A86,'MAIN DATA, Orders'!$D:$D,"Poland",'MAIN DATA, Orders'!$J:$J,"6")/1000000000)</f>
        <v>0</v>
      </c>
      <c r="Z86" s="15" cm="1">
        <f t="array" ref="Z86">SUM(SUMIFS('MAIN DATA, Orders'!$U:$U,'MAIN DATA, Orders'!$Y:$Y,$A86,'MAIN DATA, Orders'!$D:$D,"Poland",'MAIN DATA, Orders'!$I:$I,{"Development - Missile (Land)","Development - Missile (Naval)","Development - Missile (Air)"})/1000000000)</f>
        <v>0</v>
      </c>
      <c r="AA86" s="15">
        <f>(SUMIFS('MAIN DATA, Orders'!$U:$U,'MAIN DATA, Orders'!$Y:$Y,$A86,'MAIN DATA, Orders'!$D:$D,"Poland",'MAIN DATA, Orders'!$I:$I,"Modernisation")/1000000000)</f>
        <v>0</v>
      </c>
      <c r="AB86" s="15">
        <f>(SUMIFS('MAIN DATA, Orders'!$U:$U,'MAIN DATA, Orders'!$Y:$Y,$A86,'MAIN DATA, Orders'!$D:$D,"Poland",'MAIN DATA, Orders'!$I:$I,"Development - Modernisation")/1000000000)</f>
        <v>0</v>
      </c>
      <c r="AC86" s="15">
        <f>(SUMIFS('MAIN DATA, Orders'!$U:$U,'MAIN DATA, Orders'!$Y:$Y,$A86,'MAIN DATA, Orders'!$D:$D,"Poland",'MAIN DATA, Orders'!$I:$I,"Naval")/1000000000)</f>
        <v>0</v>
      </c>
      <c r="AD86" s="15">
        <f>(SUMIFS('MAIN DATA, Orders'!$U:$U,'MAIN DATA, Orders'!$Y:$Y,$A86,'MAIN DATA, Orders'!$D:$D,"Poland",'MAIN DATA, Orders'!$I:$I,"Development - Naval")/1000000000)</f>
        <v>0</v>
      </c>
      <c r="AE86" s="15">
        <f>(SUMIFS('MAIN DATA, Orders'!$U:$U,'MAIN DATA, Orders'!$Y:$Y,$A86,'MAIN DATA, Orders'!$D:$D,"Poland",'MAIN DATA, Orders'!$I:$I,"Other")/1000000000)</f>
        <v>0</v>
      </c>
      <c r="AF86" s="15">
        <f>(SUMIFS('MAIN DATA, Orders'!$U:$U,'MAIN DATA, Orders'!$Y:$Y,$A86,'MAIN DATA, Orders'!$D:$D,"Poland",'MAIN DATA, Orders'!$I:$I,"Development - Other")/1000000000)</f>
        <v>0</v>
      </c>
      <c r="AG86" s="15"/>
      <c r="AH86" s="15" cm="1">
        <f t="array" ref="AH86">SUM(SUMIFS('MAIN DATA, Orders'!$U:$U,'MAIN DATA, Orders'!$Y:$Y,$A86,'MAIN DATA, Orders'!$D:$D,"Poland",'MAIN DATA, Orders'!$I:$I,{"Missile (Land)","Development - Missile (Land)"})/1000000000)</f>
        <v>0</v>
      </c>
      <c r="AI86" s="15" cm="1">
        <f t="array" ref="AI86">SUM(SUMIFS('MAIN DATA, Orders'!$U:$U,'MAIN DATA, Orders'!$Y:$Y,$A86,'MAIN DATA, Orders'!$D:$D,"Poland",'MAIN DATA, Orders'!$I:$I,{"Missile (Air)","Development - Missile (Air)"})/1000000000)</f>
        <v>0</v>
      </c>
      <c r="AJ86" s="15" cm="1">
        <f t="array" ref="AJ86">SUM(SUMIFS('MAIN DATA, Orders'!$U:$U,'MAIN DATA, Orders'!$Y:$Y,$A86,'MAIN DATA, Orders'!$D:$D,"Poland",'MAIN DATA, Orders'!$I:$I,{"Missile (Naval)","Development - Missile (Naval)"})/1000000000)</f>
        <v>0</v>
      </c>
    </row>
    <row r="87" spans="1:36" x14ac:dyDescent="0.35">
      <c r="A87" s="20">
        <v>202509</v>
      </c>
      <c r="B87" s="17">
        <v>45901</v>
      </c>
      <c r="C87" s="15">
        <f>(SUMIFS('MAIN DATA, Orders'!$U:$U,'MAIN DATA, Orders'!$Y:$Y,$A87,'MAIN DATA, Orders'!$D:$D,"Poland",'MAIN DATA, Orders'!$I:$I,"Air defence system")/1000000000)</f>
        <v>0</v>
      </c>
      <c r="D87" s="15">
        <f>(SUMIFS('MAIN DATA, Orders'!$U:$U,'MAIN DATA, Orders'!$Y:$Y,$A87,'MAIN DATA, Orders'!$D:$D,"Poland",'MAIN DATA, Orders'!$I:$I,"Development - Air defence system")/1000000000)</f>
        <v>0</v>
      </c>
      <c r="E87" s="15">
        <f>(SUMIFS('MAIN DATA, Orders'!$U:$U,'MAIN DATA, Orders'!$Y:$Y,$A87,'MAIN DATA, Orders'!$D:$D,"Poland",'MAIN DATA, Orders'!$I:$I,"Aircraft")/1000000000)</f>
        <v>0</v>
      </c>
      <c r="F87" s="15">
        <f>(SUMIFS('MAIN DATA, Orders'!$U:$U,'MAIN DATA, Orders'!$Y:$Y,$A87,'MAIN DATA, Orders'!$D:$D,"Poland",'MAIN DATA, Orders'!$I:$I,"Development - Aircraft")/1000000000)</f>
        <v>0</v>
      </c>
      <c r="G87" s="15">
        <f>(SUMIFS('MAIN DATA, Orders'!$U:$U,'MAIN DATA, Orders'!$Y:$Y,$A87,'MAIN DATA, Orders'!$D:$D,"Poland",'MAIN DATA, Orders'!$I:$I,"Ammunition")/1000000000)</f>
        <v>0</v>
      </c>
      <c r="H87" s="15">
        <f>(SUMIFS('MAIN DATA, Orders'!$U:$U,'MAIN DATA, Orders'!$Y:$Y,$A87,'MAIN DATA, Orders'!$D:$D,"Poland",'MAIN DATA, Orders'!$I:$I,"Development - Ammunition")/1000000000)</f>
        <v>0</v>
      </c>
      <c r="I87" s="15">
        <f>(SUMIFS('MAIN DATA, Orders'!$U:$U,'MAIN DATA, Orders'!$Y:$Y,$A87,'MAIN DATA, Orders'!$D:$D,"Poland",'MAIN DATA, Orders'!$I:$I,"Armoured vehicle")/1000000000)</f>
        <v>0</v>
      </c>
      <c r="J87" s="15">
        <f>(SUMIFS('MAIN DATA, Orders'!$U:$U,'MAIN DATA, Orders'!$Y:$Y,$A87,'MAIN DATA, Orders'!$D:$D,"Poland",'MAIN DATA, Orders'!$I:$I,"Development - Armoured vehicle")/1000000000)</f>
        <v>0</v>
      </c>
      <c r="K87" s="15">
        <f>(SUMIFS('MAIN DATA, Orders'!$U:$U,'MAIN DATA, Orders'!$Y:$Y,$A87,'MAIN DATA, Orders'!$D:$D,"Poland",'MAIN DATA, Orders'!$I:$I,"Artillery")/1000000000)</f>
        <v>0</v>
      </c>
      <c r="L87" s="15">
        <f>(SUMIFS('MAIN DATA, Orders'!$U:$U,'MAIN DATA, Orders'!$Y:$Y,$A87,'MAIN DATA, Orders'!$D:$D,"Poland",'MAIN DATA, Orders'!$I:$I,"Development - Artillery")/1000000000)</f>
        <v>0</v>
      </c>
      <c r="M87" s="15">
        <f>(SUMIFS('MAIN DATA, Orders'!$U:$U,'MAIN DATA, Orders'!$Y:$Y,$A87,'MAIN DATA, Orders'!$D:$D,"Poland",'MAIN DATA, Orders'!$I:$I,"Drone")/1000000000)</f>
        <v>0</v>
      </c>
      <c r="N87" s="15">
        <f>(SUMIFS('MAIN DATA, Orders'!$U:$U,'MAIN DATA, Orders'!$Y:$Y,$A87,'MAIN DATA, Orders'!$D:$D,"Poland",'MAIN DATA, Orders'!$I:$I,"Development - Drone")/1000000000)</f>
        <v>0</v>
      </c>
      <c r="O87" s="15">
        <f>(SUMIFS('MAIN DATA, Orders'!$U:$U,'MAIN DATA, Orders'!$Y:$Y,$A87,'MAIN DATA, Orders'!$D:$D,"Poland",'MAIN DATA, Orders'!$I:$I,"Helicopter")/1000000000)</f>
        <v>0</v>
      </c>
      <c r="P87" s="15">
        <f>(SUMIFS('MAIN DATA, Orders'!$U:$U,'MAIN DATA, Orders'!$Y:$Y,$A87,'MAIN DATA, Orders'!$D:$D,"Poland",'MAIN DATA, Orders'!$I:$I,"Development - Helicopter")/1000000000)</f>
        <v>0</v>
      </c>
      <c r="Q87" s="15">
        <f>(SUMIFS('MAIN DATA, Orders'!$U:$U,'MAIN DATA, Orders'!$Y:$Y,$A87,'MAIN DATA, Orders'!$D:$D,"Poland",'MAIN DATA, Orders'!$I:$I,"Infantry")/1000000000)</f>
        <v>0</v>
      </c>
      <c r="R87" s="15">
        <f>(SUMIFS('MAIN DATA, Orders'!$U:$U,'MAIN DATA, Orders'!$Y:$Y,$A87,'MAIN DATA, Orders'!$D:$D,"Poland",'MAIN DATA, Orders'!$I:$I,"Development - Infantry")/1000000000)</f>
        <v>0</v>
      </c>
      <c r="S87" s="15">
        <f>(SUMIFS('MAIN DATA, Orders'!$U:$U,'MAIN DATA, Orders'!$Y:$Y,$A87,'MAIN DATA, Orders'!$D:$D,"Poland",'MAIN DATA, Orders'!$I:$I,"Tank")/1000000000)</f>
        <v>0</v>
      </c>
      <c r="T87" s="15">
        <f>(SUMIFS('MAIN DATA, Orders'!$U:$U,'MAIN DATA, Orders'!$Y:$Y,$A87,'MAIN DATA, Orders'!$D:$D,"Poland",'MAIN DATA, Orders'!$I:$I,"Development - Tank")/1000000000)</f>
        <v>0</v>
      </c>
      <c r="U87" s="15">
        <f>(SUMIFS('MAIN DATA, Orders'!$U:$U,'MAIN DATA, Orders'!$Y:$Y,$A87,'MAIN DATA, Orders'!$D:$D,"Poland",'MAIN DATA, Orders'!$I:$I,"Maintenance")/1000000000)</f>
        <v>0</v>
      </c>
      <c r="V87" s="15">
        <f>(SUMIFS('MAIN DATA, Orders'!$U:$U,'MAIN DATA, Orders'!$Y:$Y,$A87,'MAIN DATA, Orders'!$D:$D,"Poland",'MAIN DATA, Orders'!$I:$I,"Development - Maintenance")/1000000000)</f>
        <v>0</v>
      </c>
      <c r="W87" s="15">
        <f>(SUMIFS('MAIN DATA, Orders'!$U:$U,'MAIN DATA, Orders'!$Y:$Y,$A87,'MAIN DATA, Orders'!$D:$D,"Poland",'MAIN DATA, Orders'!$I:$I,"Mine")/1000000000)</f>
        <v>0</v>
      </c>
      <c r="X87" s="15">
        <f>(SUMIFS('MAIN DATA, Orders'!$U:$U,'MAIN DATA, Orders'!$Y:$Y,$A87,'MAIN DATA, Orders'!$D:$D,"Poland",'MAIN DATA, Orders'!$I:$I,"Development - Mine")/1000000000)</f>
        <v>0</v>
      </c>
      <c r="Y87" s="15">
        <f>(SUMIFS('MAIN DATA, Orders'!$U:$U,'MAIN DATA, Orders'!$Y:$Y,$A87,'MAIN DATA, Orders'!$D:$D,"Poland",'MAIN DATA, Orders'!$J:$J,"6")/1000000000)</f>
        <v>0</v>
      </c>
      <c r="Z87" s="15" cm="1">
        <f t="array" ref="Z87">SUM(SUMIFS('MAIN DATA, Orders'!$U:$U,'MAIN DATA, Orders'!$Y:$Y,$A87,'MAIN DATA, Orders'!$D:$D,"Poland",'MAIN DATA, Orders'!$I:$I,{"Development - Missile (Land)","Development - Missile (Naval)","Development - Missile (Air)"})/1000000000)</f>
        <v>0</v>
      </c>
      <c r="AA87" s="15">
        <f>(SUMIFS('MAIN DATA, Orders'!$U:$U,'MAIN DATA, Orders'!$Y:$Y,$A87,'MAIN DATA, Orders'!$D:$D,"Poland",'MAIN DATA, Orders'!$I:$I,"Modernisation")/1000000000)</f>
        <v>1.4128358138547539</v>
      </c>
      <c r="AB87" s="15">
        <f>(SUMIFS('MAIN DATA, Orders'!$U:$U,'MAIN DATA, Orders'!$Y:$Y,$A87,'MAIN DATA, Orders'!$D:$D,"Poland",'MAIN DATA, Orders'!$I:$I,"Development - Modernisation")/1000000000)</f>
        <v>0</v>
      </c>
      <c r="AC87" s="15">
        <f>(SUMIFS('MAIN DATA, Orders'!$U:$U,'MAIN DATA, Orders'!$Y:$Y,$A87,'MAIN DATA, Orders'!$D:$D,"Poland",'MAIN DATA, Orders'!$I:$I,"Naval")/1000000000)</f>
        <v>0</v>
      </c>
      <c r="AD87" s="15">
        <f>(SUMIFS('MAIN DATA, Orders'!$U:$U,'MAIN DATA, Orders'!$Y:$Y,$A87,'MAIN DATA, Orders'!$D:$D,"Poland",'MAIN DATA, Orders'!$I:$I,"Development - Naval")/1000000000)</f>
        <v>0</v>
      </c>
      <c r="AE87" s="15">
        <f>(SUMIFS('MAIN DATA, Orders'!$U:$U,'MAIN DATA, Orders'!$Y:$Y,$A87,'MAIN DATA, Orders'!$D:$D,"Poland",'MAIN DATA, Orders'!$I:$I,"Other")/1000000000)</f>
        <v>0</v>
      </c>
      <c r="AF87" s="15">
        <f>(SUMIFS('MAIN DATA, Orders'!$U:$U,'MAIN DATA, Orders'!$Y:$Y,$A87,'MAIN DATA, Orders'!$D:$D,"Poland",'MAIN DATA, Orders'!$I:$I,"Development - Other")/1000000000)</f>
        <v>0</v>
      </c>
      <c r="AG87" s="15"/>
      <c r="AH87" s="15" cm="1">
        <f t="array" ref="AH87">SUM(SUMIFS('MAIN DATA, Orders'!$U:$U,'MAIN DATA, Orders'!$Y:$Y,$A87,'MAIN DATA, Orders'!$D:$D,"Poland",'MAIN DATA, Orders'!$I:$I,{"Missile (Land)","Development - Missile (Land)"})/1000000000)</f>
        <v>0</v>
      </c>
      <c r="AI87" s="15" cm="1">
        <f t="array" ref="AI87">SUM(SUMIFS('MAIN DATA, Orders'!$U:$U,'MAIN DATA, Orders'!$Y:$Y,$A87,'MAIN DATA, Orders'!$D:$D,"Poland",'MAIN DATA, Orders'!$I:$I,{"Missile (Air)","Development - Missile (Air)"})/1000000000)</f>
        <v>0</v>
      </c>
      <c r="AJ87" s="15" cm="1">
        <f t="array" ref="AJ87">SUM(SUMIFS('MAIN DATA, Orders'!$U:$U,'MAIN DATA, Orders'!$Y:$Y,$A87,'MAIN DATA, Orders'!$D:$D,"Poland",'MAIN DATA, Orders'!$I:$I,{"Missile (Naval)","Development - Missile (Naval)"})/1000000000)</f>
        <v>0</v>
      </c>
    </row>
    <row r="88" spans="1:36" x14ac:dyDescent="0.35">
      <c r="A88" s="20">
        <v>202510</v>
      </c>
      <c r="B88" s="17">
        <v>45931</v>
      </c>
      <c r="C88" s="15">
        <f>(SUMIFS('MAIN DATA, Orders'!$U:$U,'MAIN DATA, Orders'!$Y:$Y,$A88,'MAIN DATA, Orders'!$D:$D,"Poland",'MAIN DATA, Orders'!$I:$I,"Air defence system")/1000000000)</f>
        <v>0</v>
      </c>
      <c r="D88" s="15">
        <f>(SUMIFS('MAIN DATA, Orders'!$U:$U,'MAIN DATA, Orders'!$Y:$Y,$A88,'MAIN DATA, Orders'!$D:$D,"Poland",'MAIN DATA, Orders'!$I:$I,"Development - Air defence system")/1000000000)</f>
        <v>0</v>
      </c>
      <c r="E88" s="15">
        <f>(SUMIFS('MAIN DATA, Orders'!$U:$U,'MAIN DATA, Orders'!$Y:$Y,$A88,'MAIN DATA, Orders'!$D:$D,"Poland",'MAIN DATA, Orders'!$I:$I,"Aircraft")/1000000000)</f>
        <v>0</v>
      </c>
      <c r="F88" s="15">
        <f>(SUMIFS('MAIN DATA, Orders'!$U:$U,'MAIN DATA, Orders'!$Y:$Y,$A88,'MAIN DATA, Orders'!$D:$D,"Poland",'MAIN DATA, Orders'!$I:$I,"Development - Aircraft")/1000000000)</f>
        <v>0</v>
      </c>
      <c r="G88" s="15">
        <f>(SUMIFS('MAIN DATA, Orders'!$U:$U,'MAIN DATA, Orders'!$Y:$Y,$A88,'MAIN DATA, Orders'!$D:$D,"Poland",'MAIN DATA, Orders'!$I:$I,"Ammunition")/1000000000)</f>
        <v>0</v>
      </c>
      <c r="H88" s="15">
        <f>(SUMIFS('MAIN DATA, Orders'!$U:$U,'MAIN DATA, Orders'!$Y:$Y,$A88,'MAIN DATA, Orders'!$D:$D,"Poland",'MAIN DATA, Orders'!$I:$I,"Development - Ammunition")/1000000000)</f>
        <v>0</v>
      </c>
      <c r="I88" s="15">
        <f>(SUMIFS('MAIN DATA, Orders'!$U:$U,'MAIN DATA, Orders'!$Y:$Y,$A88,'MAIN DATA, Orders'!$D:$D,"Poland",'MAIN DATA, Orders'!$I:$I,"Armoured vehicle")/1000000000)</f>
        <v>0</v>
      </c>
      <c r="J88" s="15">
        <f>(SUMIFS('MAIN DATA, Orders'!$U:$U,'MAIN DATA, Orders'!$Y:$Y,$A88,'MAIN DATA, Orders'!$D:$D,"Poland",'MAIN DATA, Orders'!$I:$I,"Development - Armoured vehicle")/1000000000)</f>
        <v>0</v>
      </c>
      <c r="K88" s="15">
        <f>(SUMIFS('MAIN DATA, Orders'!$U:$U,'MAIN DATA, Orders'!$Y:$Y,$A88,'MAIN DATA, Orders'!$D:$D,"Poland",'MAIN DATA, Orders'!$I:$I,"Artillery")/1000000000)</f>
        <v>0</v>
      </c>
      <c r="L88" s="15">
        <f>(SUMIFS('MAIN DATA, Orders'!$U:$U,'MAIN DATA, Orders'!$Y:$Y,$A88,'MAIN DATA, Orders'!$D:$D,"Poland",'MAIN DATA, Orders'!$I:$I,"Development - Artillery")/1000000000)</f>
        <v>0</v>
      </c>
      <c r="M88" s="15">
        <f>(SUMIFS('MAIN DATA, Orders'!$U:$U,'MAIN DATA, Orders'!$Y:$Y,$A88,'MAIN DATA, Orders'!$D:$D,"Poland",'MAIN DATA, Orders'!$I:$I,"Drone")/1000000000)</f>
        <v>0</v>
      </c>
      <c r="N88" s="15">
        <f>(SUMIFS('MAIN DATA, Orders'!$U:$U,'MAIN DATA, Orders'!$Y:$Y,$A88,'MAIN DATA, Orders'!$D:$D,"Poland",'MAIN DATA, Orders'!$I:$I,"Development - Drone")/1000000000)</f>
        <v>0</v>
      </c>
      <c r="O88" s="15">
        <f>(SUMIFS('MAIN DATA, Orders'!$U:$U,'MAIN DATA, Orders'!$Y:$Y,$A88,'MAIN DATA, Orders'!$D:$D,"Poland",'MAIN DATA, Orders'!$I:$I,"Helicopter")/1000000000)</f>
        <v>0</v>
      </c>
      <c r="P88" s="15">
        <f>(SUMIFS('MAIN DATA, Orders'!$U:$U,'MAIN DATA, Orders'!$Y:$Y,$A88,'MAIN DATA, Orders'!$D:$D,"Poland",'MAIN DATA, Orders'!$I:$I,"Development - Helicopter")/1000000000)</f>
        <v>0</v>
      </c>
      <c r="Q88" s="15">
        <f>(SUMIFS('MAIN DATA, Orders'!$U:$U,'MAIN DATA, Orders'!$Y:$Y,$A88,'MAIN DATA, Orders'!$D:$D,"Poland",'MAIN DATA, Orders'!$I:$I,"Infantry")/1000000000)</f>
        <v>0</v>
      </c>
      <c r="R88" s="15">
        <f>(SUMIFS('MAIN DATA, Orders'!$U:$U,'MAIN DATA, Orders'!$Y:$Y,$A88,'MAIN DATA, Orders'!$D:$D,"Poland",'MAIN DATA, Orders'!$I:$I,"Development - Infantry")/1000000000)</f>
        <v>0</v>
      </c>
      <c r="S88" s="15">
        <f>(SUMIFS('MAIN DATA, Orders'!$U:$U,'MAIN DATA, Orders'!$Y:$Y,$A88,'MAIN DATA, Orders'!$D:$D,"Poland",'MAIN DATA, Orders'!$I:$I,"Tank")/1000000000)</f>
        <v>0</v>
      </c>
      <c r="T88" s="15">
        <f>(SUMIFS('MAIN DATA, Orders'!$U:$U,'MAIN DATA, Orders'!$Y:$Y,$A88,'MAIN DATA, Orders'!$D:$D,"Poland",'MAIN DATA, Orders'!$I:$I,"Development - Tank")/1000000000)</f>
        <v>0</v>
      </c>
      <c r="U88" s="15">
        <f>(SUMIFS('MAIN DATA, Orders'!$U:$U,'MAIN DATA, Orders'!$Y:$Y,$A88,'MAIN DATA, Orders'!$D:$D,"Poland",'MAIN DATA, Orders'!$I:$I,"Maintenance")/1000000000)</f>
        <v>0</v>
      </c>
      <c r="V88" s="15">
        <f>(SUMIFS('MAIN DATA, Orders'!$U:$U,'MAIN DATA, Orders'!$Y:$Y,$A88,'MAIN DATA, Orders'!$D:$D,"Poland",'MAIN DATA, Orders'!$I:$I,"Development - Maintenance")/1000000000)</f>
        <v>0</v>
      </c>
      <c r="W88" s="15">
        <f>(SUMIFS('MAIN DATA, Orders'!$U:$U,'MAIN DATA, Orders'!$Y:$Y,$A88,'MAIN DATA, Orders'!$D:$D,"Poland",'MAIN DATA, Orders'!$I:$I,"Mine")/1000000000)</f>
        <v>0</v>
      </c>
      <c r="X88" s="15">
        <f>(SUMIFS('MAIN DATA, Orders'!$U:$U,'MAIN DATA, Orders'!$Y:$Y,$A88,'MAIN DATA, Orders'!$D:$D,"Poland",'MAIN DATA, Orders'!$I:$I,"Development - Mine")/1000000000)</f>
        <v>0</v>
      </c>
      <c r="Y88" s="15">
        <f>(SUMIFS('MAIN DATA, Orders'!$U:$U,'MAIN DATA, Orders'!$Y:$Y,$A88,'MAIN DATA, Orders'!$D:$D,"Poland",'MAIN DATA, Orders'!$J:$J,"6")/1000000000)</f>
        <v>0</v>
      </c>
      <c r="Z88" s="15" cm="1">
        <f t="array" ref="Z88">SUM(SUMIFS('MAIN DATA, Orders'!$U:$U,'MAIN DATA, Orders'!$Y:$Y,$A88,'MAIN DATA, Orders'!$D:$D,"Poland",'MAIN DATA, Orders'!$I:$I,{"Development - Missile (Land)","Development - Missile (Naval)","Development - Missile (Air)"})/1000000000)</f>
        <v>0</v>
      </c>
      <c r="AA88" s="15">
        <f>(SUMIFS('MAIN DATA, Orders'!$U:$U,'MAIN DATA, Orders'!$Y:$Y,$A88,'MAIN DATA, Orders'!$D:$D,"Poland",'MAIN DATA, Orders'!$I:$I,"Modernisation")/1000000000)</f>
        <v>0</v>
      </c>
      <c r="AB88" s="15">
        <f>(SUMIFS('MAIN DATA, Orders'!$U:$U,'MAIN DATA, Orders'!$Y:$Y,$A88,'MAIN DATA, Orders'!$D:$D,"Poland",'MAIN DATA, Orders'!$I:$I,"Development - Modernisation")/1000000000)</f>
        <v>0</v>
      </c>
      <c r="AC88" s="15">
        <f>(SUMIFS('MAIN DATA, Orders'!$U:$U,'MAIN DATA, Orders'!$Y:$Y,$A88,'MAIN DATA, Orders'!$D:$D,"Poland",'MAIN DATA, Orders'!$I:$I,"Naval")/1000000000)</f>
        <v>0</v>
      </c>
      <c r="AD88" s="15">
        <f>(SUMIFS('MAIN DATA, Orders'!$U:$U,'MAIN DATA, Orders'!$Y:$Y,$A88,'MAIN DATA, Orders'!$D:$D,"Poland",'MAIN DATA, Orders'!$I:$I,"Development - Naval")/1000000000)</f>
        <v>0</v>
      </c>
      <c r="AE88" s="15">
        <f>(SUMIFS('MAIN DATA, Orders'!$U:$U,'MAIN DATA, Orders'!$Y:$Y,$A88,'MAIN DATA, Orders'!$D:$D,"Poland",'MAIN DATA, Orders'!$I:$I,"Other")/1000000000)</f>
        <v>4.7173149043564404</v>
      </c>
      <c r="AF88" s="15">
        <f>(SUMIFS('MAIN DATA, Orders'!$U:$U,'MAIN DATA, Orders'!$Y:$Y,$A88,'MAIN DATA, Orders'!$D:$D,"Poland",'MAIN DATA, Orders'!$I:$I,"Development - Other")/1000000000)</f>
        <v>0</v>
      </c>
      <c r="AG88" s="15"/>
      <c r="AH88" s="15" cm="1">
        <f t="array" ref="AH88">SUM(SUMIFS('MAIN DATA, Orders'!$U:$U,'MAIN DATA, Orders'!$Y:$Y,$A88,'MAIN DATA, Orders'!$D:$D,"Poland",'MAIN DATA, Orders'!$I:$I,{"Missile (Land)","Development - Missile (Land)"})/1000000000)</f>
        <v>0</v>
      </c>
      <c r="AI88" s="15" cm="1">
        <f t="array" ref="AI88">SUM(SUMIFS('MAIN DATA, Orders'!$U:$U,'MAIN DATA, Orders'!$Y:$Y,$A88,'MAIN DATA, Orders'!$D:$D,"Poland",'MAIN DATA, Orders'!$I:$I,{"Missile (Air)","Development - Missile (Air)"})/1000000000)</f>
        <v>0</v>
      </c>
      <c r="AJ88" s="15" cm="1">
        <f t="array" ref="AJ88">SUM(SUMIFS('MAIN DATA, Orders'!$U:$U,'MAIN DATA, Orders'!$Y:$Y,$A88,'MAIN DATA, Orders'!$D:$D,"Poland",'MAIN DATA, Orders'!$I:$I,{"Missile (Naval)","Development - Missile (Naval)"})/1000000000)</f>
        <v>0</v>
      </c>
    </row>
    <row r="89" spans="1:36" x14ac:dyDescent="0.35">
      <c r="A89" s="20">
        <v>202511</v>
      </c>
      <c r="B89" s="17">
        <v>45962</v>
      </c>
      <c r="C89" s="15">
        <f>(SUMIFS('MAIN DATA, Orders'!$U:$U,'MAIN DATA, Orders'!$Y:$Y,$A89,'MAIN DATA, Orders'!$D:$D,"Poland",'MAIN DATA, Orders'!$I:$I,"Air defence system")/1000000000)</f>
        <v>0</v>
      </c>
      <c r="D89" s="15">
        <f>(SUMIFS('MAIN DATA, Orders'!$U:$U,'MAIN DATA, Orders'!$Y:$Y,$A89,'MAIN DATA, Orders'!$D:$D,"Poland",'MAIN DATA, Orders'!$I:$I,"Development - Air defence system")/1000000000)</f>
        <v>0</v>
      </c>
      <c r="E89" s="15">
        <f>(SUMIFS('MAIN DATA, Orders'!$U:$U,'MAIN DATA, Orders'!$Y:$Y,$A89,'MAIN DATA, Orders'!$D:$D,"Poland",'MAIN DATA, Orders'!$I:$I,"Aircraft")/1000000000)</f>
        <v>0</v>
      </c>
      <c r="F89" s="15">
        <f>(SUMIFS('MAIN DATA, Orders'!$U:$U,'MAIN DATA, Orders'!$Y:$Y,$A89,'MAIN DATA, Orders'!$D:$D,"Poland",'MAIN DATA, Orders'!$I:$I,"Development - Aircraft")/1000000000)</f>
        <v>0</v>
      </c>
      <c r="G89" s="15">
        <f>(SUMIFS('MAIN DATA, Orders'!$U:$U,'MAIN DATA, Orders'!$Y:$Y,$A89,'MAIN DATA, Orders'!$D:$D,"Poland",'MAIN DATA, Orders'!$I:$I,"Ammunition")/1000000000)</f>
        <v>0</v>
      </c>
      <c r="H89" s="15">
        <f>(SUMIFS('MAIN DATA, Orders'!$U:$U,'MAIN DATA, Orders'!$Y:$Y,$A89,'MAIN DATA, Orders'!$D:$D,"Poland",'MAIN DATA, Orders'!$I:$I,"Development - Ammunition")/1000000000)</f>
        <v>0</v>
      </c>
      <c r="I89" s="15">
        <f>(SUMIFS('MAIN DATA, Orders'!$U:$U,'MAIN DATA, Orders'!$Y:$Y,$A89,'MAIN DATA, Orders'!$D:$D,"Poland",'MAIN DATA, Orders'!$I:$I,"Armoured vehicle")/1000000000)</f>
        <v>0</v>
      </c>
      <c r="J89" s="15">
        <f>(SUMIFS('MAIN DATA, Orders'!$U:$U,'MAIN DATA, Orders'!$Y:$Y,$A89,'MAIN DATA, Orders'!$D:$D,"Poland",'MAIN DATA, Orders'!$I:$I,"Development - Armoured vehicle")/1000000000)</f>
        <v>0</v>
      </c>
      <c r="K89" s="15">
        <f>(SUMIFS('MAIN DATA, Orders'!$U:$U,'MAIN DATA, Orders'!$Y:$Y,$A89,'MAIN DATA, Orders'!$D:$D,"Poland",'MAIN DATA, Orders'!$I:$I,"Artillery")/1000000000)</f>
        <v>0</v>
      </c>
      <c r="L89" s="15">
        <f>(SUMIFS('MAIN DATA, Orders'!$U:$U,'MAIN DATA, Orders'!$Y:$Y,$A89,'MAIN DATA, Orders'!$D:$D,"Poland",'MAIN DATA, Orders'!$I:$I,"Development - Artillery")/1000000000)</f>
        <v>0</v>
      </c>
      <c r="M89" s="15">
        <f>(SUMIFS('MAIN DATA, Orders'!$U:$U,'MAIN DATA, Orders'!$Y:$Y,$A89,'MAIN DATA, Orders'!$D:$D,"Poland",'MAIN DATA, Orders'!$I:$I,"Drone")/1000000000)</f>
        <v>0</v>
      </c>
      <c r="N89" s="15">
        <f>(SUMIFS('MAIN DATA, Orders'!$U:$U,'MAIN DATA, Orders'!$Y:$Y,$A89,'MAIN DATA, Orders'!$D:$D,"Poland",'MAIN DATA, Orders'!$I:$I,"Development - Drone")/1000000000)</f>
        <v>0</v>
      </c>
      <c r="O89" s="15">
        <f>(SUMIFS('MAIN DATA, Orders'!$U:$U,'MAIN DATA, Orders'!$Y:$Y,$A89,'MAIN DATA, Orders'!$D:$D,"Poland",'MAIN DATA, Orders'!$I:$I,"Helicopter")/1000000000)</f>
        <v>0</v>
      </c>
      <c r="P89" s="15">
        <f>(SUMIFS('MAIN DATA, Orders'!$U:$U,'MAIN DATA, Orders'!$Y:$Y,$A89,'MAIN DATA, Orders'!$D:$D,"Poland",'MAIN DATA, Orders'!$I:$I,"Development - Helicopter")/1000000000)</f>
        <v>0</v>
      </c>
      <c r="Q89" s="15">
        <f>(SUMIFS('MAIN DATA, Orders'!$U:$U,'MAIN DATA, Orders'!$Y:$Y,$A89,'MAIN DATA, Orders'!$D:$D,"Poland",'MAIN DATA, Orders'!$I:$I,"Infantry")/1000000000)</f>
        <v>0</v>
      </c>
      <c r="R89" s="15">
        <f>(SUMIFS('MAIN DATA, Orders'!$U:$U,'MAIN DATA, Orders'!$Y:$Y,$A89,'MAIN DATA, Orders'!$D:$D,"Poland",'MAIN DATA, Orders'!$I:$I,"Development - Infantry")/1000000000)</f>
        <v>0</v>
      </c>
      <c r="S89" s="15">
        <f>(SUMIFS('MAIN DATA, Orders'!$U:$U,'MAIN DATA, Orders'!$Y:$Y,$A89,'MAIN DATA, Orders'!$D:$D,"Poland",'MAIN DATA, Orders'!$I:$I,"Tank")/1000000000)</f>
        <v>0</v>
      </c>
      <c r="T89" s="15">
        <f>(SUMIFS('MAIN DATA, Orders'!$U:$U,'MAIN DATA, Orders'!$Y:$Y,$A89,'MAIN DATA, Orders'!$D:$D,"Poland",'MAIN DATA, Orders'!$I:$I,"Development - Tank")/1000000000)</f>
        <v>0</v>
      </c>
      <c r="U89" s="15">
        <f>(SUMIFS('MAIN DATA, Orders'!$U:$U,'MAIN DATA, Orders'!$Y:$Y,$A89,'MAIN DATA, Orders'!$D:$D,"Poland",'MAIN DATA, Orders'!$I:$I,"Maintenance")/1000000000)</f>
        <v>0</v>
      </c>
      <c r="V89" s="15">
        <f>(SUMIFS('MAIN DATA, Orders'!$U:$U,'MAIN DATA, Orders'!$Y:$Y,$A89,'MAIN DATA, Orders'!$D:$D,"Poland",'MAIN DATA, Orders'!$I:$I,"Development - Maintenance")/1000000000)</f>
        <v>0</v>
      </c>
      <c r="W89" s="15">
        <f>(SUMIFS('MAIN DATA, Orders'!$U:$U,'MAIN DATA, Orders'!$Y:$Y,$A89,'MAIN DATA, Orders'!$D:$D,"Poland",'MAIN DATA, Orders'!$I:$I,"Mine")/1000000000)</f>
        <v>0</v>
      </c>
      <c r="X89" s="15">
        <f>(SUMIFS('MAIN DATA, Orders'!$U:$U,'MAIN DATA, Orders'!$Y:$Y,$A89,'MAIN DATA, Orders'!$D:$D,"Poland",'MAIN DATA, Orders'!$I:$I,"Development - Mine")/1000000000)</f>
        <v>0</v>
      </c>
      <c r="Y89" s="15">
        <f>(SUMIFS('MAIN DATA, Orders'!$U:$U,'MAIN DATA, Orders'!$Y:$Y,$A89,'MAIN DATA, Orders'!$D:$D,"Poland",'MAIN DATA, Orders'!$J:$J,"6")/1000000000)</f>
        <v>0.44247787610619471</v>
      </c>
      <c r="Z89" s="15" cm="1">
        <f t="array" ref="Z89">SUM(SUMIFS('MAIN DATA, Orders'!$U:$U,'MAIN DATA, Orders'!$Y:$Y,$A89,'MAIN DATA, Orders'!$D:$D,"Poland",'MAIN DATA, Orders'!$I:$I,{"Development - Missile (Land)","Development - Missile (Naval)","Development - Missile (Air)"})/1000000000)</f>
        <v>0</v>
      </c>
      <c r="AA89" s="15">
        <f>(SUMIFS('MAIN DATA, Orders'!$U:$U,'MAIN DATA, Orders'!$Y:$Y,$A89,'MAIN DATA, Orders'!$D:$D,"Poland",'MAIN DATA, Orders'!$I:$I,"Modernisation")/1000000000)</f>
        <v>0</v>
      </c>
      <c r="AB89" s="15">
        <f>(SUMIFS('MAIN DATA, Orders'!$U:$U,'MAIN DATA, Orders'!$Y:$Y,$A89,'MAIN DATA, Orders'!$D:$D,"Poland",'MAIN DATA, Orders'!$I:$I,"Development - Modernisation")/1000000000)</f>
        <v>0</v>
      </c>
      <c r="AC89" s="15">
        <f>(SUMIFS('MAIN DATA, Orders'!$U:$U,'MAIN DATA, Orders'!$Y:$Y,$A89,'MAIN DATA, Orders'!$D:$D,"Poland",'MAIN DATA, Orders'!$I:$I,"Naval")/1000000000)</f>
        <v>2.3586574521782202</v>
      </c>
      <c r="AD89" s="15">
        <f>(SUMIFS('MAIN DATA, Orders'!$U:$U,'MAIN DATA, Orders'!$Y:$Y,$A89,'MAIN DATA, Orders'!$D:$D,"Poland",'MAIN DATA, Orders'!$I:$I,"Development - Naval")/1000000000)</f>
        <v>0</v>
      </c>
      <c r="AE89" s="15">
        <f>(SUMIFS('MAIN DATA, Orders'!$U:$U,'MAIN DATA, Orders'!$Y:$Y,$A89,'MAIN DATA, Orders'!$D:$D,"Poland",'MAIN DATA, Orders'!$I:$I,"Other")/1000000000)</f>
        <v>0</v>
      </c>
      <c r="AF89" s="15">
        <f>(SUMIFS('MAIN DATA, Orders'!$U:$U,'MAIN DATA, Orders'!$Y:$Y,$A89,'MAIN DATA, Orders'!$D:$D,"Poland",'MAIN DATA, Orders'!$I:$I,"Development - Other")/1000000000)</f>
        <v>0</v>
      </c>
      <c r="AG89" s="15"/>
      <c r="AH89" s="15" cm="1">
        <f t="array" ref="AH89">SUM(SUMIFS('MAIN DATA, Orders'!$U:$U,'MAIN DATA, Orders'!$Y:$Y,$A89,'MAIN DATA, Orders'!$D:$D,"Poland",'MAIN DATA, Orders'!$I:$I,{"Missile (Land)","Development - Missile (Land)"})/1000000000)</f>
        <v>0</v>
      </c>
      <c r="AI89" s="15" cm="1">
        <f t="array" ref="AI89">SUM(SUMIFS('MAIN DATA, Orders'!$U:$U,'MAIN DATA, Orders'!$Y:$Y,$A89,'MAIN DATA, Orders'!$D:$D,"Poland",'MAIN DATA, Orders'!$I:$I,{"Missile (Air)","Development - Missile (Air)"})/1000000000)</f>
        <v>0.44247787610619471</v>
      </c>
      <c r="AJ89" s="15" cm="1">
        <f t="array" ref="AJ89">SUM(SUMIFS('MAIN DATA, Orders'!$U:$U,'MAIN DATA, Orders'!$Y:$Y,$A89,'MAIN DATA, Orders'!$D:$D,"Poland",'MAIN DATA, Orders'!$I:$I,{"Missile (Naval)","Development - Missile (Naval)"})/1000000000)</f>
        <v>0</v>
      </c>
    </row>
    <row r="90" spans="1:36" x14ac:dyDescent="0.35">
      <c r="A90" s="20">
        <v>202512</v>
      </c>
      <c r="B90" s="17">
        <v>45992</v>
      </c>
      <c r="C90" s="15">
        <f>(SUMIFS('MAIN DATA, Orders'!$U:$U,'MAIN DATA, Orders'!$Y:$Y,$A90,'MAIN DATA, Orders'!$D:$D,"Poland",'MAIN DATA, Orders'!$I:$I,"Air defence system")/1000000000)</f>
        <v>0</v>
      </c>
      <c r="D90" s="15">
        <f>(SUMIFS('MAIN DATA, Orders'!$U:$U,'MAIN DATA, Orders'!$Y:$Y,$A90,'MAIN DATA, Orders'!$D:$D,"Poland",'MAIN DATA, Orders'!$I:$I,"Development - Air defence system")/1000000000)</f>
        <v>0</v>
      </c>
      <c r="E90" s="15">
        <f>(SUMIFS('MAIN DATA, Orders'!$U:$U,'MAIN DATA, Orders'!$Y:$Y,$A90,'MAIN DATA, Orders'!$D:$D,"Poland",'MAIN DATA, Orders'!$I:$I,"Aircraft")/1000000000)</f>
        <v>0</v>
      </c>
      <c r="F90" s="15">
        <f>(SUMIFS('MAIN DATA, Orders'!$U:$U,'MAIN DATA, Orders'!$Y:$Y,$A90,'MAIN DATA, Orders'!$D:$D,"Poland",'MAIN DATA, Orders'!$I:$I,"Development - Aircraft")/1000000000)</f>
        <v>0</v>
      </c>
      <c r="G90" s="15">
        <f>(SUMIFS('MAIN DATA, Orders'!$U:$U,'MAIN DATA, Orders'!$Y:$Y,$A90,'MAIN DATA, Orders'!$D:$D,"Poland",'MAIN DATA, Orders'!$I:$I,"Ammunition")/1000000000)</f>
        <v>0</v>
      </c>
      <c r="H90" s="15">
        <f>(SUMIFS('MAIN DATA, Orders'!$U:$U,'MAIN DATA, Orders'!$Y:$Y,$A90,'MAIN DATA, Orders'!$D:$D,"Poland",'MAIN DATA, Orders'!$I:$I,"Development - Ammunition")/1000000000)</f>
        <v>0</v>
      </c>
      <c r="I90" s="15">
        <f>(SUMIFS('MAIN DATA, Orders'!$U:$U,'MAIN DATA, Orders'!$Y:$Y,$A90,'MAIN DATA, Orders'!$D:$D,"Poland",'MAIN DATA, Orders'!$I:$I,"Armoured vehicle")/1000000000)</f>
        <v>0</v>
      </c>
      <c r="J90" s="15">
        <f>(SUMIFS('MAIN DATA, Orders'!$U:$U,'MAIN DATA, Orders'!$Y:$Y,$A90,'MAIN DATA, Orders'!$D:$D,"Poland",'MAIN DATA, Orders'!$I:$I,"Development - Armoured vehicle")/1000000000)</f>
        <v>0</v>
      </c>
      <c r="K90" s="15">
        <f>(SUMIFS('MAIN DATA, Orders'!$U:$U,'MAIN DATA, Orders'!$Y:$Y,$A90,'MAIN DATA, Orders'!$D:$D,"Poland",'MAIN DATA, Orders'!$I:$I,"Artillery")/1000000000)</f>
        <v>0</v>
      </c>
      <c r="L90" s="15">
        <f>(SUMIFS('MAIN DATA, Orders'!$U:$U,'MAIN DATA, Orders'!$Y:$Y,$A90,'MAIN DATA, Orders'!$D:$D,"Poland",'MAIN DATA, Orders'!$I:$I,"Development - Artillery")/1000000000)</f>
        <v>0</v>
      </c>
      <c r="M90" s="15">
        <f>(SUMIFS('MAIN DATA, Orders'!$U:$U,'MAIN DATA, Orders'!$Y:$Y,$A90,'MAIN DATA, Orders'!$D:$D,"Poland",'MAIN DATA, Orders'!$I:$I,"Drone")/1000000000)</f>
        <v>0</v>
      </c>
      <c r="N90" s="15">
        <f>(SUMIFS('MAIN DATA, Orders'!$U:$U,'MAIN DATA, Orders'!$Y:$Y,$A90,'MAIN DATA, Orders'!$D:$D,"Poland",'MAIN DATA, Orders'!$I:$I,"Development - Drone")/1000000000)</f>
        <v>0</v>
      </c>
      <c r="O90" s="15">
        <f>(SUMIFS('MAIN DATA, Orders'!$U:$U,'MAIN DATA, Orders'!$Y:$Y,$A90,'MAIN DATA, Orders'!$D:$D,"Poland",'MAIN DATA, Orders'!$I:$I,"Helicopter")/1000000000)</f>
        <v>0</v>
      </c>
      <c r="P90" s="15">
        <f>(SUMIFS('MAIN DATA, Orders'!$U:$U,'MAIN DATA, Orders'!$Y:$Y,$A90,'MAIN DATA, Orders'!$D:$D,"Poland",'MAIN DATA, Orders'!$I:$I,"Development - Helicopter")/1000000000)</f>
        <v>0</v>
      </c>
      <c r="Q90" s="15">
        <f>(SUMIFS('MAIN DATA, Orders'!$U:$U,'MAIN DATA, Orders'!$Y:$Y,$A90,'MAIN DATA, Orders'!$D:$D,"Poland",'MAIN DATA, Orders'!$I:$I,"Infantry")/1000000000)</f>
        <v>0</v>
      </c>
      <c r="R90" s="15">
        <f>(SUMIFS('MAIN DATA, Orders'!$U:$U,'MAIN DATA, Orders'!$Y:$Y,$A90,'MAIN DATA, Orders'!$D:$D,"Poland",'MAIN DATA, Orders'!$I:$I,"Development - Infantry")/1000000000)</f>
        <v>0</v>
      </c>
      <c r="S90" s="15">
        <f>(SUMIFS('MAIN DATA, Orders'!$U:$U,'MAIN DATA, Orders'!$Y:$Y,$A90,'MAIN DATA, Orders'!$D:$D,"Poland",'MAIN DATA, Orders'!$I:$I,"Tank")/1000000000)</f>
        <v>0</v>
      </c>
      <c r="T90" s="15">
        <f>(SUMIFS('MAIN DATA, Orders'!$U:$U,'MAIN DATA, Orders'!$Y:$Y,$A90,'MAIN DATA, Orders'!$D:$D,"Poland",'MAIN DATA, Orders'!$I:$I,"Development - Tank")/1000000000)</f>
        <v>0</v>
      </c>
      <c r="U90" s="15">
        <f>(SUMIFS('MAIN DATA, Orders'!$U:$U,'MAIN DATA, Orders'!$Y:$Y,$A90,'MAIN DATA, Orders'!$D:$D,"Poland",'MAIN DATA, Orders'!$I:$I,"Maintenance")/1000000000)</f>
        <v>0</v>
      </c>
      <c r="V90" s="15">
        <f>(SUMIFS('MAIN DATA, Orders'!$U:$U,'MAIN DATA, Orders'!$Y:$Y,$A90,'MAIN DATA, Orders'!$D:$D,"Poland",'MAIN DATA, Orders'!$I:$I,"Development - Maintenance")/1000000000)</f>
        <v>0</v>
      </c>
      <c r="W90" s="15">
        <f>(SUMIFS('MAIN DATA, Orders'!$U:$U,'MAIN DATA, Orders'!$Y:$Y,$A90,'MAIN DATA, Orders'!$D:$D,"Poland",'MAIN DATA, Orders'!$I:$I,"Mine")/1000000000)</f>
        <v>0</v>
      </c>
      <c r="X90" s="15">
        <f>(SUMIFS('MAIN DATA, Orders'!$U:$U,'MAIN DATA, Orders'!$Y:$Y,$A90,'MAIN DATA, Orders'!$D:$D,"Poland",'MAIN DATA, Orders'!$I:$I,"Development - Mine")/1000000000)</f>
        <v>0</v>
      </c>
      <c r="Y90" s="15">
        <f>(SUMIFS('MAIN DATA, Orders'!$U:$U,'MAIN DATA, Orders'!$Y:$Y,$A90,'MAIN DATA, Orders'!$D:$D,"Poland",'MAIN DATA, Orders'!$J:$J,"6")/1000000000)</f>
        <v>3.3021204330495082</v>
      </c>
      <c r="Z90" s="15" cm="1">
        <f t="array" ref="Z90">SUM(SUMIFS('MAIN DATA, Orders'!$U:$U,'MAIN DATA, Orders'!$Y:$Y,$A90,'MAIN DATA, Orders'!$D:$D,"Poland",'MAIN DATA, Orders'!$I:$I,{"Development - Missile (Land)","Development - Missile (Naval)","Development - Missile (Air)"})/1000000000)</f>
        <v>0</v>
      </c>
      <c r="AA90" s="15">
        <f>(SUMIFS('MAIN DATA, Orders'!$U:$U,'MAIN DATA, Orders'!$Y:$Y,$A90,'MAIN DATA, Orders'!$D:$D,"Poland",'MAIN DATA, Orders'!$I:$I,"Modernisation")/1000000000)</f>
        <v>0</v>
      </c>
      <c r="AB90" s="15">
        <f>(SUMIFS('MAIN DATA, Orders'!$U:$U,'MAIN DATA, Orders'!$Y:$Y,$A90,'MAIN DATA, Orders'!$D:$D,"Poland",'MAIN DATA, Orders'!$I:$I,"Development - Modernisation")/1000000000)</f>
        <v>0</v>
      </c>
      <c r="AC90" s="15">
        <f>(SUMIFS('MAIN DATA, Orders'!$U:$U,'MAIN DATA, Orders'!$Y:$Y,$A90,'MAIN DATA, Orders'!$D:$D,"Poland",'MAIN DATA, Orders'!$I:$I,"Naval")/1000000000)</f>
        <v>0</v>
      </c>
      <c r="AD90" s="15">
        <f>(SUMIFS('MAIN DATA, Orders'!$U:$U,'MAIN DATA, Orders'!$Y:$Y,$A90,'MAIN DATA, Orders'!$D:$D,"Poland",'MAIN DATA, Orders'!$I:$I,"Development - Naval")/1000000000)</f>
        <v>0</v>
      </c>
      <c r="AE90" s="15">
        <f>(SUMIFS('MAIN DATA, Orders'!$U:$U,'MAIN DATA, Orders'!$Y:$Y,$A90,'MAIN DATA, Orders'!$D:$D,"Poland",'MAIN DATA, Orders'!$I:$I,"Other")/1000000000)</f>
        <v>2.35865745217822E-2</v>
      </c>
      <c r="AF90" s="15">
        <f>(SUMIFS('MAIN DATA, Orders'!$U:$U,'MAIN DATA, Orders'!$Y:$Y,$A90,'MAIN DATA, Orders'!$D:$D,"Poland",'MAIN DATA, Orders'!$I:$I,"Development - Other")/1000000000)</f>
        <v>0</v>
      </c>
      <c r="AG90" s="15"/>
      <c r="AH90" s="15" cm="1">
        <f t="array" ref="AH90">SUM(SUMIFS('MAIN DATA, Orders'!$U:$U,'MAIN DATA, Orders'!$Y:$Y,$A90,'MAIN DATA, Orders'!$D:$D,"Poland",'MAIN DATA, Orders'!$I:$I,{"Missile (Land)","Development - Missile (Land)"})/1000000000)</f>
        <v>3.3021204330495082</v>
      </c>
      <c r="AI90" s="15" cm="1">
        <f t="array" ref="AI90">SUM(SUMIFS('MAIN DATA, Orders'!$U:$U,'MAIN DATA, Orders'!$Y:$Y,$A90,'MAIN DATA, Orders'!$D:$D,"Poland",'MAIN DATA, Orders'!$I:$I,{"Missile (Air)","Development - Missile (Air)"})/1000000000)</f>
        <v>0</v>
      </c>
      <c r="AJ90" s="15" cm="1">
        <f t="array" ref="AJ90">SUM(SUMIFS('MAIN DATA, Orders'!$U:$U,'MAIN DATA, Orders'!$Y:$Y,$A90,'MAIN DATA, Orders'!$D:$D,"Poland",'MAIN DATA, Orders'!$I:$I,{"Missile (Naval)","Development - Missile (Naval)"})/1000000000)</f>
        <v>0</v>
      </c>
    </row>
    <row r="91" spans="1:36" x14ac:dyDescent="0.35">
      <c r="A91" s="20">
        <v>202601</v>
      </c>
      <c r="B91" s="17">
        <v>46023</v>
      </c>
      <c r="C91" s="15">
        <f>(SUMIFS('MAIN DATA, Orders'!$U:$U,'MAIN DATA, Orders'!$Y:$Y,$A91,'MAIN DATA, Orders'!$D:$D,"Poland",'MAIN DATA, Orders'!$I:$I,"Air defence system")/1000000000)</f>
        <v>3.5606618083414441</v>
      </c>
      <c r="D91" s="15">
        <f>(SUMIFS('MAIN DATA, Orders'!$U:$U,'MAIN DATA, Orders'!$Y:$Y,$A91,'MAIN DATA, Orders'!$D:$D,"Poland",'MAIN DATA, Orders'!$I:$I,"Development - Air defence system")/1000000000)</f>
        <v>0</v>
      </c>
      <c r="E91" s="15">
        <f>(SUMIFS('MAIN DATA, Orders'!$U:$U,'MAIN DATA, Orders'!$Y:$Y,$A91,'MAIN DATA, Orders'!$D:$D,"Poland",'MAIN DATA, Orders'!$I:$I,"Aircraft")/1000000000)</f>
        <v>0</v>
      </c>
      <c r="F91" s="15">
        <f>(SUMIFS('MAIN DATA, Orders'!$U:$U,'MAIN DATA, Orders'!$Y:$Y,$A91,'MAIN DATA, Orders'!$D:$D,"Poland",'MAIN DATA, Orders'!$I:$I,"Development - Aircraft")/1000000000)</f>
        <v>0</v>
      </c>
      <c r="G91" s="15">
        <f>(SUMIFS('MAIN DATA, Orders'!$U:$U,'MAIN DATA, Orders'!$Y:$Y,$A91,'MAIN DATA, Orders'!$D:$D,"Poland",'MAIN DATA, Orders'!$I:$I,"Ammunition")/1000000000)</f>
        <v>0</v>
      </c>
      <c r="H91" s="15">
        <f>(SUMIFS('MAIN DATA, Orders'!$U:$U,'MAIN DATA, Orders'!$Y:$Y,$A91,'MAIN DATA, Orders'!$D:$D,"Poland",'MAIN DATA, Orders'!$I:$I,"Development - Ammunition")/1000000000)</f>
        <v>0</v>
      </c>
      <c r="I91" s="15">
        <f>(SUMIFS('MAIN DATA, Orders'!$U:$U,'MAIN DATA, Orders'!$Y:$Y,$A91,'MAIN DATA, Orders'!$D:$D,"Poland",'MAIN DATA, Orders'!$I:$I,"Armoured vehicle")/1000000000)</f>
        <v>0</v>
      </c>
      <c r="J91" s="15">
        <f>(SUMIFS('MAIN DATA, Orders'!$U:$U,'MAIN DATA, Orders'!$Y:$Y,$A91,'MAIN DATA, Orders'!$D:$D,"Poland",'MAIN DATA, Orders'!$I:$I,"Development - Armoured vehicle")/1000000000)</f>
        <v>0</v>
      </c>
      <c r="K91" s="15">
        <f>(SUMIFS('MAIN DATA, Orders'!$U:$U,'MAIN DATA, Orders'!$Y:$Y,$A91,'MAIN DATA, Orders'!$D:$D,"Poland",'MAIN DATA, Orders'!$I:$I,"Artillery")/1000000000)</f>
        <v>0</v>
      </c>
      <c r="L91" s="15">
        <f>(SUMIFS('MAIN DATA, Orders'!$U:$U,'MAIN DATA, Orders'!$Y:$Y,$A91,'MAIN DATA, Orders'!$D:$D,"Poland",'MAIN DATA, Orders'!$I:$I,"Development - Artillery")/1000000000)</f>
        <v>0</v>
      </c>
      <c r="M91" s="15">
        <f>(SUMIFS('MAIN DATA, Orders'!$U:$U,'MAIN DATA, Orders'!$Y:$Y,$A91,'MAIN DATA, Orders'!$D:$D,"Poland",'MAIN DATA, Orders'!$I:$I,"Drone")/1000000000)</f>
        <v>0</v>
      </c>
      <c r="N91" s="15">
        <f>(SUMIFS('MAIN DATA, Orders'!$U:$U,'MAIN DATA, Orders'!$Y:$Y,$A91,'MAIN DATA, Orders'!$D:$D,"Poland",'MAIN DATA, Orders'!$I:$I,"Development - Drone")/1000000000)</f>
        <v>0</v>
      </c>
      <c r="O91" s="15">
        <f>(SUMIFS('MAIN DATA, Orders'!$U:$U,'MAIN DATA, Orders'!$Y:$Y,$A91,'MAIN DATA, Orders'!$D:$D,"Poland",'MAIN DATA, Orders'!$I:$I,"Helicopter")/1000000000)</f>
        <v>0</v>
      </c>
      <c r="P91" s="15">
        <f>(SUMIFS('MAIN DATA, Orders'!$U:$U,'MAIN DATA, Orders'!$Y:$Y,$A91,'MAIN DATA, Orders'!$D:$D,"Poland",'MAIN DATA, Orders'!$I:$I,"Development - Helicopter")/1000000000)</f>
        <v>0</v>
      </c>
      <c r="Q91" s="15">
        <f>(SUMIFS('MAIN DATA, Orders'!$U:$U,'MAIN DATA, Orders'!$Y:$Y,$A91,'MAIN DATA, Orders'!$D:$D,"Poland",'MAIN DATA, Orders'!$I:$I,"Infantry")/1000000000)</f>
        <v>0</v>
      </c>
      <c r="R91" s="15">
        <f>(SUMIFS('MAIN DATA, Orders'!$U:$U,'MAIN DATA, Orders'!$Y:$Y,$A91,'MAIN DATA, Orders'!$D:$D,"Poland",'MAIN DATA, Orders'!$I:$I,"Development - Infantry")/1000000000)</f>
        <v>0</v>
      </c>
      <c r="S91" s="15">
        <f>(SUMIFS('MAIN DATA, Orders'!$U:$U,'MAIN DATA, Orders'!$Y:$Y,$A91,'MAIN DATA, Orders'!$D:$D,"Poland",'MAIN DATA, Orders'!$I:$I,"Tank")/1000000000)</f>
        <v>0</v>
      </c>
      <c r="T91" s="15">
        <f>(SUMIFS('MAIN DATA, Orders'!$U:$U,'MAIN DATA, Orders'!$Y:$Y,$A91,'MAIN DATA, Orders'!$D:$D,"Poland",'MAIN DATA, Orders'!$I:$I,"Development - Tank")/1000000000)</f>
        <v>0</v>
      </c>
      <c r="U91" s="15">
        <f>(SUMIFS('MAIN DATA, Orders'!$U:$U,'MAIN DATA, Orders'!$Y:$Y,$A91,'MAIN DATA, Orders'!$D:$D,"Poland",'MAIN DATA, Orders'!$I:$I,"Maintenance")/1000000000)</f>
        <v>0</v>
      </c>
      <c r="V91" s="15">
        <f>(SUMIFS('MAIN DATA, Orders'!$U:$U,'MAIN DATA, Orders'!$Y:$Y,$A91,'MAIN DATA, Orders'!$D:$D,"Poland",'MAIN DATA, Orders'!$I:$I,"Development - Maintenance")/1000000000)</f>
        <v>0</v>
      </c>
      <c r="W91" s="15">
        <f>(SUMIFS('MAIN DATA, Orders'!$U:$U,'MAIN DATA, Orders'!$Y:$Y,$A91,'MAIN DATA, Orders'!$D:$D,"Poland",'MAIN DATA, Orders'!$I:$I,"Mine")/1000000000)</f>
        <v>0</v>
      </c>
      <c r="X91" s="15">
        <f>(SUMIFS('MAIN DATA, Orders'!$U:$U,'MAIN DATA, Orders'!$Y:$Y,$A91,'MAIN DATA, Orders'!$D:$D,"Poland",'MAIN DATA, Orders'!$I:$I,"Development - Mine")/1000000000)</f>
        <v>0</v>
      </c>
      <c r="Y91" s="15">
        <f>(SUMIFS('MAIN DATA, Orders'!$U:$U,'MAIN DATA, Orders'!$Y:$Y,$A91,'MAIN DATA, Orders'!$D:$D,"Poland",'MAIN DATA, Orders'!$J:$J,"6")/1000000000)</f>
        <v>0</v>
      </c>
      <c r="Z91" s="15" cm="1">
        <f t="array" ref="Z91">SUM(SUMIFS('MAIN DATA, Orders'!$U:$U,'MAIN DATA, Orders'!$Y:$Y,$A91,'MAIN DATA, Orders'!$D:$D,"Poland",'MAIN DATA, Orders'!$I:$I,{"Development - Missile (Land)","Development - Missile (Naval)","Development - Missile (Air)"})/1000000000)</f>
        <v>0</v>
      </c>
      <c r="AA91" s="15">
        <f>(SUMIFS('MAIN DATA, Orders'!$U:$U,'MAIN DATA, Orders'!$Y:$Y,$A91,'MAIN DATA, Orders'!$D:$D,"Poland",'MAIN DATA, Orders'!$I:$I,"Modernisation")/1000000000)</f>
        <v>0</v>
      </c>
      <c r="AB91" s="15">
        <f>(SUMIFS('MAIN DATA, Orders'!$U:$U,'MAIN DATA, Orders'!$Y:$Y,$A91,'MAIN DATA, Orders'!$D:$D,"Poland",'MAIN DATA, Orders'!$I:$I,"Development - Modernisation")/1000000000)</f>
        <v>0</v>
      </c>
      <c r="AC91" s="15">
        <f>(SUMIFS('MAIN DATA, Orders'!$U:$U,'MAIN DATA, Orders'!$Y:$Y,$A91,'MAIN DATA, Orders'!$D:$D,"Poland",'MAIN DATA, Orders'!$I:$I,"Naval")/1000000000)</f>
        <v>0</v>
      </c>
      <c r="AD91" s="15">
        <f>(SUMIFS('MAIN DATA, Orders'!$U:$U,'MAIN DATA, Orders'!$Y:$Y,$A91,'MAIN DATA, Orders'!$D:$D,"Poland",'MAIN DATA, Orders'!$I:$I,"Development - Naval")/1000000000)</f>
        <v>0</v>
      </c>
      <c r="AE91" s="15">
        <f>(SUMIFS('MAIN DATA, Orders'!$U:$U,'MAIN DATA, Orders'!$Y:$Y,$A91,'MAIN DATA, Orders'!$D:$D,"Poland",'MAIN DATA, Orders'!$I:$I,"Other")/1000000000)</f>
        <v>0</v>
      </c>
      <c r="AF91" s="15">
        <f>(SUMIFS('MAIN DATA, Orders'!$U:$U,'MAIN DATA, Orders'!$Y:$Y,$A91,'MAIN DATA, Orders'!$D:$D,"Poland",'MAIN DATA, Orders'!$I:$I,"Development - Other")/1000000000)</f>
        <v>0</v>
      </c>
      <c r="AG91" s="15"/>
      <c r="AH91" s="15" cm="1">
        <f t="array" ref="AH91">SUM(SUMIFS('MAIN DATA, Orders'!$U:$U,'MAIN DATA, Orders'!$Y:$Y,$A91,'MAIN DATA, Orders'!$D:$D,"Poland",'MAIN DATA, Orders'!$I:$I,{"Missile (Land)","Development - Missile (Land)"})/1000000000)</f>
        <v>0</v>
      </c>
      <c r="AI91" s="15" cm="1">
        <f t="array" ref="AI91">SUM(SUMIFS('MAIN DATA, Orders'!$U:$U,'MAIN DATA, Orders'!$Y:$Y,$A91,'MAIN DATA, Orders'!$D:$D,"Poland",'MAIN DATA, Orders'!$I:$I,{"Missile (Air)","Development - Missile (Air)"})/1000000000)</f>
        <v>0</v>
      </c>
      <c r="AJ91" s="15" cm="1">
        <f t="array" ref="AJ91">SUM(SUMIFS('MAIN DATA, Orders'!$U:$U,'MAIN DATA, Orders'!$Y:$Y,$A91,'MAIN DATA, Orders'!$D:$D,"Poland",'MAIN DATA, Orders'!$I:$I,{"Missile (Naval)","Development - Missile (Naval)"})/1000000000)</f>
        <v>0</v>
      </c>
    </row>
    <row r="92" spans="1:36" x14ac:dyDescent="0.35">
      <c r="B92" s="9" t="s">
        <v>4219</v>
      </c>
      <c r="C92" s="18">
        <f t="shared" ref="C92:AI92" si="0">SUM(C7:C91)</f>
        <v>10.642347034719418</v>
      </c>
      <c r="D92" s="18">
        <f t="shared" si="0"/>
        <v>0</v>
      </c>
      <c r="E92" s="18">
        <f t="shared" si="0"/>
        <v>10.400062175679565</v>
      </c>
      <c r="F92" s="18">
        <f t="shared" si="0"/>
        <v>0</v>
      </c>
      <c r="G92" s="18">
        <f t="shared" si="0"/>
        <v>0.16194944952128698</v>
      </c>
      <c r="H92" s="18">
        <f t="shared" si="0"/>
        <v>0</v>
      </c>
      <c r="I92" s="18">
        <f t="shared" si="0"/>
        <v>4.1256356702668553</v>
      </c>
      <c r="J92" s="18">
        <f t="shared" si="0"/>
        <v>0</v>
      </c>
      <c r="K92" s="18">
        <f t="shared" si="0"/>
        <v>14.983544761005643</v>
      </c>
      <c r="L92" s="18">
        <f t="shared" si="0"/>
        <v>0</v>
      </c>
      <c r="M92" s="18">
        <f t="shared" si="0"/>
        <v>0.72318444614864508</v>
      </c>
      <c r="N92" s="18">
        <f t="shared" si="0"/>
        <v>0</v>
      </c>
      <c r="O92" s="18">
        <f t="shared" si="0"/>
        <v>11.605860881240893</v>
      </c>
      <c r="P92" s="18">
        <f t="shared" si="0"/>
        <v>0</v>
      </c>
      <c r="Q92" s="18">
        <f t="shared" si="0"/>
        <v>2.2464477674890349</v>
      </c>
      <c r="R92" s="18">
        <f t="shared" si="0"/>
        <v>0</v>
      </c>
      <c r="S92" s="18">
        <f t="shared" si="0"/>
        <v>14.699258162112489</v>
      </c>
      <c r="T92" s="18">
        <f t="shared" si="0"/>
        <v>0</v>
      </c>
      <c r="U92" s="18">
        <f t="shared" si="0"/>
        <v>0.12308978587022157</v>
      </c>
      <c r="V92" s="18">
        <f t="shared" si="0"/>
        <v>0</v>
      </c>
      <c r="W92" s="18">
        <f t="shared" si="0"/>
        <v>0.11228533685601057</v>
      </c>
      <c r="X92" s="18">
        <f t="shared" si="0"/>
        <v>0</v>
      </c>
      <c r="Y92" s="18">
        <f t="shared" si="0"/>
        <v>6.0125330501607284</v>
      </c>
      <c r="Z92" s="18">
        <f t="shared" si="0"/>
        <v>0</v>
      </c>
      <c r="AA92" s="18">
        <f t="shared" si="0"/>
        <v>2.4414790739331895</v>
      </c>
      <c r="AB92" s="18">
        <f t="shared" si="0"/>
        <v>0</v>
      </c>
      <c r="AC92" s="18">
        <f t="shared" si="0"/>
        <v>6.8819287574200381</v>
      </c>
      <c r="AD92" s="18">
        <f t="shared" si="0"/>
        <v>0</v>
      </c>
      <c r="AE92" s="18">
        <f t="shared" si="0"/>
        <v>5.7093836913236178</v>
      </c>
      <c r="AF92" s="18">
        <f t="shared" si="0"/>
        <v>0</v>
      </c>
      <c r="AG92" s="18">
        <f t="shared" si="0"/>
        <v>0</v>
      </c>
      <c r="AH92" s="18">
        <f t="shared" si="0"/>
        <v>5.4083774209133662</v>
      </c>
      <c r="AI92" s="18">
        <f t="shared" si="0"/>
        <v>0.60415562924736244</v>
      </c>
      <c r="AJ92" s="18">
        <f>SUM(AJ7:AJ91)</f>
        <v>0</v>
      </c>
    </row>
  </sheetData>
  <mergeCells count="1">
    <mergeCell ref="B4:G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3" tint="0.749992370372631"/>
  </sheetPr>
  <dimension ref="A2:J376"/>
  <sheetViews>
    <sheetView workbookViewId="0"/>
  </sheetViews>
  <sheetFormatPr baseColWidth="10" defaultColWidth="8.75" defaultRowHeight="15.5" x14ac:dyDescent="0.35"/>
  <cols>
    <col min="1" max="1" width="8.75" style="1"/>
    <col min="2" max="2" width="7.75" style="1" customWidth="1"/>
    <col min="3" max="3" width="8.75" style="1"/>
    <col min="4" max="4" width="48.33203125" style="1" customWidth="1"/>
    <col min="5" max="5" width="33.75" style="1" customWidth="1"/>
    <col min="6" max="6" width="17.5" style="1" bestFit="1" customWidth="1"/>
    <col min="7" max="7" width="13.08203125" style="1" bestFit="1" customWidth="1"/>
    <col min="8" max="8" width="17.58203125" style="1" bestFit="1" customWidth="1"/>
    <col min="9" max="9" width="18.5" style="1" bestFit="1" customWidth="1"/>
    <col min="10" max="10" width="15" style="1" customWidth="1"/>
    <col min="11" max="11" width="13.83203125" style="1" bestFit="1" customWidth="1"/>
    <col min="12" max="16384" width="8.75" style="1"/>
  </cols>
  <sheetData>
    <row r="2" spans="2:10" ht="25.9" customHeight="1" x14ac:dyDescent="0.7">
      <c r="B2" s="95" t="s">
        <v>4224</v>
      </c>
    </row>
    <row r="4" spans="2:10" ht="130.15" customHeight="1" x14ac:dyDescent="0.35">
      <c r="B4" s="232" t="s">
        <v>4225</v>
      </c>
      <c r="C4" s="232"/>
      <c r="D4" s="232"/>
      <c r="E4" s="232"/>
    </row>
    <row r="6" spans="2:10" ht="21" customHeight="1" x14ac:dyDescent="0.35">
      <c r="B6" s="72" t="s">
        <v>4226</v>
      </c>
      <c r="C6" s="72" t="s">
        <v>4227</v>
      </c>
      <c r="D6" s="72" t="s">
        <v>4228</v>
      </c>
      <c r="E6" s="72" t="s">
        <v>4229</v>
      </c>
      <c r="F6" s="72" t="s">
        <v>4230</v>
      </c>
      <c r="G6" s="72" t="s">
        <v>4231</v>
      </c>
      <c r="H6" s="72" t="s">
        <v>4232</v>
      </c>
      <c r="I6" s="72" t="s">
        <v>4233</v>
      </c>
      <c r="J6" s="72" t="s">
        <v>4234</v>
      </c>
    </row>
    <row r="7" spans="2:10" x14ac:dyDescent="0.35">
      <c r="B7" s="27" t="s">
        <v>140</v>
      </c>
      <c r="C7" s="83" t="str">
        <f>VLOOKUP($B7,'MAIN DATA, Orders'!$B:$P,3,0)</f>
        <v>Germany</v>
      </c>
      <c r="D7" s="83" t="str">
        <f>VLOOKUP($B7,'MAIN DATA, Orders'!$B:$P,6,0)</f>
        <v>Multi-purpose combat ship (MKS) 180 / Class F126 frigate</v>
      </c>
      <c r="E7" s="83" t="str">
        <f>VLOOKUP($B7,'MAIN DATA, Orders'!$B:$P,7,0)</f>
        <v>Frigate</v>
      </c>
      <c r="F7" s="83" t="str">
        <f>VLOOKUP($B7,'MAIN DATA, Orders'!$B:$P,8,0)</f>
        <v>Naval</v>
      </c>
      <c r="G7" s="31">
        <f>VLOOKUP($B7,'MAIN DATA, Orders'!$B:$P,9,0)</f>
        <v>12</v>
      </c>
      <c r="H7" s="8">
        <f>VLOOKUP($B7,'MAIN DATA, Orders'!$B:$P,14,0)</f>
        <v>1400000000</v>
      </c>
      <c r="I7" s="8">
        <f>VLOOKUP($B7,'MAIN DATA, Orders'!$B:$P,15,0)</f>
        <v>1400000000</v>
      </c>
      <c r="J7" s="8">
        <f>VLOOKUP($B7,'MAIN DATA, Orders'!$B:$P,13,0)</f>
        <v>4</v>
      </c>
    </row>
    <row r="8" spans="2:10" x14ac:dyDescent="0.35">
      <c r="B8" s="27" t="s">
        <v>208</v>
      </c>
      <c r="C8" s="83" t="str">
        <f>VLOOKUP($B8,'MAIN DATA, Orders'!$B:$P,3,0)</f>
        <v>Germany</v>
      </c>
      <c r="D8" s="83" t="str">
        <f>VLOOKUP($B8,'MAIN DATA, Orders'!$B:$P,6,0)</f>
        <v>RBS15 Mk3 guided missile</v>
      </c>
      <c r="E8" s="83" t="str">
        <f>VLOOKUP($B8,'MAIN DATA, Orders'!$B:$P,7,0)</f>
        <v>Surface-to-surface (SSM) missile</v>
      </c>
      <c r="F8" s="83" t="str">
        <f>VLOOKUP($B8,'MAIN DATA, Orders'!$B:$P,8,0)</f>
        <v>Missile (Naval)</v>
      </c>
      <c r="G8" s="31">
        <f>VLOOKUP($B8,'MAIN DATA, Orders'!$B:$P,9,0)</f>
        <v>6</v>
      </c>
      <c r="H8" s="8">
        <f>VLOOKUP($B8,'MAIN DATA, Orders'!$B:$P,14,0)</f>
        <v>3800000</v>
      </c>
      <c r="I8" s="8">
        <f>VLOOKUP($B8,'MAIN DATA, Orders'!$B:$P,15,0)</f>
        <v>3800000</v>
      </c>
      <c r="J8" s="8">
        <f>VLOOKUP($B8,'MAIN DATA, Orders'!$B:$P,13,0)</f>
        <v>75</v>
      </c>
    </row>
    <row r="9" spans="2:10" x14ac:dyDescent="0.35">
      <c r="B9" s="27" t="s">
        <v>235</v>
      </c>
      <c r="C9" s="83" t="str">
        <f>VLOOKUP($B9,'MAIN DATA, Orders'!$B:$P,3,0)</f>
        <v>Germany</v>
      </c>
      <c r="D9" s="83" t="str">
        <f>VLOOKUP($B9,'MAIN DATA, Orders'!$B:$P,6,0)</f>
        <v>Quadriga Eurofighter</v>
      </c>
      <c r="E9" s="83" t="str">
        <f>VLOOKUP($B9,'MAIN DATA, Orders'!$B:$P,7,0)</f>
        <v>Fighter aircraft</v>
      </c>
      <c r="F9" s="83" t="str">
        <f>VLOOKUP($B9,'MAIN DATA, Orders'!$B:$P,8,0)</f>
        <v>Aircraft</v>
      </c>
      <c r="G9" s="31">
        <f>VLOOKUP($B9,'MAIN DATA, Orders'!$B:$P,9,0)</f>
        <v>11</v>
      </c>
      <c r="H9" s="8">
        <f>VLOOKUP($B9,'MAIN DATA, Orders'!$B:$P,14,0)</f>
        <v>144736842.10526314</v>
      </c>
      <c r="I9" s="8">
        <f>VLOOKUP($B9,'MAIN DATA, Orders'!$B:$P,15,0)</f>
        <v>144736842.10526314</v>
      </c>
      <c r="J9" s="8">
        <f>VLOOKUP($B9,'MAIN DATA, Orders'!$B:$P,13,0)</f>
        <v>38</v>
      </c>
    </row>
    <row r="10" spans="2:10" x14ac:dyDescent="0.35">
      <c r="B10" s="27" t="s">
        <v>244</v>
      </c>
      <c r="C10" s="83" t="str">
        <f>VLOOKUP($B10,'MAIN DATA, Orders'!$B:$P,3,0)</f>
        <v>Germany</v>
      </c>
      <c r="D10" s="83" t="str">
        <f>VLOOKUP($B10,'MAIN DATA, Orders'!$B:$P,6,0)</f>
        <v>Testing equipment for DM2A4 torpedo</v>
      </c>
      <c r="E10" s="83" t="str">
        <f>VLOOKUP($B10,'MAIN DATA, Orders'!$B:$P,7,0)</f>
        <v>Equipment for heavyweight torpedo</v>
      </c>
      <c r="F10" s="83" t="str">
        <f>VLOOKUP($B10,'MAIN DATA, Orders'!$B:$P,8,0)</f>
        <v>Naval</v>
      </c>
      <c r="G10" s="31">
        <f>VLOOKUP($B10,'MAIN DATA, Orders'!$B:$P,9,0)</f>
        <v>12</v>
      </c>
      <c r="H10" s="8">
        <f>VLOOKUP($B10,'MAIN DATA, Orders'!$B:$P,14,0)</f>
        <v>449275.36231884058</v>
      </c>
      <c r="I10" s="8">
        <f>VLOOKUP($B10,'MAIN DATA, Orders'!$B:$P,15,0)</f>
        <v>449275.36231884058</v>
      </c>
      <c r="J10" s="8">
        <f>VLOOKUP($B10,'MAIN DATA, Orders'!$B:$P,13,0)</f>
        <v>69</v>
      </c>
    </row>
    <row r="11" spans="2:10" x14ac:dyDescent="0.35">
      <c r="B11" s="27" t="s">
        <v>252</v>
      </c>
      <c r="C11" s="83" t="str">
        <f>VLOOKUP($B11,'MAIN DATA, Orders'!$B:$P,3,0)</f>
        <v>Germany</v>
      </c>
      <c r="D11" s="83" t="str">
        <f>VLOOKUP($B11,'MAIN DATA, Orders'!$B:$P,6,0)</f>
        <v>Leopard 2 ammunition DM88 (training)</v>
      </c>
      <c r="E11" s="83" t="str">
        <f>VLOOKUP($B11,'MAIN DATA, Orders'!$B:$P,7,0)</f>
        <v>120mm tank ammunition</v>
      </c>
      <c r="F11" s="83" t="str">
        <f>VLOOKUP($B11,'MAIN DATA, Orders'!$B:$P,8,0)</f>
        <v>Ammunition</v>
      </c>
      <c r="G11" s="31">
        <f>VLOOKUP($B11,'MAIN DATA, Orders'!$B:$P,9,0)</f>
        <v>4</v>
      </c>
      <c r="H11" s="8">
        <f>VLOOKUP($B11,'MAIN DATA, Orders'!$B:$P,14,0)</f>
        <v>1733.3333333333333</v>
      </c>
      <c r="I11" s="8">
        <f>VLOOKUP($B11,'MAIN DATA, Orders'!$B:$P,15,0)</f>
        <v>1733.3333333333333</v>
      </c>
      <c r="J11" s="8">
        <f>VLOOKUP($B11,'MAIN DATA, Orders'!$B:$P,13,0)</f>
        <v>15000</v>
      </c>
    </row>
    <row r="12" spans="2:10" x14ac:dyDescent="0.35">
      <c r="B12" s="27" t="s">
        <v>263</v>
      </c>
      <c r="C12" s="83" t="str">
        <f>VLOOKUP($B12,'MAIN DATA, Orders'!$B:$P,3,0)</f>
        <v>Germany</v>
      </c>
      <c r="D12" s="83" t="str">
        <f>VLOOKUP($B12,'MAIN DATA, Orders'!$B:$P,6,0)</f>
        <v>Sea Tiger NH-90 Multi Role Frigate Helicopter</v>
      </c>
      <c r="E12" s="83" t="str">
        <f>VLOOKUP($B12,'MAIN DATA, Orders'!$B:$P,7,0)</f>
        <v>Maritime frigate attack helicopter</v>
      </c>
      <c r="F12" s="83" t="str">
        <f>VLOOKUP($B12,'MAIN DATA, Orders'!$B:$P,8,0)</f>
        <v>Naval</v>
      </c>
      <c r="G12" s="31">
        <f>VLOOKUP($B12,'MAIN DATA, Orders'!$B:$P,9,0)</f>
        <v>12</v>
      </c>
      <c r="H12" s="8">
        <f>VLOOKUP($B12,'MAIN DATA, Orders'!$B:$P,14,0)</f>
        <v>87096774.193548381</v>
      </c>
      <c r="I12" s="8">
        <f>VLOOKUP($B12,'MAIN DATA, Orders'!$B:$P,15,0)</f>
        <v>87096774.193548381</v>
      </c>
      <c r="J12" s="8">
        <f>VLOOKUP($B12,'MAIN DATA, Orders'!$B:$P,13,0)</f>
        <v>31</v>
      </c>
    </row>
    <row r="13" spans="2:10" x14ac:dyDescent="0.35">
      <c r="B13" s="27" t="s">
        <v>272</v>
      </c>
      <c r="C13" s="83" t="str">
        <f>VLOOKUP($B13,'MAIN DATA, Orders'!$B:$P,3,0)</f>
        <v>Germany</v>
      </c>
      <c r="D13" s="83" t="str">
        <f>VLOOKUP($B13,'MAIN DATA, Orders'!$B:$P,6,0)</f>
        <v>Protected truck 15t</v>
      </c>
      <c r="E13" s="83" t="str">
        <f>VLOOKUP($B13,'MAIN DATA, Orders'!$B:$P,7,0)</f>
        <v>Armoured Utility Vehicle (AUV)</v>
      </c>
      <c r="F13" s="83" t="str">
        <f>VLOOKUP($B13,'MAIN DATA, Orders'!$B:$P,8,0)</f>
        <v>Armoured vehicle</v>
      </c>
      <c r="G13" s="31">
        <f>VLOOKUP($B13,'MAIN DATA, Orders'!$B:$P,9,0)</f>
        <v>2</v>
      </c>
      <c r="H13" s="8">
        <f>VLOOKUP($B13,'MAIN DATA, Orders'!$B:$P,14,0)</f>
        <v>803571.42857142852</v>
      </c>
      <c r="I13" s="8">
        <f>VLOOKUP($B13,'MAIN DATA, Orders'!$B:$P,15,0)</f>
        <v>803571.42857142852</v>
      </c>
      <c r="J13" s="8">
        <f>VLOOKUP($B13,'MAIN DATA, Orders'!$B:$P,13,0)</f>
        <v>224</v>
      </c>
    </row>
    <row r="14" spans="2:10" x14ac:dyDescent="0.35">
      <c r="B14" s="27" t="s">
        <v>281</v>
      </c>
      <c r="C14" s="83" t="str">
        <f>VLOOKUP($B14,'MAIN DATA, Orders'!$B:$P,3,0)</f>
        <v>Germany</v>
      </c>
      <c r="D14" s="83" t="str">
        <f>VLOOKUP($B14,'MAIN DATA, Orders'!$B:$P,6,0)</f>
        <v>Tractor unit 70t</v>
      </c>
      <c r="E14" s="83" t="str">
        <f>VLOOKUP($B14,'MAIN DATA, Orders'!$B:$P,7,0)</f>
        <v>Non-combat military vehicle</v>
      </c>
      <c r="F14" s="83" t="str">
        <f>VLOOKUP($B14,'MAIN DATA, Orders'!$B:$P,8,0)</f>
        <v>Other</v>
      </c>
      <c r="G14" s="31">
        <f>VLOOKUP($B14,'MAIN DATA, Orders'!$B:$P,9,0)</f>
        <v>16</v>
      </c>
      <c r="H14" s="8">
        <f>VLOOKUP($B14,'MAIN DATA, Orders'!$B:$P,14,0)</f>
        <v>854166.66666666663</v>
      </c>
      <c r="I14" s="8">
        <f>VLOOKUP($B14,'MAIN DATA, Orders'!$B:$P,15,0)</f>
        <v>854166.66666666663</v>
      </c>
      <c r="J14" s="8">
        <f>VLOOKUP($B14,'MAIN DATA, Orders'!$B:$P,13,0)</f>
        <v>48</v>
      </c>
    </row>
    <row r="15" spans="2:10" x14ac:dyDescent="0.35">
      <c r="B15" s="27" t="s">
        <v>327</v>
      </c>
      <c r="C15" s="83" t="str">
        <f>VLOOKUP($B15,'MAIN DATA, Orders'!$B:$P,3,0)</f>
        <v>Germany</v>
      </c>
      <c r="D15" s="83" t="str">
        <f>VLOOKUP($B15,'MAIN DATA, Orders'!$B:$P,6,0)</f>
        <v>Kodiak engineer vehicle</v>
      </c>
      <c r="E15" s="83" t="str">
        <f>VLOOKUP($B15,'MAIN DATA, Orders'!$B:$P,7,0)</f>
        <v>Armoured engineer vehicle</v>
      </c>
      <c r="F15" s="83" t="str">
        <f>VLOOKUP($B15,'MAIN DATA, Orders'!$B:$P,8,0)</f>
        <v>Armoured vehicle</v>
      </c>
      <c r="G15" s="31">
        <f>VLOOKUP($B15,'MAIN DATA, Orders'!$B:$P,9,0)</f>
        <v>2</v>
      </c>
      <c r="H15" s="8">
        <f>VLOOKUP($B15,'MAIN DATA, Orders'!$B:$P,14,0)</f>
        <v>6704545.4545454541</v>
      </c>
      <c r="I15" s="8">
        <f>VLOOKUP($B15,'MAIN DATA, Orders'!$B:$P,15,0)</f>
        <v>6704545.4545454541</v>
      </c>
      <c r="J15" s="8">
        <f>VLOOKUP($B15,'MAIN DATA, Orders'!$B:$P,13,0)</f>
        <v>44</v>
      </c>
    </row>
    <row r="16" spans="2:10" x14ac:dyDescent="0.35">
      <c r="B16" s="27" t="s">
        <v>334</v>
      </c>
      <c r="C16" s="83" t="str">
        <f>VLOOKUP($B16,'MAIN DATA, Orders'!$B:$P,3,0)</f>
        <v>Germany</v>
      </c>
      <c r="D16" s="83" t="str">
        <f>VLOOKUP($B16,'MAIN DATA, Orders'!$B:$P,6,0)</f>
        <v>Sea Falcon helicopter drone system for Class K130 corvette</v>
      </c>
      <c r="E16" s="83" t="str">
        <f>VLOOKUP($B16,'MAIN DATA, Orders'!$B:$P,7,0)</f>
        <v>Naval reconnaissance drone</v>
      </c>
      <c r="F16" s="83" t="str">
        <f>VLOOKUP($B16,'MAIN DATA, Orders'!$B:$P,8,0)</f>
        <v>Naval</v>
      </c>
      <c r="G16" s="31">
        <f>VLOOKUP($B16,'MAIN DATA, Orders'!$B:$P,9,0)</f>
        <v>12</v>
      </c>
      <c r="H16" s="8">
        <f>VLOOKUP($B16,'MAIN DATA, Orders'!$B:$P,14,0)</f>
        <v>15600000</v>
      </c>
      <c r="I16" s="8">
        <f>VLOOKUP($B16,'MAIN DATA, Orders'!$B:$P,15,0)</f>
        <v>15600000</v>
      </c>
      <c r="J16" s="8">
        <f>VLOOKUP($B16,'MAIN DATA, Orders'!$B:$P,13,0)</f>
        <v>5</v>
      </c>
    </row>
    <row r="17" spans="2:10" x14ac:dyDescent="0.35">
      <c r="B17" s="27" t="s">
        <v>342</v>
      </c>
      <c r="C17" s="83" t="str">
        <f>VLOOKUP($B17,'MAIN DATA, Orders'!$B:$P,3,0)</f>
        <v>Germany</v>
      </c>
      <c r="D17" s="83" t="str">
        <f>VLOOKUP($B17,'MAIN DATA, Orders'!$B:$P,6,0)</f>
        <v>Airbus EC135 rental</v>
      </c>
      <c r="E17" s="83" t="str">
        <f>VLOOKUP($B17,'MAIN DATA, Orders'!$B:$P,7,0)</f>
        <v>Light utility helicopter</v>
      </c>
      <c r="F17" s="83" t="str">
        <f>VLOOKUP($B17,'MAIN DATA, Orders'!$B:$P,8,0)</f>
        <v>Helicopter</v>
      </c>
      <c r="G17" s="31">
        <f>VLOOKUP($B17,'MAIN DATA, Orders'!$B:$P,9,0)</f>
        <v>10</v>
      </c>
      <c r="H17" s="8">
        <f>VLOOKUP($B17,'MAIN DATA, Orders'!$B:$P,14,0)</f>
        <v>9000000</v>
      </c>
      <c r="I17" s="8">
        <f>VLOOKUP($B17,'MAIN DATA, Orders'!$B:$P,15,0)</f>
        <v>9000000</v>
      </c>
      <c r="J17" s="8">
        <f>VLOOKUP($B17,'MAIN DATA, Orders'!$B:$P,13,0)</f>
        <v>7</v>
      </c>
    </row>
    <row r="18" spans="2:10" x14ac:dyDescent="0.35">
      <c r="B18" s="27" t="s">
        <v>391</v>
      </c>
      <c r="C18" s="83" t="str">
        <f>VLOOKUP($B18,'MAIN DATA, Orders'!$B:$P,3,0)</f>
        <v>Germany</v>
      </c>
      <c r="D18" s="83" t="str">
        <f>VLOOKUP($B18,'MAIN DATA, Orders'!$B:$P,6,0)</f>
        <v>TCK 9 fuel tank container</v>
      </c>
      <c r="E18" s="83" t="str">
        <f>VLOOKUP($B18,'MAIN DATA, Orders'!$B:$P,7,0)</f>
        <v>Non-combat military vehicle part</v>
      </c>
      <c r="F18" s="83" t="str">
        <f>VLOOKUP($B18,'MAIN DATA, Orders'!$B:$P,8,0)</f>
        <v>Other</v>
      </c>
      <c r="G18" s="31">
        <f>VLOOKUP($B18,'MAIN DATA, Orders'!$B:$P,9,0)</f>
        <v>16</v>
      </c>
      <c r="H18" s="8">
        <f>VLOOKUP($B18,'MAIN DATA, Orders'!$B:$P,14,0)</f>
        <v>145000</v>
      </c>
      <c r="I18" s="8">
        <f>VLOOKUP($B18,'MAIN DATA, Orders'!$B:$P,15,0)</f>
        <v>145000</v>
      </c>
      <c r="J18" s="8">
        <f>VLOOKUP($B18,'MAIN DATA, Orders'!$B:$P,13,0)</f>
        <v>200</v>
      </c>
    </row>
    <row r="19" spans="2:10" x14ac:dyDescent="0.35">
      <c r="B19" s="27" t="s">
        <v>397</v>
      </c>
      <c r="C19" s="83" t="str">
        <f>VLOOKUP($B19,'MAIN DATA, Orders'!$B:$P,3,0)</f>
        <v>Germany</v>
      </c>
      <c r="D19" s="83" t="str">
        <f>VLOOKUP($B19,'MAIN DATA, Orders'!$B:$P,6,0)</f>
        <v>Ground-based reconnaissance and area surveillance system (BARÜ)</v>
      </c>
      <c r="E19" s="83" t="str">
        <f>VLOOKUP($B19,'MAIN DATA, Orders'!$B:$P,7,0)</f>
        <v>Communication and digitalisation</v>
      </c>
      <c r="F19" s="83" t="str">
        <f>VLOOKUP($B19,'MAIN DATA, Orders'!$B:$P,8,0)</f>
        <v>Modernisation</v>
      </c>
      <c r="G19" s="31">
        <f>VLOOKUP($B19,'MAIN DATA, Orders'!$B:$P,9,0)</f>
        <v>13</v>
      </c>
      <c r="H19" s="8">
        <f>VLOOKUP($B19,'MAIN DATA, Orders'!$B:$P,14,0)</f>
        <v>521739.13043478259</v>
      </c>
      <c r="I19" s="8">
        <f>VLOOKUP($B19,'MAIN DATA, Orders'!$B:$P,15,0)</f>
        <v>521739.13043478259</v>
      </c>
      <c r="J19" s="8">
        <f>VLOOKUP($B19,'MAIN DATA, Orders'!$B:$P,13,0)</f>
        <v>69</v>
      </c>
    </row>
    <row r="20" spans="2:10" x14ac:dyDescent="0.35">
      <c r="B20" s="27" t="s">
        <v>414</v>
      </c>
      <c r="C20" s="83" t="str">
        <f>VLOOKUP($B20,'MAIN DATA, Orders'!$B:$P,3,0)</f>
        <v>Germany</v>
      </c>
      <c r="D20" s="83" t="str">
        <f>VLOOKUP($B20,'MAIN DATA, Orders'!$B:$P,6,0)</f>
        <v>P-8A Poseidon</v>
      </c>
      <c r="E20" s="83" t="str">
        <f>VLOOKUP($B20,'MAIN DATA, Orders'!$B:$P,7,0)</f>
        <v>Maritime reconnaissance patrol aircraft</v>
      </c>
      <c r="F20" s="83" t="str">
        <f>VLOOKUP($B20,'MAIN DATA, Orders'!$B:$P,8,0)</f>
        <v>Naval</v>
      </c>
      <c r="G20" s="31">
        <f>VLOOKUP($B20,'MAIN DATA, Orders'!$B:$P,9,0)</f>
        <v>12</v>
      </c>
      <c r="H20" s="8">
        <f>VLOOKUP($B20,'MAIN DATA, Orders'!$B:$P,14,0)</f>
        <v>220000000</v>
      </c>
      <c r="I20" s="8">
        <f>VLOOKUP($B20,'MAIN DATA, Orders'!$B:$P,15,0)</f>
        <v>220000000</v>
      </c>
      <c r="J20" s="8">
        <f>VLOOKUP($B20,'MAIN DATA, Orders'!$B:$P,13,0)</f>
        <v>5</v>
      </c>
    </row>
    <row r="21" spans="2:10" x14ac:dyDescent="0.35">
      <c r="B21" s="27" t="s">
        <v>427</v>
      </c>
      <c r="C21" s="83" t="str">
        <f>VLOOKUP($B21,'MAIN DATA, Orders'!$B:$P,3,0)</f>
        <v>Germany</v>
      </c>
      <c r="D21" s="83" t="str">
        <f>VLOOKUP($B21,'MAIN DATA, Orders'!$B:$P,6,0)</f>
        <v>PEGASUS reconnaissance system</v>
      </c>
      <c r="E21" s="83" t="str">
        <f>VLOOKUP($B21,'MAIN DATA, Orders'!$B:$P,7,0)</f>
        <v>Airborne surveillance system</v>
      </c>
      <c r="F21" s="83" t="str">
        <f>VLOOKUP($B21,'MAIN DATA, Orders'!$B:$P,8,0)</f>
        <v>Aircraft</v>
      </c>
      <c r="G21" s="31">
        <f>VLOOKUP($B21,'MAIN DATA, Orders'!$B:$P,9,0)</f>
        <v>11</v>
      </c>
      <c r="H21" s="8">
        <f>VLOOKUP($B21,'MAIN DATA, Orders'!$B:$P,14,0)</f>
        <v>1540000000</v>
      </c>
      <c r="I21" s="8">
        <f>VLOOKUP($B21,'MAIN DATA, Orders'!$B:$P,15,0)</f>
        <v>1540000000</v>
      </c>
      <c r="J21" s="8">
        <f>VLOOKUP($B21,'MAIN DATA, Orders'!$B:$P,13,0)</f>
        <v>1</v>
      </c>
    </row>
    <row r="22" spans="2:10" x14ac:dyDescent="0.35">
      <c r="B22" s="27" t="s">
        <v>441</v>
      </c>
      <c r="C22" s="83" t="str">
        <f>VLOOKUP($B22,'MAIN DATA, Orders'!$B:$P,3,0)</f>
        <v>Germany</v>
      </c>
      <c r="D22" s="83" t="str">
        <f>VLOOKUP($B22,'MAIN DATA, Orders'!$B:$P,6,0)</f>
        <v>Modular container-based air traffic control system</v>
      </c>
      <c r="E22" s="83" t="str">
        <f>VLOOKUP($B22,'MAIN DATA, Orders'!$B:$P,7,0)</f>
        <v>Air traffic control system</v>
      </c>
      <c r="F22" s="83" t="str">
        <f>VLOOKUP($B22,'MAIN DATA, Orders'!$B:$P,8,0)</f>
        <v>Aircraft</v>
      </c>
      <c r="G22" s="31">
        <f>VLOOKUP($B22,'MAIN DATA, Orders'!$B:$P,9,0)</f>
        <v>11</v>
      </c>
      <c r="H22" s="8">
        <f>VLOOKUP($B22,'MAIN DATA, Orders'!$B:$P,14,0)</f>
        <v>67000000</v>
      </c>
      <c r="I22" s="8">
        <f>VLOOKUP($B22,'MAIN DATA, Orders'!$B:$P,15,0)</f>
        <v>67000000</v>
      </c>
      <c r="J22" s="8">
        <f>VLOOKUP($B22,'MAIN DATA, Orders'!$B:$P,13,0)</f>
        <v>1</v>
      </c>
    </row>
    <row r="23" spans="2:10" x14ac:dyDescent="0.35">
      <c r="B23" s="27" t="s">
        <v>449</v>
      </c>
      <c r="C23" s="83" t="str">
        <f>VLOOKUP($B23,'MAIN DATA, Orders'!$B:$P,3,0)</f>
        <v>Germany</v>
      </c>
      <c r="D23" s="83" t="str">
        <f>VLOOKUP($B23,'MAIN DATA, Orders'!$B:$P,6,0)</f>
        <v>Class 424 fleet service ship</v>
      </c>
      <c r="E23" s="83" t="str">
        <f>VLOOKUP($B23,'MAIN DATA, Orders'!$B:$P,7,0)</f>
        <v>Reconnaissance ship</v>
      </c>
      <c r="F23" s="83" t="str">
        <f>VLOOKUP($B23,'MAIN DATA, Orders'!$B:$P,8,0)</f>
        <v>Naval</v>
      </c>
      <c r="G23" s="31">
        <f>VLOOKUP($B23,'MAIN DATA, Orders'!$B:$P,9,0)</f>
        <v>12</v>
      </c>
      <c r="H23" s="8">
        <f>VLOOKUP($B23,'MAIN DATA, Orders'!$B:$P,14,0)</f>
        <v>700000000</v>
      </c>
      <c r="I23" s="8">
        <f>VLOOKUP($B23,'MAIN DATA, Orders'!$B:$P,15,0)</f>
        <v>700000000</v>
      </c>
      <c r="J23" s="8">
        <f>VLOOKUP($B23,'MAIN DATA, Orders'!$B:$P,13,0)</f>
        <v>3</v>
      </c>
    </row>
    <row r="24" spans="2:10" x14ac:dyDescent="0.35">
      <c r="B24" s="27" t="s">
        <v>458</v>
      </c>
      <c r="C24" s="83" t="str">
        <f>VLOOKUP($B24,'MAIN DATA, Orders'!$B:$P,3,0)</f>
        <v>Germany</v>
      </c>
      <c r="D24" s="83" t="str">
        <f>VLOOKUP($B24,'MAIN DATA, Orders'!$B:$P,6,0)</f>
        <v>Class 707 fuel transporter ship</v>
      </c>
      <c r="E24" s="83" t="str">
        <f>VLOOKUP($B24,'MAIN DATA, Orders'!$B:$P,7,0)</f>
        <v>Replenishment auxiliary ship</v>
      </c>
      <c r="F24" s="83" t="str">
        <f>VLOOKUP($B24,'MAIN DATA, Orders'!$B:$P,8,0)</f>
        <v>Naval</v>
      </c>
      <c r="G24" s="31">
        <f>VLOOKUP($B24,'MAIN DATA, Orders'!$B:$P,9,0)</f>
        <v>12</v>
      </c>
      <c r="H24" s="8">
        <f>VLOOKUP($B24,'MAIN DATA, Orders'!$B:$P,14,0)</f>
        <v>457000000</v>
      </c>
      <c r="I24" s="8">
        <f>VLOOKUP($B24,'MAIN DATA, Orders'!$B:$P,15,0)</f>
        <v>457000000</v>
      </c>
      <c r="J24" s="8">
        <f>VLOOKUP($B24,'MAIN DATA, Orders'!$B:$P,13,0)</f>
        <v>2</v>
      </c>
    </row>
    <row r="25" spans="2:10" x14ac:dyDescent="0.35">
      <c r="B25" s="27" t="s">
        <v>465</v>
      </c>
      <c r="C25" s="83" t="str">
        <f>VLOOKUP($B25,'MAIN DATA, Orders'!$B:$P,3,0)</f>
        <v>Germany</v>
      </c>
      <c r="D25" s="83" t="str">
        <f>VLOOKUP($B25,'MAIN DATA, Orders'!$B:$P,6,0)</f>
        <v>U212 Common Design submarine</v>
      </c>
      <c r="E25" s="83" t="str">
        <f>VLOOKUP($B25,'MAIN DATA, Orders'!$B:$P,7,0)</f>
        <v>Submarine</v>
      </c>
      <c r="F25" s="83" t="str">
        <f>VLOOKUP($B25,'MAIN DATA, Orders'!$B:$P,8,0)</f>
        <v>Naval</v>
      </c>
      <c r="G25" s="31">
        <f>VLOOKUP($B25,'MAIN DATA, Orders'!$B:$P,9,0)</f>
        <v>12</v>
      </c>
      <c r="H25" s="8">
        <f>VLOOKUP($B25,'MAIN DATA, Orders'!$B:$P,14,0)</f>
        <v>1000000000</v>
      </c>
      <c r="I25" s="8">
        <f>VLOOKUP($B25,'MAIN DATA, Orders'!$B:$P,15,0)</f>
        <v>1000000000</v>
      </c>
      <c r="J25" s="8">
        <f>VLOOKUP($B25,'MAIN DATA, Orders'!$B:$P,13,0)</f>
        <v>2</v>
      </c>
    </row>
    <row r="26" spans="2:10" x14ac:dyDescent="0.35">
      <c r="B26" s="27" t="s">
        <v>485</v>
      </c>
      <c r="C26" s="83" t="str">
        <f>VLOOKUP($B26,'MAIN DATA, Orders'!$B:$P,3,0)</f>
        <v>Germany</v>
      </c>
      <c r="D26" s="83" t="str">
        <f>VLOOKUP($B26,'MAIN DATA, Orders'!$B:$P,6,0)</f>
        <v>Puma (retrofit)</v>
      </c>
      <c r="E26" s="83" t="str">
        <f>VLOOKUP($B26,'MAIN DATA, Orders'!$B:$P,7,0)</f>
        <v>Infantry fighting vehicle (IFV)</v>
      </c>
      <c r="F26" s="83" t="str">
        <f>VLOOKUP($B26,'MAIN DATA, Orders'!$B:$P,8,0)</f>
        <v>Armoured vehicle</v>
      </c>
      <c r="G26" s="31">
        <f>VLOOKUP($B26,'MAIN DATA, Orders'!$B:$P,9,0)</f>
        <v>2</v>
      </c>
      <c r="H26" s="8">
        <f>VLOOKUP($B26,'MAIN DATA, Orders'!$B:$P,14,0)</f>
        <v>6753246.7532467535</v>
      </c>
      <c r="I26" s="8">
        <f>VLOOKUP($B26,'MAIN DATA, Orders'!$B:$P,15,0)</f>
        <v>6753246.7532467535</v>
      </c>
      <c r="J26" s="8">
        <f>VLOOKUP($B26,'MAIN DATA, Orders'!$B:$P,13,0)</f>
        <v>154</v>
      </c>
    </row>
    <row r="27" spans="2:10" x14ac:dyDescent="0.35">
      <c r="B27" s="27" t="s">
        <v>491</v>
      </c>
      <c r="C27" s="83" t="str">
        <f>VLOOKUP($B27,'MAIN DATA, Orders'!$B:$P,3,0)</f>
        <v>Germany</v>
      </c>
      <c r="D27" s="83" t="str">
        <f>VLOOKUP($B27,'MAIN DATA, Orders'!$B:$P,6,0)</f>
        <v>Boxer Joint Fire Support Team (JFSTsw) prototype</v>
      </c>
      <c r="E27" s="83" t="str">
        <f>VLOOKUP($B27,'MAIN DATA, Orders'!$B:$P,7,0)</f>
        <v>Joint tactical fire support vehicle</v>
      </c>
      <c r="F27" s="83" t="str">
        <f>VLOOKUP($B27,'MAIN DATA, Orders'!$B:$P,8,0)</f>
        <v>Development - Armoured vehicle</v>
      </c>
      <c r="G27" s="31">
        <f>VLOOKUP($B27,'MAIN DATA, Orders'!$B:$P,9,0)</f>
        <v>15</v>
      </c>
      <c r="H27" s="8">
        <f>VLOOKUP($B27,'MAIN DATA, Orders'!$B:$P,14,0)</f>
        <v>35000000</v>
      </c>
      <c r="I27" s="8">
        <f>VLOOKUP($B27,'MAIN DATA, Orders'!$B:$P,15,0)</f>
        <v>35000000</v>
      </c>
      <c r="J27" s="8">
        <f>VLOOKUP($B27,'MAIN DATA, Orders'!$B:$P,13,0)</f>
        <v>2</v>
      </c>
    </row>
    <row r="28" spans="2:10" x14ac:dyDescent="0.35">
      <c r="B28" s="27" t="s">
        <v>511</v>
      </c>
      <c r="C28" s="83" t="str">
        <f>VLOOKUP($B28,'MAIN DATA, Orders'!$B:$P,3,0)</f>
        <v>Germany</v>
      </c>
      <c r="D28" s="83" t="str">
        <f>VLOOKUP($B28,'MAIN DATA, Orders'!$B:$P,6,0)</f>
        <v>Protected ambulance (GVTC)</v>
      </c>
      <c r="E28" s="83" t="str">
        <f>VLOOKUP($B28,'MAIN DATA, Orders'!$B:$P,7,0)</f>
        <v>Armoured personnel carrier (APC)</v>
      </c>
      <c r="F28" s="83" t="str">
        <f>VLOOKUP($B28,'MAIN DATA, Orders'!$B:$P,8,0)</f>
        <v>Armoured vehicle</v>
      </c>
      <c r="G28" s="31">
        <f>VLOOKUP($B28,'MAIN DATA, Orders'!$B:$P,9,0)</f>
        <v>2</v>
      </c>
      <c r="H28" s="8">
        <f>VLOOKUP($B28,'MAIN DATA, Orders'!$B:$P,14,0)</f>
        <v>3250000</v>
      </c>
      <c r="I28" s="8">
        <f>VLOOKUP($B28,'MAIN DATA, Orders'!$B:$P,15,0)</f>
        <v>3250000</v>
      </c>
      <c r="J28" s="8">
        <f>VLOOKUP($B28,'MAIN DATA, Orders'!$B:$P,13,0)</f>
        <v>12</v>
      </c>
    </row>
    <row r="29" spans="2:10" x14ac:dyDescent="0.35">
      <c r="B29" s="27" t="s">
        <v>519</v>
      </c>
      <c r="C29" s="83" t="str">
        <f>VLOOKUP($B29,'MAIN DATA, Orders'!$B:$P,3,0)</f>
        <v>Germany</v>
      </c>
      <c r="D29" s="83" t="str">
        <f>VLOOKUP($B29,'MAIN DATA, Orders'!$B:$P,6,0)</f>
        <v>Unprotected, all-terrain ambulance</v>
      </c>
      <c r="E29" s="83" t="str">
        <f>VLOOKUP($B29,'MAIN DATA, Orders'!$B:$P,7,0)</f>
        <v>Non-combat military vehicle</v>
      </c>
      <c r="F29" s="83" t="str">
        <f>VLOOKUP($B29,'MAIN DATA, Orders'!$B:$P,8,0)</f>
        <v>Other</v>
      </c>
      <c r="G29" s="31">
        <f>VLOOKUP($B29,'MAIN DATA, Orders'!$B:$P,9,0)</f>
        <v>16</v>
      </c>
      <c r="H29" s="8">
        <f>VLOOKUP($B29,'MAIN DATA, Orders'!$B:$P,14,0)</f>
        <v>829931.97278911562</v>
      </c>
      <c r="I29" s="8">
        <f>VLOOKUP($B29,'MAIN DATA, Orders'!$B:$P,15,0)</f>
        <v>829931.97278911562</v>
      </c>
      <c r="J29" s="8">
        <f>VLOOKUP($B29,'MAIN DATA, Orders'!$B:$P,13,0)</f>
        <v>294</v>
      </c>
    </row>
    <row r="30" spans="2:10" x14ac:dyDescent="0.35">
      <c r="B30" s="27" t="s">
        <v>527</v>
      </c>
      <c r="C30" s="83" t="str">
        <f>VLOOKUP($B30,'MAIN DATA, Orders'!$B:$P,3,0)</f>
        <v>Germany</v>
      </c>
      <c r="D30" s="83" t="str">
        <f>VLOOKUP($B30,'MAIN DATA, Orders'!$B:$P,6,0)</f>
        <v>Class 123 frigate radar and weapons system modernisation</v>
      </c>
      <c r="E30" s="83" t="str">
        <f>VLOOKUP($B30,'MAIN DATA, Orders'!$B:$P,7,0)</f>
        <v>Frigate modernisation</v>
      </c>
      <c r="F30" s="83" t="str">
        <f>VLOOKUP($B30,'MAIN DATA, Orders'!$B:$P,8,0)</f>
        <v>Naval</v>
      </c>
      <c r="G30" s="31">
        <f>VLOOKUP($B30,'MAIN DATA, Orders'!$B:$P,9,0)</f>
        <v>12</v>
      </c>
      <c r="H30" s="8">
        <f>VLOOKUP($B30,'MAIN DATA, Orders'!$B:$P,14,0)</f>
        <v>116000000</v>
      </c>
      <c r="I30" s="8">
        <f>VLOOKUP($B30,'MAIN DATA, Orders'!$B:$P,15,0)</f>
        <v>116000000</v>
      </c>
      <c r="J30" s="8">
        <f>VLOOKUP($B30,'MAIN DATA, Orders'!$B:$P,13,0)</f>
        <v>4</v>
      </c>
    </row>
    <row r="31" spans="2:10" x14ac:dyDescent="0.35">
      <c r="B31" s="27" t="s">
        <v>545</v>
      </c>
      <c r="C31" s="83" t="str">
        <f>VLOOKUP($B31,'MAIN DATA, Orders'!$B:$P,3,0)</f>
        <v>Germany</v>
      </c>
      <c r="D31" s="83" t="str">
        <f>VLOOKUP($B31,'MAIN DATA, Orders'!$B:$P,6,0)</f>
        <v>Class 124 frigate radar system</v>
      </c>
      <c r="E31" s="83" t="str">
        <f>VLOOKUP($B31,'MAIN DATA, Orders'!$B:$P,7,0)</f>
        <v>Frigate modernisation</v>
      </c>
      <c r="F31" s="83" t="str">
        <f>VLOOKUP($B31,'MAIN DATA, Orders'!$B:$P,8,0)</f>
        <v>Naval</v>
      </c>
      <c r="G31" s="31">
        <f>VLOOKUP($B31,'MAIN DATA, Orders'!$B:$P,9,0)</f>
        <v>12</v>
      </c>
      <c r="H31" s="8">
        <f>VLOOKUP($B31,'MAIN DATA, Orders'!$B:$P,14,0)</f>
        <v>55000000</v>
      </c>
      <c r="I31" s="8">
        <f>VLOOKUP($B31,'MAIN DATA, Orders'!$B:$P,15,0)</f>
        <v>55000000</v>
      </c>
      <c r="J31" s="8">
        <f>VLOOKUP($B31,'MAIN DATA, Orders'!$B:$P,13,0)</f>
        <v>4</v>
      </c>
    </row>
    <row r="32" spans="2:10" x14ac:dyDescent="0.35">
      <c r="B32" s="27" t="s">
        <v>551</v>
      </c>
      <c r="C32" s="83" t="str">
        <f>VLOOKUP($B32,'MAIN DATA, Orders'!$B:$P,3,0)</f>
        <v>Germany</v>
      </c>
      <c r="D32" s="83" t="str">
        <f>VLOOKUP($B32,'MAIN DATA, Orders'!$B:$P,6,0)</f>
        <v>Seeversuch Küste (SVK) ship</v>
      </c>
      <c r="E32" s="83" t="str">
        <f>VLOOKUP($B32,'MAIN DATA, Orders'!$B:$P,7,0)</f>
        <v>Coastal trial support ship</v>
      </c>
      <c r="F32" s="83" t="str">
        <f>VLOOKUP($B32,'MAIN DATA, Orders'!$B:$P,8,0)</f>
        <v>Naval</v>
      </c>
      <c r="G32" s="31">
        <f>VLOOKUP($B32,'MAIN DATA, Orders'!$B:$P,9,0)</f>
        <v>12</v>
      </c>
      <c r="H32" s="8">
        <f>VLOOKUP($B32,'MAIN DATA, Orders'!$B:$P,14,0)</f>
        <v>47500000</v>
      </c>
      <c r="I32" s="8">
        <f>VLOOKUP($B32,'MAIN DATA, Orders'!$B:$P,15,0)</f>
        <v>47500000</v>
      </c>
      <c r="J32" s="8">
        <f>VLOOKUP($B32,'MAIN DATA, Orders'!$B:$P,13,0)</f>
        <v>2</v>
      </c>
    </row>
    <row r="33" spans="1:10" x14ac:dyDescent="0.35">
      <c r="B33" s="27" t="s">
        <v>560</v>
      </c>
      <c r="C33" s="83" t="str">
        <f>VLOOKUP($B33,'MAIN DATA, Orders'!$B:$P,3,0)</f>
        <v>Germany</v>
      </c>
      <c r="D33" s="83" t="str">
        <f>VLOOKUP($B33,'MAIN DATA, Orders'!$B:$P,6,0)</f>
        <v>Class MJ332C minehunter command and weapon deployment system IMCMS</v>
      </c>
      <c r="E33" s="83" t="str">
        <f>VLOOKUP($B33,'MAIN DATA, Orders'!$B:$P,7,0)</f>
        <v>Minehunter ship modernisation</v>
      </c>
      <c r="F33" s="83" t="str">
        <f>VLOOKUP($B33,'MAIN DATA, Orders'!$B:$P,8,0)</f>
        <v>Naval</v>
      </c>
      <c r="G33" s="31">
        <f>VLOOKUP($B33,'MAIN DATA, Orders'!$B:$P,9,0)</f>
        <v>12</v>
      </c>
      <c r="H33" s="8">
        <f>VLOOKUP($B33,'MAIN DATA, Orders'!$B:$P,14,0)</f>
        <v>8800000</v>
      </c>
      <c r="I33" s="8">
        <f>VLOOKUP($B33,'MAIN DATA, Orders'!$B:$P,15,0)</f>
        <v>8800000</v>
      </c>
      <c r="J33" s="8">
        <f>VLOOKUP($B33,'MAIN DATA, Orders'!$B:$P,13,0)</f>
        <v>5</v>
      </c>
    </row>
    <row r="34" spans="1:10" x14ac:dyDescent="0.35">
      <c r="B34" s="27" t="s">
        <v>565</v>
      </c>
      <c r="C34" s="83" t="str">
        <f>VLOOKUP($B34,'MAIN DATA, Orders'!$B:$P,3,0)</f>
        <v>Germany</v>
      </c>
      <c r="D34" s="83" t="str">
        <f>VLOOKUP($B34,'MAIN DATA, Orders'!$B:$P,6,0)</f>
        <v>TETRA digital radio network</v>
      </c>
      <c r="E34" s="83" t="str">
        <f>VLOOKUP($B34,'MAIN DATA, Orders'!$B:$P,7,0)</f>
        <v>Naval communication system</v>
      </c>
      <c r="F34" s="83" t="str">
        <f>VLOOKUP($B34,'MAIN DATA, Orders'!$B:$P,8,0)</f>
        <v>Naval</v>
      </c>
      <c r="G34" s="31">
        <f>VLOOKUP($B34,'MAIN DATA, Orders'!$B:$P,9,0)</f>
        <v>12</v>
      </c>
      <c r="H34" s="8">
        <f>VLOOKUP($B34,'MAIN DATA, Orders'!$B:$P,14,0)</f>
        <v>4368750</v>
      </c>
      <c r="I34" s="8">
        <f>VLOOKUP($B34,'MAIN DATA, Orders'!$B:$P,15,0)</f>
        <v>4368750</v>
      </c>
      <c r="J34" s="8">
        <f>VLOOKUP($B34,'MAIN DATA, Orders'!$B:$P,13,0)</f>
        <v>16</v>
      </c>
    </row>
    <row r="35" spans="1:10" x14ac:dyDescent="0.35">
      <c r="B35" s="27" t="s">
        <v>573</v>
      </c>
      <c r="C35" s="83" t="str">
        <f>VLOOKUP($B35,'MAIN DATA, Orders'!$B:$P,3,0)</f>
        <v>Germany</v>
      </c>
      <c r="D35" s="83" t="str">
        <f>VLOOKUP($B35,'MAIN DATA, Orders'!$B:$P,6,0)</f>
        <v>Radar navigation system for various classes</v>
      </c>
      <c r="E35" s="83" t="str">
        <f>VLOOKUP($B35,'MAIN DATA, Orders'!$B:$P,7,0)</f>
        <v>Naval radar navigation system</v>
      </c>
      <c r="F35" s="83" t="str">
        <f>VLOOKUP($B35,'MAIN DATA, Orders'!$B:$P,8,0)</f>
        <v>Naval</v>
      </c>
      <c r="G35" s="31">
        <f>VLOOKUP($B35,'MAIN DATA, Orders'!$B:$P,9,0)</f>
        <v>12</v>
      </c>
      <c r="H35" s="8">
        <f>VLOOKUP($B35,'MAIN DATA, Orders'!$B:$P,14,0)</f>
        <v>999450</v>
      </c>
      <c r="I35" s="8">
        <f>VLOOKUP($B35,'MAIN DATA, Orders'!$B:$P,15,0)</f>
        <v>999450</v>
      </c>
      <c r="J35" s="8">
        <f>VLOOKUP($B35,'MAIN DATA, Orders'!$B:$P,13,0)</f>
        <v>40</v>
      </c>
    </row>
    <row r="36" spans="1:10" x14ac:dyDescent="0.35">
      <c r="B36" s="27" t="s">
        <v>588</v>
      </c>
      <c r="C36" s="83" t="str">
        <f>VLOOKUP($B36,'MAIN DATA, Orders'!$B:$P,3,0)</f>
        <v>Germany</v>
      </c>
      <c r="D36" s="83" t="str">
        <f>VLOOKUP($B36,'MAIN DATA, Orders'!$B:$P,6,0)</f>
        <v>LLM-VarioRay assault rifle laser light module</v>
      </c>
      <c r="E36" s="83" t="str">
        <f>VLOOKUP($B36,'MAIN DATA, Orders'!$B:$P,7,0)</f>
        <v>Equipment for Small Arms and Light Weapons (SALW)</v>
      </c>
      <c r="F36" s="83" t="str">
        <f>VLOOKUP($B36,'MAIN DATA, Orders'!$B:$P,8,0)</f>
        <v>Infantry</v>
      </c>
      <c r="G36" s="31">
        <f>VLOOKUP($B36,'MAIN DATA, Orders'!$B:$P,9,0)</f>
        <v>8</v>
      </c>
      <c r="H36" s="8">
        <f>VLOOKUP($B36,'MAIN DATA, Orders'!$B:$P,14,0)</f>
        <v>1219.5121951219512</v>
      </c>
      <c r="I36" s="8">
        <f>VLOOKUP($B36,'MAIN DATA, Orders'!$B:$P,15,0)</f>
        <v>1219.5121951219512</v>
      </c>
      <c r="J36" s="8">
        <f>VLOOKUP($B36,'MAIN DATA, Orders'!$B:$P,13,0)</f>
        <v>2460</v>
      </c>
    </row>
    <row r="37" spans="1:10" x14ac:dyDescent="0.35">
      <c r="B37" s="27" t="s">
        <v>679</v>
      </c>
      <c r="C37" s="83" t="str">
        <f>VLOOKUP($B37,'MAIN DATA, Orders'!$B:$P,3,0)</f>
        <v>Germany</v>
      </c>
      <c r="D37" s="83" t="str">
        <f>VLOOKUP($B37,'MAIN DATA, Orders'!$B:$P,6,0)</f>
        <v>Operational boat for Navy special forces</v>
      </c>
      <c r="E37" s="83" t="str">
        <f>VLOOKUP($B37,'MAIN DATA, Orders'!$B:$P,7,0)</f>
        <v>Medium-range operational boat</v>
      </c>
      <c r="F37" s="83" t="str">
        <f>VLOOKUP($B37,'MAIN DATA, Orders'!$B:$P,8,0)</f>
        <v>Naval</v>
      </c>
      <c r="G37" s="31">
        <f>VLOOKUP($B37,'MAIN DATA, Orders'!$B:$P,9,0)</f>
        <v>12</v>
      </c>
      <c r="H37" s="8">
        <f>VLOOKUP($B37,'MAIN DATA, Orders'!$B:$P,14,0)</f>
        <v>3888888.888888889</v>
      </c>
      <c r="I37" s="8">
        <f>VLOOKUP($B37,'MAIN DATA, Orders'!$B:$P,15,0)</f>
        <v>3888888.888888889</v>
      </c>
      <c r="J37" s="8">
        <f>VLOOKUP($B37,'MAIN DATA, Orders'!$B:$P,13,0)</f>
        <v>9</v>
      </c>
    </row>
    <row r="38" spans="1:10" x14ac:dyDescent="0.35">
      <c r="B38" s="27" t="s">
        <v>691</v>
      </c>
      <c r="C38" s="83" t="str">
        <f>VLOOKUP($B38,'MAIN DATA, Orders'!$B:$P,3,0)</f>
        <v>Germany</v>
      </c>
      <c r="D38" s="83" t="str">
        <f>VLOOKUP($B38,'MAIN DATA, Orders'!$B:$P,6,0)</f>
        <v>System for evaluating aerial images and video transmissions</v>
      </c>
      <c r="E38" s="83" t="str">
        <f>VLOOKUP($B38,'MAIN DATA, Orders'!$B:$P,7,0)</f>
        <v>Communication and digitalisation</v>
      </c>
      <c r="F38" s="83" t="str">
        <f>VLOOKUP($B38,'MAIN DATA, Orders'!$B:$P,8,0)</f>
        <v>Modernisation</v>
      </c>
      <c r="G38" s="31">
        <f>VLOOKUP($B38,'MAIN DATA, Orders'!$B:$P,9,0)</f>
        <v>13</v>
      </c>
      <c r="H38" s="8">
        <f>VLOOKUP($B38,'MAIN DATA, Orders'!$B:$P,14,0)</f>
        <v>25250000</v>
      </c>
      <c r="I38" s="8">
        <f>VLOOKUP($B38,'MAIN DATA, Orders'!$B:$P,15,0)</f>
        <v>25250000</v>
      </c>
      <c r="J38" s="8">
        <f>VLOOKUP($B38,'MAIN DATA, Orders'!$B:$P,13,0)</f>
        <v>4</v>
      </c>
    </row>
    <row r="39" spans="1:10" x14ac:dyDescent="0.35">
      <c r="B39" s="27" t="s">
        <v>697</v>
      </c>
      <c r="C39" s="83" t="str">
        <f>VLOOKUP($B39,'MAIN DATA, Orders'!$B:$P,3,0)</f>
        <v>Germany</v>
      </c>
      <c r="D39" s="83" t="str">
        <f>VLOOKUP($B39,'MAIN DATA, Orders'!$B:$P,6,0)</f>
        <v>P-8A Poseidon contract adjustment</v>
      </c>
      <c r="E39" s="83" t="str">
        <f>VLOOKUP($B39,'MAIN DATA, Orders'!$B:$P,7,0)</f>
        <v>Maritime reconnaissance patrol aircraft - contract adjustment</v>
      </c>
      <c r="F39" s="83" t="str">
        <f>VLOOKUP($B39,'MAIN DATA, Orders'!$B:$P,8,0)</f>
        <v>Naval</v>
      </c>
      <c r="G39" s="31">
        <f>VLOOKUP($B39,'MAIN DATA, Orders'!$B:$P,9,0)</f>
        <v>12</v>
      </c>
      <c r="H39" s="8">
        <f>VLOOKUP($B39,'MAIN DATA, Orders'!$B:$P,14,0)</f>
        <v>68360000</v>
      </c>
      <c r="I39" s="8">
        <f>VLOOKUP($B39,'MAIN DATA, Orders'!$B:$P,15,0)</f>
        <v>68360000</v>
      </c>
      <c r="J39" s="8">
        <f>VLOOKUP($B39,'MAIN DATA, Orders'!$B:$P,13,0)</f>
        <v>5</v>
      </c>
    </row>
    <row r="40" spans="1:10" x14ac:dyDescent="0.35">
      <c r="B40" s="27" t="s">
        <v>709</v>
      </c>
      <c r="C40" s="83" t="str">
        <f>VLOOKUP($B40,'MAIN DATA, Orders'!$B:$P,3,0)</f>
        <v>Germany</v>
      </c>
      <c r="D40" s="83" t="str">
        <f>VLOOKUP($B40,'MAIN DATA, Orders'!$B:$P,6,0)</f>
        <v>Leopard 2 ammunition DM88 (training)</v>
      </c>
      <c r="E40" s="83" t="str">
        <f>VLOOKUP($B40,'MAIN DATA, Orders'!$B:$P,7,0)</f>
        <v>120mm tank ammunition</v>
      </c>
      <c r="F40" s="83" t="str">
        <f>VLOOKUP($B40,'MAIN DATA, Orders'!$B:$P,8,0)</f>
        <v>Ammunition</v>
      </c>
      <c r="G40" s="31">
        <f>VLOOKUP($B40,'MAIN DATA, Orders'!$B:$P,9,0)</f>
        <v>4</v>
      </c>
      <c r="H40" s="8">
        <f>VLOOKUP($B40,'MAIN DATA, Orders'!$B:$P,14,0)</f>
        <v>2032.3437122857833</v>
      </c>
      <c r="I40" s="8">
        <f>VLOOKUP($B40,'MAIN DATA, Orders'!$B:$P,15,0)</f>
        <v>2032.3437122857833</v>
      </c>
      <c r="J40" s="8">
        <f>VLOOKUP($B40,'MAIN DATA, Orders'!$B:$P,13,0)</f>
        <v>20715</v>
      </c>
    </row>
    <row r="41" spans="1:10" x14ac:dyDescent="0.35">
      <c r="B41" s="27" t="s">
        <v>713</v>
      </c>
      <c r="C41" s="83" t="str">
        <f>VLOOKUP($B41,'MAIN DATA, Orders'!$B:$P,3,0)</f>
        <v>Germany</v>
      </c>
      <c r="D41" s="83" t="str">
        <f>VLOOKUP($B41,'MAIN DATA, Orders'!$B:$P,6,0)</f>
        <v>RAM Block 2B missile</v>
      </c>
      <c r="E41" s="83" t="str">
        <f>VLOOKUP($B41,'MAIN DATA, Orders'!$B:$P,7,0)</f>
        <v>Naval guided surface-to-air missile (SAM)</v>
      </c>
      <c r="F41" s="83" t="str">
        <f>VLOOKUP($B41,'MAIN DATA, Orders'!$B:$P,8,0)</f>
        <v>Missile (Naval)</v>
      </c>
      <c r="G41" s="31">
        <f>VLOOKUP($B41,'MAIN DATA, Orders'!$B:$P,9,0)</f>
        <v>6</v>
      </c>
      <c r="H41" s="8">
        <f>VLOOKUP($B41,'MAIN DATA, Orders'!$B:$P,14,0)</f>
        <v>934833.33333333337</v>
      </c>
      <c r="I41" s="8">
        <f>VLOOKUP($B41,'MAIN DATA, Orders'!$B:$P,15,0)</f>
        <v>934833.33333333337</v>
      </c>
      <c r="J41" s="8">
        <f>VLOOKUP($B41,'MAIN DATA, Orders'!$B:$P,13,0)</f>
        <v>600</v>
      </c>
    </row>
    <row r="42" spans="1:10" x14ac:dyDescent="0.35">
      <c r="B42" s="27" t="s">
        <v>725</v>
      </c>
      <c r="C42" s="83" t="str">
        <f>VLOOKUP($B42,'MAIN DATA, Orders'!$B:$P,3,0)</f>
        <v>Germany</v>
      </c>
      <c r="D42" s="83" t="str">
        <f>VLOOKUP($B42,'MAIN DATA, Orders'!$B:$P,6,0)</f>
        <v>Speaking set with hearing protection</v>
      </c>
      <c r="E42" s="83" t="str">
        <f>VLOOKUP($B42,'MAIN DATA, Orders'!$B:$P,7,0)</f>
        <v>Communication equipment</v>
      </c>
      <c r="F42" s="83" t="str">
        <f>VLOOKUP($B42,'MAIN DATA, Orders'!$B:$P,8,0)</f>
        <v>Modernisation</v>
      </c>
      <c r="G42" s="31">
        <f>VLOOKUP($B42,'MAIN DATA, Orders'!$B:$P,9,0)</f>
        <v>13</v>
      </c>
      <c r="H42" s="8">
        <f>VLOOKUP($B42,'MAIN DATA, Orders'!$B:$P,14,0)</f>
        <v>2046.3847203274215</v>
      </c>
      <c r="I42" s="8">
        <f>VLOOKUP($B42,'MAIN DATA, Orders'!$B:$P,15,0)</f>
        <v>2046.3847203274215</v>
      </c>
      <c r="J42" s="8">
        <f>VLOOKUP($B42,'MAIN DATA, Orders'!$B:$P,13,0)</f>
        <v>3665</v>
      </c>
    </row>
    <row r="43" spans="1:10" x14ac:dyDescent="0.35">
      <c r="B43" s="27" t="s">
        <v>761</v>
      </c>
      <c r="C43" s="83" t="str">
        <f>VLOOKUP($B43,'MAIN DATA, Orders'!$B:$P,3,0)</f>
        <v>Germany</v>
      </c>
      <c r="D43" s="83" t="str">
        <f>VLOOKUP($B43,'MAIN DATA, Orders'!$B:$P,6,0)</f>
        <v>G95A1 assault rifle</v>
      </c>
      <c r="E43" s="83" t="str">
        <f>VLOOKUP($B43,'MAIN DATA, Orders'!$B:$P,7,0)</f>
        <v>Small Arms and Light Weapons (SALW)</v>
      </c>
      <c r="F43" s="83" t="str">
        <f>VLOOKUP($B43,'MAIN DATA, Orders'!$B:$P,8,0)</f>
        <v>Infantry</v>
      </c>
      <c r="G43" s="31">
        <f>VLOOKUP($B43,'MAIN DATA, Orders'!$B:$P,9,0)</f>
        <v>8</v>
      </c>
      <c r="H43" s="8">
        <f>VLOOKUP($B43,'MAIN DATA, Orders'!$B:$P,14,0)</f>
        <v>1760.4744015229367</v>
      </c>
      <c r="I43" s="8">
        <f>VLOOKUP($B43,'MAIN DATA, Orders'!$B:$P,15,0)</f>
        <v>1760.4744015229367</v>
      </c>
      <c r="J43" s="8">
        <f>VLOOKUP($B43,'MAIN DATA, Orders'!$B:$P,13,0)</f>
        <v>118718</v>
      </c>
    </row>
    <row r="44" spans="1:10" x14ac:dyDescent="0.35">
      <c r="A44" s="27"/>
      <c r="B44" s="27" t="s">
        <v>770</v>
      </c>
      <c r="C44" s="83" t="str">
        <f>VLOOKUP($B44,'MAIN DATA, Orders'!$B:$P,3,0)</f>
        <v>Germany</v>
      </c>
      <c r="D44" s="83" t="str">
        <f>VLOOKUP($B44,'MAIN DATA, Orders'!$B:$P,6,0)</f>
        <v>Puma (retrofit)</v>
      </c>
      <c r="E44" s="83" t="str">
        <f>VLOOKUP($B44,'MAIN DATA, Orders'!$B:$P,7,0)</f>
        <v>Infantry fighting vehicle (IFV)</v>
      </c>
      <c r="F44" s="83" t="str">
        <f>VLOOKUP($B44,'MAIN DATA, Orders'!$B:$P,8,0)</f>
        <v>Armoured vehicle</v>
      </c>
      <c r="G44" s="31">
        <f>VLOOKUP($B44,'MAIN DATA, Orders'!$B:$P,9,0)</f>
        <v>2</v>
      </c>
      <c r="H44" s="8">
        <f>VLOOKUP($B44,'MAIN DATA, Orders'!$B:$P,14,0)</f>
        <v>5944055.9440559437</v>
      </c>
      <c r="I44" s="8">
        <f>VLOOKUP($B44,'MAIN DATA, Orders'!$B:$P,15,0)</f>
        <v>5944055.9440559437</v>
      </c>
      <c r="J44" s="8">
        <f>VLOOKUP($B44,'MAIN DATA, Orders'!$B:$P,13,0)</f>
        <v>143</v>
      </c>
    </row>
    <row r="45" spans="1:10" x14ac:dyDescent="0.35">
      <c r="A45" s="27"/>
      <c r="B45" s="27" t="s">
        <v>773</v>
      </c>
      <c r="C45" s="83" t="str">
        <f>VLOOKUP($B45,'MAIN DATA, Orders'!$B:$P,3,0)</f>
        <v>Germany</v>
      </c>
      <c r="D45" s="83" t="str">
        <f>VLOOKUP($B45,'MAIN DATA, Orders'!$B:$P,6,0)</f>
        <v>BvS10 Collaborative All Terrain Vehicle (CATV)</v>
      </c>
      <c r="E45" s="83" t="str">
        <f>VLOOKUP($B45,'MAIN DATA, Orders'!$B:$P,7,0)</f>
        <v>All-terrain vehicle</v>
      </c>
      <c r="F45" s="83" t="str">
        <f>VLOOKUP($B45,'MAIN DATA, Orders'!$B:$P,8,0)</f>
        <v>Armoured vehicle</v>
      </c>
      <c r="G45" s="31">
        <f>VLOOKUP($B45,'MAIN DATA, Orders'!$B:$P,9,0)</f>
        <v>2</v>
      </c>
      <c r="H45" s="8">
        <f>VLOOKUP($B45,'MAIN DATA, Orders'!$B:$P,14,0)</f>
        <v>2892857.1428571427</v>
      </c>
      <c r="I45" s="8">
        <f>VLOOKUP($B45,'MAIN DATA, Orders'!$B:$P,15,0)</f>
        <v>2892857.1428571427</v>
      </c>
      <c r="J45" s="8">
        <f>VLOOKUP($B45,'MAIN DATA, Orders'!$B:$P,13,0)</f>
        <v>140</v>
      </c>
    </row>
    <row r="46" spans="1:10" x14ac:dyDescent="0.35">
      <c r="A46" s="27"/>
      <c r="B46" s="27" t="s">
        <v>779</v>
      </c>
      <c r="C46" s="83" t="str">
        <f>VLOOKUP($B46,'MAIN DATA, Orders'!$B:$P,3,0)</f>
        <v>Germany</v>
      </c>
      <c r="D46" s="83" t="str">
        <f>VLOOKUP($B46,'MAIN DATA, Orders'!$B:$P,6,0)</f>
        <v>Command and communication equipment</v>
      </c>
      <c r="E46" s="83" t="str">
        <f>VLOOKUP($B46,'MAIN DATA, Orders'!$B:$P,7,0)</f>
        <v>Communication equipment</v>
      </c>
      <c r="F46" s="83" t="str">
        <f>VLOOKUP($B46,'MAIN DATA, Orders'!$B:$P,8,0)</f>
        <v>Modernisation</v>
      </c>
      <c r="G46" s="31">
        <f>VLOOKUP($B46,'MAIN DATA, Orders'!$B:$P,9,0)</f>
        <v>13</v>
      </c>
      <c r="H46" s="8">
        <f>VLOOKUP($B46,'MAIN DATA, Orders'!$B:$P,14,0)</f>
        <v>107142.85714285714</v>
      </c>
      <c r="I46" s="8">
        <f>VLOOKUP($B46,'MAIN DATA, Orders'!$B:$P,15,0)</f>
        <v>107142.85714285714</v>
      </c>
      <c r="J46" s="8">
        <f>VLOOKUP($B46,'MAIN DATA, Orders'!$B:$P,13,0)</f>
        <v>476</v>
      </c>
    </row>
    <row r="47" spans="1:10" x14ac:dyDescent="0.35">
      <c r="A47" s="27"/>
      <c r="B47" s="27" t="s">
        <v>793</v>
      </c>
      <c r="C47" s="83" t="str">
        <f>VLOOKUP($B47,'MAIN DATA, Orders'!$B:$P,3,0)</f>
        <v>Germany</v>
      </c>
      <c r="D47" s="83" t="str">
        <f>VLOOKUP($B47,'MAIN DATA, Orders'!$B:$P,6,0)</f>
        <v>F-35A fighter jet</v>
      </c>
      <c r="E47" s="83" t="str">
        <f>VLOOKUP($B47,'MAIN DATA, Orders'!$B:$P,7,0)</f>
        <v>Fighter aircraft</v>
      </c>
      <c r="F47" s="83" t="str">
        <f>VLOOKUP($B47,'MAIN DATA, Orders'!$B:$P,8,0)</f>
        <v>Aircraft</v>
      </c>
      <c r="G47" s="31">
        <f>VLOOKUP($B47,'MAIN DATA, Orders'!$B:$P,9,0)</f>
        <v>11</v>
      </c>
      <c r="H47" s="8">
        <f>VLOOKUP($B47,'MAIN DATA, Orders'!$B:$P,14,0)</f>
        <v>237142857.14285713</v>
      </c>
      <c r="I47" s="8">
        <f>VLOOKUP($B47,'MAIN DATA, Orders'!$B:$P,15,0)</f>
        <v>237142857.14285713</v>
      </c>
      <c r="J47" s="8">
        <f>VLOOKUP($B47,'MAIN DATA, Orders'!$B:$P,13,0)</f>
        <v>35</v>
      </c>
    </row>
    <row r="48" spans="1:10" x14ac:dyDescent="0.35">
      <c r="A48" s="27"/>
      <c r="B48" s="27" t="s">
        <v>805</v>
      </c>
      <c r="C48" s="83" t="str">
        <f>VLOOKUP($B48,'MAIN DATA, Orders'!$B:$P,3,0)</f>
        <v>Germany</v>
      </c>
      <c r="D48" s="83" t="str">
        <f>VLOOKUP($B48,'MAIN DATA, Orders'!$B:$P,6,0)</f>
        <v>Gepard ammunition for Ukraine</v>
      </c>
      <c r="E48" s="83" t="str">
        <f>VLOOKUP($B48,'MAIN DATA, Orders'!$B:$P,7,0)</f>
        <v>35mm anti-aircraft gun tank ammunition</v>
      </c>
      <c r="F48" s="83" t="str">
        <f>VLOOKUP($B48,'MAIN DATA, Orders'!$B:$P,8,0)</f>
        <v>Ammunition</v>
      </c>
      <c r="G48" s="31">
        <f>VLOOKUP($B48,'MAIN DATA, Orders'!$B:$P,9,0)</f>
        <v>4</v>
      </c>
      <c r="H48" s="8">
        <f>VLOOKUP($B48,'MAIN DATA, Orders'!$B:$P,14,0)</f>
        <v>560</v>
      </c>
      <c r="I48" s="8">
        <f>VLOOKUP($B48,'MAIN DATA, Orders'!$B:$P,15,0)</f>
        <v>560</v>
      </c>
      <c r="J48" s="8">
        <f>VLOOKUP($B48,'MAIN DATA, Orders'!$B:$P,13,0)</f>
        <v>300000</v>
      </c>
    </row>
    <row r="49" spans="1:10" x14ac:dyDescent="0.35">
      <c r="A49" s="27"/>
      <c r="B49" s="27" t="s">
        <v>824</v>
      </c>
      <c r="C49" s="83" t="str">
        <f>VLOOKUP($B49,'MAIN DATA, Orders'!$B:$P,3,0)</f>
        <v>Germany</v>
      </c>
      <c r="D49" s="83" t="str">
        <f>VLOOKUP($B49,'MAIN DATA, Orders'!$B:$P,6,0)</f>
        <v>GTF protected transport vehicle 15t</v>
      </c>
      <c r="E49" s="83" t="str">
        <f>VLOOKUP($B49,'MAIN DATA, Orders'!$B:$P,7,0)</f>
        <v>Armoured Utility Vehicle (AUV)</v>
      </c>
      <c r="F49" s="83" t="str">
        <f>VLOOKUP($B49,'MAIN DATA, Orders'!$B:$P,8,0)</f>
        <v>Armoured vehicle</v>
      </c>
      <c r="G49" s="31">
        <f>VLOOKUP($B49,'MAIN DATA, Orders'!$B:$P,9,0)</f>
        <v>2</v>
      </c>
      <c r="H49" s="8">
        <f>VLOOKUP($B49,'MAIN DATA, Orders'!$B:$P,14,0)</f>
        <v>853043.47826086951</v>
      </c>
      <c r="I49" s="8">
        <f>VLOOKUP($B49,'MAIN DATA, Orders'!$B:$P,15,0)</f>
        <v>853043.47826086951</v>
      </c>
      <c r="J49" s="8">
        <f>VLOOKUP($B49,'MAIN DATA, Orders'!$B:$P,13,0)</f>
        <v>230</v>
      </c>
    </row>
    <row r="50" spans="1:10" x14ac:dyDescent="0.35">
      <c r="A50" s="27"/>
      <c r="B50" s="27" t="s">
        <v>834</v>
      </c>
      <c r="C50" s="83" t="str">
        <f>VLOOKUP($B50,'MAIN DATA, Orders'!$B:$P,3,0)</f>
        <v>Germany</v>
      </c>
      <c r="D50" s="83" t="str">
        <f>VLOOKUP($B50,'MAIN DATA, Orders'!$B:$P,6,0)</f>
        <v>Panzerhaubitze 2000</v>
      </c>
      <c r="E50" s="83" t="str">
        <f>VLOOKUP($B50,'MAIN DATA, Orders'!$B:$P,7,0)</f>
        <v>155mm howitzer</v>
      </c>
      <c r="F50" s="83" t="str">
        <f>VLOOKUP($B50,'MAIN DATA, Orders'!$B:$P,8,0)</f>
        <v>Artillery</v>
      </c>
      <c r="G50" s="31">
        <f>VLOOKUP($B50,'MAIN DATA, Orders'!$B:$P,9,0)</f>
        <v>3</v>
      </c>
      <c r="H50" s="8">
        <f>VLOOKUP($B50,'MAIN DATA, Orders'!$B:$P,14,0)</f>
        <v>18400000</v>
      </c>
      <c r="I50" s="8">
        <f>VLOOKUP($B50,'MAIN DATA, Orders'!$B:$P,15,0)</f>
        <v>18400000</v>
      </c>
      <c r="J50" s="8">
        <f>VLOOKUP($B50,'MAIN DATA, Orders'!$B:$P,13,0)</f>
        <v>10</v>
      </c>
    </row>
    <row r="51" spans="1:10" x14ac:dyDescent="0.35">
      <c r="A51" s="27"/>
      <c r="B51" s="27" t="s">
        <v>841</v>
      </c>
      <c r="C51" s="83" t="str">
        <f>VLOOKUP($B51,'MAIN DATA, Orders'!$B:$P,3,0)</f>
        <v>Germany</v>
      </c>
      <c r="D51" s="83" t="str">
        <f>VLOOKUP($B51,'MAIN DATA, Orders'!$B:$P,6,0)</f>
        <v>Integrated Marine Operations Rescue Center (i-MERZ)</v>
      </c>
      <c r="E51" s="83" t="str">
        <f>VLOOKUP($B51,'MAIN DATA, Orders'!$B:$P,7,0)</f>
        <v>Medical emergency facility</v>
      </c>
      <c r="F51" s="83" t="str">
        <f>VLOOKUP($B51,'MAIN DATA, Orders'!$B:$P,8,0)</f>
        <v>Naval</v>
      </c>
      <c r="G51" s="31">
        <f>VLOOKUP($B51,'MAIN DATA, Orders'!$B:$P,9,0)</f>
        <v>12</v>
      </c>
      <c r="H51" s="8">
        <f>VLOOKUP($B51,'MAIN DATA, Orders'!$B:$P,14,0)</f>
        <v>42000000</v>
      </c>
      <c r="I51" s="8">
        <f>VLOOKUP($B51,'MAIN DATA, Orders'!$B:$P,15,0)</f>
        <v>42000000</v>
      </c>
      <c r="J51" s="8">
        <f>VLOOKUP($B51,'MAIN DATA, Orders'!$B:$P,13,0)</f>
        <v>1</v>
      </c>
    </row>
    <row r="52" spans="1:10" x14ac:dyDescent="0.35">
      <c r="A52" s="27"/>
      <c r="B52" s="27" t="s">
        <v>849</v>
      </c>
      <c r="C52" s="83" t="str">
        <f>VLOOKUP($B52,'MAIN DATA, Orders'!$B:$P,3,0)</f>
        <v>Germany</v>
      </c>
      <c r="D52" s="83" t="str">
        <f>VLOOKUP($B52,'MAIN DATA, Orders'!$B:$P,6,0)</f>
        <v>BvS10 Collaborative All Terrain Vehicle (CATV)</v>
      </c>
      <c r="E52" s="83" t="str">
        <f>VLOOKUP($B52,'MAIN DATA, Orders'!$B:$P,7,0)</f>
        <v>All-terrain vehicle</v>
      </c>
      <c r="F52" s="83" t="str">
        <f>VLOOKUP($B52,'MAIN DATA, Orders'!$B:$P,8,0)</f>
        <v>Armoured vehicle</v>
      </c>
      <c r="G52" s="31">
        <f>VLOOKUP($B52,'MAIN DATA, Orders'!$B:$P,9,0)</f>
        <v>2</v>
      </c>
      <c r="H52" s="8">
        <f>VLOOKUP($B52,'MAIN DATA, Orders'!$B:$P,14,0)</f>
        <v>4048458.1497797356</v>
      </c>
      <c r="I52" s="8">
        <f>VLOOKUP($B52,'MAIN DATA, Orders'!$B:$P,15,0)</f>
        <v>4048458.1497797356</v>
      </c>
      <c r="J52" s="8">
        <f>VLOOKUP($B52,'MAIN DATA, Orders'!$B:$P,13,0)</f>
        <v>227</v>
      </c>
    </row>
    <row r="53" spans="1:10" x14ac:dyDescent="0.35">
      <c r="A53" s="27"/>
      <c r="B53" s="27" t="s">
        <v>910</v>
      </c>
      <c r="C53" s="83" t="str">
        <f>VLOOKUP($B53,'MAIN DATA, Orders'!$B:$P,3,0)</f>
        <v>Germany</v>
      </c>
      <c r="D53" s="83" t="str">
        <f>VLOOKUP($B53,'MAIN DATA, Orders'!$B:$P,6,0)</f>
        <v>Tractor unit 70t</v>
      </c>
      <c r="E53" s="83" t="str">
        <f>VLOOKUP($B53,'MAIN DATA, Orders'!$B:$P,7,0)</f>
        <v>Non-combat military vehicle</v>
      </c>
      <c r="F53" s="83" t="str">
        <f>VLOOKUP($B53,'MAIN DATA, Orders'!$B:$P,8,0)</f>
        <v>Other</v>
      </c>
      <c r="G53" s="31">
        <f>VLOOKUP($B53,'MAIN DATA, Orders'!$B:$P,9,0)</f>
        <v>16</v>
      </c>
      <c r="H53" s="8">
        <f>VLOOKUP($B53,'MAIN DATA, Orders'!$B:$P,14,0)</f>
        <v>894736.84210526315</v>
      </c>
      <c r="I53" s="8">
        <f>VLOOKUP($B53,'MAIN DATA, Orders'!$B:$P,15,0)</f>
        <v>894736.84210526315</v>
      </c>
      <c r="J53" s="8">
        <f>VLOOKUP($B53,'MAIN DATA, Orders'!$B:$P,13,0)</f>
        <v>57</v>
      </c>
    </row>
    <row r="54" spans="1:10" x14ac:dyDescent="0.35">
      <c r="A54" s="27"/>
      <c r="B54" s="27" t="s">
        <v>916</v>
      </c>
      <c r="C54" s="83" t="str">
        <f>VLOOKUP($B54,'MAIN DATA, Orders'!$B:$P,3,0)</f>
        <v>Germany</v>
      </c>
      <c r="D54" s="83" t="str">
        <f>VLOOKUP($B54,'MAIN DATA, Orders'!$B:$P,6,0)</f>
        <v>Puma</v>
      </c>
      <c r="E54" s="83" t="str">
        <f>VLOOKUP($B54,'MAIN DATA, Orders'!$B:$P,7,0)</f>
        <v>Infantry fighting vehicle (IFV)</v>
      </c>
      <c r="F54" s="83" t="str">
        <f>VLOOKUP($B54,'MAIN DATA, Orders'!$B:$P,8,0)</f>
        <v>Armoured vehicle</v>
      </c>
      <c r="G54" s="31">
        <f>VLOOKUP($B54,'MAIN DATA, Orders'!$B:$P,9,0)</f>
        <v>2</v>
      </c>
      <c r="H54" s="8">
        <f>VLOOKUP($B54,'MAIN DATA, Orders'!$B:$P,14,0)</f>
        <v>21740000</v>
      </c>
      <c r="I54" s="8">
        <f>VLOOKUP($B54,'MAIN DATA, Orders'!$B:$P,15,0)</f>
        <v>21740000</v>
      </c>
      <c r="J54" s="8">
        <f>VLOOKUP($B54,'MAIN DATA, Orders'!$B:$P,13,0)</f>
        <v>50</v>
      </c>
    </row>
    <row r="55" spans="1:10" x14ac:dyDescent="0.35">
      <c r="A55" s="27"/>
      <c r="B55" s="27" t="s">
        <v>923</v>
      </c>
      <c r="C55" s="83" t="str">
        <f>VLOOKUP($B55,'MAIN DATA, Orders'!$B:$P,3,0)</f>
        <v>Germany</v>
      </c>
      <c r="D55" s="83" t="str">
        <f>VLOOKUP($B55,'MAIN DATA, Orders'!$B:$P,6,0)</f>
        <v>Fire engine</v>
      </c>
      <c r="E55" s="83" t="str">
        <f>VLOOKUP($B55,'MAIN DATA, Orders'!$B:$P,7,0)</f>
        <v>Non-combat military vehicle</v>
      </c>
      <c r="F55" s="83" t="str">
        <f>VLOOKUP($B55,'MAIN DATA, Orders'!$B:$P,8,0)</f>
        <v>Other</v>
      </c>
      <c r="G55" s="31">
        <f>VLOOKUP($B55,'MAIN DATA, Orders'!$B:$P,9,0)</f>
        <v>16</v>
      </c>
      <c r="H55" s="8">
        <f>VLOOKUP($B55,'MAIN DATA, Orders'!$B:$P,14,0)</f>
        <v>1142857.142857143</v>
      </c>
      <c r="I55" s="8">
        <f>VLOOKUP($B55,'MAIN DATA, Orders'!$B:$P,15,0)</f>
        <v>1142857.142857143</v>
      </c>
      <c r="J55" s="8">
        <f>VLOOKUP($B55,'MAIN DATA, Orders'!$B:$P,13,0)</f>
        <v>28</v>
      </c>
    </row>
    <row r="56" spans="1:10" x14ac:dyDescent="0.35">
      <c r="A56" s="27"/>
      <c r="B56" s="27" t="s">
        <v>928</v>
      </c>
      <c r="C56" s="83" t="str">
        <f>VLOOKUP($B56,'MAIN DATA, Orders'!$B:$P,3,0)</f>
        <v>Germany</v>
      </c>
      <c r="D56" s="83" t="str">
        <f>VLOOKUP($B56,'MAIN DATA, Orders'!$B:$P,6,0)</f>
        <v>Leopard 2 A8</v>
      </c>
      <c r="E56" s="83" t="str">
        <f>VLOOKUP($B56,'MAIN DATA, Orders'!$B:$P,7,0)</f>
        <v>Main Battle Tank (MBT)</v>
      </c>
      <c r="F56" s="83" t="str">
        <f>VLOOKUP($B56,'MAIN DATA, Orders'!$B:$P,8,0)</f>
        <v>Tank</v>
      </c>
      <c r="G56" s="31">
        <f>VLOOKUP($B56,'MAIN DATA, Orders'!$B:$P,9,0)</f>
        <v>1</v>
      </c>
      <c r="H56" s="8">
        <f>VLOOKUP($B56,'MAIN DATA, Orders'!$B:$P,14,0)</f>
        <v>29200000</v>
      </c>
      <c r="I56" s="8">
        <f>VLOOKUP($B56,'MAIN DATA, Orders'!$B:$P,15,0)</f>
        <v>29200000</v>
      </c>
      <c r="J56" s="8">
        <f>VLOOKUP($B56,'MAIN DATA, Orders'!$B:$P,13,0)</f>
        <v>18</v>
      </c>
    </row>
    <row r="57" spans="1:10" x14ac:dyDescent="0.35">
      <c r="A57" s="27"/>
      <c r="B57" s="27" t="s">
        <v>935</v>
      </c>
      <c r="C57" s="83" t="str">
        <f>VLOOKUP($B57,'MAIN DATA, Orders'!$B:$P,3,0)</f>
        <v>Germany</v>
      </c>
      <c r="D57" s="83" t="str">
        <f>VLOOKUP($B57,'MAIN DATA, Orders'!$B:$P,6,0)</f>
        <v>Panzerhaubitze 2000</v>
      </c>
      <c r="E57" s="83" t="str">
        <f>VLOOKUP($B57,'MAIN DATA, Orders'!$B:$P,7,0)</f>
        <v>155mm howitzer</v>
      </c>
      <c r="F57" s="83" t="str">
        <f>VLOOKUP($B57,'MAIN DATA, Orders'!$B:$P,8,0)</f>
        <v>Artillery</v>
      </c>
      <c r="G57" s="31">
        <f>VLOOKUP($B57,'MAIN DATA, Orders'!$B:$P,9,0)</f>
        <v>3</v>
      </c>
      <c r="H57" s="8">
        <f>VLOOKUP($B57,'MAIN DATA, Orders'!$B:$P,14,0)</f>
        <v>15891666.666666666</v>
      </c>
      <c r="I57" s="8">
        <f>VLOOKUP($B57,'MAIN DATA, Orders'!$B:$P,15,0)</f>
        <v>15891666.666666666</v>
      </c>
      <c r="J57" s="8">
        <f>VLOOKUP($B57,'MAIN DATA, Orders'!$B:$P,13,0)</f>
        <v>12</v>
      </c>
    </row>
    <row r="58" spans="1:10" x14ac:dyDescent="0.35">
      <c r="A58" s="27"/>
      <c r="B58" s="27" t="s">
        <v>939</v>
      </c>
      <c r="C58" s="83" t="str">
        <f>VLOOKUP($B58,'MAIN DATA, Orders'!$B:$P,3,0)</f>
        <v>Germany</v>
      </c>
      <c r="D58" s="83" t="str">
        <f>VLOOKUP($B58,'MAIN DATA, Orders'!$B:$P,6,0)</f>
        <v>P-8A Poseidon (simulator)</v>
      </c>
      <c r="E58" s="83" t="str">
        <f>VLOOKUP($B58,'MAIN DATA, Orders'!$B:$P,7,0)</f>
        <v>Maritime reconnaissance patrol aircraft</v>
      </c>
      <c r="F58" s="83" t="str">
        <f>VLOOKUP($B58,'MAIN DATA, Orders'!$B:$P,8,0)</f>
        <v>Naval</v>
      </c>
      <c r="G58" s="31">
        <f>VLOOKUP($B58,'MAIN DATA, Orders'!$B:$P,9,0)</f>
        <v>12</v>
      </c>
      <c r="H58" s="8">
        <f>VLOOKUP($B58,'MAIN DATA, Orders'!$B:$P,14,0)</f>
        <v>180000000</v>
      </c>
      <c r="I58" s="8">
        <f>VLOOKUP($B58,'MAIN DATA, Orders'!$B:$P,15,0)</f>
        <v>180000000</v>
      </c>
      <c r="J58" s="8">
        <f>VLOOKUP($B58,'MAIN DATA, Orders'!$B:$P,13,0)</f>
        <v>1</v>
      </c>
    </row>
    <row r="59" spans="1:10" x14ac:dyDescent="0.35">
      <c r="A59" s="27"/>
      <c r="B59" s="27" t="s">
        <v>947</v>
      </c>
      <c r="C59" s="83" t="str">
        <f>VLOOKUP($B59,'MAIN DATA, Orders'!$B:$P,3,0)</f>
        <v>Germany</v>
      </c>
      <c r="D59" s="83" t="str">
        <f>VLOOKUP($B59,'MAIN DATA, Orders'!$B:$P,6,0)</f>
        <v>Iris-T SLM air defence system</v>
      </c>
      <c r="E59" s="83" t="str">
        <f>VLOOKUP($B59,'MAIN DATA, Orders'!$B:$P,7,0)</f>
        <v>Anti-aircraft surface-to-air missile (SAM) system (medium-range)</v>
      </c>
      <c r="F59" s="83" t="str">
        <f>VLOOKUP($B59,'MAIN DATA, Orders'!$B:$P,8,0)</f>
        <v>Air defence system</v>
      </c>
      <c r="G59" s="31">
        <f>VLOOKUP($B59,'MAIN DATA, Orders'!$B:$P,9,0)</f>
        <v>5</v>
      </c>
      <c r="H59" s="8">
        <f>VLOOKUP($B59,'MAIN DATA, Orders'!$B:$P,14,0)</f>
        <v>158333333.33333334</v>
      </c>
      <c r="I59" s="8">
        <f>VLOOKUP($B59,'MAIN DATA, Orders'!$B:$P,15,0)</f>
        <v>158333333.33333334</v>
      </c>
      <c r="J59" s="8">
        <f>VLOOKUP($B59,'MAIN DATA, Orders'!$B:$P,13,0)</f>
        <v>6</v>
      </c>
    </row>
    <row r="60" spans="1:10" x14ac:dyDescent="0.35">
      <c r="A60" s="27"/>
      <c r="B60" s="27" t="s">
        <v>970</v>
      </c>
      <c r="C60" s="83" t="str">
        <f>VLOOKUP($B60,'MAIN DATA, Orders'!$B:$P,3,0)</f>
        <v>Germany</v>
      </c>
      <c r="D60" s="83" t="str">
        <f>VLOOKUP($B60,'MAIN DATA, Orders'!$B:$P,6,0)</f>
        <v>CH-47F Chinook Block II</v>
      </c>
      <c r="E60" s="83" t="str">
        <f>VLOOKUP($B60,'MAIN DATA, Orders'!$B:$P,7,0)</f>
        <v>Heavy transport helicopter</v>
      </c>
      <c r="F60" s="83" t="str">
        <f>VLOOKUP($B60,'MAIN DATA, Orders'!$B:$P,8,0)</f>
        <v>Helicopter</v>
      </c>
      <c r="G60" s="31">
        <f>VLOOKUP($B60,'MAIN DATA, Orders'!$B:$P,9,0)</f>
        <v>10</v>
      </c>
      <c r="H60" s="8">
        <f>VLOOKUP($B60,'MAIN DATA, Orders'!$B:$P,14,0)</f>
        <v>116333333.33333333</v>
      </c>
      <c r="I60" s="8">
        <f>VLOOKUP($B60,'MAIN DATA, Orders'!$B:$P,15,0)</f>
        <v>116333333.33333333</v>
      </c>
      <c r="J60" s="8">
        <f>VLOOKUP($B60,'MAIN DATA, Orders'!$B:$P,13,0)</f>
        <v>60</v>
      </c>
    </row>
    <row r="61" spans="1:10" x14ac:dyDescent="0.35">
      <c r="A61" s="27"/>
      <c r="B61" s="27" t="s">
        <v>975</v>
      </c>
      <c r="C61" s="83" t="str">
        <f>VLOOKUP($B61,'MAIN DATA, Orders'!$B:$P,3,0)</f>
        <v>Germany</v>
      </c>
      <c r="D61" s="83" t="str">
        <f>VLOOKUP($B61,'MAIN DATA, Orders'!$B:$P,6,0)</f>
        <v>Class 424 fleet service ship contract adjustment</v>
      </c>
      <c r="E61" s="83" t="str">
        <f>VLOOKUP($B61,'MAIN DATA, Orders'!$B:$P,7,0)</f>
        <v>Reconnaissance ship - contract adjustment</v>
      </c>
      <c r="F61" s="83" t="str">
        <f>VLOOKUP($B61,'MAIN DATA, Orders'!$B:$P,8,0)</f>
        <v>Naval</v>
      </c>
      <c r="G61" s="31">
        <f>VLOOKUP($B61,'MAIN DATA, Orders'!$B:$P,9,0)</f>
        <v>12</v>
      </c>
      <c r="H61" s="8">
        <f>VLOOKUP($B61,'MAIN DATA, Orders'!$B:$P,14,0)</f>
        <v>386666666.66666669</v>
      </c>
      <c r="I61" s="8">
        <f>VLOOKUP($B61,'MAIN DATA, Orders'!$B:$P,15,0)</f>
        <v>386666666.66666669</v>
      </c>
      <c r="J61" s="8">
        <f>VLOOKUP($B61,'MAIN DATA, Orders'!$B:$P,13,0)</f>
        <v>3</v>
      </c>
    </row>
    <row r="62" spans="1:10" x14ac:dyDescent="0.35">
      <c r="A62" s="27"/>
      <c r="B62" s="27" t="s">
        <v>980</v>
      </c>
      <c r="C62" s="83" t="str">
        <f>VLOOKUP($B62,'MAIN DATA, Orders'!$B:$P,3,0)</f>
        <v>Germany</v>
      </c>
      <c r="D62" s="83" t="str">
        <f>VLOOKUP($B62,'MAIN DATA, Orders'!$B:$P,6,0)</f>
        <v>Caracal airborne vehicle</v>
      </c>
      <c r="E62" s="83" t="str">
        <f>VLOOKUP($B62,'MAIN DATA, Orders'!$B:$P,7,0)</f>
        <v>Light air assault vehicle</v>
      </c>
      <c r="F62" s="83" t="str">
        <f>VLOOKUP($B62,'MAIN DATA, Orders'!$B:$P,8,0)</f>
        <v>Armoured vehicle</v>
      </c>
      <c r="G62" s="31">
        <f>VLOOKUP($B62,'MAIN DATA, Orders'!$B:$P,9,0)</f>
        <v>2</v>
      </c>
      <c r="H62" s="8">
        <f>VLOOKUP($B62,'MAIN DATA, Orders'!$B:$P,14,0)</f>
        <v>576923.07692307688</v>
      </c>
      <c r="I62" s="8">
        <f>VLOOKUP($B62,'MAIN DATA, Orders'!$B:$P,15,0)</f>
        <v>576923.07692307688</v>
      </c>
      <c r="J62" s="8">
        <f>VLOOKUP($B62,'MAIN DATA, Orders'!$B:$P,13,0)</f>
        <v>1508</v>
      </c>
    </row>
    <row r="63" spans="1:10" x14ac:dyDescent="0.35">
      <c r="A63" s="27"/>
      <c r="B63" s="27" t="s">
        <v>986</v>
      </c>
      <c r="C63" s="83" t="str">
        <f>VLOOKUP($B63,'MAIN DATA, Orders'!$B:$P,3,0)</f>
        <v>Germany</v>
      </c>
      <c r="D63" s="83" t="str">
        <f>VLOOKUP($B63,'MAIN DATA, Orders'!$B:$P,6,0)</f>
        <v>155mm artillery round DiNa for Ukraine</v>
      </c>
      <c r="E63" s="83" t="str">
        <f>VLOOKUP($B63,'MAIN DATA, Orders'!$B:$P,7,0)</f>
        <v>155mm howitzer ammunition</v>
      </c>
      <c r="F63" s="83" t="str">
        <f>VLOOKUP($B63,'MAIN DATA, Orders'!$B:$P,8,0)</f>
        <v>Ammunition</v>
      </c>
      <c r="G63" s="31">
        <f>VLOOKUP($B63,'MAIN DATA, Orders'!$B:$P,9,0)</f>
        <v>4</v>
      </c>
      <c r="H63" s="8">
        <f>VLOOKUP($B63,'MAIN DATA, Orders'!$B:$P,14,0)</f>
        <v>5808.510638297872</v>
      </c>
      <c r="I63" s="8">
        <f>VLOOKUP($B63,'MAIN DATA, Orders'!$B:$P,15,0)</f>
        <v>5808.510638297872</v>
      </c>
      <c r="J63" s="8">
        <f>VLOOKUP($B63,'MAIN DATA, Orders'!$B:$P,13,0)</f>
        <v>4700</v>
      </c>
    </row>
    <row r="64" spans="1:10" x14ac:dyDescent="0.35">
      <c r="A64" s="27"/>
      <c r="B64" s="27" t="s">
        <v>1025</v>
      </c>
      <c r="C64" s="83" t="str">
        <f>VLOOKUP($B64,'MAIN DATA, Orders'!$B:$P,3,0)</f>
        <v>Germany</v>
      </c>
      <c r="D64" s="83" t="str">
        <f>VLOOKUP($B64,'MAIN DATA, Orders'!$B:$P,6,0)</f>
        <v>7.62mm cartridge (training)</v>
      </c>
      <c r="E64" s="83" t="str">
        <f>VLOOKUP($B64,'MAIN DATA, Orders'!$B:$P,7,0)</f>
        <v>Small Arms and Light Weapons (SALW) ammunition</v>
      </c>
      <c r="F64" s="83" t="str">
        <f>VLOOKUP($B64,'MAIN DATA, Orders'!$B:$P,8,0)</f>
        <v>Infantry</v>
      </c>
      <c r="G64" s="31">
        <f>VLOOKUP($B64,'MAIN DATA, Orders'!$B:$P,9,0)</f>
        <v>8</v>
      </c>
      <c r="H64" s="8">
        <f>VLOOKUP($B64,'MAIN DATA, Orders'!$B:$P,14,0)</f>
        <v>0.97037037037037033</v>
      </c>
      <c r="I64" s="8">
        <f>VLOOKUP($B64,'MAIN DATA, Orders'!$B:$P,15,0)</f>
        <v>0.97037037037037033</v>
      </c>
      <c r="J64" s="8">
        <f>VLOOKUP($B64,'MAIN DATA, Orders'!$B:$P,13,0)</f>
        <v>135000000</v>
      </c>
    </row>
    <row r="65" spans="1:10" x14ac:dyDescent="0.35">
      <c r="A65" s="27"/>
      <c r="B65" s="27" t="s">
        <v>1031</v>
      </c>
      <c r="C65" s="83" t="str">
        <f>VLOOKUP($B65,'MAIN DATA, Orders'!$B:$P,3,0)</f>
        <v>Germany</v>
      </c>
      <c r="D65" s="83" t="str">
        <f>VLOOKUP($B65,'MAIN DATA, Orders'!$B:$P,6,0)</f>
        <v>HUSAR system</v>
      </c>
      <c r="E65" s="83" t="str">
        <f>VLOOKUP($B65,'MAIN DATA, Orders'!$B:$P,7,0)</f>
        <v>Air-supported reconnaissance drone</v>
      </c>
      <c r="F65" s="83" t="str">
        <f>VLOOKUP($B65,'MAIN DATA, Orders'!$B:$P,8,0)</f>
        <v>Drone</v>
      </c>
      <c r="G65" s="31">
        <f>VLOOKUP($B65,'MAIN DATA, Orders'!$B:$P,9,0)</f>
        <v>7</v>
      </c>
      <c r="H65" s="8">
        <f>VLOOKUP($B65,'MAIN DATA, Orders'!$B:$P,14,0)</f>
        <v>18353846.153846152</v>
      </c>
      <c r="I65" s="8">
        <f>VLOOKUP($B65,'MAIN DATA, Orders'!$B:$P,15,0)</f>
        <v>18353846.153846152</v>
      </c>
      <c r="J65" s="8">
        <f>VLOOKUP($B65,'MAIN DATA, Orders'!$B:$P,13,0)</f>
        <v>13</v>
      </c>
    </row>
    <row r="66" spans="1:10" x14ac:dyDescent="0.35">
      <c r="A66" s="27"/>
      <c r="B66" s="27" t="s">
        <v>1043</v>
      </c>
      <c r="C66" s="83" t="str">
        <f>VLOOKUP($B66,'MAIN DATA, Orders'!$B:$P,3,0)</f>
        <v>Germany</v>
      </c>
      <c r="D66" s="83" t="str">
        <f>VLOOKUP($B66,'MAIN DATA, Orders'!$B:$P,6,0)</f>
        <v>Arrow 3</v>
      </c>
      <c r="E66" s="83" t="str">
        <f>VLOOKUP($B66,'MAIN DATA, Orders'!$B:$P,7,0)</f>
        <v>Surface-to-air missile (SAM) system</v>
      </c>
      <c r="F66" s="83" t="str">
        <f>VLOOKUP($B66,'MAIN DATA, Orders'!$B:$P,8,0)</f>
        <v>Air defence system</v>
      </c>
      <c r="G66" s="31">
        <f>VLOOKUP($B66,'MAIN DATA, Orders'!$B:$P,9,0)</f>
        <v>5</v>
      </c>
      <c r="H66" s="8">
        <f>VLOOKUP($B66,'MAIN DATA, Orders'!$B:$P,14,0)</f>
        <v>4000000000</v>
      </c>
      <c r="I66" s="8">
        <f>VLOOKUP($B66,'MAIN DATA, Orders'!$B:$P,15,0)</f>
        <v>4000000000</v>
      </c>
      <c r="J66" s="8">
        <f>VLOOKUP($B66,'MAIN DATA, Orders'!$B:$P,13,0)</f>
        <v>1</v>
      </c>
    </row>
    <row r="67" spans="1:10" x14ac:dyDescent="0.35">
      <c r="A67" s="27"/>
      <c r="B67" s="27" t="s">
        <v>1050</v>
      </c>
      <c r="C67" s="83" t="str">
        <f>VLOOKUP($B67,'MAIN DATA, Orders'!$B:$P,3,0)</f>
        <v>Germany</v>
      </c>
      <c r="D67" s="83" t="str">
        <f>VLOOKUP($B67,'MAIN DATA, Orders'!$B:$P,6,0)</f>
        <v>Long-range autonomous underwater vehicle</v>
      </c>
      <c r="E67" s="83" t="str">
        <f>VLOOKUP($B67,'MAIN DATA, Orders'!$B:$P,7,0)</f>
        <v>Underwater reconnaissance drone</v>
      </c>
      <c r="F67" s="83" t="str">
        <f>VLOOKUP($B67,'MAIN DATA, Orders'!$B:$P,8,0)</f>
        <v>Drone</v>
      </c>
      <c r="G67" s="31">
        <f>VLOOKUP($B67,'MAIN DATA, Orders'!$B:$P,9,0)</f>
        <v>7</v>
      </c>
      <c r="H67" s="8">
        <f>VLOOKUP($B67,'MAIN DATA, Orders'!$B:$P,14,0)</f>
        <v>13125000</v>
      </c>
      <c r="I67" s="8">
        <f>VLOOKUP($B67,'MAIN DATA, Orders'!$B:$P,15,0)</f>
        <v>13125000</v>
      </c>
      <c r="J67" s="8">
        <f>VLOOKUP($B67,'MAIN DATA, Orders'!$B:$P,13,0)</f>
        <v>4</v>
      </c>
    </row>
    <row r="68" spans="1:10" x14ac:dyDescent="0.35">
      <c r="A68" s="27"/>
      <c r="B68" s="27" t="s">
        <v>1054</v>
      </c>
      <c r="C68" s="83" t="str">
        <f>VLOOKUP($B68,'MAIN DATA, Orders'!$B:$P,3,0)</f>
        <v>Germany</v>
      </c>
      <c r="D68" s="83" t="str">
        <f>VLOOKUP($B68,'MAIN DATA, Orders'!$B:$P,6,0)</f>
        <v>Panzerabwehrrichtminen Deutsches Modell 22 (PARM DM22)</v>
      </c>
      <c r="E68" s="83" t="str">
        <f>VLOOKUP($B68,'MAIN DATA, Orders'!$B:$P,7,0)</f>
        <v>Anti-tank directional mine</v>
      </c>
      <c r="F68" s="83" t="str">
        <f>VLOOKUP($B68,'MAIN DATA, Orders'!$B:$P,8,0)</f>
        <v>Mine</v>
      </c>
      <c r="G68" s="31">
        <f>VLOOKUP($B68,'MAIN DATA, Orders'!$B:$P,9,0)</f>
        <v>9</v>
      </c>
      <c r="H68" s="8">
        <f>VLOOKUP($B68,'MAIN DATA, Orders'!$B:$P,14,0)</f>
        <v>26153.846153846152</v>
      </c>
      <c r="I68" s="8">
        <f>VLOOKUP($B68,'MAIN DATA, Orders'!$B:$P,15,0)</f>
        <v>26153.846153846152</v>
      </c>
      <c r="J68" s="8">
        <f>VLOOKUP($B68,'MAIN DATA, Orders'!$B:$P,13,0)</f>
        <v>2600</v>
      </c>
    </row>
    <row r="69" spans="1:10" x14ac:dyDescent="0.35">
      <c r="A69" s="27"/>
      <c r="B69" s="27" t="s">
        <v>1064</v>
      </c>
      <c r="C69" s="83" t="str">
        <f>VLOOKUP($B69,'MAIN DATA, Orders'!$B:$P,3,0)</f>
        <v>Germany</v>
      </c>
      <c r="D69" s="83" t="str">
        <f>VLOOKUP($B69,'MAIN DATA, Orders'!$B:$P,6,0)</f>
        <v>Encrypted telephone</v>
      </c>
      <c r="E69" s="83" t="str">
        <f>VLOOKUP($B69,'MAIN DATA, Orders'!$B:$P,7,0)</f>
        <v>Communication equipment</v>
      </c>
      <c r="F69" s="83" t="str">
        <f>VLOOKUP($B69,'MAIN DATA, Orders'!$B:$P,8,0)</f>
        <v>Modernisation</v>
      </c>
      <c r="G69" s="31">
        <f>VLOOKUP($B69,'MAIN DATA, Orders'!$B:$P,9,0)</f>
        <v>13</v>
      </c>
      <c r="H69" s="8">
        <f>VLOOKUP($B69,'MAIN DATA, Orders'!$B:$P,14,0)</f>
        <v>51851.851851851854</v>
      </c>
      <c r="I69" s="8">
        <f>VLOOKUP($B69,'MAIN DATA, Orders'!$B:$P,15,0)</f>
        <v>51851.851851851854</v>
      </c>
      <c r="J69" s="8">
        <f>VLOOKUP($B69,'MAIN DATA, Orders'!$B:$P,13,0)</f>
        <v>1350</v>
      </c>
    </row>
    <row r="70" spans="1:10" x14ac:dyDescent="0.35">
      <c r="A70" s="27"/>
      <c r="B70" s="27" t="s">
        <v>1067</v>
      </c>
      <c r="C70" s="83" t="str">
        <f>VLOOKUP($B70,'MAIN DATA, Orders'!$B:$P,3,0)</f>
        <v>Germany</v>
      </c>
      <c r="D70" s="83" t="str">
        <f>VLOOKUP($B70,'MAIN DATA, Orders'!$B:$P,6,0)</f>
        <v>Cryptographic and radio device for Patriot system</v>
      </c>
      <c r="E70" s="83" t="str">
        <f>VLOOKUP($B70,'MAIN DATA, Orders'!$B:$P,7,0)</f>
        <v>Anti-aircraft surface-to-air missile (SAM) system (long-range) equipment</v>
      </c>
      <c r="F70" s="83" t="str">
        <f>VLOOKUP($B70,'MAIN DATA, Orders'!$B:$P,8,0)</f>
        <v>Air defence system</v>
      </c>
      <c r="G70" s="31">
        <f>VLOOKUP($B70,'MAIN DATA, Orders'!$B:$P,9,0)</f>
        <v>5</v>
      </c>
      <c r="H70" s="8">
        <f>VLOOKUP($B70,'MAIN DATA, Orders'!$B:$P,14,0)</f>
        <v>794117.6470588235</v>
      </c>
      <c r="I70" s="8">
        <f>VLOOKUP($B70,'MAIN DATA, Orders'!$B:$P,15,0)</f>
        <v>794117.6470588235</v>
      </c>
      <c r="J70" s="8">
        <f>VLOOKUP($B70,'MAIN DATA, Orders'!$B:$P,13,0)</f>
        <v>51</v>
      </c>
    </row>
    <row r="71" spans="1:10" x14ac:dyDescent="0.35">
      <c r="A71" s="27"/>
      <c r="B71" s="27" t="s">
        <v>1070</v>
      </c>
      <c r="C71" s="83" t="str">
        <f>VLOOKUP($B71,'MAIN DATA, Orders'!$B:$P,3,0)</f>
        <v>Germany</v>
      </c>
      <c r="D71" s="83" t="str">
        <f>VLOOKUP($B71,'MAIN DATA, Orders'!$B:$P,6,0)</f>
        <v>Receiver card for GPS M-Code</v>
      </c>
      <c r="E71" s="83" t="str">
        <f>VLOOKUP($B71,'MAIN DATA, Orders'!$B:$P,7,0)</f>
        <v>Communication equipment</v>
      </c>
      <c r="F71" s="83" t="str">
        <f>VLOOKUP($B71,'MAIN DATA, Orders'!$B:$P,8,0)</f>
        <v>Modernisation</v>
      </c>
      <c r="G71" s="31">
        <f>VLOOKUP($B71,'MAIN DATA, Orders'!$B:$P,9,0)</f>
        <v>13</v>
      </c>
      <c r="H71" s="8">
        <f>VLOOKUP($B71,'MAIN DATA, Orders'!$B:$P,14,0)</f>
        <v>5685.5818061382206</v>
      </c>
      <c r="I71" s="8">
        <f>VLOOKUP($B71,'MAIN DATA, Orders'!$B:$P,15,0)</f>
        <v>5685.5818061382206</v>
      </c>
      <c r="J71" s="8">
        <f>VLOOKUP($B71,'MAIN DATA, Orders'!$B:$P,13,0)</f>
        <v>9058</v>
      </c>
    </row>
    <row r="72" spans="1:10" x14ac:dyDescent="0.35">
      <c r="A72" s="27"/>
      <c r="B72" s="27" t="s">
        <v>1083</v>
      </c>
      <c r="C72" s="83" t="str">
        <f>VLOOKUP($B72,'MAIN DATA, Orders'!$B:$P,3,0)</f>
        <v>Germany</v>
      </c>
      <c r="D72" s="83" t="str">
        <f>VLOOKUP($B72,'MAIN DATA, Orders'!$B:$P,6,0)</f>
        <v>Dingo 2 A4.1</v>
      </c>
      <c r="E72" s="83" t="str">
        <f>VLOOKUP($B72,'MAIN DATA, Orders'!$B:$P,7,0)</f>
        <v>Infantry mobility vehicle</v>
      </c>
      <c r="F72" s="83" t="str">
        <f>VLOOKUP($B72,'MAIN DATA, Orders'!$B:$P,8,0)</f>
        <v>Armoured vehicle</v>
      </c>
      <c r="G72" s="31">
        <f>VLOOKUP($B72,'MAIN DATA, Orders'!$B:$P,9,0)</f>
        <v>2</v>
      </c>
      <c r="H72" s="8">
        <f>VLOOKUP($B72,'MAIN DATA, Orders'!$B:$P,14,0)</f>
        <v>3000000</v>
      </c>
      <c r="I72" s="8">
        <f>VLOOKUP($B72,'MAIN DATA, Orders'!$B:$P,15,0)</f>
        <v>3000000</v>
      </c>
      <c r="J72" s="8">
        <f>VLOOKUP($B72,'MAIN DATA, Orders'!$B:$P,13,0)</f>
        <v>50</v>
      </c>
    </row>
    <row r="73" spans="1:10" x14ac:dyDescent="0.35">
      <c r="A73" s="27"/>
      <c r="B73" s="27" t="s">
        <v>1090</v>
      </c>
      <c r="C73" s="83" t="str">
        <f>VLOOKUP($B73,'MAIN DATA, Orders'!$B:$P,3,0)</f>
        <v>Germany</v>
      </c>
      <c r="D73" s="83" t="str">
        <f>VLOOKUP($B73,'MAIN DATA, Orders'!$B:$P,6,0)</f>
        <v>P-8A Poseidon</v>
      </c>
      <c r="E73" s="83" t="str">
        <f>VLOOKUP($B73,'MAIN DATA, Orders'!$B:$P,7,0)</f>
        <v>Maritime reconnaissance patrol aircraft</v>
      </c>
      <c r="F73" s="83" t="str">
        <f>VLOOKUP($B73,'MAIN DATA, Orders'!$B:$P,8,0)</f>
        <v>Naval</v>
      </c>
      <c r="G73" s="31">
        <f>VLOOKUP($B73,'MAIN DATA, Orders'!$B:$P,9,0)</f>
        <v>12</v>
      </c>
      <c r="H73" s="8">
        <f>VLOOKUP($B73,'MAIN DATA, Orders'!$B:$P,14,0)</f>
        <v>366666666.66666669</v>
      </c>
      <c r="I73" s="8">
        <f>VLOOKUP($B73,'MAIN DATA, Orders'!$B:$P,15,0)</f>
        <v>366666666.66666669</v>
      </c>
      <c r="J73" s="8">
        <f>VLOOKUP($B73,'MAIN DATA, Orders'!$B:$P,13,0)</f>
        <v>3</v>
      </c>
    </row>
    <row r="74" spans="1:10" x14ac:dyDescent="0.35">
      <c r="A74" s="27"/>
      <c r="B74" s="27" t="s">
        <v>1095</v>
      </c>
      <c r="C74" s="83" t="str">
        <f>VLOOKUP($B74,'MAIN DATA, Orders'!$B:$P,3,0)</f>
        <v>Germany</v>
      </c>
      <c r="D74" s="83" t="str">
        <f>VLOOKUP($B74,'MAIN DATA, Orders'!$B:$P,6,0)</f>
        <v>IR-BIRDIE decoy target</v>
      </c>
      <c r="E74" s="83" t="str">
        <f>VLOOKUP($B74,'MAIN DATA, Orders'!$B:$P,7,0)</f>
        <v>Infrared decoy target</v>
      </c>
      <c r="F74" s="83" t="str">
        <f>VLOOKUP($B74,'MAIN DATA, Orders'!$B:$P,8,0)</f>
        <v>Aircraft</v>
      </c>
      <c r="G74" s="31">
        <f>VLOOKUP($B74,'MAIN DATA, Orders'!$B:$P,9,0)</f>
        <v>11</v>
      </c>
      <c r="H74" s="8">
        <f>VLOOKUP($B74,'MAIN DATA, Orders'!$B:$P,14,0)</f>
        <v>103.51054001847653</v>
      </c>
      <c r="I74" s="8">
        <f>VLOOKUP($B74,'MAIN DATA, Orders'!$B:$P,15,0)</f>
        <v>103.51054001847653</v>
      </c>
      <c r="J74" s="8">
        <f>VLOOKUP($B74,'MAIN DATA, Orders'!$B:$P,13,0)</f>
        <v>476280</v>
      </c>
    </row>
    <row r="75" spans="1:10" x14ac:dyDescent="0.35">
      <c r="A75" s="27"/>
      <c r="B75" s="27" t="s">
        <v>1112</v>
      </c>
      <c r="C75" s="83" t="str">
        <f>VLOOKUP($B75,'MAIN DATA, Orders'!$B:$P,3,0)</f>
        <v>Germany</v>
      </c>
      <c r="D75" s="83" t="str">
        <f>VLOOKUP($B75,'MAIN DATA, Orders'!$B:$P,6,0)</f>
        <v>155mm artillery round for Ukraine</v>
      </c>
      <c r="E75" s="83" t="str">
        <f>VLOOKUP($B75,'MAIN DATA, Orders'!$B:$P,7,0)</f>
        <v>155mm howitzer ammunition</v>
      </c>
      <c r="F75" s="83" t="str">
        <f>VLOOKUP($B75,'MAIN DATA, Orders'!$B:$P,8,0)</f>
        <v>Ammunition</v>
      </c>
      <c r="G75" s="31">
        <f>VLOOKUP($B75,'MAIN DATA, Orders'!$B:$P,9,0)</f>
        <v>4</v>
      </c>
      <c r="H75" s="8">
        <f>VLOOKUP($B75,'MAIN DATA, Orders'!$B:$P,14,0)</f>
        <v>4088.2352941176468</v>
      </c>
      <c r="I75" s="8">
        <f>VLOOKUP($B75,'MAIN DATA, Orders'!$B:$P,15,0)</f>
        <v>4088.2352941176468</v>
      </c>
      <c r="J75" s="8">
        <f>VLOOKUP($B75,'MAIN DATA, Orders'!$B:$P,13,0)</f>
        <v>68000</v>
      </c>
    </row>
    <row r="76" spans="1:10" x14ac:dyDescent="0.35">
      <c r="A76" s="27"/>
      <c r="B76" s="27" t="s">
        <v>1120</v>
      </c>
      <c r="C76" s="83" t="str">
        <f>VLOOKUP($B76,'MAIN DATA, Orders'!$B:$P,3,0)</f>
        <v>Germany</v>
      </c>
      <c r="D76" s="83" t="str">
        <f>VLOOKUP($B76,'MAIN DATA, Orders'!$B:$P,6,0)</f>
        <v>H145M helicopter</v>
      </c>
      <c r="E76" s="83" t="str">
        <f>VLOOKUP($B76,'MAIN DATA, Orders'!$B:$P,7,0)</f>
        <v>Light attack helicopter</v>
      </c>
      <c r="F76" s="83" t="str">
        <f>VLOOKUP($B76,'MAIN DATA, Orders'!$B:$P,8,0)</f>
        <v>Helicopter</v>
      </c>
      <c r="G76" s="31">
        <f>VLOOKUP($B76,'MAIN DATA, Orders'!$B:$P,9,0)</f>
        <v>10</v>
      </c>
      <c r="H76" s="8">
        <f>VLOOKUP($B76,'MAIN DATA, Orders'!$B:$P,14,0)</f>
        <v>42419354.838709675</v>
      </c>
      <c r="I76" s="8">
        <f>VLOOKUP($B76,'MAIN DATA, Orders'!$B:$P,15,0)</f>
        <v>42419354.838709675</v>
      </c>
      <c r="J76" s="8">
        <f>VLOOKUP($B76,'MAIN DATA, Orders'!$B:$P,13,0)</f>
        <v>62</v>
      </c>
    </row>
    <row r="77" spans="1:10" x14ac:dyDescent="0.35">
      <c r="A77" s="27"/>
      <c r="B77" s="27" t="s">
        <v>1128</v>
      </c>
      <c r="C77" s="83" t="str">
        <f>VLOOKUP($B77,'MAIN DATA, Orders'!$B:$P,3,0)</f>
        <v>Germany</v>
      </c>
      <c r="D77" s="83" t="str">
        <f>VLOOKUP($B77,'MAIN DATA, Orders'!$B:$P,6,0)</f>
        <v>BvS10 Collaborative All Terrain Vehicle (CATV) communication equipment</v>
      </c>
      <c r="E77" s="83" t="str">
        <f>VLOOKUP($B77,'MAIN DATA, Orders'!$B:$P,7,0)</f>
        <v>All-terrain vehicle equipment</v>
      </c>
      <c r="F77" s="83" t="str">
        <f>VLOOKUP($B77,'MAIN DATA, Orders'!$B:$P,8,0)</f>
        <v>Armoured vehicle</v>
      </c>
      <c r="G77" s="31">
        <f>VLOOKUP($B77,'MAIN DATA, Orders'!$B:$P,9,0)</f>
        <v>2</v>
      </c>
      <c r="H77" s="8">
        <f>VLOOKUP($B77,'MAIN DATA, Orders'!$B:$P,14,0)</f>
        <v>174386.92098092643</v>
      </c>
      <c r="I77" s="8">
        <f>VLOOKUP($B77,'MAIN DATA, Orders'!$B:$P,15,0)</f>
        <v>174386.92098092643</v>
      </c>
      <c r="J77" s="8">
        <f>VLOOKUP($B77,'MAIN DATA, Orders'!$B:$P,13,0)</f>
        <v>367</v>
      </c>
    </row>
    <row r="78" spans="1:10" x14ac:dyDescent="0.35">
      <c r="A78" s="27"/>
      <c r="B78" s="27" t="s">
        <v>1133</v>
      </c>
      <c r="C78" s="83" t="str">
        <f>VLOOKUP($B78,'MAIN DATA, Orders'!$B:$P,3,0)</f>
        <v>Germany</v>
      </c>
      <c r="D78" s="83" t="str">
        <f>VLOOKUP($B78,'MAIN DATA, Orders'!$B:$P,6,0)</f>
        <v>SONIX system</v>
      </c>
      <c r="E78" s="83" t="str">
        <f>VLOOKUP($B78,'MAIN DATA, Orders'!$B:$P,7,0)</f>
        <v>Underwater situational display system</v>
      </c>
      <c r="F78" s="83" t="str">
        <f>VLOOKUP($B78,'MAIN DATA, Orders'!$B:$P,8,0)</f>
        <v>Naval</v>
      </c>
      <c r="G78" s="31">
        <f>VLOOKUP($B78,'MAIN DATA, Orders'!$B:$P,9,0)</f>
        <v>12</v>
      </c>
      <c r="H78" s="8">
        <f>VLOOKUP($B78,'MAIN DATA, Orders'!$B:$P,14,0)</f>
        <v>9072727.2727272734</v>
      </c>
      <c r="I78" s="8">
        <f>VLOOKUP($B78,'MAIN DATA, Orders'!$B:$P,15,0)</f>
        <v>9072727.2727272734</v>
      </c>
      <c r="J78" s="8">
        <f>VLOOKUP($B78,'MAIN DATA, Orders'!$B:$P,13,0)</f>
        <v>11</v>
      </c>
    </row>
    <row r="79" spans="1:10" x14ac:dyDescent="0.35">
      <c r="A79" s="27"/>
      <c r="B79" s="27" t="s">
        <v>1139</v>
      </c>
      <c r="C79" s="83" t="str">
        <f>VLOOKUP($B79,'MAIN DATA, Orders'!$B:$P,3,0)</f>
        <v>Germany</v>
      </c>
      <c r="D79" s="83" t="str">
        <f>VLOOKUP($B79,'MAIN DATA, Orders'!$B:$P,6,0)</f>
        <v>SINA Communicator H encrypted telephone</v>
      </c>
      <c r="E79" s="83" t="str">
        <f>VLOOKUP($B79,'MAIN DATA, Orders'!$B:$P,7,0)</f>
        <v>Communication equipment</v>
      </c>
      <c r="F79" s="83" t="str">
        <f>VLOOKUP($B79,'MAIN DATA, Orders'!$B:$P,8,0)</f>
        <v>Modernisation</v>
      </c>
      <c r="G79" s="31">
        <f>VLOOKUP($B79,'MAIN DATA, Orders'!$B:$P,9,0)</f>
        <v>13</v>
      </c>
      <c r="H79" s="8">
        <f>VLOOKUP($B79,'MAIN DATA, Orders'!$B:$P,14,0)</f>
        <v>34745.254745254744</v>
      </c>
      <c r="I79" s="8">
        <f>VLOOKUP($B79,'MAIN DATA, Orders'!$B:$P,15,0)</f>
        <v>34745.254745254744</v>
      </c>
      <c r="J79" s="8">
        <f>VLOOKUP($B79,'MAIN DATA, Orders'!$B:$P,13,0)</f>
        <v>1001</v>
      </c>
    </row>
    <row r="80" spans="1:10" x14ac:dyDescent="0.35">
      <c r="A80" s="27"/>
      <c r="B80" s="27" t="s">
        <v>1143</v>
      </c>
      <c r="C80" s="83" t="str">
        <f>VLOOKUP($B80,'MAIN DATA, Orders'!$B:$P,3,0)</f>
        <v>Germany</v>
      </c>
      <c r="D80" s="83" t="str">
        <f>VLOOKUP($B80,'MAIN DATA, Orders'!$B:$P,6,0)</f>
        <v>IRIS-T AIM-2000 missile</v>
      </c>
      <c r="E80" s="83" t="str">
        <f>VLOOKUP($B80,'MAIN DATA, Orders'!$B:$P,7,0)</f>
        <v>Air-to-air missile (AAM)</v>
      </c>
      <c r="F80" s="83" t="str">
        <f>VLOOKUP($B80,'MAIN DATA, Orders'!$B:$P,8,0)</f>
        <v>Missile (Air)</v>
      </c>
      <c r="G80" s="31">
        <f>VLOOKUP($B80,'MAIN DATA, Orders'!$B:$P,9,0)</f>
        <v>6</v>
      </c>
      <c r="H80" s="8">
        <f>VLOOKUP($B80,'MAIN DATA, Orders'!$B:$P,14,0)</f>
        <v>900000</v>
      </c>
      <c r="I80" s="8">
        <f>VLOOKUP($B80,'MAIN DATA, Orders'!$B:$P,15,0)</f>
        <v>900000</v>
      </c>
      <c r="J80" s="8">
        <f>VLOOKUP($B80,'MAIN DATA, Orders'!$B:$P,13,0)</f>
        <v>120</v>
      </c>
    </row>
    <row r="81" spans="1:10" x14ac:dyDescent="0.35">
      <c r="A81" s="27"/>
      <c r="B81" s="27" t="s">
        <v>1150</v>
      </c>
      <c r="C81" s="83" t="str">
        <f>VLOOKUP($B81,'MAIN DATA, Orders'!$B:$P,3,0)</f>
        <v>Germany</v>
      </c>
      <c r="D81" s="83" t="str">
        <f>VLOOKUP($B81,'MAIN DATA, Orders'!$B:$P,6,0)</f>
        <v>Patriot air defence munition</v>
      </c>
      <c r="E81" s="83" t="str">
        <f>VLOOKUP($B81,'MAIN DATA, Orders'!$B:$P,7,0)</f>
        <v>Surface-to-air missile (SAM)</v>
      </c>
      <c r="F81" s="83" t="str">
        <f>VLOOKUP($B81,'MAIN DATA, Orders'!$B:$P,8,0)</f>
        <v>Missile (Land)</v>
      </c>
      <c r="G81" s="31">
        <f>VLOOKUP($B81,'MAIN DATA, Orders'!$B:$P,9,0)</f>
        <v>6</v>
      </c>
      <c r="H81" s="8">
        <f>VLOOKUP($B81,'MAIN DATA, Orders'!$B:$P,14,0)</f>
        <v>6000000</v>
      </c>
      <c r="I81" s="8">
        <f>VLOOKUP($B81,'MAIN DATA, Orders'!$B:$P,15,0)</f>
        <v>6000000</v>
      </c>
      <c r="J81" s="8">
        <f>VLOOKUP($B81,'MAIN DATA, Orders'!$B:$P,13,0)</f>
        <v>400</v>
      </c>
    </row>
    <row r="82" spans="1:10" x14ac:dyDescent="0.35">
      <c r="A82" s="27"/>
      <c r="B82" s="27" t="s">
        <v>1155</v>
      </c>
      <c r="C82" s="83" t="str">
        <f>VLOOKUP($B82,'MAIN DATA, Orders'!$B:$P,3,0)</f>
        <v>Germany</v>
      </c>
      <c r="D82" s="83" t="str">
        <f>VLOOKUP($B82,'MAIN DATA, Orders'!$B:$P,6,0)</f>
        <v>Patriot air defence munition</v>
      </c>
      <c r="E82" s="83" t="str">
        <f>VLOOKUP($B82,'MAIN DATA, Orders'!$B:$P,7,0)</f>
        <v>Surface-to-air missile (SAM)</v>
      </c>
      <c r="F82" s="83" t="str">
        <f>VLOOKUP($B82,'MAIN DATA, Orders'!$B:$P,8,0)</f>
        <v>Missile (Land)</v>
      </c>
      <c r="G82" s="31">
        <f>VLOOKUP($B82,'MAIN DATA, Orders'!$B:$P,9,0)</f>
        <v>6</v>
      </c>
      <c r="H82" s="8">
        <f>VLOOKUP($B82,'MAIN DATA, Orders'!$B:$P,14,0)</f>
        <v>6020000</v>
      </c>
      <c r="I82" s="8">
        <f>VLOOKUP($B82,'MAIN DATA, Orders'!$B:$P,15,0)</f>
        <v>6020000</v>
      </c>
      <c r="J82" s="8">
        <f>VLOOKUP($B82,'MAIN DATA, Orders'!$B:$P,13,0)</f>
        <v>100</v>
      </c>
    </row>
    <row r="83" spans="1:10" x14ac:dyDescent="0.35">
      <c r="A83" s="27"/>
      <c r="B83" s="27" t="s">
        <v>1171</v>
      </c>
      <c r="C83" s="83" t="str">
        <f>VLOOKUP($B83,'MAIN DATA, Orders'!$B:$P,3,0)</f>
        <v>Germany</v>
      </c>
      <c r="D83" s="83" t="str">
        <f>VLOOKUP($B83,'MAIN DATA, Orders'!$B:$P,6,0)</f>
        <v>Skyranger</v>
      </c>
      <c r="E83" s="83" t="str">
        <f>VLOOKUP($B83,'MAIN DATA, Orders'!$B:$P,7,0)</f>
        <v>Self-propelled anti-aircraft weapon</v>
      </c>
      <c r="F83" s="83" t="str">
        <f>VLOOKUP($B83,'MAIN DATA, Orders'!$B:$P,8,0)</f>
        <v>Air defence system</v>
      </c>
      <c r="G83" s="31">
        <f>VLOOKUP($B83,'MAIN DATA, Orders'!$B:$P,9,0)</f>
        <v>5</v>
      </c>
      <c r="H83" s="8">
        <f>VLOOKUP($B83,'MAIN DATA, Orders'!$B:$P,14,0)</f>
        <v>34157894.736842103</v>
      </c>
      <c r="I83" s="8">
        <f>VLOOKUP($B83,'MAIN DATA, Orders'!$B:$P,15,0)</f>
        <v>34157894.736842103</v>
      </c>
      <c r="J83" s="8">
        <f>VLOOKUP($B83,'MAIN DATA, Orders'!$B:$P,13,0)</f>
        <v>19</v>
      </c>
    </row>
    <row r="84" spans="1:10" x14ac:dyDescent="0.35">
      <c r="A84" s="27"/>
      <c r="B84" s="27" t="s">
        <v>1190</v>
      </c>
      <c r="C84" s="83" t="str">
        <f>VLOOKUP($B84,'MAIN DATA, Orders'!$B:$P,3,0)</f>
        <v>Germany</v>
      </c>
      <c r="D84" s="83" t="str">
        <f>VLOOKUP($B84,'MAIN DATA, Orders'!$B:$P,6,0)</f>
        <v>Patriot air defence system</v>
      </c>
      <c r="E84" s="83" t="str">
        <f>VLOOKUP($B84,'MAIN DATA, Orders'!$B:$P,7,0)</f>
        <v>Anti-aircraft surface-to-air missile (SAM) system (long-range)</v>
      </c>
      <c r="F84" s="83" t="str">
        <f>VLOOKUP($B84,'MAIN DATA, Orders'!$B:$P,8,0)</f>
        <v>Air defence system</v>
      </c>
      <c r="G84" s="31">
        <f>VLOOKUP($B84,'MAIN DATA, Orders'!$B:$P,9,0)</f>
        <v>5</v>
      </c>
      <c r="H84" s="8">
        <f>VLOOKUP($B84,'MAIN DATA, Orders'!$B:$P,14,0)</f>
        <v>350000000</v>
      </c>
      <c r="I84" s="8">
        <f>VLOOKUP($B84,'MAIN DATA, Orders'!$B:$P,15,0)</f>
        <v>350000000</v>
      </c>
      <c r="J84" s="8">
        <f>VLOOKUP($B84,'MAIN DATA, Orders'!$B:$P,13,0)</f>
        <v>2</v>
      </c>
    </row>
    <row r="85" spans="1:10" x14ac:dyDescent="0.35">
      <c r="A85" s="27"/>
      <c r="B85" s="27" t="s">
        <v>1196</v>
      </c>
      <c r="C85" s="83" t="str">
        <f>VLOOKUP($B85,'MAIN DATA, Orders'!$B:$P,3,0)</f>
        <v>Germany</v>
      </c>
      <c r="D85" s="83" t="str">
        <f>VLOOKUP($B85,'MAIN DATA, Orders'!$B:$P,6,0)</f>
        <v>Patriot air defence system</v>
      </c>
      <c r="E85" s="83" t="str">
        <f>VLOOKUP($B85,'MAIN DATA, Orders'!$B:$P,7,0)</f>
        <v>Anti-aircraft surface-to-air missile (SAM) system (long-range)</v>
      </c>
      <c r="F85" s="83" t="str">
        <f>VLOOKUP($B85,'MAIN DATA, Orders'!$B:$P,8,0)</f>
        <v>Air defence system</v>
      </c>
      <c r="G85" s="31">
        <f>VLOOKUP($B85,'MAIN DATA, Orders'!$B:$P,9,0)</f>
        <v>5</v>
      </c>
      <c r="H85" s="8">
        <f>VLOOKUP($B85,'MAIN DATA, Orders'!$B:$P,14,0)</f>
        <v>350000000</v>
      </c>
      <c r="I85" s="8">
        <f>VLOOKUP($B85,'MAIN DATA, Orders'!$B:$P,15,0)</f>
        <v>350000000</v>
      </c>
      <c r="J85" s="8">
        <f>VLOOKUP($B85,'MAIN DATA, Orders'!$B:$P,13,0)</f>
        <v>2</v>
      </c>
    </row>
    <row r="86" spans="1:10" x14ac:dyDescent="0.35">
      <c r="A86" s="27"/>
      <c r="B86" s="27" t="s">
        <v>1197</v>
      </c>
      <c r="C86" s="83" t="str">
        <f>VLOOKUP($B86,'MAIN DATA, Orders'!$B:$P,3,0)</f>
        <v>Germany</v>
      </c>
      <c r="D86" s="83" t="str">
        <f>VLOOKUP($B86,'MAIN DATA, Orders'!$B:$P,6,0)</f>
        <v>Speaking set with hearing protection</v>
      </c>
      <c r="E86" s="83" t="str">
        <f>VLOOKUP($B86,'MAIN DATA, Orders'!$B:$P,7,0)</f>
        <v>Communication equipment</v>
      </c>
      <c r="F86" s="83" t="str">
        <f>VLOOKUP($B86,'MAIN DATA, Orders'!$B:$P,8,0)</f>
        <v>Modernisation</v>
      </c>
      <c r="G86" s="31">
        <f>VLOOKUP($B86,'MAIN DATA, Orders'!$B:$P,9,0)</f>
        <v>13</v>
      </c>
      <c r="H86" s="8">
        <f>VLOOKUP($B86,'MAIN DATA, Orders'!$B:$P,14,0)</f>
        <v>2700</v>
      </c>
      <c r="I86" s="8">
        <f>VLOOKUP($B86,'MAIN DATA, Orders'!$B:$P,15,0)</f>
        <v>2700</v>
      </c>
      <c r="J86" s="8">
        <f>VLOOKUP($B86,'MAIN DATA, Orders'!$B:$P,13,0)</f>
        <v>30000</v>
      </c>
    </row>
    <row r="87" spans="1:10" x14ac:dyDescent="0.35">
      <c r="A87" s="27"/>
      <c r="B87" s="27" t="s">
        <v>1202</v>
      </c>
      <c r="C87" s="83" t="str">
        <f>VLOOKUP($B87,'MAIN DATA, Orders'!$B:$P,3,0)</f>
        <v>Germany</v>
      </c>
      <c r="D87" s="83" t="str">
        <f>VLOOKUP($B87,'MAIN DATA, Orders'!$B:$P,6,0)</f>
        <v>Heavy infantry weapon carrier</v>
      </c>
      <c r="E87" s="83" t="str">
        <f>VLOOKUP($B87,'MAIN DATA, Orders'!$B:$P,7,0)</f>
        <v>Light tank</v>
      </c>
      <c r="F87" s="83" t="str">
        <f>VLOOKUP($B87,'MAIN DATA, Orders'!$B:$P,8,0)</f>
        <v>Armoured vehicle</v>
      </c>
      <c r="G87" s="31">
        <f>VLOOKUP($B87,'MAIN DATA, Orders'!$B:$P,9,0)</f>
        <v>2</v>
      </c>
      <c r="H87" s="8">
        <f>VLOOKUP($B87,'MAIN DATA, Orders'!$B:$P,14,0)</f>
        <v>15772357.723577235</v>
      </c>
      <c r="I87" s="8">
        <f>VLOOKUP($B87,'MAIN DATA, Orders'!$B:$P,15,0)</f>
        <v>15772357.723577235</v>
      </c>
      <c r="J87" s="8">
        <f>VLOOKUP($B87,'MAIN DATA, Orders'!$B:$P,13,0)</f>
        <v>123</v>
      </c>
    </row>
    <row r="88" spans="1:10" x14ac:dyDescent="0.35">
      <c r="A88" s="27"/>
      <c r="B88" s="27" t="s">
        <v>1211</v>
      </c>
      <c r="C88" s="83" t="str">
        <f>VLOOKUP($B88,'MAIN DATA, Orders'!$B:$P,3,0)</f>
        <v>Germany</v>
      </c>
      <c r="D88" s="83" t="str">
        <f>VLOOKUP($B88,'MAIN DATA, Orders'!$B:$P,6,0)</f>
        <v>Puma duel simulator training device equipment set (AGDUS)</v>
      </c>
      <c r="E88" s="83" t="str">
        <f>VLOOKUP($B88,'MAIN DATA, Orders'!$B:$P,7,0)</f>
        <v>Infantry fighting vehicle (IFV) equipment</v>
      </c>
      <c r="F88" s="83" t="str">
        <f>VLOOKUP($B88,'MAIN DATA, Orders'!$B:$P,8,0)</f>
        <v>Armoured vehicle</v>
      </c>
      <c r="G88" s="31">
        <f>VLOOKUP($B88,'MAIN DATA, Orders'!$B:$P,9,0)</f>
        <v>2</v>
      </c>
      <c r="H88" s="8">
        <f>VLOOKUP($B88,'MAIN DATA, Orders'!$B:$P,14,0)</f>
        <v>422480.62015503878</v>
      </c>
      <c r="I88" s="8">
        <f>VLOOKUP($B88,'MAIN DATA, Orders'!$B:$P,15,0)</f>
        <v>422480.62015503878</v>
      </c>
      <c r="J88" s="8">
        <f>VLOOKUP($B88,'MAIN DATA, Orders'!$B:$P,13,0)</f>
        <v>258</v>
      </c>
    </row>
    <row r="89" spans="1:10" x14ac:dyDescent="0.35">
      <c r="A89" s="27"/>
      <c r="B89" s="27" t="s">
        <v>1218</v>
      </c>
      <c r="C89" s="83" t="str">
        <f>VLOOKUP($B89,'MAIN DATA, Orders'!$B:$P,3,0)</f>
        <v>Germany</v>
      </c>
      <c r="D89" s="83" t="str">
        <f>VLOOKUP($B89,'MAIN DATA, Orders'!$B:$P,6,0)</f>
        <v>70mm Tiger attack helicopter rocket (training)</v>
      </c>
      <c r="E89" s="83" t="str">
        <f>VLOOKUP($B89,'MAIN DATA, Orders'!$B:$P,7,0)</f>
        <v>70mm attack helicopter rocket</v>
      </c>
      <c r="F89" s="83" t="str">
        <f>VLOOKUP($B89,'MAIN DATA, Orders'!$B:$P,8,0)</f>
        <v>Ammunition</v>
      </c>
      <c r="G89" s="31">
        <f>VLOOKUP($B89,'MAIN DATA, Orders'!$B:$P,9,0)</f>
        <v>4</v>
      </c>
      <c r="H89" s="8">
        <f>VLOOKUP($B89,'MAIN DATA, Orders'!$B:$P,14,0)</f>
        <v>3557.312252964427</v>
      </c>
      <c r="I89" s="8">
        <f>VLOOKUP($B89,'MAIN DATA, Orders'!$B:$P,15,0)</f>
        <v>3557.312252964427</v>
      </c>
      <c r="J89" s="8">
        <f>VLOOKUP($B89,'MAIN DATA, Orders'!$B:$P,13,0)</f>
        <v>15180</v>
      </c>
    </row>
    <row r="90" spans="1:10" x14ac:dyDescent="0.35">
      <c r="A90" s="27"/>
      <c r="B90" s="27" t="s">
        <v>1247</v>
      </c>
      <c r="C90" s="83" t="str">
        <f>VLOOKUP($B90,'MAIN DATA, Orders'!$B:$P,3,0)</f>
        <v>Germany</v>
      </c>
      <c r="D90" s="83" t="str">
        <f>VLOOKUP($B90,'MAIN DATA, Orders'!$B:$P,6,0)</f>
        <v>DM45 smoke hand grenade</v>
      </c>
      <c r="E90" s="83" t="str">
        <f>VLOOKUP($B90,'MAIN DATA, Orders'!$B:$P,7,0)</f>
        <v>Smoke hand grenade</v>
      </c>
      <c r="F90" s="83" t="str">
        <f>VLOOKUP($B90,'MAIN DATA, Orders'!$B:$P,8,0)</f>
        <v>Infantry</v>
      </c>
      <c r="G90" s="31">
        <f>VLOOKUP($B90,'MAIN DATA, Orders'!$B:$P,9,0)</f>
        <v>8</v>
      </c>
      <c r="H90" s="8">
        <f>VLOOKUP($B90,'MAIN DATA, Orders'!$B:$P,14,0)</f>
        <v>69.584363251147622</v>
      </c>
      <c r="I90" s="8">
        <f>VLOOKUP($B90,'MAIN DATA, Orders'!$B:$P,15,0)</f>
        <v>69.584363251147622</v>
      </c>
      <c r="J90" s="8">
        <f>VLOOKUP($B90,'MAIN DATA, Orders'!$B:$P,13,0)</f>
        <v>962860</v>
      </c>
    </row>
    <row r="91" spans="1:10" x14ac:dyDescent="0.35">
      <c r="A91" s="27"/>
      <c r="B91" s="27" t="s">
        <v>1259</v>
      </c>
      <c r="C91" s="83" t="str">
        <f>VLOOKUP($B91,'MAIN DATA, Orders'!$B:$P,3,0)</f>
        <v>Germany</v>
      </c>
      <c r="D91" s="83" t="str">
        <f>VLOOKUP($B91,'MAIN DATA, Orders'!$B:$P,6,0)</f>
        <v>Communication server</v>
      </c>
      <c r="E91" s="83" t="str">
        <f>VLOOKUP($B91,'MAIN DATA, Orders'!$B:$P,7,0)</f>
        <v>Communication equipment</v>
      </c>
      <c r="F91" s="83" t="str">
        <f>VLOOKUP($B91,'MAIN DATA, Orders'!$B:$P,8,0)</f>
        <v>Modernisation</v>
      </c>
      <c r="G91" s="31">
        <f>VLOOKUP($B91,'MAIN DATA, Orders'!$B:$P,9,0)</f>
        <v>13</v>
      </c>
      <c r="H91" s="8">
        <f>VLOOKUP($B91,'MAIN DATA, Orders'!$B:$P,14,0)</f>
        <v>22929.736511919698</v>
      </c>
      <c r="I91" s="8">
        <f>VLOOKUP($B91,'MAIN DATA, Orders'!$B:$P,15,0)</f>
        <v>22929.736511919698</v>
      </c>
      <c r="J91" s="8">
        <f>VLOOKUP($B91,'MAIN DATA, Orders'!$B:$P,13,0)</f>
        <v>6376</v>
      </c>
    </row>
    <row r="92" spans="1:10" x14ac:dyDescent="0.35">
      <c r="A92" s="27"/>
      <c r="B92" s="27" t="s">
        <v>1265</v>
      </c>
      <c r="C92" s="83" t="str">
        <f>VLOOKUP($B92,'MAIN DATA, Orders'!$B:$P,3,0)</f>
        <v>Germany</v>
      </c>
      <c r="D92" s="83" t="str">
        <f>VLOOKUP($B92,'MAIN DATA, Orders'!$B:$P,6,0)</f>
        <v>Class 123 frigate (retrofit)</v>
      </c>
      <c r="E92" s="83" t="str">
        <f>VLOOKUP($B92,'MAIN DATA, Orders'!$B:$P,7,0)</f>
        <v>Frigate modernisation</v>
      </c>
      <c r="F92" s="83" t="str">
        <f>VLOOKUP($B92,'MAIN DATA, Orders'!$B:$P,8,0)</f>
        <v>Naval</v>
      </c>
      <c r="G92" s="31">
        <f>VLOOKUP($B92,'MAIN DATA, Orders'!$B:$P,9,0)</f>
        <v>12</v>
      </c>
      <c r="H92" s="8">
        <f>VLOOKUP($B92,'MAIN DATA, Orders'!$B:$P,14,0)</f>
        <v>300000000</v>
      </c>
      <c r="I92" s="8">
        <f>VLOOKUP($B92,'MAIN DATA, Orders'!$B:$P,15,0)</f>
        <v>300000000</v>
      </c>
      <c r="J92" s="8">
        <f>VLOOKUP($B92,'MAIN DATA, Orders'!$B:$P,13,0)</f>
        <v>4</v>
      </c>
    </row>
    <row r="93" spans="1:10" x14ac:dyDescent="0.35">
      <c r="A93" s="27"/>
      <c r="B93" s="27" t="s">
        <v>1282</v>
      </c>
      <c r="C93" s="83" t="str">
        <f>VLOOKUP($B93,'MAIN DATA, Orders'!$B:$P,3,0)</f>
        <v>Germany</v>
      </c>
      <c r="D93" s="83" t="str">
        <f>VLOOKUP($B93,'MAIN DATA, Orders'!$B:$P,6,0)</f>
        <v>Mk 54 torpedo</v>
      </c>
      <c r="E93" s="83" t="str">
        <f>VLOOKUP($B93,'MAIN DATA, Orders'!$B:$P,7,0)</f>
        <v>Lightweight anti-submarine torpedo</v>
      </c>
      <c r="F93" s="83" t="str">
        <f>VLOOKUP($B93,'MAIN DATA, Orders'!$B:$P,8,0)</f>
        <v>Naval</v>
      </c>
      <c r="G93" s="31">
        <f>VLOOKUP($B93,'MAIN DATA, Orders'!$B:$P,9,0)</f>
        <v>12</v>
      </c>
      <c r="H93" s="8">
        <f>VLOOKUP($B93,'MAIN DATA, Orders'!$B:$P,14,0)</f>
        <v>2541666.6666666665</v>
      </c>
      <c r="I93" s="8">
        <f>VLOOKUP($B93,'MAIN DATA, Orders'!$B:$P,15,0)</f>
        <v>2541666.6666666665</v>
      </c>
      <c r="J93" s="8">
        <f>VLOOKUP($B93,'MAIN DATA, Orders'!$B:$P,13,0)</f>
        <v>48</v>
      </c>
    </row>
    <row r="94" spans="1:10" x14ac:dyDescent="0.35">
      <c r="A94" s="27"/>
      <c r="B94" s="27" t="s">
        <v>1291</v>
      </c>
      <c r="C94" s="83" t="str">
        <f>VLOOKUP($B94,'MAIN DATA, Orders'!$B:$P,3,0)</f>
        <v>Germany</v>
      </c>
      <c r="D94" s="83" t="str">
        <f>VLOOKUP($B94,'MAIN DATA, Orders'!$B:$P,6,0)</f>
        <v>155mm artillery round</v>
      </c>
      <c r="E94" s="83" t="str">
        <f>VLOOKUP($B94,'MAIN DATA, Orders'!$B:$P,7,0)</f>
        <v>155mm howitzer ammunition</v>
      </c>
      <c r="F94" s="83" t="str">
        <f>VLOOKUP($B94,'MAIN DATA, Orders'!$B:$P,8,0)</f>
        <v>Ammunition</v>
      </c>
      <c r="G94" s="31">
        <f>VLOOKUP($B94,'MAIN DATA, Orders'!$B:$P,9,0)</f>
        <v>4</v>
      </c>
      <c r="H94" s="8">
        <f>VLOOKUP($B94,'MAIN DATA, Orders'!$B:$P,14,0)</f>
        <v>2933.3333333333335</v>
      </c>
      <c r="I94" s="8">
        <f>VLOOKUP($B94,'MAIN DATA, Orders'!$B:$P,15,0)</f>
        <v>2933.3333333333335</v>
      </c>
      <c r="J94" s="8">
        <f>VLOOKUP($B94,'MAIN DATA, Orders'!$B:$P,13,0)</f>
        <v>300000</v>
      </c>
    </row>
    <row r="95" spans="1:10" x14ac:dyDescent="0.35">
      <c r="A95" s="27"/>
      <c r="B95" s="27" t="s">
        <v>1300</v>
      </c>
      <c r="C95" s="83" t="str">
        <f>VLOOKUP($B95,'MAIN DATA, Orders'!$B:$P,3,0)</f>
        <v>Germany</v>
      </c>
      <c r="D95" s="83" t="str">
        <f>VLOOKUP($B95,'MAIN DATA, Orders'!$B:$P,6,0)</f>
        <v>Multi-purpose combat ship (MKS) 180 / Class F126 frigate contract adjustment</v>
      </c>
      <c r="E95" s="83" t="str">
        <f>VLOOKUP($B95,'MAIN DATA, Orders'!$B:$P,7,0)</f>
        <v>Frigate - contract adjustment</v>
      </c>
      <c r="F95" s="83" t="str">
        <f>VLOOKUP($B95,'MAIN DATA, Orders'!$B:$P,8,0)</f>
        <v>Naval</v>
      </c>
      <c r="G95" s="31">
        <f>VLOOKUP($B95,'MAIN DATA, Orders'!$B:$P,9,0)</f>
        <v>12</v>
      </c>
      <c r="H95" s="8">
        <f>VLOOKUP($B95,'MAIN DATA, Orders'!$B:$P,14,0)</f>
        <v>80750000</v>
      </c>
      <c r="I95" s="8">
        <f>VLOOKUP($B95,'MAIN DATA, Orders'!$B:$P,15,0)</f>
        <v>80750000</v>
      </c>
      <c r="J95" s="8">
        <f>VLOOKUP($B95,'MAIN DATA, Orders'!$B:$P,13,0)</f>
        <v>4</v>
      </c>
    </row>
    <row r="96" spans="1:10" x14ac:dyDescent="0.35">
      <c r="A96" s="27"/>
      <c r="B96" s="27" t="s">
        <v>1306</v>
      </c>
      <c r="C96" s="83" t="str">
        <f>VLOOKUP($B96,'MAIN DATA, Orders'!$B:$P,3,0)</f>
        <v>Germany</v>
      </c>
      <c r="D96" s="83" t="str">
        <f>VLOOKUP($B96,'MAIN DATA, Orders'!$B:$P,6,0)</f>
        <v>Multi-purpose combat ship (MKS) 180 / Class F126 frigate</v>
      </c>
      <c r="E96" s="83" t="str">
        <f>VLOOKUP($B96,'MAIN DATA, Orders'!$B:$P,7,0)</f>
        <v>Frigate</v>
      </c>
      <c r="F96" s="83" t="str">
        <f>VLOOKUP($B96,'MAIN DATA, Orders'!$B:$P,8,0)</f>
        <v>Naval</v>
      </c>
      <c r="G96" s="31">
        <f>VLOOKUP($B96,'MAIN DATA, Orders'!$B:$P,9,0)</f>
        <v>12</v>
      </c>
      <c r="H96" s="8">
        <f>VLOOKUP($B96,'MAIN DATA, Orders'!$B:$P,14,0)</f>
        <v>1590000000</v>
      </c>
      <c r="I96" s="8">
        <f>VLOOKUP($B96,'MAIN DATA, Orders'!$B:$P,15,0)</f>
        <v>1590000000</v>
      </c>
      <c r="J96" s="8">
        <f>VLOOKUP($B96,'MAIN DATA, Orders'!$B:$P,13,0)</f>
        <v>2</v>
      </c>
    </row>
    <row r="97" spans="1:10" x14ac:dyDescent="0.35">
      <c r="A97" s="27"/>
      <c r="B97" s="27" t="s">
        <v>1318</v>
      </c>
      <c r="C97" s="83" t="str">
        <f>VLOOKUP($B97,'MAIN DATA, Orders'!$B:$P,3,0)</f>
        <v>Germany</v>
      </c>
      <c r="D97" s="83" t="str">
        <f>VLOOKUP($B97,'MAIN DATA, Orders'!$B:$P,6,0)</f>
        <v>Tornado Head-Up Display (HUD)</v>
      </c>
      <c r="E97" s="83" t="str">
        <f>VLOOKUP($B97,'MAIN DATA, Orders'!$B:$P,7,0)</f>
        <v>Fighter aircraft display</v>
      </c>
      <c r="F97" s="83" t="str">
        <f>VLOOKUP($B97,'MAIN DATA, Orders'!$B:$P,8,0)</f>
        <v>Aircraft</v>
      </c>
      <c r="G97" s="31">
        <f>VLOOKUP($B97,'MAIN DATA, Orders'!$B:$P,9,0)</f>
        <v>11</v>
      </c>
      <c r="H97" s="8">
        <f>VLOOKUP($B97,'MAIN DATA, Orders'!$B:$P,14,0)</f>
        <v>1466666.6666666667</v>
      </c>
      <c r="I97" s="8">
        <f>VLOOKUP($B97,'MAIN DATA, Orders'!$B:$P,15,0)</f>
        <v>1466666.6666666667</v>
      </c>
      <c r="J97" s="8">
        <f>VLOOKUP($B97,'MAIN DATA, Orders'!$B:$P,13,0)</f>
        <v>45</v>
      </c>
    </row>
    <row r="98" spans="1:10" x14ac:dyDescent="0.35">
      <c r="A98" s="27"/>
      <c r="B98" s="27" t="s">
        <v>1330</v>
      </c>
      <c r="C98" s="83" t="str">
        <f>VLOOKUP($B98,'MAIN DATA, Orders'!$B:$P,3,0)</f>
        <v>Germany</v>
      </c>
      <c r="D98" s="83" t="str">
        <f>VLOOKUP($B98,'MAIN DATA, Orders'!$B:$P,6,0)</f>
        <v>Unprotected transport vehicle</v>
      </c>
      <c r="E98" s="83" t="str">
        <f>VLOOKUP($B98,'MAIN DATA, Orders'!$B:$P,7,0)</f>
        <v>Non-combat military vehicle</v>
      </c>
      <c r="F98" s="83" t="str">
        <f>VLOOKUP($B98,'MAIN DATA, Orders'!$B:$P,8,0)</f>
        <v>Other</v>
      </c>
      <c r="G98" s="31">
        <f>VLOOKUP($B98,'MAIN DATA, Orders'!$B:$P,9,0)</f>
        <v>16</v>
      </c>
      <c r="H98" s="8">
        <f>VLOOKUP($B98,'MAIN DATA, Orders'!$B:$P,14,0)</f>
        <v>513114.75409836066</v>
      </c>
      <c r="I98" s="8">
        <f>VLOOKUP($B98,'MAIN DATA, Orders'!$B:$P,15,0)</f>
        <v>513114.75409836066</v>
      </c>
      <c r="J98" s="8">
        <f>VLOOKUP($B98,'MAIN DATA, Orders'!$B:$P,13,0)</f>
        <v>610</v>
      </c>
    </row>
    <row r="99" spans="1:10" x14ac:dyDescent="0.35">
      <c r="A99" s="27"/>
      <c r="B99" s="27" t="s">
        <v>1337</v>
      </c>
      <c r="C99" s="83" t="str">
        <f>VLOOKUP($B99,'MAIN DATA, Orders'!$B:$P,3,0)</f>
        <v>Germany</v>
      </c>
      <c r="D99" s="83" t="str">
        <f>VLOOKUP($B99,'MAIN DATA, Orders'!$B:$P,6,0)</f>
        <v>Airfield fire engine</v>
      </c>
      <c r="E99" s="83" t="str">
        <f>VLOOKUP($B99,'MAIN DATA, Orders'!$B:$P,7,0)</f>
        <v>Non-combat military vehicle</v>
      </c>
      <c r="F99" s="83" t="str">
        <f>VLOOKUP($B99,'MAIN DATA, Orders'!$B:$P,8,0)</f>
        <v>Other</v>
      </c>
      <c r="G99" s="31">
        <f>VLOOKUP($B99,'MAIN DATA, Orders'!$B:$P,9,0)</f>
        <v>16</v>
      </c>
      <c r="H99" s="8">
        <f>VLOOKUP($B99,'MAIN DATA, Orders'!$B:$P,14,0)</f>
        <v>1400000</v>
      </c>
      <c r="I99" s="8">
        <f>VLOOKUP($B99,'MAIN DATA, Orders'!$B:$P,15,0)</f>
        <v>1400000</v>
      </c>
      <c r="J99" s="8">
        <f>VLOOKUP($B99,'MAIN DATA, Orders'!$B:$P,13,0)</f>
        <v>60</v>
      </c>
    </row>
    <row r="100" spans="1:10" x14ac:dyDescent="0.35">
      <c r="A100" s="27"/>
      <c r="B100" s="27" t="s">
        <v>1345</v>
      </c>
      <c r="C100" s="83" t="str">
        <f>VLOOKUP($B100,'MAIN DATA, Orders'!$B:$P,3,0)</f>
        <v>Germany</v>
      </c>
      <c r="D100" s="83" t="str">
        <f>VLOOKUP($B100,'MAIN DATA, Orders'!$B:$P,6,0)</f>
        <v>Class 123 frigate electronic warfare system</v>
      </c>
      <c r="E100" s="83" t="str">
        <f>VLOOKUP($B100,'MAIN DATA, Orders'!$B:$P,7,0)</f>
        <v>Frigate modernisation</v>
      </c>
      <c r="F100" s="83" t="str">
        <f>VLOOKUP($B100,'MAIN DATA, Orders'!$B:$P,8,0)</f>
        <v>Naval</v>
      </c>
      <c r="G100" s="31">
        <f>VLOOKUP($B100,'MAIN DATA, Orders'!$B:$P,9,0)</f>
        <v>12</v>
      </c>
      <c r="H100" s="8">
        <f>VLOOKUP($B100,'MAIN DATA, Orders'!$B:$P,14,0)</f>
        <v>25750000</v>
      </c>
      <c r="I100" s="8">
        <f>VLOOKUP($B100,'MAIN DATA, Orders'!$B:$P,15,0)</f>
        <v>25750000</v>
      </c>
      <c r="J100" s="8">
        <f>VLOOKUP($B100,'MAIN DATA, Orders'!$B:$P,13,0)</f>
        <v>4</v>
      </c>
    </row>
    <row r="101" spans="1:10" x14ac:dyDescent="0.35">
      <c r="A101" s="27"/>
      <c r="B101" s="27" t="s">
        <v>1359</v>
      </c>
      <c r="C101" s="83" t="str">
        <f>VLOOKUP($B101,'MAIN DATA, Orders'!$B:$P,3,0)</f>
        <v>Germany</v>
      </c>
      <c r="D101" s="83" t="str">
        <f>VLOOKUP($B101,'MAIN DATA, Orders'!$B:$P,6,0)</f>
        <v>Brimstone 3 guided missile</v>
      </c>
      <c r="E101" s="83" t="str">
        <f>VLOOKUP($B101,'MAIN DATA, Orders'!$B:$P,7,0)</f>
        <v>Air-to-surface missile (ASM)</v>
      </c>
      <c r="F101" s="83" t="str">
        <f>VLOOKUP($B101,'MAIN DATA, Orders'!$B:$P,8,0)</f>
        <v>Missile (Air)</v>
      </c>
      <c r="G101" s="31">
        <f>VLOOKUP($B101,'MAIN DATA, Orders'!$B:$P,9,0)</f>
        <v>6</v>
      </c>
      <c r="H101" s="8">
        <f>VLOOKUP($B101,'MAIN DATA, Orders'!$B:$P,14,0)</f>
        <v>1372262.7737226277</v>
      </c>
      <c r="I101" s="8">
        <f>VLOOKUP($B101,'MAIN DATA, Orders'!$B:$P,15,0)</f>
        <v>1372262.7737226277</v>
      </c>
      <c r="J101" s="8">
        <f>VLOOKUP($B101,'MAIN DATA, Orders'!$B:$P,13,0)</f>
        <v>274</v>
      </c>
    </row>
    <row r="102" spans="1:10" x14ac:dyDescent="0.35">
      <c r="A102" s="27"/>
      <c r="B102" s="27" t="s">
        <v>1368</v>
      </c>
      <c r="C102" s="83" t="str">
        <f>VLOOKUP($B102,'MAIN DATA, Orders'!$B:$P,3,0)</f>
        <v>Germany</v>
      </c>
      <c r="D102" s="83" t="str">
        <f>VLOOKUP($B102,'MAIN DATA, Orders'!$B:$P,6,0)</f>
        <v>Stinger guided missile</v>
      </c>
      <c r="E102" s="83" t="str">
        <f>VLOOKUP($B102,'MAIN DATA, Orders'!$B:$P,7,0)</f>
        <v>Man-portable surface-to-air missile</v>
      </c>
      <c r="F102" s="83" t="str">
        <f>VLOOKUP($B102,'MAIN DATA, Orders'!$B:$P,8,0)</f>
        <v>Missile (Land)</v>
      </c>
      <c r="G102" s="31">
        <f>VLOOKUP($B102,'MAIN DATA, Orders'!$B:$P,9,0)</f>
        <v>6</v>
      </c>
      <c r="H102" s="8">
        <f>VLOOKUP($B102,'MAIN DATA, Orders'!$B:$P,14,0)</f>
        <v>790000</v>
      </c>
      <c r="I102" s="8">
        <f>VLOOKUP($B102,'MAIN DATA, Orders'!$B:$P,15,0)</f>
        <v>790000</v>
      </c>
      <c r="J102" s="8">
        <f>VLOOKUP($B102,'MAIN DATA, Orders'!$B:$P,13,0)</f>
        <v>500</v>
      </c>
    </row>
    <row r="103" spans="1:10" x14ac:dyDescent="0.35">
      <c r="A103" s="27"/>
      <c r="B103" s="27" t="s">
        <v>1373</v>
      </c>
      <c r="C103" s="83" t="str">
        <f>VLOOKUP($B103,'MAIN DATA, Orders'!$B:$P,3,0)</f>
        <v>Germany</v>
      </c>
      <c r="D103" s="83" t="str">
        <f>VLOOKUP($B103,'MAIN DATA, Orders'!$B:$P,6,0)</f>
        <v>Leopard 2 A8</v>
      </c>
      <c r="E103" s="83" t="str">
        <f>VLOOKUP($B103,'MAIN DATA, Orders'!$B:$P,7,0)</f>
        <v>Main Battle Tank (MBT)</v>
      </c>
      <c r="F103" s="83" t="str">
        <f>VLOOKUP($B103,'MAIN DATA, Orders'!$B:$P,8,0)</f>
        <v>Tank</v>
      </c>
      <c r="G103" s="31">
        <f>VLOOKUP($B103,'MAIN DATA, Orders'!$B:$P,9,0)</f>
        <v>1</v>
      </c>
      <c r="H103" s="8">
        <f>VLOOKUP($B103,'MAIN DATA, Orders'!$B:$P,14,0)</f>
        <v>27619047.619047619</v>
      </c>
      <c r="I103" s="8">
        <f>VLOOKUP($B103,'MAIN DATA, Orders'!$B:$P,15,0)</f>
        <v>27619047.619047619</v>
      </c>
      <c r="J103" s="8">
        <f>VLOOKUP($B103,'MAIN DATA, Orders'!$B:$P,13,0)</f>
        <v>105</v>
      </c>
    </row>
    <row r="104" spans="1:10" x14ac:dyDescent="0.35">
      <c r="A104" s="27"/>
      <c r="B104" s="27" t="s">
        <v>1389</v>
      </c>
      <c r="C104" s="83" t="str">
        <f>VLOOKUP($B104,'MAIN DATA, Orders'!$B:$P,3,0)</f>
        <v>Germany</v>
      </c>
      <c r="D104" s="83" t="str">
        <f>VLOOKUP($B104,'MAIN DATA, Orders'!$B:$P,6,0)</f>
        <v>Speaking set with hearing protection</v>
      </c>
      <c r="E104" s="83" t="str">
        <f>VLOOKUP($B104,'MAIN DATA, Orders'!$B:$P,7,0)</f>
        <v>Communication equipment</v>
      </c>
      <c r="F104" s="83" t="str">
        <f>VLOOKUP($B104,'MAIN DATA, Orders'!$B:$P,8,0)</f>
        <v>Modernisation</v>
      </c>
      <c r="G104" s="31">
        <f>VLOOKUP($B104,'MAIN DATA, Orders'!$B:$P,9,0)</f>
        <v>13</v>
      </c>
      <c r="H104" s="8">
        <f>VLOOKUP($B104,'MAIN DATA, Orders'!$B:$P,14,0)</f>
        <v>2233.3333333333335</v>
      </c>
      <c r="I104" s="8">
        <f>VLOOKUP($B104,'MAIN DATA, Orders'!$B:$P,15,0)</f>
        <v>2233.3333333333335</v>
      </c>
      <c r="J104" s="8">
        <f>VLOOKUP($B104,'MAIN DATA, Orders'!$B:$P,13,0)</f>
        <v>30000</v>
      </c>
    </row>
    <row r="105" spans="1:10" x14ac:dyDescent="0.35">
      <c r="A105" s="27"/>
      <c r="B105" s="27" t="s">
        <v>1391</v>
      </c>
      <c r="C105" s="83" t="str">
        <f>VLOOKUP($B105,'MAIN DATA, Orders'!$B:$P,3,0)</f>
        <v>Germany</v>
      </c>
      <c r="D105" s="83" t="str">
        <f>VLOOKUP($B105,'MAIN DATA, Orders'!$B:$P,6,0)</f>
        <v>Patriot air defence system</v>
      </c>
      <c r="E105" s="83" t="str">
        <f>VLOOKUP($B105,'MAIN DATA, Orders'!$B:$P,7,0)</f>
        <v>Anti-aircraft surface-to-air missile (SAM) system (long-range)</v>
      </c>
      <c r="F105" s="83" t="str">
        <f>VLOOKUP($B105,'MAIN DATA, Orders'!$B:$P,8,0)</f>
        <v>Air defence system</v>
      </c>
      <c r="G105" s="31">
        <f>VLOOKUP($B105,'MAIN DATA, Orders'!$B:$P,9,0)</f>
        <v>5</v>
      </c>
      <c r="H105" s="8">
        <f>VLOOKUP($B105,'MAIN DATA, Orders'!$B:$P,14,0)</f>
        <v>350000000</v>
      </c>
      <c r="I105" s="8">
        <f>VLOOKUP($B105,'MAIN DATA, Orders'!$B:$P,15,0)</f>
        <v>350000000</v>
      </c>
      <c r="J105" s="8">
        <f>VLOOKUP($B105,'MAIN DATA, Orders'!$B:$P,13,0)</f>
        <v>3</v>
      </c>
    </row>
    <row r="106" spans="1:10" x14ac:dyDescent="0.35">
      <c r="A106" s="27"/>
      <c r="B106" s="27" t="s">
        <v>1397</v>
      </c>
      <c r="C106" s="83" t="str">
        <f>VLOOKUP($B106,'MAIN DATA, Orders'!$B:$P,3,0)</f>
        <v>Germany</v>
      </c>
      <c r="D106" s="83" t="str">
        <f>VLOOKUP($B106,'MAIN DATA, Orders'!$B:$P,6,0)</f>
        <v>Patriot air defence system</v>
      </c>
      <c r="E106" s="83" t="str">
        <f>VLOOKUP($B106,'MAIN DATA, Orders'!$B:$P,7,0)</f>
        <v>Anti-aircraft surface-to-air missile (SAM) system (long-range)</v>
      </c>
      <c r="F106" s="83" t="str">
        <f>VLOOKUP($B106,'MAIN DATA, Orders'!$B:$P,8,0)</f>
        <v>Air defence system</v>
      </c>
      <c r="G106" s="31">
        <f>VLOOKUP($B106,'MAIN DATA, Orders'!$B:$P,9,0)</f>
        <v>5</v>
      </c>
      <c r="H106" s="8">
        <f>VLOOKUP($B106,'MAIN DATA, Orders'!$B:$P,14,0)</f>
        <v>350000000</v>
      </c>
      <c r="I106" s="8">
        <f>VLOOKUP($B106,'MAIN DATA, Orders'!$B:$P,15,0)</f>
        <v>350000000</v>
      </c>
      <c r="J106" s="8">
        <f>VLOOKUP($B106,'MAIN DATA, Orders'!$B:$P,13,0)</f>
        <v>1</v>
      </c>
    </row>
    <row r="107" spans="1:10" x14ac:dyDescent="0.35">
      <c r="A107" s="27"/>
      <c r="B107" s="27" t="s">
        <v>1398</v>
      </c>
      <c r="C107" s="83" t="str">
        <f>VLOOKUP($B107,'MAIN DATA, Orders'!$B:$P,3,0)</f>
        <v>Germany</v>
      </c>
      <c r="D107" s="83" t="str">
        <f>VLOOKUP($B107,'MAIN DATA, Orders'!$B:$P,6,0)</f>
        <v>Patriot air defence munition</v>
      </c>
      <c r="E107" s="83" t="str">
        <f>VLOOKUP($B107,'MAIN DATA, Orders'!$B:$P,7,0)</f>
        <v>Surface-to-air missile (SAM)</v>
      </c>
      <c r="F107" s="83" t="str">
        <f>VLOOKUP($B107,'MAIN DATA, Orders'!$B:$P,8,0)</f>
        <v>Missile (Land)</v>
      </c>
      <c r="G107" s="31">
        <f>VLOOKUP($B107,'MAIN DATA, Orders'!$B:$P,9,0)</f>
        <v>6</v>
      </c>
      <c r="H107" s="8">
        <f>VLOOKUP($B107,'MAIN DATA, Orders'!$B:$P,14,0)</f>
        <v>2000000</v>
      </c>
      <c r="I107" s="8">
        <f>VLOOKUP($B107,'MAIN DATA, Orders'!$B:$P,15,0)</f>
        <v>2000000</v>
      </c>
      <c r="J107" s="8">
        <f>VLOOKUP($B107,'MAIN DATA, Orders'!$B:$P,13,0)</f>
        <v>100</v>
      </c>
    </row>
    <row r="108" spans="1:10" x14ac:dyDescent="0.35">
      <c r="A108" s="27"/>
      <c r="B108" s="27" t="s">
        <v>1403</v>
      </c>
      <c r="C108" s="83" t="str">
        <f>VLOOKUP($B108,'MAIN DATA, Orders'!$B:$P,3,0)</f>
        <v>Germany</v>
      </c>
      <c r="D108" s="83" t="str">
        <f>VLOOKUP($B108,'MAIN DATA, Orders'!$B:$P,6,0)</f>
        <v>RAM Block 2B missile</v>
      </c>
      <c r="E108" s="83" t="str">
        <f>VLOOKUP($B108,'MAIN DATA, Orders'!$B:$P,7,0)</f>
        <v>Naval guided surface-to-air missile (SAM)</v>
      </c>
      <c r="F108" s="83" t="str">
        <f>VLOOKUP($B108,'MAIN DATA, Orders'!$B:$P,8,0)</f>
        <v>Missile (Naval)</v>
      </c>
      <c r="G108" s="31">
        <f>VLOOKUP($B108,'MAIN DATA, Orders'!$B:$P,9,0)</f>
        <v>6</v>
      </c>
      <c r="H108" s="8">
        <f>VLOOKUP($B108,'MAIN DATA, Orders'!$B:$P,14,0)</f>
        <v>931500</v>
      </c>
      <c r="I108" s="8">
        <f>VLOOKUP($B108,'MAIN DATA, Orders'!$B:$P,15,0)</f>
        <v>931500</v>
      </c>
      <c r="J108" s="8">
        <f>VLOOKUP($B108,'MAIN DATA, Orders'!$B:$P,13,0)</f>
        <v>400</v>
      </c>
    </row>
    <row r="109" spans="1:10" x14ac:dyDescent="0.35">
      <c r="A109" s="27"/>
      <c r="B109" s="27" t="s">
        <v>1428</v>
      </c>
      <c r="C109" s="83" t="str">
        <f>VLOOKUP($B109,'MAIN DATA, Orders'!$B:$P,3,0)</f>
        <v>Germany</v>
      </c>
      <c r="D109" s="83" t="str">
        <f>VLOOKUP($B109,'MAIN DATA, Orders'!$B:$P,6,0)</f>
        <v>Swap body</v>
      </c>
      <c r="E109" s="83" t="str">
        <f>VLOOKUP($B109,'MAIN DATA, Orders'!$B:$P,7,0)</f>
        <v>Non-combat military vehicle part</v>
      </c>
      <c r="F109" s="83" t="str">
        <f>VLOOKUP($B109,'MAIN DATA, Orders'!$B:$P,8,0)</f>
        <v>Other</v>
      </c>
      <c r="G109" s="31">
        <f>VLOOKUP($B109,'MAIN DATA, Orders'!$B:$P,9,0)</f>
        <v>16</v>
      </c>
      <c r="H109" s="8">
        <f>VLOOKUP($B109,'MAIN DATA, Orders'!$B:$P,14,0)</f>
        <v>24000</v>
      </c>
      <c r="I109" s="8">
        <f>VLOOKUP($B109,'MAIN DATA, Orders'!$B:$P,15,0)</f>
        <v>24000</v>
      </c>
      <c r="J109" s="8">
        <f>VLOOKUP($B109,'MAIN DATA, Orders'!$B:$P,13,0)</f>
        <v>1750</v>
      </c>
    </row>
    <row r="110" spans="1:10" x14ac:dyDescent="0.35">
      <c r="A110" s="27"/>
      <c r="B110" s="27" t="s">
        <v>1444</v>
      </c>
      <c r="C110" s="83" t="str">
        <f>VLOOKUP($B110,'MAIN DATA, Orders'!$B:$P,3,0)</f>
        <v>Germany</v>
      </c>
      <c r="D110" s="83" t="str">
        <f>VLOOKUP($B110,'MAIN DATA, Orders'!$B:$P,6,0)</f>
        <v>Airbus A400M Block Upgrade 0</v>
      </c>
      <c r="E110" s="83" t="str">
        <f>VLOOKUP($B110,'MAIN DATA, Orders'!$B:$P,7,0)</f>
        <v>Transport aircraft</v>
      </c>
      <c r="F110" s="83" t="str">
        <f>VLOOKUP($B110,'MAIN DATA, Orders'!$B:$P,8,0)</f>
        <v>Aircraft</v>
      </c>
      <c r="G110" s="31">
        <f>VLOOKUP($B110,'MAIN DATA, Orders'!$B:$P,9,0)</f>
        <v>11</v>
      </c>
      <c r="H110" s="8">
        <f>VLOOKUP($B110,'MAIN DATA, Orders'!$B:$P,14,0)</f>
        <v>2867924.5283018867</v>
      </c>
      <c r="I110" s="8">
        <f>VLOOKUP($B110,'MAIN DATA, Orders'!$B:$P,15,0)</f>
        <v>2867924.5283018867</v>
      </c>
      <c r="J110" s="8">
        <f>VLOOKUP($B110,'MAIN DATA, Orders'!$B:$P,13,0)</f>
        <v>53</v>
      </c>
    </row>
    <row r="111" spans="1:10" x14ac:dyDescent="0.35">
      <c r="A111" s="27"/>
      <c r="B111" s="27" t="s">
        <v>1448</v>
      </c>
      <c r="C111" s="83" t="str">
        <f>VLOOKUP($B111,'MAIN DATA, Orders'!$B:$P,3,0)</f>
        <v>Germany</v>
      </c>
      <c r="D111" s="83" t="str">
        <f>VLOOKUP($B111,'MAIN DATA, Orders'!$B:$P,6,0)</f>
        <v>Class 124 frigate electronic warfare system</v>
      </c>
      <c r="E111" s="83" t="str">
        <f>VLOOKUP($B111,'MAIN DATA, Orders'!$B:$P,7,0)</f>
        <v>Frigate modernization</v>
      </c>
      <c r="F111" s="83" t="str">
        <f>VLOOKUP($B111,'MAIN DATA, Orders'!$B:$P,8,0)</f>
        <v>Naval</v>
      </c>
      <c r="G111" s="31">
        <f>VLOOKUP($B111,'MAIN DATA, Orders'!$B:$P,9,0)</f>
        <v>12</v>
      </c>
      <c r="H111" s="8">
        <f>VLOOKUP($B111,'MAIN DATA, Orders'!$B:$P,14,0)</f>
        <v>76666666.666666672</v>
      </c>
      <c r="I111" s="8">
        <f>VLOOKUP($B111,'MAIN DATA, Orders'!$B:$P,15,0)</f>
        <v>76666666.666666672</v>
      </c>
      <c r="J111" s="8">
        <f>VLOOKUP($B111,'MAIN DATA, Orders'!$B:$P,13,0)</f>
        <v>3</v>
      </c>
    </row>
    <row r="112" spans="1:10" x14ac:dyDescent="0.35">
      <c r="A112" s="27"/>
      <c r="B112" s="27" t="s">
        <v>1453</v>
      </c>
      <c r="C112" s="83" t="str">
        <f>VLOOKUP($B112,'MAIN DATA, Orders'!$B:$P,3,0)</f>
        <v>Germany</v>
      </c>
      <c r="D112" s="83" t="str">
        <f>VLOOKUP($B112,'MAIN DATA, Orders'!$B:$P,6,0)</f>
        <v>ERGR 2 explosion-proof GPS receiver</v>
      </c>
      <c r="E112" s="83" t="str">
        <f>VLOOKUP($B112,'MAIN DATA, Orders'!$B:$P,7,0)</f>
        <v>Communication equipment</v>
      </c>
      <c r="F112" s="83" t="str">
        <f>VLOOKUP($B112,'MAIN DATA, Orders'!$B:$P,8,0)</f>
        <v>Modernisation</v>
      </c>
      <c r="G112" s="31">
        <f>VLOOKUP($B112,'MAIN DATA, Orders'!$B:$P,9,0)</f>
        <v>13</v>
      </c>
      <c r="H112" s="8">
        <f>VLOOKUP($B112,'MAIN DATA, Orders'!$B:$P,14,0)</f>
        <v>7166.666666666667</v>
      </c>
      <c r="I112" s="8">
        <f>VLOOKUP($B112,'MAIN DATA, Orders'!$B:$P,15,0)</f>
        <v>7166.666666666667</v>
      </c>
      <c r="J112" s="8">
        <f>VLOOKUP($B112,'MAIN DATA, Orders'!$B:$P,13,0)</f>
        <v>6000</v>
      </c>
    </row>
    <row r="113" spans="1:10" x14ac:dyDescent="0.35">
      <c r="A113" s="27"/>
      <c r="B113" s="27" t="s">
        <v>1472</v>
      </c>
      <c r="C113" s="83" t="str">
        <f>VLOOKUP($B113,'MAIN DATA, Orders'!$B:$P,3,0)</f>
        <v>Germany</v>
      </c>
      <c r="D113" s="83" t="str">
        <f>VLOOKUP($B113,'MAIN DATA, Orders'!$B:$P,6,0)</f>
        <v>Meteor guided missile</v>
      </c>
      <c r="E113" s="83" t="str">
        <f>VLOOKUP($B113,'MAIN DATA, Orders'!$B:$P,7,0)</f>
        <v>Air-to-air missile (AAM)</v>
      </c>
      <c r="F113" s="83" t="str">
        <f>VLOOKUP($B113,'MAIN DATA, Orders'!$B:$P,8,0)</f>
        <v>Missile (Air)</v>
      </c>
      <c r="G113" s="31">
        <f>VLOOKUP($B113,'MAIN DATA, Orders'!$B:$P,9,0)</f>
        <v>6</v>
      </c>
      <c r="H113" s="8">
        <f>VLOOKUP($B113,'MAIN DATA, Orders'!$B:$P,14,0)</f>
        <v>1929629.6296296297</v>
      </c>
      <c r="I113" s="8">
        <f>VLOOKUP($B113,'MAIN DATA, Orders'!$B:$P,15,0)</f>
        <v>1929629.6296296297</v>
      </c>
      <c r="J113" s="8">
        <f>VLOOKUP($B113,'MAIN DATA, Orders'!$B:$P,13,0)</f>
        <v>270</v>
      </c>
    </row>
    <row r="114" spans="1:10" x14ac:dyDescent="0.35">
      <c r="A114" s="27"/>
      <c r="B114" s="27" t="s">
        <v>1578</v>
      </c>
      <c r="C114" s="83" t="str">
        <f>VLOOKUP($B114,'MAIN DATA, Orders'!$B:$P,3,0)</f>
        <v>Germany</v>
      </c>
      <c r="D114" s="83" t="str">
        <f>VLOOKUP($B114,'MAIN DATA, Orders'!$B:$P,6,0)</f>
        <v>Precision and Universal Launcher System (PULS)</v>
      </c>
      <c r="E114" s="83" t="str">
        <f>VLOOKUP($B114,'MAIN DATA, Orders'!$B:$P,7,0)</f>
        <v>Multiple rocket launcher system</v>
      </c>
      <c r="F114" s="83" t="str">
        <f>VLOOKUP($B114,'MAIN DATA, Orders'!$B:$P,8,0)</f>
        <v>Artillery</v>
      </c>
      <c r="G114" s="31">
        <f>VLOOKUP($B114,'MAIN DATA, Orders'!$B:$P,9,0)</f>
        <v>3</v>
      </c>
      <c r="H114" s="8">
        <f>VLOOKUP($B114,'MAIN DATA, Orders'!$B:$P,14,0)</f>
        <v>13000000</v>
      </c>
      <c r="I114" s="8">
        <f>VLOOKUP($B114,'MAIN DATA, Orders'!$B:$P,15,0)</f>
        <v>13000000</v>
      </c>
      <c r="J114" s="8">
        <f>VLOOKUP($B114,'MAIN DATA, Orders'!$B:$P,13,0)</f>
        <v>5</v>
      </c>
    </row>
    <row r="115" spans="1:10" x14ac:dyDescent="0.35">
      <c r="A115" s="27"/>
      <c r="B115" s="27" t="s">
        <v>1583</v>
      </c>
      <c r="C115" s="83" t="str">
        <f>VLOOKUP($B115,'MAIN DATA, Orders'!$B:$P,3,0)</f>
        <v>Germany</v>
      </c>
      <c r="D115" s="83" t="str">
        <f>VLOOKUP($B115,'MAIN DATA, Orders'!$B:$P,6,0)</f>
        <v>Clothing and personal equipment contract extension</v>
      </c>
      <c r="E115" s="83" t="str">
        <f>VLOOKUP($B115,'MAIN DATA, Orders'!$B:$P,7,0)</f>
        <v>Clothing and personal equipment</v>
      </c>
      <c r="F115" s="83" t="str">
        <f>VLOOKUP($B115,'MAIN DATA, Orders'!$B:$P,8,0)</f>
        <v>Modernisation</v>
      </c>
      <c r="G115" s="31">
        <f>VLOOKUP($B115,'MAIN DATA, Orders'!$B:$P,9,0)</f>
        <v>13</v>
      </c>
      <c r="H115" s="8">
        <f>VLOOKUP($B115,'MAIN DATA, Orders'!$B:$P,14,0)</f>
        <v>114285714.28571428</v>
      </c>
      <c r="I115" s="8">
        <f>VLOOKUP($B115,'MAIN DATA, Orders'!$B:$P,15,0)</f>
        <v>114285714.28571428</v>
      </c>
      <c r="J115" s="8">
        <f>VLOOKUP($B115,'MAIN DATA, Orders'!$B:$P,13,0)</f>
        <v>7</v>
      </c>
    </row>
    <row r="116" spans="1:10" x14ac:dyDescent="0.35">
      <c r="A116" s="27"/>
      <c r="B116" s="27" t="s">
        <v>1587</v>
      </c>
      <c r="C116" s="83" t="str">
        <f>VLOOKUP($B116,'MAIN DATA, Orders'!$B:$P,3,0)</f>
        <v>Germany</v>
      </c>
      <c r="D116" s="83" t="str">
        <f>VLOOKUP($B116,'MAIN DATA, Orders'!$B:$P,6,0)</f>
        <v>U212 Common Design submarine</v>
      </c>
      <c r="E116" s="83" t="str">
        <f>VLOOKUP($B116,'MAIN DATA, Orders'!$B:$P,7,0)</f>
        <v>Submarine</v>
      </c>
      <c r="F116" s="83" t="str">
        <f>VLOOKUP($B116,'MAIN DATA, Orders'!$B:$P,8,0)</f>
        <v>Naval</v>
      </c>
      <c r="G116" s="31">
        <f>VLOOKUP($B116,'MAIN DATA, Orders'!$B:$P,9,0)</f>
        <v>12</v>
      </c>
      <c r="H116" s="8">
        <f>VLOOKUP($B116,'MAIN DATA, Orders'!$B:$P,14,0)</f>
        <v>1242439750</v>
      </c>
      <c r="I116" s="8">
        <f>VLOOKUP($B116,'MAIN DATA, Orders'!$B:$P,15,0)</f>
        <v>1242439750</v>
      </c>
      <c r="J116" s="8">
        <f>VLOOKUP($B116,'MAIN DATA, Orders'!$B:$P,13,0)</f>
        <v>4</v>
      </c>
    </row>
    <row r="117" spans="1:10" x14ac:dyDescent="0.35">
      <c r="A117" s="27"/>
      <c r="B117" s="27" t="s">
        <v>1646</v>
      </c>
      <c r="C117" s="83" t="str">
        <f>VLOOKUP($B117,'MAIN DATA, Orders'!$B:$P,3,0)</f>
        <v>Germany</v>
      </c>
      <c r="D117" s="83" t="str">
        <f>VLOOKUP($B117,'MAIN DATA, Orders'!$B:$P,6,0)</f>
        <v>J-MUSIC DIRCM system for A400M</v>
      </c>
      <c r="E117" s="83" t="str">
        <f>VLOOKUP($B117,'MAIN DATA, Orders'!$B:$P,7,0)</f>
        <v>Anti-missile countermeasure system</v>
      </c>
      <c r="F117" s="83" t="str">
        <f>VLOOKUP($B117,'MAIN DATA, Orders'!$B:$P,8,0)</f>
        <v>Aircraft</v>
      </c>
      <c r="G117" s="31">
        <f>VLOOKUP($B117,'MAIN DATA, Orders'!$B:$P,9,0)</f>
        <v>11</v>
      </c>
      <c r="H117" s="8">
        <f>VLOOKUP($B117,'MAIN DATA, Orders'!$B:$P,14,0)</f>
        <v>11304347.826086957</v>
      </c>
      <c r="I117" s="8">
        <f>VLOOKUP($B117,'MAIN DATA, Orders'!$B:$P,15,0)</f>
        <v>11304347.826086957</v>
      </c>
      <c r="J117" s="8">
        <f>VLOOKUP($B117,'MAIN DATA, Orders'!$B:$P,13,0)</f>
        <v>23</v>
      </c>
    </row>
    <row r="118" spans="1:10" x14ac:dyDescent="0.35">
      <c r="A118" s="182"/>
      <c r="B118" s="182" t="s">
        <v>1660</v>
      </c>
      <c r="C118" s="83" t="str">
        <f>VLOOKUP($B118,'MAIN DATA, Orders'!$B:$P,3,0)</f>
        <v>Germany</v>
      </c>
      <c r="D118" s="83" t="str">
        <f>VLOOKUP($B118,'MAIN DATA, Orders'!$B:$P,6,0)</f>
        <v>Litening 5 laser target illumination for Eurofighter</v>
      </c>
      <c r="E118" s="83" t="str">
        <f>VLOOKUP($B118,'MAIN DATA, Orders'!$B:$P,7,0)</f>
        <v>Figher aircraft target mechanism</v>
      </c>
      <c r="F118" s="83" t="str">
        <f>VLOOKUP($B118,'MAIN DATA, Orders'!$B:$P,8,0)</f>
        <v>Aircraft</v>
      </c>
      <c r="G118" s="31">
        <f>VLOOKUP($B118,'MAIN DATA, Orders'!$B:$P,9,0)</f>
        <v>11</v>
      </c>
      <c r="H118" s="8">
        <f>VLOOKUP($B118,'MAIN DATA, Orders'!$B:$P,14,0)</f>
        <v>3977777.777777778</v>
      </c>
      <c r="I118" s="8">
        <f>VLOOKUP($B118,'MAIN DATA, Orders'!$B:$P,15,0)</f>
        <v>3977777.777777778</v>
      </c>
      <c r="J118" s="8">
        <f>VLOOKUP($B118,'MAIN DATA, Orders'!$B:$P,13,0)</f>
        <v>90</v>
      </c>
    </row>
    <row r="119" spans="1:10" x14ac:dyDescent="0.35">
      <c r="A119" s="182"/>
      <c r="B119" s="182" t="s">
        <v>1667</v>
      </c>
      <c r="C119" s="83" t="str">
        <f>VLOOKUP($B119,'MAIN DATA, Orders'!$B:$P,3,0)</f>
        <v>Germany</v>
      </c>
      <c r="D119" s="83" t="str">
        <f>VLOOKUP($B119,'MAIN DATA, Orders'!$B:$P,6,0)</f>
        <v>Infrared Clip-on device (IR-COD)</v>
      </c>
      <c r="E119" s="83" t="str">
        <f>VLOOKUP($B119,'MAIN DATA, Orders'!$B:$P,7,0)</f>
        <v>Equipment for Small Arms and Light Weapons (SALW)</v>
      </c>
      <c r="F119" s="83" t="str">
        <f>VLOOKUP($B119,'MAIN DATA, Orders'!$B:$P,8,0)</f>
        <v>Infantry</v>
      </c>
      <c r="G119" s="31">
        <f>VLOOKUP($B119,'MAIN DATA, Orders'!$B:$P,9,0)</f>
        <v>8</v>
      </c>
      <c r="H119" s="8">
        <f>VLOOKUP($B119,'MAIN DATA, Orders'!$B:$P,14,0)</f>
        <v>11200</v>
      </c>
      <c r="I119" s="8">
        <f>VLOOKUP($B119,'MAIN DATA, Orders'!$B:$P,15,0)</f>
        <v>11200</v>
      </c>
      <c r="J119" s="8">
        <f>VLOOKUP($B119,'MAIN DATA, Orders'!$B:$P,13,0)</f>
        <v>4375</v>
      </c>
    </row>
    <row r="120" spans="1:10" x14ac:dyDescent="0.35">
      <c r="A120" s="182"/>
      <c r="B120" s="182" t="s">
        <v>1675</v>
      </c>
      <c r="C120" s="83" t="str">
        <f>VLOOKUP($B120,'MAIN DATA, Orders'!$B:$P,3,0)</f>
        <v>Germany</v>
      </c>
      <c r="D120" s="83" t="str">
        <f>VLOOKUP($B120,'MAIN DATA, Orders'!$B:$P,6,0)</f>
        <v>Modernisation of U212A</v>
      </c>
      <c r="E120" s="83" t="str">
        <f>VLOOKUP($B120,'MAIN DATA, Orders'!$B:$P,7,0)</f>
        <v>Submarine</v>
      </c>
      <c r="F120" s="83" t="str">
        <f>VLOOKUP($B120,'MAIN DATA, Orders'!$B:$P,8,0)</f>
        <v>Modernisation</v>
      </c>
      <c r="G120" s="31">
        <f>VLOOKUP($B120,'MAIN DATA, Orders'!$B:$P,9,0)</f>
        <v>13</v>
      </c>
      <c r="H120" s="8">
        <f>VLOOKUP($B120,'MAIN DATA, Orders'!$B:$P,14,0)</f>
        <v>166666666.66666666</v>
      </c>
      <c r="I120" s="8">
        <f>VLOOKUP($B120,'MAIN DATA, Orders'!$B:$P,15,0)</f>
        <v>166666666.66666666</v>
      </c>
      <c r="J120" s="8">
        <f>VLOOKUP($B120,'MAIN DATA, Orders'!$B:$P,13,0)</f>
        <v>6</v>
      </c>
    </row>
    <row r="121" spans="1:10" x14ac:dyDescent="0.35">
      <c r="A121" s="182"/>
      <c r="B121" s="182" t="s">
        <v>1682</v>
      </c>
      <c r="C121" s="83" t="str">
        <f>VLOOKUP($B121,'MAIN DATA, Orders'!$B:$P,3,0)</f>
        <v>Germany</v>
      </c>
      <c r="D121" s="83" t="str">
        <f>VLOOKUP($B121,'MAIN DATA, Orders'!$B:$P,6,0)</f>
        <v>NBC defence equipment</v>
      </c>
      <c r="E121" s="83" t="str">
        <f>VLOOKUP($B121,'MAIN DATA, Orders'!$B:$P,7,0)</f>
        <v>Various equipment</v>
      </c>
      <c r="F121" s="83" t="str">
        <f>VLOOKUP($B121,'MAIN DATA, Orders'!$B:$P,8,0)</f>
        <v>Other</v>
      </c>
      <c r="G121" s="31">
        <f>VLOOKUP($B121,'MAIN DATA, Orders'!$B:$P,9,0)</f>
        <v>16</v>
      </c>
      <c r="H121" s="8">
        <f>VLOOKUP($B121,'MAIN DATA, Orders'!$B:$P,14,0)</f>
        <v>1578947.3684210526</v>
      </c>
      <c r="I121" s="8">
        <f>VLOOKUP($B121,'MAIN DATA, Orders'!$B:$P,15,0)</f>
        <v>1578947.3684210526</v>
      </c>
      <c r="J121" s="8">
        <f>VLOOKUP($B121,'MAIN DATA, Orders'!$B:$P,13,0)</f>
        <v>19</v>
      </c>
    </row>
    <row r="122" spans="1:10" x14ac:dyDescent="0.35">
      <c r="A122" s="27"/>
      <c r="B122" s="27" t="s">
        <v>1701</v>
      </c>
      <c r="C122" s="83" t="str">
        <f>VLOOKUP($B122,'MAIN DATA, Orders'!$B:$P,3,0)</f>
        <v>Germany</v>
      </c>
      <c r="D122" s="83" t="str">
        <f>VLOOKUP($B122,'MAIN DATA, Orders'!$B:$P,6,0)</f>
        <v>Armoured and unarmoured transport vehicles (WLS)</v>
      </c>
      <c r="E122" s="83" t="str">
        <f>VLOOKUP($B122,'MAIN DATA, Orders'!$B:$P,7,0)</f>
        <v xml:space="preserve">Non-combat military vehicle </v>
      </c>
      <c r="F122" s="83" t="str">
        <f>VLOOKUP($B122,'MAIN DATA, Orders'!$B:$P,8,0)</f>
        <v>Other</v>
      </c>
      <c r="G122" s="31">
        <f>VLOOKUP($B122,'MAIN DATA, Orders'!$B:$P,9,0)</f>
        <v>16</v>
      </c>
      <c r="H122" s="8">
        <f>VLOOKUP($B122,'MAIN DATA, Orders'!$B:$P,14,0)</f>
        <v>561786.08515057107</v>
      </c>
      <c r="I122" s="8">
        <f>VLOOKUP($B122,'MAIN DATA, Orders'!$B:$P,15,0)</f>
        <v>561786.08515057107</v>
      </c>
      <c r="J122" s="8">
        <f>VLOOKUP($B122,'MAIN DATA, Orders'!$B:$P,13,0)</f>
        <v>963</v>
      </c>
    </row>
    <row r="123" spans="1:10" x14ac:dyDescent="0.35">
      <c r="A123" s="27"/>
      <c r="B123" s="27" t="s">
        <v>1709</v>
      </c>
      <c r="C123" s="83" t="str">
        <f>VLOOKUP($B123,'MAIN DATA, Orders'!$B:$P,3,0)</f>
        <v>Germany</v>
      </c>
      <c r="D123" s="83" t="str">
        <f>VLOOKUP($B123,'MAIN DATA, Orders'!$B:$P,6,0)</f>
        <v>Unarmoured transport vehicles (UTF)</v>
      </c>
      <c r="E123" s="83" t="str">
        <f>VLOOKUP($B123,'MAIN DATA, Orders'!$B:$P,7,0)</f>
        <v xml:space="preserve">Non-combat military vehicle </v>
      </c>
      <c r="F123" s="83" t="str">
        <f>VLOOKUP($B123,'MAIN DATA, Orders'!$B:$P,8,0)</f>
        <v>Other</v>
      </c>
      <c r="G123" s="31">
        <f>VLOOKUP($B123,'MAIN DATA, Orders'!$B:$P,9,0)</f>
        <v>16</v>
      </c>
      <c r="H123" s="8">
        <f>VLOOKUP($B123,'MAIN DATA, Orders'!$B:$P,14,0)</f>
        <v>538823.5294117647</v>
      </c>
      <c r="I123" s="8">
        <f>VLOOKUP($B123,'MAIN DATA, Orders'!$B:$P,15,0)</f>
        <v>538823.5294117647</v>
      </c>
      <c r="J123" s="8">
        <f>VLOOKUP($B123,'MAIN DATA, Orders'!$B:$P,13,0)</f>
        <v>425</v>
      </c>
    </row>
    <row r="124" spans="1:10" x14ac:dyDescent="0.35">
      <c r="A124" s="182"/>
      <c r="B124" s="182" t="s">
        <v>1718</v>
      </c>
      <c r="C124" s="83" t="str">
        <f>VLOOKUP($B124,'MAIN DATA, Orders'!$B:$P,3,0)</f>
        <v>Germany</v>
      </c>
      <c r="D124" s="83" t="str">
        <f>VLOOKUP($B124,'MAIN DATA, Orders'!$B:$P,6,0)</f>
        <v>PAC-2 GEM-T missiles</v>
      </c>
      <c r="E124" s="83" t="str">
        <f>VLOOKUP($B124,'MAIN DATA, Orders'!$B:$P,7,0)</f>
        <v>Surface-to-air missile (SAM)</v>
      </c>
      <c r="F124" s="83" t="str">
        <f>VLOOKUP($B124,'MAIN DATA, Orders'!$B:$P,8,0)</f>
        <v>Missile (Land)</v>
      </c>
      <c r="G124" s="31">
        <f>VLOOKUP($B124,'MAIN DATA, Orders'!$B:$P,9,0)</f>
        <v>6</v>
      </c>
      <c r="H124" s="8">
        <f>VLOOKUP($B124,'MAIN DATA, Orders'!$B:$P,14,0)</f>
        <v>2570000</v>
      </c>
      <c r="I124" s="8">
        <f>VLOOKUP($B124,'MAIN DATA, Orders'!$B:$P,15,0)</f>
        <v>2570000</v>
      </c>
      <c r="J124" s="8">
        <f>VLOOKUP($B124,'MAIN DATA, Orders'!$B:$P,13,0)</f>
        <v>100</v>
      </c>
    </row>
    <row r="125" spans="1:10" x14ac:dyDescent="0.35">
      <c r="A125" s="27"/>
      <c r="B125" s="27" t="s">
        <v>1724</v>
      </c>
      <c r="C125" s="83" t="str">
        <f>VLOOKUP($B125,'MAIN DATA, Orders'!$B:$P,3,0)</f>
        <v>Germany</v>
      </c>
      <c r="D125" s="83" t="str">
        <f>VLOOKUP($B125,'MAIN DATA, Orders'!$B:$P,6,0)</f>
        <v>PAC-2 GEM-T missiles</v>
      </c>
      <c r="E125" s="83" t="str">
        <f>VLOOKUP($B125,'MAIN DATA, Orders'!$B:$P,7,0)</f>
        <v>Surface-to-air missile (SAM)</v>
      </c>
      <c r="F125" s="83" t="str">
        <f>VLOOKUP($B125,'MAIN DATA, Orders'!$B:$P,8,0)</f>
        <v>Missile (Land)</v>
      </c>
      <c r="G125" s="31">
        <f>VLOOKUP($B125,'MAIN DATA, Orders'!$B:$P,9,0)</f>
        <v>6</v>
      </c>
      <c r="H125" s="8">
        <f>VLOOKUP($B125,'MAIN DATA, Orders'!$B:$P,14,0)</f>
        <v>2166666.6666666665</v>
      </c>
      <c r="I125" s="8">
        <f>VLOOKUP($B125,'MAIN DATA, Orders'!$B:$P,15,0)</f>
        <v>2166666.6666666665</v>
      </c>
      <c r="J125" s="8">
        <f>VLOOKUP($B125,'MAIN DATA, Orders'!$B:$P,13,0)</f>
        <v>600</v>
      </c>
    </row>
    <row r="126" spans="1:10" x14ac:dyDescent="0.35">
      <c r="A126" s="27"/>
      <c r="B126" s="27" t="s">
        <v>1736</v>
      </c>
      <c r="C126" s="83" t="str">
        <f>VLOOKUP($B126,'MAIN DATA, Orders'!$B:$P,3,0)</f>
        <v>Germany</v>
      </c>
      <c r="D126" s="83" t="str">
        <f>VLOOKUP($B126,'MAIN DATA, Orders'!$B:$P,6,0)</f>
        <v>Role 2B medical facilities</v>
      </c>
      <c r="E126" s="83" t="str">
        <f>VLOOKUP($B126,'MAIN DATA, Orders'!$B:$P,7,0)</f>
        <v>Medical support</v>
      </c>
      <c r="F126" s="83" t="str">
        <f>VLOOKUP($B126,'MAIN DATA, Orders'!$B:$P,8,0)</f>
        <v>Other</v>
      </c>
      <c r="G126" s="31">
        <f>VLOOKUP($B126,'MAIN DATA, Orders'!$B:$P,9,0)</f>
        <v>16</v>
      </c>
      <c r="H126" s="8">
        <f>VLOOKUP($B126,'MAIN DATA, Orders'!$B:$P,14,0)</f>
        <v>49875000</v>
      </c>
      <c r="I126" s="8">
        <f>VLOOKUP($B126,'MAIN DATA, Orders'!$B:$P,15,0)</f>
        <v>49875000</v>
      </c>
      <c r="J126" s="8">
        <f>VLOOKUP($B126,'MAIN DATA, Orders'!$B:$P,13,0)</f>
        <v>8</v>
      </c>
    </row>
    <row r="127" spans="1:10" x14ac:dyDescent="0.35">
      <c r="A127" s="27"/>
      <c r="B127" s="27" t="s">
        <v>1742</v>
      </c>
      <c r="C127" s="83" t="str">
        <f>VLOOKUP($B127,'MAIN DATA, Orders'!$B:$P,3,0)</f>
        <v>Germany</v>
      </c>
      <c r="D127" s="83" t="str">
        <f>VLOOKUP($B127,'MAIN DATA, Orders'!$B:$P,6,0)</f>
        <v>Modernisation of Leopard 2 simulator (to A7)</v>
      </c>
      <c r="E127" s="83" t="str">
        <f>VLOOKUP($B127,'MAIN DATA, Orders'!$B:$P,7,0)</f>
        <v>Main Battle Tank (MBT) (training)</v>
      </c>
      <c r="F127" s="83" t="str">
        <f>VLOOKUP($B127,'MAIN DATA, Orders'!$B:$P,8,0)</f>
        <v>Modernisation</v>
      </c>
      <c r="G127" s="31">
        <f>VLOOKUP($B127,'MAIN DATA, Orders'!$B:$P,9,0)</f>
        <v>13</v>
      </c>
      <c r="H127" s="8">
        <f>VLOOKUP($B127,'MAIN DATA, Orders'!$B:$P,14,0)</f>
        <v>40000000</v>
      </c>
      <c r="I127" s="8">
        <f>VLOOKUP($B127,'MAIN DATA, Orders'!$B:$P,15,0)</f>
        <v>40000000</v>
      </c>
      <c r="J127" s="8">
        <f>VLOOKUP($B127,'MAIN DATA, Orders'!$B:$P,13,0)</f>
        <v>1</v>
      </c>
    </row>
    <row r="128" spans="1:10" x14ac:dyDescent="0.35">
      <c r="A128" s="27"/>
      <c r="B128" s="27" t="s">
        <v>1746</v>
      </c>
      <c r="C128" s="83" t="str">
        <f>VLOOKUP($B128,'MAIN DATA, Orders'!$B:$P,3,0)</f>
        <v>Germany</v>
      </c>
      <c r="D128" s="83" t="str">
        <f>VLOOKUP($B128,'MAIN DATA, Orders'!$B:$P,6,0)</f>
        <v>CAVS 6x6 prototype</v>
      </c>
      <c r="E128" s="83" t="str">
        <f>VLOOKUP($B128,'MAIN DATA, Orders'!$B:$P,7,0)</f>
        <v>Armoured vehicle development</v>
      </c>
      <c r="F128" s="83" t="str">
        <f>VLOOKUP($B128,'MAIN DATA, Orders'!$B:$P,8,0)</f>
        <v>Development - Armoured vehicle</v>
      </c>
      <c r="G128" s="31">
        <f>VLOOKUP($B128,'MAIN DATA, Orders'!$B:$P,9,0)</f>
        <v>15</v>
      </c>
      <c r="H128" s="8">
        <f>VLOOKUP($B128,'MAIN DATA, Orders'!$B:$P,14,0)</f>
        <v>30900000</v>
      </c>
      <c r="I128" s="8">
        <f>VLOOKUP($B128,'MAIN DATA, Orders'!$B:$P,15,0)</f>
        <v>30900000</v>
      </c>
      <c r="J128" s="8">
        <f>VLOOKUP($B128,'MAIN DATA, Orders'!$B:$P,13,0)</f>
        <v>1</v>
      </c>
    </row>
    <row r="129" spans="1:10" x14ac:dyDescent="0.35">
      <c r="A129" s="27"/>
      <c r="B129" s="27" t="s">
        <v>1756</v>
      </c>
      <c r="C129" s="83" t="str">
        <f>VLOOKUP($B129,'MAIN DATA, Orders'!$B:$P,3,0)</f>
        <v>Germany</v>
      </c>
      <c r="D129" s="83" t="str">
        <f>VLOOKUP($B129,'MAIN DATA, Orders'!$B:$P,6,0)</f>
        <v>GTK Boxer (sgSanKfz/ambulance)</v>
      </c>
      <c r="E129" s="83" t="str">
        <f>VLOOKUP($B129,'MAIN DATA, Orders'!$B:$P,7,0)</f>
        <v>Armoured Utility Vehicle (AUV)</v>
      </c>
      <c r="F129" s="83" t="str">
        <f>VLOOKUP($B129,'MAIN DATA, Orders'!$B:$P,8,0)</f>
        <v>Armoured vehicle</v>
      </c>
      <c r="G129" s="31">
        <f>VLOOKUP($B129,'MAIN DATA, Orders'!$B:$P,9,0)</f>
        <v>2</v>
      </c>
      <c r="H129" s="8">
        <f>VLOOKUP($B129,'MAIN DATA, Orders'!$B:$P,14,0)</f>
        <v>9236842.1052631587</v>
      </c>
      <c r="I129" s="8">
        <f>VLOOKUP($B129,'MAIN DATA, Orders'!$B:$P,15,0)</f>
        <v>9236842.1052631587</v>
      </c>
      <c r="J129" s="8">
        <f>VLOOKUP($B129,'MAIN DATA, Orders'!$B:$P,13,0)</f>
        <v>38</v>
      </c>
    </row>
    <row r="130" spans="1:10" x14ac:dyDescent="0.35">
      <c r="A130" s="27"/>
      <c r="B130" s="27" t="s">
        <v>1764</v>
      </c>
      <c r="C130" s="83" t="str">
        <f>VLOOKUP($B130,'MAIN DATA, Orders'!$B:$P,3,0)</f>
        <v>Germany</v>
      </c>
      <c r="D130" s="83" t="str">
        <f>VLOOKUP($B130,'MAIN DATA, Orders'!$B:$P,6,0)</f>
        <v>GTK Boxer (driving school)</v>
      </c>
      <c r="E130" s="83" t="str">
        <f>VLOOKUP($B130,'MAIN DATA, Orders'!$B:$P,7,0)</f>
        <v>Armoured Utility Vehicle (AUV)</v>
      </c>
      <c r="F130" s="83" t="str">
        <f>VLOOKUP($B130,'MAIN DATA, Orders'!$B:$P,8,0)</f>
        <v>Armoured vehicle</v>
      </c>
      <c r="G130" s="31">
        <f>VLOOKUP($B130,'MAIN DATA, Orders'!$B:$P,9,0)</f>
        <v>2</v>
      </c>
      <c r="H130" s="8">
        <f>VLOOKUP($B130,'MAIN DATA, Orders'!$B:$P,14,0)</f>
        <v>6700000</v>
      </c>
      <c r="I130" s="8">
        <f>VLOOKUP($B130,'MAIN DATA, Orders'!$B:$P,15,0)</f>
        <v>6700000</v>
      </c>
      <c r="J130" s="8">
        <f>VLOOKUP($B130,'MAIN DATA, Orders'!$B:$P,13,0)</f>
        <v>10</v>
      </c>
    </row>
    <row r="131" spans="1:10" x14ac:dyDescent="0.35">
      <c r="A131" s="27"/>
      <c r="B131" s="27" t="s">
        <v>1766</v>
      </c>
      <c r="C131" s="83" t="str">
        <f>VLOOKUP($B131,'MAIN DATA, Orders'!$B:$P,3,0)</f>
        <v>Germany</v>
      </c>
      <c r="D131" s="83" t="str">
        <f>VLOOKUP($B131,'MAIN DATA, Orders'!$B:$P,6,0)</f>
        <v>GTK Boxer (sgSanKfz/ambulance)</v>
      </c>
      <c r="E131" s="83" t="str">
        <f>VLOOKUP($B131,'MAIN DATA, Orders'!$B:$P,7,0)</f>
        <v>Armoured Utility Vehicle (AUV)</v>
      </c>
      <c r="F131" s="83" t="str">
        <f>VLOOKUP($B131,'MAIN DATA, Orders'!$B:$P,8,0)</f>
        <v>Armoured vehicle</v>
      </c>
      <c r="G131" s="31">
        <f>VLOOKUP($B131,'MAIN DATA, Orders'!$B:$P,9,0)</f>
        <v>2</v>
      </c>
      <c r="H131" s="8">
        <f>VLOOKUP($B131,'MAIN DATA, Orders'!$B:$P,14,0)</f>
        <v>1930555.5555555555</v>
      </c>
      <c r="I131" s="8">
        <f>VLOOKUP($B131,'MAIN DATA, Orders'!$B:$P,15,0)</f>
        <v>1930555.5555555555</v>
      </c>
      <c r="J131" s="8">
        <f>VLOOKUP($B131,'MAIN DATA, Orders'!$B:$P,13,0)</f>
        <v>72</v>
      </c>
    </row>
    <row r="132" spans="1:10" x14ac:dyDescent="0.35">
      <c r="A132" s="27"/>
      <c r="B132" s="27" t="s">
        <v>1770</v>
      </c>
      <c r="C132" s="83" t="str">
        <f>VLOOKUP($B132,'MAIN DATA, Orders'!$B:$P,3,0)</f>
        <v>Germany</v>
      </c>
      <c r="D132" s="83" t="str">
        <f>VLOOKUP($B132,'MAIN DATA, Orders'!$B:$P,6,0)</f>
        <v>Integration of the D-LBO into the Army Combat Training Centre</v>
      </c>
      <c r="E132" s="83" t="str">
        <f>VLOOKUP($B132,'MAIN DATA, Orders'!$B:$P,7,0)</f>
        <v>Communication and digitalisation</v>
      </c>
      <c r="F132" s="83" t="str">
        <f>VLOOKUP($B132,'MAIN DATA, Orders'!$B:$P,8,0)</f>
        <v>Modernisation</v>
      </c>
      <c r="G132" s="31">
        <f>VLOOKUP($B132,'MAIN DATA, Orders'!$B:$P,9,0)</f>
        <v>13</v>
      </c>
      <c r="H132" s="8">
        <f>VLOOKUP($B132,'MAIN DATA, Orders'!$B:$P,14,0)</f>
        <v>60000000</v>
      </c>
      <c r="I132" s="8">
        <f>VLOOKUP($B132,'MAIN DATA, Orders'!$B:$P,15,0)</f>
        <v>60000000</v>
      </c>
      <c r="J132" s="8">
        <f>VLOOKUP($B132,'MAIN DATA, Orders'!$B:$P,13,0)</f>
        <v>1</v>
      </c>
    </row>
    <row r="133" spans="1:10" x14ac:dyDescent="0.35">
      <c r="A133" s="27"/>
      <c r="B133" s="27" t="s">
        <v>1775</v>
      </c>
      <c r="C133" s="83" t="str">
        <f>VLOOKUP($B133,'MAIN DATA, Orders'!$B:$P,3,0)</f>
        <v>Germany</v>
      </c>
      <c r="D133" s="83" t="str">
        <f>VLOOKUP($B133,'MAIN DATA, Orders'!$B:$P,6,0)</f>
        <v>Mobile tank farm</v>
      </c>
      <c r="E133" s="83" t="str">
        <f>VLOOKUP($B133,'MAIN DATA, Orders'!$B:$P,7,0)</f>
        <v>Military equipment</v>
      </c>
      <c r="F133" s="83" t="str">
        <f>VLOOKUP($B133,'MAIN DATA, Orders'!$B:$P,8,0)</f>
        <v>Other</v>
      </c>
      <c r="G133" s="31">
        <f>VLOOKUP($B133,'MAIN DATA, Orders'!$B:$P,9,0)</f>
        <v>16</v>
      </c>
      <c r="H133" s="8">
        <f>VLOOKUP($B133,'MAIN DATA, Orders'!$B:$P,14,0)</f>
        <v>3750000</v>
      </c>
      <c r="I133" s="8">
        <f>VLOOKUP($B133,'MAIN DATA, Orders'!$B:$P,15,0)</f>
        <v>3750000</v>
      </c>
      <c r="J133" s="8">
        <f>VLOOKUP($B133,'MAIN DATA, Orders'!$B:$P,13,0)</f>
        <v>16</v>
      </c>
    </row>
    <row r="134" spans="1:10" x14ac:dyDescent="0.35">
      <c r="A134" s="27"/>
      <c r="B134" s="27" t="s">
        <v>1788</v>
      </c>
      <c r="C134" s="83" t="str">
        <f>VLOOKUP($B134,'MAIN DATA, Orders'!$B:$P,3,0)</f>
        <v>Germany</v>
      </c>
      <c r="D134" s="83" t="str">
        <f>VLOOKUP($B134,'MAIN DATA, Orders'!$B:$P,6,0)</f>
        <v>Development of floating bridge M3 EVO (Schwimmschnellbrücke 2)</v>
      </c>
      <c r="E134" s="83" t="str">
        <f>VLOOKUP($B134,'MAIN DATA, Orders'!$B:$P,7,0)</f>
        <v>Mobile bridge system</v>
      </c>
      <c r="F134" s="83" t="str">
        <f>VLOOKUP($B134,'MAIN DATA, Orders'!$B:$P,8,0)</f>
        <v>Other</v>
      </c>
      <c r="G134" s="31">
        <f>VLOOKUP($B134,'MAIN DATA, Orders'!$B:$P,9,0)</f>
        <v>16</v>
      </c>
      <c r="H134" s="8">
        <f>VLOOKUP($B134,'MAIN DATA, Orders'!$B:$P,14,0)</f>
        <v>17666666.666666668</v>
      </c>
      <c r="I134" s="8">
        <f>VLOOKUP($B134,'MAIN DATA, Orders'!$B:$P,15,0)</f>
        <v>17666666.666666668</v>
      </c>
      <c r="J134" s="8">
        <f>VLOOKUP($B134,'MAIN DATA, Orders'!$B:$P,13,0)</f>
        <v>3</v>
      </c>
    </row>
    <row r="135" spans="1:10" x14ac:dyDescent="0.35">
      <c r="A135" s="27"/>
      <c r="B135" s="27" t="s">
        <v>1795</v>
      </c>
      <c r="C135" s="83" t="str">
        <f>VLOOKUP($B135,'MAIN DATA, Orders'!$B:$P,3,0)</f>
        <v>Germany</v>
      </c>
      <c r="D135" s="83" t="str">
        <f>VLOOKUP($B135,'MAIN DATA, Orders'!$B:$P,6,0)</f>
        <v>M3 EVO (Schwimmschnellbrücke 2)</v>
      </c>
      <c r="E135" s="83" t="str">
        <f>VLOOKUP($B135,'MAIN DATA, Orders'!$B:$P,7,0)</f>
        <v>Mobile bridge system</v>
      </c>
      <c r="F135" s="83" t="str">
        <f>VLOOKUP($B135,'MAIN DATA, Orders'!$B:$P,8,0)</f>
        <v>Other</v>
      </c>
      <c r="G135" s="31">
        <f>VLOOKUP($B135,'MAIN DATA, Orders'!$B:$P,9,0)</f>
        <v>16</v>
      </c>
      <c r="H135" s="8">
        <f>VLOOKUP($B135,'MAIN DATA, Orders'!$B:$P,14,0)</f>
        <v>6245283.0188679248</v>
      </c>
      <c r="I135" s="8">
        <f>VLOOKUP($B135,'MAIN DATA, Orders'!$B:$P,15,0)</f>
        <v>6245283.0188679248</v>
      </c>
      <c r="J135" s="8">
        <f>VLOOKUP($B135,'MAIN DATA, Orders'!$B:$P,13,0)</f>
        <v>53</v>
      </c>
    </row>
    <row r="136" spans="1:10" x14ac:dyDescent="0.35">
      <c r="A136" s="27"/>
      <c r="B136" s="27" t="s">
        <v>1802</v>
      </c>
      <c r="C136" s="83" t="str">
        <f>VLOOKUP($B136,'MAIN DATA, Orders'!$B:$P,3,0)</f>
        <v>Germany</v>
      </c>
      <c r="D136" s="83" t="str">
        <f>VLOOKUP($B136,'MAIN DATA, Orders'!$B:$P,6,0)</f>
        <v>Eurofighter Tranche 5</v>
      </c>
      <c r="E136" s="83" t="str">
        <f>VLOOKUP($B136,'MAIN DATA, Orders'!$B:$P,7,0)</f>
        <v>Fighter aircraft</v>
      </c>
      <c r="F136" s="83" t="str">
        <f>VLOOKUP($B136,'MAIN DATA, Orders'!$B:$P,8,0)</f>
        <v>Aircraft</v>
      </c>
      <c r="G136" s="31">
        <f>VLOOKUP($B136,'MAIN DATA, Orders'!$B:$P,9,0)</f>
        <v>11</v>
      </c>
      <c r="H136" s="8">
        <f>VLOOKUP($B136,'MAIN DATA, Orders'!$B:$P,14,0)</f>
        <v>187500000</v>
      </c>
      <c r="I136" s="8">
        <f>VLOOKUP($B136,'MAIN DATA, Orders'!$B:$P,15,0)</f>
        <v>187500000</v>
      </c>
      <c r="J136" s="8">
        <f>VLOOKUP($B136,'MAIN DATA, Orders'!$B:$P,13,0)</f>
        <v>20</v>
      </c>
    </row>
    <row r="137" spans="1:10" x14ac:dyDescent="0.35">
      <c r="A137" s="27"/>
      <c r="B137" s="27" t="s">
        <v>1824</v>
      </c>
      <c r="C137" s="83" t="str">
        <f>VLOOKUP($B137,'MAIN DATA, Orders'!$B:$P,3,0)</f>
        <v>Germany</v>
      </c>
      <c r="D137" s="83" t="str">
        <f>VLOOKUP($B137,'MAIN DATA, Orders'!$B:$P,6,0)</f>
        <v>Special Operations Craft boats for special forces</v>
      </c>
      <c r="E137" s="83" t="str">
        <f>VLOOKUP($B137,'MAIN DATA, Orders'!$B:$P,7,0)</f>
        <v>Special force vehicle</v>
      </c>
      <c r="F137" s="83" t="str">
        <f>VLOOKUP($B137,'MAIN DATA, Orders'!$B:$P,8,0)</f>
        <v>Other</v>
      </c>
      <c r="G137" s="31">
        <f>VLOOKUP($B137,'MAIN DATA, Orders'!$B:$P,9,0)</f>
        <v>16</v>
      </c>
      <c r="H137" s="8">
        <f>VLOOKUP($B137,'MAIN DATA, Orders'!$B:$P,14,0)</f>
        <v>13333333.333333334</v>
      </c>
      <c r="I137" s="8">
        <f>VLOOKUP($B137,'MAIN DATA, Orders'!$B:$P,15,0)</f>
        <v>13333333.333333334</v>
      </c>
      <c r="J137" s="8">
        <f>VLOOKUP($B137,'MAIN DATA, Orders'!$B:$P,13,0)</f>
        <v>9</v>
      </c>
    </row>
    <row r="138" spans="1:10" x14ac:dyDescent="0.35">
      <c r="A138" s="27"/>
      <c r="B138" s="27" t="s">
        <v>1844</v>
      </c>
      <c r="C138" s="83" t="str">
        <f>VLOOKUP($B138,'MAIN DATA, Orders'!$B:$P,3,0)</f>
        <v>Germany</v>
      </c>
      <c r="D138" s="83" t="str">
        <f>VLOOKUP($B138,'MAIN DATA, Orders'!$B:$P,6,0)</f>
        <v>Luchs 2 reconnaissance vehicle</v>
      </c>
      <c r="E138" s="83" t="str">
        <f>VLOOKUP($B138,'MAIN DATA, Orders'!$B:$P,7,0)</f>
        <v>Armoured vehicle development</v>
      </c>
      <c r="F138" s="83" t="str">
        <f>VLOOKUP($B138,'MAIN DATA, Orders'!$B:$P,8,0)</f>
        <v>Development - Armoured vehicle</v>
      </c>
      <c r="G138" s="31">
        <f>VLOOKUP($B138,'MAIN DATA, Orders'!$B:$P,9,0)</f>
        <v>15</v>
      </c>
      <c r="H138" s="8">
        <f>VLOOKUP($B138,'MAIN DATA, Orders'!$B:$P,14,0)</f>
        <v>12919708.02919708</v>
      </c>
      <c r="I138" s="8">
        <f>VLOOKUP($B138,'MAIN DATA, Orders'!$B:$P,15,0)</f>
        <v>12919708.02919708</v>
      </c>
      <c r="J138" s="8">
        <f>VLOOKUP($B138,'MAIN DATA, Orders'!$B:$P,13,0)</f>
        <v>274</v>
      </c>
    </row>
    <row r="139" spans="1:10" x14ac:dyDescent="0.35">
      <c r="A139" s="27"/>
      <c r="B139" s="27" t="s">
        <v>1853</v>
      </c>
      <c r="C139" s="83" t="str">
        <f>VLOOKUP($B139,'MAIN DATA, Orders'!$B:$P,3,0)</f>
        <v>Germany</v>
      </c>
      <c r="D139" s="83" t="str">
        <f>VLOOKUP($B139,'MAIN DATA, Orders'!$B:$P,6,0)</f>
        <v>MK 25 KBA for Luchs 2</v>
      </c>
      <c r="E139" s="83" t="str">
        <f>VLOOKUP($B139,'MAIN DATA, Orders'!$B:$P,7,0)</f>
        <v>Reconnaissance armoured vehicle</v>
      </c>
      <c r="F139" s="83" t="str">
        <f>VLOOKUP($B139,'MAIN DATA, Orders'!$B:$P,8,0)</f>
        <v>Armoured vehicle</v>
      </c>
      <c r="G139" s="31">
        <f>VLOOKUP($B139,'MAIN DATA, Orders'!$B:$P,9,0)</f>
        <v>2</v>
      </c>
      <c r="H139" s="8">
        <f>VLOOKUP($B139,'MAIN DATA, Orders'!$B:$P,14,0)</f>
        <v>503649.63503649633</v>
      </c>
      <c r="I139" s="8">
        <f>VLOOKUP($B139,'MAIN DATA, Orders'!$B:$P,15,0)</f>
        <v>503649.63503649633</v>
      </c>
      <c r="J139" s="8">
        <f>VLOOKUP($B139,'MAIN DATA, Orders'!$B:$P,13,0)</f>
        <v>274</v>
      </c>
    </row>
    <row r="140" spans="1:10" x14ac:dyDescent="0.35">
      <c r="A140" s="27"/>
      <c r="B140" s="27" t="s">
        <v>1858</v>
      </c>
      <c r="C140" s="83" t="str">
        <f>VLOOKUP($B140,'MAIN DATA, Orders'!$B:$P,3,0)</f>
        <v>Germany</v>
      </c>
      <c r="D140" s="83" t="str">
        <f>VLOOKUP($B140,'MAIN DATA, Orders'!$B:$P,6,0)</f>
        <v>GTK Boxer RCT 30 "Schakal"</v>
      </c>
      <c r="E140" s="83" t="str">
        <f>VLOOKUP($B140,'MAIN DATA, Orders'!$B:$P,7,0)</f>
        <v>Armoured personnel carrier (APC)</v>
      </c>
      <c r="F140" s="83" t="str">
        <f>VLOOKUP($B140,'MAIN DATA, Orders'!$B:$P,8,0)</f>
        <v>Armoured vehicle</v>
      </c>
      <c r="G140" s="31">
        <f>VLOOKUP($B140,'MAIN DATA, Orders'!$B:$P,9,0)</f>
        <v>2</v>
      </c>
      <c r="H140" s="8">
        <f>VLOOKUP($B140,'MAIN DATA, Orders'!$B:$P,14,0)</f>
        <v>15315315.315315315</v>
      </c>
      <c r="I140" s="8">
        <f>VLOOKUP($B140,'MAIN DATA, Orders'!$B:$P,15,0)</f>
        <v>15315315.315315315</v>
      </c>
      <c r="J140" s="8">
        <f>VLOOKUP($B140,'MAIN DATA, Orders'!$B:$P,13,0)</f>
        <v>222</v>
      </c>
    </row>
    <row r="141" spans="1:10" x14ac:dyDescent="0.35">
      <c r="A141" s="27"/>
      <c r="B141" s="27" t="s">
        <v>1901</v>
      </c>
      <c r="C141" s="83" t="str">
        <f>VLOOKUP($B141,'MAIN DATA, Orders'!$B:$P,3,0)</f>
        <v>Germany</v>
      </c>
      <c r="D141" s="83" t="str">
        <f>VLOOKUP($B141,'MAIN DATA, Orders'!$B:$P,6,0)</f>
        <v>Mobile field kitchen</v>
      </c>
      <c r="E141" s="83" t="str">
        <f>VLOOKUP($B141,'MAIN DATA, Orders'!$B:$P,7,0)</f>
        <v>Military equipment</v>
      </c>
      <c r="F141" s="83" t="str">
        <f>VLOOKUP($B141,'MAIN DATA, Orders'!$B:$P,8,0)</f>
        <v>Other</v>
      </c>
      <c r="G141" s="31">
        <f>VLOOKUP($B141,'MAIN DATA, Orders'!$B:$P,9,0)</f>
        <v>16</v>
      </c>
      <c r="H141" s="8">
        <f>VLOOKUP($B141,'MAIN DATA, Orders'!$B:$P,14,0)</f>
        <v>1252173.9130434783</v>
      </c>
      <c r="I141" s="8">
        <f>VLOOKUP($B141,'MAIN DATA, Orders'!$B:$P,15,0)</f>
        <v>1252173.9130434783</v>
      </c>
      <c r="J141" s="8">
        <f>VLOOKUP($B141,'MAIN DATA, Orders'!$B:$P,13,0)</f>
        <v>115</v>
      </c>
    </row>
    <row r="142" spans="1:10" x14ac:dyDescent="0.35">
      <c r="A142" s="27"/>
      <c r="B142" s="27" t="s">
        <v>1915</v>
      </c>
      <c r="C142" s="83" t="str">
        <f>VLOOKUP($B142,'MAIN DATA, Orders'!$B:$P,3,0)</f>
        <v>Germany</v>
      </c>
      <c r="D142" s="83" t="str">
        <f>VLOOKUP($B142,'MAIN DATA, Orders'!$B:$P,6,0)</f>
        <v>Thermis MK2 MR thermal imaging device for MG4/G95A1/G36</v>
      </c>
      <c r="E142" s="83" t="str">
        <f>VLOOKUP($B142,'MAIN DATA, Orders'!$B:$P,7,0)</f>
        <v>Equipment for Small Arms and Light Weapons (SALW)</v>
      </c>
      <c r="F142" s="83" t="str">
        <f>VLOOKUP($B142,'MAIN DATA, Orders'!$B:$P,8,0)</f>
        <v>Infantry</v>
      </c>
      <c r="G142" s="31">
        <f>VLOOKUP($B142,'MAIN DATA, Orders'!$B:$P,9,0)</f>
        <v>8</v>
      </c>
      <c r="H142" s="8">
        <f>VLOOKUP($B142,'MAIN DATA, Orders'!$B:$P,14,0)</f>
        <v>16666.666666666668</v>
      </c>
      <c r="I142" s="8">
        <f>VLOOKUP($B142,'MAIN DATA, Orders'!$B:$P,15,0)</f>
        <v>16666.666666666668</v>
      </c>
      <c r="J142" s="8">
        <f>VLOOKUP($B142,'MAIN DATA, Orders'!$B:$P,13,0)</f>
        <v>6000</v>
      </c>
    </row>
    <row r="143" spans="1:10" x14ac:dyDescent="0.35">
      <c r="A143" s="27"/>
      <c r="B143" s="27" t="s">
        <v>1937</v>
      </c>
      <c r="C143" s="83" t="str">
        <f>VLOOKUP($B143,'MAIN DATA, Orders'!$B:$P,3,0)</f>
        <v>Germany</v>
      </c>
      <c r="D143" s="83" t="str">
        <f>VLOOKUP($B143,'MAIN DATA, Orders'!$B:$P,6,0)</f>
        <v>H145M helicopter</v>
      </c>
      <c r="E143" s="83" t="str">
        <f>VLOOKUP($B143,'MAIN DATA, Orders'!$B:$P,7,0)</f>
        <v>Light attack helicopter</v>
      </c>
      <c r="F143" s="83" t="str">
        <f>VLOOKUP($B143,'MAIN DATA, Orders'!$B:$P,8,0)</f>
        <v>Helicopter</v>
      </c>
      <c r="G143" s="31">
        <f>VLOOKUP($B143,'MAIN DATA, Orders'!$B:$P,9,0)</f>
        <v>10</v>
      </c>
      <c r="H143" s="8">
        <f>VLOOKUP($B143,'MAIN DATA, Orders'!$B:$P,14,0)</f>
        <v>50000000</v>
      </c>
      <c r="I143" s="8">
        <f>VLOOKUP($B143,'MAIN DATA, Orders'!$B:$P,15,0)</f>
        <v>50000000</v>
      </c>
      <c r="J143" s="8">
        <f>VLOOKUP($B143,'MAIN DATA, Orders'!$B:$P,13,0)</f>
        <v>20</v>
      </c>
    </row>
    <row r="144" spans="1:10" x14ac:dyDescent="0.35">
      <c r="A144" s="27"/>
      <c r="B144" s="27" t="s">
        <v>1955</v>
      </c>
      <c r="C144" s="83" t="str">
        <f>VLOOKUP($B144,'MAIN DATA, Orders'!$B:$P,3,0)</f>
        <v>Germany</v>
      </c>
      <c r="D144" s="83" t="str">
        <f>VLOOKUP($B144,'MAIN DATA, Orders'!$B:$P,6,0)</f>
        <v>MIKRON night vision device</v>
      </c>
      <c r="E144" s="83" t="str">
        <f>VLOOKUP($B144,'MAIN DATA, Orders'!$B:$P,7,0)</f>
        <v>Military equipment</v>
      </c>
      <c r="F144" s="83" t="str">
        <f>VLOOKUP($B144,'MAIN DATA, Orders'!$B:$P,8,0)</f>
        <v>Other</v>
      </c>
      <c r="G144" s="31">
        <f>VLOOKUP($B144,'MAIN DATA, Orders'!$B:$P,9,0)</f>
        <v>16</v>
      </c>
      <c r="H144" s="8">
        <f>VLOOKUP($B144,'MAIN DATA, Orders'!$B:$P,14,0)</f>
        <v>9500</v>
      </c>
      <c r="I144" s="8">
        <f>VLOOKUP($B144,'MAIN DATA, Orders'!$B:$P,15,0)</f>
        <v>9500</v>
      </c>
      <c r="J144" s="8">
        <f>VLOOKUP($B144,'MAIN DATA, Orders'!$B:$P,13,0)</f>
        <v>100000</v>
      </c>
    </row>
    <row r="145" spans="1:10" x14ac:dyDescent="0.35">
      <c r="A145" s="27"/>
      <c r="B145" s="27" t="s">
        <v>1980</v>
      </c>
      <c r="C145" s="83" t="str">
        <f>VLOOKUP($B145,'MAIN DATA, Orders'!$B:$P,3,0)</f>
        <v>Germany</v>
      </c>
      <c r="D145" s="83" t="str">
        <f>VLOOKUP($B145,'MAIN DATA, Orders'!$B:$P,6,0)</f>
        <v>Uranos AI reconnaissance system</v>
      </c>
      <c r="E145" s="83" t="str">
        <f>VLOOKUP($B145,'MAIN DATA, Orders'!$B:$P,7,0)</f>
        <v>Reconnaissance mobile unmanned vehicle</v>
      </c>
      <c r="F145" s="83" t="str">
        <f>VLOOKUP($B145,'MAIN DATA, Orders'!$B:$P,8,0)</f>
        <v>Drone</v>
      </c>
      <c r="G145" s="31">
        <f>VLOOKUP($B145,'MAIN DATA, Orders'!$B:$P,9,0)</f>
        <v>7</v>
      </c>
      <c r="H145" s="8">
        <f>VLOOKUP($B145,'MAIN DATA, Orders'!$B:$P,14,0)</f>
        <v>8500000</v>
      </c>
      <c r="I145" s="8">
        <f>VLOOKUP($B145,'MAIN DATA, Orders'!$B:$P,15,0)</f>
        <v>8500000</v>
      </c>
      <c r="J145" s="8">
        <f>VLOOKUP($B145,'MAIN DATA, Orders'!$B:$P,13,0)</f>
        <v>8</v>
      </c>
    </row>
    <row r="146" spans="1:10" x14ac:dyDescent="0.35">
      <c r="A146" s="27"/>
      <c r="B146" s="27" t="s">
        <v>1990</v>
      </c>
      <c r="C146" s="83" t="str">
        <f>VLOOKUP($B146,'MAIN DATA, Orders'!$B:$P,3,0)</f>
        <v>Germany</v>
      </c>
      <c r="D146" s="83" t="str">
        <f>VLOOKUP($B146,'MAIN DATA, Orders'!$B:$P,6,0)</f>
        <v>ALADIN drone</v>
      </c>
      <c r="E146" s="83" t="str">
        <f>VLOOKUP($B146,'MAIN DATA, Orders'!$B:$P,7,0)</f>
        <v>Reconnaissance drone</v>
      </c>
      <c r="F146" s="83" t="str">
        <f>VLOOKUP($B146,'MAIN DATA, Orders'!$B:$P,8,0)</f>
        <v>Drone</v>
      </c>
      <c r="G146" s="31">
        <f>VLOOKUP($B146,'MAIN DATA, Orders'!$B:$P,9,0)</f>
        <v>7</v>
      </c>
      <c r="H146" s="8">
        <f>VLOOKUP($B146,'MAIN DATA, Orders'!$B:$P,14,0)</f>
        <v>578231.29251700675</v>
      </c>
      <c r="I146" s="8">
        <f>VLOOKUP($B146,'MAIN DATA, Orders'!$B:$P,15,0)</f>
        <v>578231.29251700675</v>
      </c>
      <c r="J146" s="8">
        <f>VLOOKUP($B146,'MAIN DATA, Orders'!$B:$P,13,0)</f>
        <v>147</v>
      </c>
    </row>
    <row r="147" spans="1:10" x14ac:dyDescent="0.35">
      <c r="A147" s="27"/>
      <c r="B147" s="27" t="s">
        <v>1995</v>
      </c>
      <c r="C147" s="83" t="str">
        <f>VLOOKUP($B147,'MAIN DATA, Orders'!$B:$P,3,0)</f>
        <v>Germany</v>
      </c>
      <c r="D147" s="83" t="str">
        <f>VLOOKUP($B147,'MAIN DATA, Orders'!$B:$P,6,0)</f>
        <v>G95A1 assault rifle</v>
      </c>
      <c r="E147" s="83" t="str">
        <f>VLOOKUP($B147,'MAIN DATA, Orders'!$B:$P,7,0)</f>
        <v>Small Arms and Light Weapons (SALW)</v>
      </c>
      <c r="F147" s="83" t="str">
        <f>VLOOKUP($B147,'MAIN DATA, Orders'!$B:$P,8,0)</f>
        <v>Infantry</v>
      </c>
      <c r="G147" s="31">
        <f>VLOOKUP($B147,'MAIN DATA, Orders'!$B:$P,9,0)</f>
        <v>8</v>
      </c>
      <c r="H147" s="8">
        <f>VLOOKUP($B147,'MAIN DATA, Orders'!$B:$P,14,0)</f>
        <v>3098.7341772151899</v>
      </c>
      <c r="I147" s="8">
        <f>VLOOKUP($B147,'MAIN DATA, Orders'!$B:$P,15,0)</f>
        <v>3098.7341772151899</v>
      </c>
      <c r="J147" s="8">
        <f>VLOOKUP($B147,'MAIN DATA, Orders'!$B:$P,13,0)</f>
        <v>246875</v>
      </c>
    </row>
    <row r="148" spans="1:10" x14ac:dyDescent="0.35">
      <c r="A148" s="27"/>
      <c r="B148" s="27" t="s">
        <v>2000</v>
      </c>
      <c r="C148" s="83" t="str">
        <f>VLOOKUP($B148,'MAIN DATA, Orders'!$B:$P,3,0)</f>
        <v>Germany</v>
      </c>
      <c r="D148" s="83" t="str">
        <f>VLOOKUP($B148,'MAIN DATA, Orders'!$B:$P,6,0)</f>
        <v>LLM-VarioRay assault rifle laser light module</v>
      </c>
      <c r="E148" s="83" t="str">
        <f>VLOOKUP($B148,'MAIN DATA, Orders'!$B:$P,7,0)</f>
        <v>Equipment for Small Arms and Light Weapons (SALW)</v>
      </c>
      <c r="F148" s="83" t="str">
        <f>VLOOKUP($B148,'MAIN DATA, Orders'!$B:$P,8,0)</f>
        <v>Infantry</v>
      </c>
      <c r="G148" s="31">
        <f>VLOOKUP($B148,'MAIN DATA, Orders'!$B:$P,9,0)</f>
        <v>8</v>
      </c>
      <c r="H148" s="8">
        <f>VLOOKUP($B148,'MAIN DATA, Orders'!$B:$P,14,0)</f>
        <v>1966.8322384615385</v>
      </c>
      <c r="I148" s="8">
        <f>VLOOKUP($B148,'MAIN DATA, Orders'!$B:$P,15,0)</f>
        <v>1966.8322384615385</v>
      </c>
      <c r="J148" s="8">
        <f>VLOOKUP($B148,'MAIN DATA, Orders'!$B:$P,13,0)</f>
        <v>130000</v>
      </c>
    </row>
    <row r="149" spans="1:10" x14ac:dyDescent="0.35">
      <c r="A149" s="27"/>
      <c r="B149" s="27" t="s">
        <v>2002</v>
      </c>
      <c r="C149" s="83" t="str">
        <f>VLOOKUP($B149,'MAIN DATA, Orders'!$B:$P,3,0)</f>
        <v>Germany</v>
      </c>
      <c r="D149" s="83" t="str">
        <f>VLOOKUP($B149,'MAIN DATA, Orders'!$B:$P,6,0)</f>
        <v>ELCAN Specter DR 1-4x assault rifle sight</v>
      </c>
      <c r="E149" s="83" t="str">
        <f>VLOOKUP($B149,'MAIN DATA, Orders'!$B:$P,7,0)</f>
        <v>Equipment for Small Arms and Light Weapons (SALW)</v>
      </c>
      <c r="F149" s="83" t="str">
        <f>VLOOKUP($B149,'MAIN DATA, Orders'!$B:$P,8,0)</f>
        <v>Infantry</v>
      </c>
      <c r="G149" s="31">
        <f>VLOOKUP($B149,'MAIN DATA, Orders'!$B:$P,9,0)</f>
        <v>8</v>
      </c>
      <c r="H149" s="8">
        <f>VLOOKUP($B149,'MAIN DATA, Orders'!$B:$P,14,0)</f>
        <v>2880</v>
      </c>
      <c r="I149" s="8">
        <f>VLOOKUP($B149,'MAIN DATA, Orders'!$B:$P,15,0)</f>
        <v>2880</v>
      </c>
      <c r="J149" s="8">
        <f>VLOOKUP($B149,'MAIN DATA, Orders'!$B:$P,13,0)</f>
        <v>50000</v>
      </c>
    </row>
    <row r="150" spans="1:10" x14ac:dyDescent="0.35">
      <c r="A150" s="27"/>
      <c r="B150" s="27" t="s">
        <v>2006</v>
      </c>
      <c r="C150" s="83" t="str">
        <f>VLOOKUP($B150,'MAIN DATA, Orders'!$B:$P,3,0)</f>
        <v>Germany</v>
      </c>
      <c r="D150" s="83" t="str">
        <f>VLOOKUP($B150,'MAIN DATA, Orders'!$B:$P,6,0)</f>
        <v>Speaking set with hearing protection</v>
      </c>
      <c r="E150" s="83" t="str">
        <f>VLOOKUP($B150,'MAIN DATA, Orders'!$B:$P,7,0)</f>
        <v>Communication equipment</v>
      </c>
      <c r="F150" s="83" t="str">
        <f>VLOOKUP($B150,'MAIN DATA, Orders'!$B:$P,8,0)</f>
        <v>Modernisation</v>
      </c>
      <c r="G150" s="31">
        <f>VLOOKUP($B150,'MAIN DATA, Orders'!$B:$P,9,0)</f>
        <v>13</v>
      </c>
      <c r="H150" s="8">
        <f>VLOOKUP($B150,'MAIN DATA, Orders'!$B:$P,14,0)</f>
        <v>2333.3333333333335</v>
      </c>
      <c r="I150" s="8">
        <f>VLOOKUP($B150,'MAIN DATA, Orders'!$B:$P,15,0)</f>
        <v>2333.3333333333335</v>
      </c>
      <c r="J150" s="8">
        <f>VLOOKUP($B150,'MAIN DATA, Orders'!$B:$P,13,0)</f>
        <v>60000</v>
      </c>
    </row>
    <row r="151" spans="1:10" x14ac:dyDescent="0.35">
      <c r="A151" s="27"/>
      <c r="B151" s="27" t="s">
        <v>2010</v>
      </c>
      <c r="C151" s="83" t="str">
        <f>VLOOKUP($B151,'MAIN DATA, Orders'!$B:$P,3,0)</f>
        <v>Germany</v>
      </c>
      <c r="D151" s="83" t="str">
        <f>VLOOKUP($B151,'MAIN DATA, Orders'!$B:$P,6,0)</f>
        <v>Wolf off-road light truck successor</v>
      </c>
      <c r="E151" s="83" t="str">
        <f>VLOOKUP($B151,'MAIN DATA, Orders'!$B:$P,7,0)</f>
        <v>Non-combat military vehicle</v>
      </c>
      <c r="F151" s="83" t="str">
        <f>VLOOKUP($B151,'MAIN DATA, Orders'!$B:$P,8,0)</f>
        <v>Other</v>
      </c>
      <c r="G151" s="31">
        <f>VLOOKUP($B151,'MAIN DATA, Orders'!$B:$P,9,0)</f>
        <v>16</v>
      </c>
      <c r="H151" s="8">
        <f>VLOOKUP($B151,'MAIN DATA, Orders'!$B:$P,14,0)</f>
        <v>165137.61467889909</v>
      </c>
      <c r="I151" s="8">
        <f>VLOOKUP($B151,'MAIN DATA, Orders'!$B:$P,15,0)</f>
        <v>165137.61467889909</v>
      </c>
      <c r="J151" s="8">
        <f>VLOOKUP($B151,'MAIN DATA, Orders'!$B:$P,13,0)</f>
        <v>1744</v>
      </c>
    </row>
    <row r="152" spans="1:10" x14ac:dyDescent="0.35">
      <c r="A152" s="27"/>
      <c r="B152" s="27" t="s">
        <v>2019</v>
      </c>
      <c r="C152" s="83" t="str">
        <f>VLOOKUP($B152,'MAIN DATA, Orders'!$B:$P,3,0)</f>
        <v>Germany</v>
      </c>
      <c r="D152" s="83" t="str">
        <f>VLOOKUP($B152,'MAIN DATA, Orders'!$B:$P,6,0)</f>
        <v>RCH 155</v>
      </c>
      <c r="E152" s="83" t="str">
        <f>VLOOKUP($B152,'MAIN DATA, Orders'!$B:$P,7,0)</f>
        <v>155mm howitzer</v>
      </c>
      <c r="F152" s="83" t="str">
        <f>VLOOKUP($B152,'MAIN DATA, Orders'!$B:$P,8,0)</f>
        <v>Artillery</v>
      </c>
      <c r="G152" s="31">
        <f>VLOOKUP($B152,'MAIN DATA, Orders'!$B:$P,9,0)</f>
        <v>3</v>
      </c>
      <c r="H152" s="8">
        <f>VLOOKUP($B152,'MAIN DATA, Orders'!$B:$P,14,0)</f>
        <v>14285714.285714285</v>
      </c>
      <c r="I152" s="8">
        <f>VLOOKUP($B152,'MAIN DATA, Orders'!$B:$P,15,0)</f>
        <v>14285714.285714285</v>
      </c>
      <c r="J152" s="8">
        <f>VLOOKUP($B152,'MAIN DATA, Orders'!$B:$P,13,0)</f>
        <v>84</v>
      </c>
    </row>
    <row r="153" spans="1:10" x14ac:dyDescent="0.35">
      <c r="A153" s="27"/>
      <c r="B153" s="27" t="s">
        <v>2048</v>
      </c>
      <c r="C153" s="83" t="str">
        <f>VLOOKUP($B153,'MAIN DATA, Orders'!$B:$P,3,0)</f>
        <v>Germany</v>
      </c>
      <c r="D153" s="83" t="str">
        <f>VLOOKUP($B153,'MAIN DATA, Orders'!$B:$P,6,0)</f>
        <v>Patriot air defence munition</v>
      </c>
      <c r="E153" s="83" t="str">
        <f>VLOOKUP($B153,'MAIN DATA, Orders'!$B:$P,7,0)</f>
        <v>Surface-to-air missile (SAM)</v>
      </c>
      <c r="F153" s="83" t="str">
        <f>VLOOKUP($B153,'MAIN DATA, Orders'!$B:$P,8,0)</f>
        <v>Missile (Land)</v>
      </c>
      <c r="G153" s="31">
        <f>VLOOKUP($B153,'MAIN DATA, Orders'!$B:$P,9,0)</f>
        <v>6</v>
      </c>
      <c r="H153" s="8">
        <f>VLOOKUP($B153,'MAIN DATA, Orders'!$B:$P,14,0)</f>
        <v>6666666.666666667</v>
      </c>
      <c r="I153" s="8">
        <f>VLOOKUP($B153,'MAIN DATA, Orders'!$B:$P,15,0)</f>
        <v>6666666.666666667</v>
      </c>
      <c r="J153" s="8">
        <f>VLOOKUP($B153,'MAIN DATA, Orders'!$B:$P,13,0)</f>
        <v>240</v>
      </c>
    </row>
    <row r="154" spans="1:10" x14ac:dyDescent="0.35">
      <c r="A154" s="27"/>
      <c r="B154" s="27" t="s">
        <v>2055</v>
      </c>
      <c r="C154" s="83" t="str">
        <f>VLOOKUP($B154,'MAIN DATA, Orders'!$B:$P,3,0)</f>
        <v>Germany</v>
      </c>
      <c r="D154" s="83" t="str">
        <f>VLOOKUP($B154,'MAIN DATA, Orders'!$B:$P,6,0)</f>
        <v>Puma</v>
      </c>
      <c r="E154" s="83" t="str">
        <f>VLOOKUP($B154,'MAIN DATA, Orders'!$B:$P,7,0)</f>
        <v>Infantry fighting vehicle (IFV)</v>
      </c>
      <c r="F154" s="83" t="str">
        <f>VLOOKUP($B154,'MAIN DATA, Orders'!$B:$P,8,0)</f>
        <v>Armoured vehicle</v>
      </c>
      <c r="G154" s="31">
        <f>VLOOKUP($B154,'MAIN DATA, Orders'!$B:$P,9,0)</f>
        <v>2</v>
      </c>
      <c r="H154" s="8">
        <f>VLOOKUP($B154,'MAIN DATA, Orders'!$B:$P,14,0)</f>
        <v>21000000</v>
      </c>
      <c r="I154" s="8">
        <f>VLOOKUP($B154,'MAIN DATA, Orders'!$B:$P,15,0)</f>
        <v>21000000</v>
      </c>
      <c r="J154" s="8">
        <f>VLOOKUP($B154,'MAIN DATA, Orders'!$B:$P,13,0)</f>
        <v>200</v>
      </c>
    </row>
    <row r="155" spans="1:10" x14ac:dyDescent="0.35">
      <c r="A155" s="27"/>
      <c r="B155" s="27" t="s">
        <v>2059</v>
      </c>
      <c r="C155" s="83" t="str">
        <f>VLOOKUP($B155,'MAIN DATA, Orders'!$B:$P,3,0)</f>
        <v>Germany</v>
      </c>
      <c r="D155" s="83" t="str">
        <f>VLOOKUP($B155,'MAIN DATA, Orders'!$B:$P,6,0)</f>
        <v>Eagle V 4x4 vehicle</v>
      </c>
      <c r="E155" s="83" t="str">
        <f>VLOOKUP($B155,'MAIN DATA, Orders'!$B:$P,7,0)</f>
        <v>Armoured Utility Vehicle (AUV)</v>
      </c>
      <c r="F155" s="83" t="str">
        <f>VLOOKUP($B155,'MAIN DATA, Orders'!$B:$P,8,0)</f>
        <v>Armoured vehicle</v>
      </c>
      <c r="G155" s="31">
        <f>VLOOKUP($B155,'MAIN DATA, Orders'!$B:$P,9,0)</f>
        <v>2</v>
      </c>
      <c r="H155" s="8">
        <f>VLOOKUP($B155,'MAIN DATA, Orders'!$B:$P,14,0)</f>
        <v>1455938.6973180077</v>
      </c>
      <c r="I155" s="8">
        <f>VLOOKUP($B155,'MAIN DATA, Orders'!$B:$P,15,0)</f>
        <v>1455938.6973180077</v>
      </c>
      <c r="J155" s="8">
        <f>VLOOKUP($B155,'MAIN DATA, Orders'!$B:$P,13,0)</f>
        <v>2610</v>
      </c>
    </row>
    <row r="156" spans="1:10" x14ac:dyDescent="0.35">
      <c r="A156" s="27"/>
      <c r="B156" s="27" t="s">
        <v>2064</v>
      </c>
      <c r="C156" s="83" t="str">
        <f>VLOOKUP($B156,'MAIN DATA, Orders'!$B:$P,3,0)</f>
        <v>Germany</v>
      </c>
      <c r="D156" s="83" t="str">
        <f>VLOOKUP($B156,'MAIN DATA, Orders'!$B:$P,6,0)</f>
        <v>Eagle V 6x6 ambulance vehicle</v>
      </c>
      <c r="E156" s="83" t="str">
        <f>VLOOKUP($B156,'MAIN DATA, Orders'!$B:$P,7,0)</f>
        <v>Armoured Utility Vehicle (AUV)</v>
      </c>
      <c r="F156" s="83" t="str">
        <f>VLOOKUP($B156,'MAIN DATA, Orders'!$B:$P,8,0)</f>
        <v>Armoured vehicle</v>
      </c>
      <c r="G156" s="31">
        <f>VLOOKUP($B156,'MAIN DATA, Orders'!$B:$P,9,0)</f>
        <v>2</v>
      </c>
      <c r="H156" s="8">
        <f>VLOOKUP($B156,'MAIN DATA, Orders'!$B:$P,14,0)</f>
        <v>2500000</v>
      </c>
      <c r="I156" s="8">
        <f>VLOOKUP($B156,'MAIN DATA, Orders'!$B:$P,15,0)</f>
        <v>2500000</v>
      </c>
      <c r="J156" s="8">
        <f>VLOOKUP($B156,'MAIN DATA, Orders'!$B:$P,13,0)</f>
        <v>400</v>
      </c>
    </row>
    <row r="157" spans="1:10" x14ac:dyDescent="0.35">
      <c r="A157" s="27"/>
      <c r="B157" s="27" t="s">
        <v>2067</v>
      </c>
      <c r="C157" s="83" t="str">
        <f>VLOOKUP($B157,'MAIN DATA, Orders'!$B:$P,3,0)</f>
        <v>Germany</v>
      </c>
      <c r="D157" s="83" t="str">
        <f>VLOOKUP($B157,'MAIN DATA, Orders'!$B:$P,6,0)</f>
        <v>Special forces vehicle (reconnaissance, combat, tactical support)</v>
      </c>
      <c r="E157" s="83" t="str">
        <f>VLOOKUP($B157,'MAIN DATA, Orders'!$B:$P,7,0)</f>
        <v>Special forces vehicle</v>
      </c>
      <c r="F157" s="83" t="str">
        <f>VLOOKUP($B157,'MAIN DATA, Orders'!$B:$P,8,0)</f>
        <v>Armoured vehicle</v>
      </c>
      <c r="G157" s="31">
        <f>VLOOKUP($B157,'MAIN DATA, Orders'!$B:$P,9,0)</f>
        <v>2</v>
      </c>
      <c r="H157" s="8">
        <f>VLOOKUP($B157,'MAIN DATA, Orders'!$B:$P,14,0)</f>
        <v>1250000</v>
      </c>
      <c r="I157" s="8">
        <f>VLOOKUP($B157,'MAIN DATA, Orders'!$B:$P,15,0)</f>
        <v>1250000</v>
      </c>
      <c r="J157" s="8">
        <f>VLOOKUP($B157,'MAIN DATA, Orders'!$B:$P,13,0)</f>
        <v>80</v>
      </c>
    </row>
    <row r="158" spans="1:10" x14ac:dyDescent="0.35">
      <c r="A158" s="27"/>
      <c r="B158" s="27" t="s">
        <v>2070</v>
      </c>
      <c r="C158" s="83" t="str">
        <f>VLOOKUP($B158,'MAIN DATA, Orders'!$B:$P,3,0)</f>
        <v>Germany</v>
      </c>
      <c r="D158" s="83" t="str">
        <f>VLOOKUP($B158,'MAIN DATA, Orders'!$B:$P,6,0)</f>
        <v>Patria 6x6</v>
      </c>
      <c r="E158" s="83" t="str">
        <f>VLOOKUP($B158,'MAIN DATA, Orders'!$B:$P,7,0)</f>
        <v>Armoured personnel carrier (APC)</v>
      </c>
      <c r="F158" s="83" t="str">
        <f>VLOOKUP($B158,'MAIN DATA, Orders'!$B:$P,8,0)</f>
        <v>Armoured vehicle</v>
      </c>
      <c r="G158" s="31">
        <f>VLOOKUP($B158,'MAIN DATA, Orders'!$B:$P,9,0)</f>
        <v>2</v>
      </c>
      <c r="H158" s="8">
        <f>VLOOKUP($B158,'MAIN DATA, Orders'!$B:$P,14,0)</f>
        <v>4206140.3508771928</v>
      </c>
      <c r="I158" s="8">
        <f>VLOOKUP($B158,'MAIN DATA, Orders'!$B:$P,15,0)</f>
        <v>4206140.3508771928</v>
      </c>
      <c r="J158" s="8">
        <f>VLOOKUP($B158,'MAIN DATA, Orders'!$B:$P,13,0)</f>
        <v>228</v>
      </c>
    </row>
    <row r="159" spans="1:10" x14ac:dyDescent="0.35">
      <c r="A159" s="27"/>
      <c r="B159" s="27" t="s">
        <v>2081</v>
      </c>
      <c r="C159" s="83" t="str">
        <f>VLOOKUP($B159,'MAIN DATA, Orders'!$B:$P,3,0)</f>
        <v>Germany</v>
      </c>
      <c r="D159" s="83" t="str">
        <f>VLOOKUP($B159,'MAIN DATA, Orders'!$B:$P,6,0)</f>
        <v>MQ-9B SeaGuardian unmanned system</v>
      </c>
      <c r="E159" s="83" t="str">
        <f>VLOOKUP($B159,'MAIN DATA, Orders'!$B:$P,7,0)</f>
        <v>Reconnaissance drone</v>
      </c>
      <c r="F159" s="83" t="str">
        <f>VLOOKUP($B159,'MAIN DATA, Orders'!$B:$P,8,0)</f>
        <v>Drone</v>
      </c>
      <c r="G159" s="31">
        <f>VLOOKUP($B159,'MAIN DATA, Orders'!$B:$P,9,0)</f>
        <v>7</v>
      </c>
      <c r="H159" s="8">
        <f>VLOOKUP($B159,'MAIN DATA, Orders'!$B:$P,14,0)</f>
        <v>237500000</v>
      </c>
      <c r="I159" s="8">
        <f>VLOOKUP($B159,'MAIN DATA, Orders'!$B:$P,15,0)</f>
        <v>237500000</v>
      </c>
      <c r="J159" s="8">
        <f>VLOOKUP($B159,'MAIN DATA, Orders'!$B:$P,13,0)</f>
        <v>8</v>
      </c>
    </row>
    <row r="160" spans="1:10" x14ac:dyDescent="0.35">
      <c r="A160" s="83"/>
      <c r="B160" s="83" t="s">
        <v>2169</v>
      </c>
      <c r="C160" s="83" t="str">
        <f>VLOOKUP($B160,'MAIN DATA, Orders'!$B:$P,3,0)</f>
        <v>United Kingdom</v>
      </c>
      <c r="D160" s="83" t="str">
        <f>VLOOKUP($B160,'MAIN DATA, Orders'!$B:$P,6,0)</f>
        <v>Protector drone</v>
      </c>
      <c r="E160" s="83" t="str">
        <f>VLOOKUP($B160,'MAIN DATA, Orders'!$B:$P,7,0)</f>
        <v>Long-range strike drone</v>
      </c>
      <c r="F160" s="83" t="str">
        <f>VLOOKUP($B160,'MAIN DATA, Orders'!$B:$P,8,0)</f>
        <v>Drone</v>
      </c>
      <c r="G160" s="31">
        <f>VLOOKUP($B160,'MAIN DATA, Orders'!$B:$P,9,0)</f>
        <v>7</v>
      </c>
      <c r="H160" s="8">
        <f>VLOOKUP($B160,'MAIN DATA, Orders'!$B:$P,14,0)</f>
        <v>21666666.666666668</v>
      </c>
      <c r="I160" s="8">
        <f>VLOOKUP($B160,'MAIN DATA, Orders'!$B:$P,15,0)</f>
        <v>24352778.089992881</v>
      </c>
      <c r="J160" s="8">
        <f>VLOOKUP($B160,'MAIN DATA, Orders'!$B:$P,13,0)</f>
        <v>3</v>
      </c>
    </row>
    <row r="161" spans="1:10" x14ac:dyDescent="0.35">
      <c r="A161" s="83"/>
      <c r="B161" s="83" t="s">
        <v>2178</v>
      </c>
      <c r="C161" s="83" t="str">
        <f>VLOOKUP($B161,'MAIN DATA, Orders'!$B:$P,3,0)</f>
        <v>United Kingdom</v>
      </c>
      <c r="D161" s="83" t="str">
        <f>VLOOKUP($B161,'MAIN DATA, Orders'!$B:$P,6,0)</f>
        <v>Fast patrol boat</v>
      </c>
      <c r="E161" s="83" t="str">
        <f>VLOOKUP($B161,'MAIN DATA, Orders'!$B:$P,7,0)</f>
        <v>Patrol boat</v>
      </c>
      <c r="F161" s="83" t="str">
        <f>VLOOKUP($B161,'MAIN DATA, Orders'!$B:$P,8,0)</f>
        <v>Naval</v>
      </c>
      <c r="G161" s="31">
        <f>VLOOKUP($B161,'MAIN DATA, Orders'!$B:$P,9,0)</f>
        <v>12</v>
      </c>
      <c r="H161" s="8">
        <f>VLOOKUP($B161,'MAIN DATA, Orders'!$B:$P,14,0)</f>
        <v>4950000</v>
      </c>
      <c r="I161" s="8">
        <f>VLOOKUP($B161,'MAIN DATA, Orders'!$B:$P,15,0)</f>
        <v>5563673.1482522199</v>
      </c>
      <c r="J161" s="8">
        <f>VLOOKUP($B161,'MAIN DATA, Orders'!$B:$P,13,0)</f>
        <v>2</v>
      </c>
    </row>
    <row r="162" spans="1:10" x14ac:dyDescent="0.35">
      <c r="A162" s="83"/>
      <c r="B162" s="83" t="s">
        <v>2225</v>
      </c>
      <c r="C162" s="83" t="str">
        <f>VLOOKUP($B162,'MAIN DATA, Orders'!$B:$P,3,0)</f>
        <v>United Kingdom</v>
      </c>
      <c r="D162" s="83" t="str">
        <f>VLOOKUP($B162,'MAIN DATA, Orders'!$B:$P,6,0)</f>
        <v>General support bridge system</v>
      </c>
      <c r="E162" s="83" t="str">
        <f>VLOOKUP($B162,'MAIN DATA, Orders'!$B:$P,7,0)</f>
        <v>Vehicle-mounted bridge system</v>
      </c>
      <c r="F162" s="83" t="str">
        <f>VLOOKUP($B162,'MAIN DATA, Orders'!$B:$P,8,0)</f>
        <v>Other</v>
      </c>
      <c r="G162" s="31">
        <f>VLOOKUP($B162,'MAIN DATA, Orders'!$B:$P,9,0)</f>
        <v>16</v>
      </c>
      <c r="H162" s="8">
        <f>VLOOKUP($B162,'MAIN DATA, Orders'!$B:$P,14,0)</f>
        <v>2705882.3529411764</v>
      </c>
      <c r="I162" s="8">
        <f>VLOOKUP($B162,'MAIN DATA, Orders'!$B:$P,15,0)</f>
        <v>3041342.4220986585</v>
      </c>
      <c r="J162" s="8">
        <f>VLOOKUP($B162,'MAIN DATA, Orders'!$B:$P,13,0)</f>
        <v>17</v>
      </c>
    </row>
    <row r="163" spans="1:10" x14ac:dyDescent="0.35">
      <c r="A163" s="83"/>
      <c r="B163" s="83" t="s">
        <v>2258</v>
      </c>
      <c r="C163" s="83" t="str">
        <f>VLOOKUP($B163,'MAIN DATA, Orders'!$B:$P,3,0)</f>
        <v>United Kingdom</v>
      </c>
      <c r="D163" s="83" t="str">
        <f>VLOOKUP($B163,'MAIN DATA, Orders'!$B:$P,6,0)</f>
        <v>Sea mine disposal system SWEEP</v>
      </c>
      <c r="E163" s="83" t="str">
        <f>VLOOKUP($B163,'MAIN DATA, Orders'!$B:$P,7,0)</f>
        <v>Sea mine disposal system</v>
      </c>
      <c r="F163" s="83" t="str">
        <f>VLOOKUP($B163,'MAIN DATA, Orders'!$B:$P,8,0)</f>
        <v>Drone</v>
      </c>
      <c r="G163" s="31">
        <f>VLOOKUP($B163,'MAIN DATA, Orders'!$B:$P,9,0)</f>
        <v>7</v>
      </c>
      <c r="H163" s="8">
        <f>VLOOKUP($B163,'MAIN DATA, Orders'!$B:$P,14,0)</f>
        <v>8333333.333333333</v>
      </c>
      <c r="I163" s="8">
        <f>VLOOKUP($B163,'MAIN DATA, Orders'!$B:$P,15,0)</f>
        <v>9694431.5185357537</v>
      </c>
      <c r="J163" s="8">
        <f>VLOOKUP($B163,'MAIN DATA, Orders'!$B:$P,13,0)</f>
        <v>3</v>
      </c>
    </row>
    <row r="164" spans="1:10" x14ac:dyDescent="0.35">
      <c r="A164" s="83"/>
      <c r="B164" s="83" t="s">
        <v>2266</v>
      </c>
      <c r="C164" s="83" t="str">
        <f>VLOOKUP($B164,'MAIN DATA, Orders'!$B:$P,3,0)</f>
        <v>United Kingdom</v>
      </c>
      <c r="D164" s="83" t="str">
        <f>VLOOKUP($B164,'MAIN DATA, Orders'!$B:$P,6,0)</f>
        <v>Remote targeting system</v>
      </c>
      <c r="E164" s="83" t="str">
        <f>VLOOKUP($B164,'MAIN DATA, Orders'!$B:$P,7,0)</f>
        <v>Military equipment</v>
      </c>
      <c r="F164" s="83" t="str">
        <f>VLOOKUP($B164,'MAIN DATA, Orders'!$B:$P,8,0)</f>
        <v>Other</v>
      </c>
      <c r="G164" s="31">
        <f>VLOOKUP($B164,'MAIN DATA, Orders'!$B:$P,9,0)</f>
        <v>16</v>
      </c>
      <c r="H164" s="8">
        <f>VLOOKUP($B164,'MAIN DATA, Orders'!$B:$P,14,0)</f>
        <v>17000000</v>
      </c>
      <c r="I164" s="8">
        <f>VLOOKUP($B164,'MAIN DATA, Orders'!$B:$P,15,0)</f>
        <v>19776640.297812935</v>
      </c>
      <c r="J164" s="8">
        <f>VLOOKUP($B164,'MAIN DATA, Orders'!$B:$P,13,0)</f>
        <v>6</v>
      </c>
    </row>
    <row r="165" spans="1:10" x14ac:dyDescent="0.35">
      <c r="A165" s="83"/>
      <c r="B165" s="83" t="s">
        <v>2299</v>
      </c>
      <c r="C165" s="83" t="str">
        <f>VLOOKUP($B165,'MAIN DATA, Orders'!$B:$P,3,0)</f>
        <v>United Kingdom</v>
      </c>
      <c r="D165" s="83" t="str">
        <f>VLOOKUP($B165,'MAIN DATA, Orders'!$B:$P,6,0)</f>
        <v>Challenger 3</v>
      </c>
      <c r="E165" s="83" t="str">
        <f>VLOOKUP($B165,'MAIN DATA, Orders'!$B:$P,7,0)</f>
        <v>Main Battle Tank (MBT)</v>
      </c>
      <c r="F165" s="83" t="str">
        <f>VLOOKUP($B165,'MAIN DATA, Orders'!$B:$P,8,0)</f>
        <v>Tank</v>
      </c>
      <c r="G165" s="31">
        <f>VLOOKUP($B165,'MAIN DATA, Orders'!$B:$P,9,0)</f>
        <v>1</v>
      </c>
      <c r="H165" s="8">
        <f>VLOOKUP($B165,'MAIN DATA, Orders'!$B:$P,14,0)</f>
        <v>5405405.405405405</v>
      </c>
      <c r="I165" s="8">
        <f>VLOOKUP($B165,'MAIN DATA, Orders'!$B:$P,15,0)</f>
        <v>6288279.903915083</v>
      </c>
      <c r="J165" s="8">
        <f>VLOOKUP($B165,'MAIN DATA, Orders'!$B:$P,13,0)</f>
        <v>148</v>
      </c>
    </row>
    <row r="166" spans="1:10" x14ac:dyDescent="0.35">
      <c r="A166" s="83"/>
      <c r="B166" s="83" t="s">
        <v>2316</v>
      </c>
      <c r="C166" s="83" t="str">
        <f>VLOOKUP($B166,'MAIN DATA, Orders'!$B:$P,3,0)</f>
        <v>United Kingdom</v>
      </c>
      <c r="D166" s="83" t="str">
        <f>VLOOKUP($B166,'MAIN DATA, Orders'!$B:$P,6,0)</f>
        <v>Police patrol craft</v>
      </c>
      <c r="E166" s="83" t="str">
        <f>VLOOKUP($B166,'MAIN DATA, Orders'!$B:$P,7,0)</f>
        <v>Patrol boat</v>
      </c>
      <c r="F166" s="83" t="str">
        <f>VLOOKUP($B166,'MAIN DATA, Orders'!$B:$P,8,0)</f>
        <v>Naval</v>
      </c>
      <c r="G166" s="31">
        <f>VLOOKUP($B166,'MAIN DATA, Orders'!$B:$P,9,0)</f>
        <v>12</v>
      </c>
      <c r="H166" s="8">
        <f>VLOOKUP($B166,'MAIN DATA, Orders'!$B:$P,14,0)</f>
        <v>2250000</v>
      </c>
      <c r="I166" s="8">
        <f>VLOOKUP($B166,'MAIN DATA, Orders'!$B:$P,15,0)</f>
        <v>2617496.5100046531</v>
      </c>
      <c r="J166" s="8">
        <f>VLOOKUP($B166,'MAIN DATA, Orders'!$B:$P,13,0)</f>
        <v>16</v>
      </c>
    </row>
    <row r="167" spans="1:10" x14ac:dyDescent="0.35">
      <c r="A167" s="83"/>
      <c r="B167" s="83" t="s">
        <v>2360</v>
      </c>
      <c r="C167" s="83" t="str">
        <f>VLOOKUP($B167,'MAIN DATA, Orders'!$B:$P,3,0)</f>
        <v>United Kingdom</v>
      </c>
      <c r="D167" s="83" t="str">
        <f>VLOOKUP($B167,'MAIN DATA, Orders'!$B:$P,6,0)</f>
        <v>Protector drone</v>
      </c>
      <c r="E167" s="83" t="str">
        <f>VLOOKUP($B167,'MAIN DATA, Orders'!$B:$P,7,0)</f>
        <v>Long-range strike drone</v>
      </c>
      <c r="F167" s="83" t="str">
        <f>VLOOKUP($B167,'MAIN DATA, Orders'!$B:$P,8,0)</f>
        <v>Drone</v>
      </c>
      <c r="G167" s="31">
        <f>VLOOKUP($B167,'MAIN DATA, Orders'!$B:$P,9,0)</f>
        <v>7</v>
      </c>
      <c r="H167" s="8">
        <f>VLOOKUP($B167,'MAIN DATA, Orders'!$B:$P,14,0)</f>
        <v>15000000</v>
      </c>
      <c r="I167" s="8">
        <f>VLOOKUP($B167,'MAIN DATA, Orders'!$B:$P,15,0)</f>
        <v>17449976.733364355</v>
      </c>
      <c r="J167" s="8">
        <f>VLOOKUP($B167,'MAIN DATA, Orders'!$B:$P,13,0)</f>
        <v>13</v>
      </c>
    </row>
    <row r="168" spans="1:10" x14ac:dyDescent="0.35">
      <c r="A168" s="83"/>
      <c r="B168" s="83" t="s">
        <v>2444</v>
      </c>
      <c r="C168" s="83" t="str">
        <f>VLOOKUP($B168,'MAIN DATA, Orders'!$B:$P,3,0)</f>
        <v>United Kingdom</v>
      </c>
      <c r="D168" s="83" t="str">
        <f>VLOOKUP($B168,'MAIN DATA, Orders'!$B:$P,6,0)</f>
        <v xml:space="preserve">Dassault 900LX </v>
      </c>
      <c r="E168" s="83" t="str">
        <f>VLOOKUP($B168,'MAIN DATA, Orders'!$B:$P,7,0)</f>
        <v>Light aircraft</v>
      </c>
      <c r="F168" s="83" t="str">
        <f>VLOOKUP($B168,'MAIN DATA, Orders'!$B:$P,8,0)</f>
        <v>Aircraft</v>
      </c>
      <c r="G168" s="31">
        <f>VLOOKUP($B168,'MAIN DATA, Orders'!$B:$P,9,0)</f>
        <v>11</v>
      </c>
      <c r="H168" s="8">
        <f>VLOOKUP($B168,'MAIN DATA, Orders'!$B:$P,14,0)</f>
        <v>40000000</v>
      </c>
      <c r="I168" s="8">
        <f>VLOOKUP($B168,'MAIN DATA, Orders'!$B:$P,15,0)</f>
        <v>46906515.314977251</v>
      </c>
      <c r="J168" s="8">
        <f>VLOOKUP($B168,'MAIN DATA, Orders'!$B:$P,13,0)</f>
        <v>2</v>
      </c>
    </row>
    <row r="169" spans="1:10" x14ac:dyDescent="0.35">
      <c r="A169" s="83"/>
      <c r="B169" s="83" t="s">
        <v>2469</v>
      </c>
      <c r="C169" s="83" t="str">
        <f>VLOOKUP($B169,'MAIN DATA, Orders'!$B:$P,3,0)</f>
        <v>United Kingdom</v>
      </c>
      <c r="D169" s="83" t="str">
        <f>VLOOKUP($B169,'MAIN DATA, Orders'!$B:$P,6,0)</f>
        <v>Sea mine detection system</v>
      </c>
      <c r="E169" s="83" t="str">
        <f>VLOOKUP($B169,'MAIN DATA, Orders'!$B:$P,7,0)</f>
        <v>Sea mine detection system</v>
      </c>
      <c r="F169" s="83" t="str">
        <f>VLOOKUP($B169,'MAIN DATA, Orders'!$B:$P,8,0)</f>
        <v>Drone</v>
      </c>
      <c r="G169" s="31">
        <f>VLOOKUP($B169,'MAIN DATA, Orders'!$B:$P,9,0)</f>
        <v>7</v>
      </c>
      <c r="H169" s="8">
        <f>VLOOKUP($B169,'MAIN DATA, Orders'!$B:$P,14,0)</f>
        <v>10666666.666666666</v>
      </c>
      <c r="I169" s="8">
        <f>VLOOKUP($B169,'MAIN DATA, Orders'!$B:$P,15,0)</f>
        <v>12508404.083993934</v>
      </c>
      <c r="J169" s="8">
        <f>VLOOKUP($B169,'MAIN DATA, Orders'!$B:$P,13,0)</f>
        <v>3</v>
      </c>
    </row>
    <row r="170" spans="1:10" x14ac:dyDescent="0.35">
      <c r="A170" s="83"/>
      <c r="B170" s="83" t="s">
        <v>2550</v>
      </c>
      <c r="C170" s="83" t="str">
        <f>VLOOKUP($B170,'MAIN DATA, Orders'!$B:$P,3,0)</f>
        <v>United Kingdom</v>
      </c>
      <c r="D170" s="83" t="str">
        <f>VLOOKUP($B170,'MAIN DATA, Orders'!$B:$P,6,0)</f>
        <v>Type 26 Frigate</v>
      </c>
      <c r="E170" s="83" t="str">
        <f>VLOOKUP($B170,'MAIN DATA, Orders'!$B:$P,7,0)</f>
        <v>Frigate</v>
      </c>
      <c r="F170" s="83" t="str">
        <f>VLOOKUP($B170,'MAIN DATA, Orders'!$B:$P,8,0)</f>
        <v>Naval</v>
      </c>
      <c r="G170" s="31">
        <f>VLOOKUP($B170,'MAIN DATA, Orders'!$B:$P,9,0)</f>
        <v>12</v>
      </c>
      <c r="H170" s="8">
        <f>VLOOKUP($B170,'MAIN DATA, Orders'!$B:$P,14,0)</f>
        <v>525000000</v>
      </c>
      <c r="I170" s="8">
        <f>VLOOKUP($B170,'MAIN DATA, Orders'!$B:$P,15,0)</f>
        <v>615648013.50907648</v>
      </c>
      <c r="J170" s="8">
        <f>VLOOKUP($B170,'MAIN DATA, Orders'!$B:$P,13,0)</f>
        <v>8</v>
      </c>
    </row>
    <row r="171" spans="1:10" x14ac:dyDescent="0.35">
      <c r="A171" s="83"/>
      <c r="B171" s="83" t="s">
        <v>2561</v>
      </c>
      <c r="C171" s="83" t="str">
        <f>VLOOKUP($B171,'MAIN DATA, Orders'!$B:$P,3,0)</f>
        <v>United Kingdom</v>
      </c>
      <c r="D171" s="83" t="str">
        <f>VLOOKUP($B171,'MAIN DATA, Orders'!$B:$P,6,0)</f>
        <v>Multi-mode radio</v>
      </c>
      <c r="E171" s="83" t="str">
        <f>VLOOKUP($B171,'MAIN DATA, Orders'!$B:$P,7,0)</f>
        <v>Communication equipment</v>
      </c>
      <c r="F171" s="83" t="str">
        <f>VLOOKUP($B171,'MAIN DATA, Orders'!$B:$P,8,0)</f>
        <v>Modernisation</v>
      </c>
      <c r="G171" s="31">
        <f>VLOOKUP($B171,'MAIN DATA, Orders'!$B:$P,9,0)</f>
        <v>13</v>
      </c>
      <c r="H171" s="8">
        <f>VLOOKUP($B171,'MAIN DATA, Orders'!$B:$P,14,0)</f>
        <v>69230.769230769234</v>
      </c>
      <c r="I171" s="8">
        <f>VLOOKUP($B171,'MAIN DATA, Orders'!$B:$P,15,0)</f>
        <v>81184.353429768322</v>
      </c>
      <c r="J171" s="8">
        <f>VLOOKUP($B171,'MAIN DATA, Orders'!$B:$P,13,0)</f>
        <v>1300</v>
      </c>
    </row>
    <row r="172" spans="1:10" x14ac:dyDescent="0.35">
      <c r="A172" s="83"/>
      <c r="B172" s="83" t="s">
        <v>2567</v>
      </c>
      <c r="C172" s="83" t="str">
        <f>VLOOKUP($B172,'MAIN DATA, Orders'!$B:$P,3,0)</f>
        <v>United Kingdom</v>
      </c>
      <c r="D172" s="83" t="str">
        <f>VLOOKUP($B172,'MAIN DATA, Orders'!$B:$P,6,0)</f>
        <v>Project Cetus crewless submarine</v>
      </c>
      <c r="E172" s="83" t="str">
        <f>VLOOKUP($B172,'MAIN DATA, Orders'!$B:$P,7,0)</f>
        <v>Naval drone</v>
      </c>
      <c r="F172" s="83" t="str">
        <f>VLOOKUP($B172,'MAIN DATA, Orders'!$B:$P,8,0)</f>
        <v>Drone</v>
      </c>
      <c r="G172" s="31">
        <f>VLOOKUP($B172,'MAIN DATA, Orders'!$B:$P,9,0)</f>
        <v>7</v>
      </c>
      <c r="H172" s="8">
        <f>VLOOKUP($B172,'MAIN DATA, Orders'!$B:$P,14,0)</f>
        <v>15400000</v>
      </c>
      <c r="I172" s="8">
        <f>VLOOKUP($B172,'MAIN DATA, Orders'!$B:$P,15,0)</f>
        <v>18059008.396266241</v>
      </c>
      <c r="J172" s="8">
        <f>VLOOKUP($B172,'MAIN DATA, Orders'!$B:$P,13,0)</f>
        <v>1</v>
      </c>
    </row>
    <row r="173" spans="1:10" x14ac:dyDescent="0.35">
      <c r="A173" s="83"/>
      <c r="B173" s="83" t="s">
        <v>2590</v>
      </c>
      <c r="C173" s="83" t="str">
        <f>VLOOKUP($B173,'MAIN DATA, Orders'!$B:$P,3,0)</f>
        <v>United Kingdom</v>
      </c>
      <c r="D173" s="83" t="str">
        <f>VLOOKUP($B173,'MAIN DATA, Orders'!$B:$P,6,0)</f>
        <v>Future All-Terrain Vehicle</v>
      </c>
      <c r="E173" s="83" t="str">
        <f>VLOOKUP($B173,'MAIN DATA, Orders'!$B:$P,7,0)</f>
        <v>All-terrain armoured vehicle</v>
      </c>
      <c r="F173" s="83" t="str">
        <f>VLOOKUP($B173,'MAIN DATA, Orders'!$B:$P,8,0)</f>
        <v>Armoured vehicle</v>
      </c>
      <c r="G173" s="31">
        <f>VLOOKUP($B173,'MAIN DATA, Orders'!$B:$P,9,0)</f>
        <v>2</v>
      </c>
      <c r="H173" s="8">
        <f>VLOOKUP($B173,'MAIN DATA, Orders'!$B:$P,14,0)</f>
        <v>2333333.3333333335</v>
      </c>
      <c r="I173" s="8">
        <f>VLOOKUP($B173,'MAIN DATA, Orders'!$B:$P,15,0)</f>
        <v>2736213.3933736733</v>
      </c>
      <c r="J173" s="8">
        <f>VLOOKUP($B173,'MAIN DATA, Orders'!$B:$P,13,0)</f>
        <v>60</v>
      </c>
    </row>
    <row r="174" spans="1:10" x14ac:dyDescent="0.35">
      <c r="A174" s="83"/>
      <c r="B174" s="83" t="s">
        <v>2596</v>
      </c>
      <c r="C174" s="83" t="str">
        <f>VLOOKUP($B174,'MAIN DATA, Orders'!$B:$P,3,0)</f>
        <v>United Kingdom</v>
      </c>
      <c r="D174" s="83" t="str">
        <f>VLOOKUP($B174,'MAIN DATA, Orders'!$B:$P,6,0)</f>
        <v>Fleet Solid Support ship</v>
      </c>
      <c r="E174" s="83" t="str">
        <f>VLOOKUP($B174,'MAIN DATA, Orders'!$B:$P,7,0)</f>
        <v>Naval support vessel</v>
      </c>
      <c r="F174" s="83" t="str">
        <f>VLOOKUP($B174,'MAIN DATA, Orders'!$B:$P,8,0)</f>
        <v>Naval</v>
      </c>
      <c r="G174" s="31">
        <f>VLOOKUP($B174,'MAIN DATA, Orders'!$B:$P,9,0)</f>
        <v>12</v>
      </c>
      <c r="H174" s="8">
        <f>VLOOKUP($B174,'MAIN DATA, Orders'!$B:$P,14,0)</f>
        <v>533333333.33333331</v>
      </c>
      <c r="I174" s="8">
        <f>VLOOKUP($B174,'MAIN DATA, Orders'!$B:$P,15,0)</f>
        <v>613174827.64038837</v>
      </c>
      <c r="J174" s="8">
        <f>VLOOKUP($B174,'MAIN DATA, Orders'!$B:$P,13,0)</f>
        <v>3</v>
      </c>
    </row>
    <row r="175" spans="1:10" x14ac:dyDescent="0.35">
      <c r="A175" s="83"/>
      <c r="B175" s="83" t="s">
        <v>2605</v>
      </c>
      <c r="C175" s="83" t="str">
        <f>VLOOKUP($B175,'MAIN DATA, Orders'!$B:$P,3,0)</f>
        <v>United Kingdom</v>
      </c>
      <c r="D175" s="83" t="str">
        <f>VLOOKUP($B175,'MAIN DATA, Orders'!$B:$P,6,0)</f>
        <v>Multi role ocean surveillance ship</v>
      </c>
      <c r="E175" s="83" t="str">
        <f>VLOOKUP($B175,'MAIN DATA, Orders'!$B:$P,7,0)</f>
        <v>Offshore patrol vessel</v>
      </c>
      <c r="F175" s="83" t="str">
        <f>VLOOKUP($B175,'MAIN DATA, Orders'!$B:$P,8,0)</f>
        <v>Naval</v>
      </c>
      <c r="G175" s="31">
        <f>VLOOKUP($B175,'MAIN DATA, Orders'!$B:$P,9,0)</f>
        <v>12</v>
      </c>
      <c r="H175" s="8">
        <f>VLOOKUP($B175,'MAIN DATA, Orders'!$B:$P,14,0)</f>
        <v>65000000</v>
      </c>
      <c r="I175" s="8">
        <f>VLOOKUP($B175,'MAIN DATA, Orders'!$B:$P,15,0)</f>
        <v>74730682.118672326</v>
      </c>
      <c r="J175" s="8">
        <f>VLOOKUP($B175,'MAIN DATA, Orders'!$B:$P,13,0)</f>
        <v>1</v>
      </c>
    </row>
    <row r="176" spans="1:10" x14ac:dyDescent="0.35">
      <c r="A176" s="83"/>
      <c r="B176" s="83" t="s">
        <v>2611</v>
      </c>
      <c r="C176" s="83" t="str">
        <f>VLOOKUP($B176,'MAIN DATA, Orders'!$B:$P,3,0)</f>
        <v>United Kingdom</v>
      </c>
      <c r="D176" s="83" t="str">
        <f>VLOOKUP($B176,'MAIN DATA, Orders'!$B:$P,6,0)</f>
        <v>Peregrine remotely piloted air system</v>
      </c>
      <c r="E176" s="83" t="str">
        <f>VLOOKUP($B176,'MAIN DATA, Orders'!$B:$P,7,0)</f>
        <v>Surveillance drone</v>
      </c>
      <c r="F176" s="83" t="str">
        <f>VLOOKUP($B176,'MAIN DATA, Orders'!$B:$P,8,0)</f>
        <v>Drone</v>
      </c>
      <c r="G176" s="31">
        <f>VLOOKUP($B176,'MAIN DATA, Orders'!$B:$P,9,0)</f>
        <v>7</v>
      </c>
      <c r="H176" s="8">
        <f>VLOOKUP($B176,'MAIN DATA, Orders'!$B:$P,14,0)</f>
        <v>20000000</v>
      </c>
      <c r="I176" s="8">
        <f>VLOOKUP($B176,'MAIN DATA, Orders'!$B:$P,15,0)</f>
        <v>22994056.036514562</v>
      </c>
      <c r="J176" s="8">
        <f>VLOOKUP($B176,'MAIN DATA, Orders'!$B:$P,13,0)</f>
        <v>1</v>
      </c>
    </row>
    <row r="177" spans="1:10" x14ac:dyDescent="0.35">
      <c r="A177" s="83"/>
      <c r="B177" s="83" t="s">
        <v>2638</v>
      </c>
      <c r="C177" s="83" t="str">
        <f>VLOOKUP($B177,'MAIN DATA, Orders'!$B:$P,3,0)</f>
        <v>United Kingdom</v>
      </c>
      <c r="D177" s="83" t="str">
        <f>VLOOKUP($B177,'MAIN DATA, Orders'!$B:$P,6,0)</f>
        <v>Jackal high mobility transporter</v>
      </c>
      <c r="E177" s="83" t="str">
        <f>VLOOKUP($B177,'MAIN DATA, Orders'!$B:$P,7,0)</f>
        <v>Light armoured reconnaissance vehicle</v>
      </c>
      <c r="F177" s="83" t="str">
        <f>VLOOKUP($B177,'MAIN DATA, Orders'!$B:$P,8,0)</f>
        <v>Armoured vehicle</v>
      </c>
      <c r="G177" s="31">
        <f>VLOOKUP($B177,'MAIN DATA, Orders'!$B:$P,9,0)</f>
        <v>2</v>
      </c>
      <c r="H177" s="8">
        <f>VLOOKUP($B177,'MAIN DATA, Orders'!$B:$P,14,0)</f>
        <v>1285714.2857142857</v>
      </c>
      <c r="I177" s="8">
        <f>VLOOKUP($B177,'MAIN DATA, Orders'!$B:$P,15,0)</f>
        <v>1478189.3166330792</v>
      </c>
      <c r="J177" s="8">
        <f>VLOOKUP($B177,'MAIN DATA, Orders'!$B:$P,13,0)</f>
        <v>70</v>
      </c>
    </row>
    <row r="178" spans="1:10" x14ac:dyDescent="0.35">
      <c r="A178" s="83"/>
      <c r="B178" s="83" t="s">
        <v>2646</v>
      </c>
      <c r="C178" s="83" t="str">
        <f>VLOOKUP($B178,'MAIN DATA, Orders'!$B:$P,3,0)</f>
        <v>United Kingdom</v>
      </c>
      <c r="D178" s="83" t="str">
        <f>VLOOKUP($B178,'MAIN DATA, Orders'!$B:$P,6,0)</f>
        <v>King Air 350 simulator</v>
      </c>
      <c r="E178" s="83" t="str">
        <f>VLOOKUP($B178,'MAIN DATA, Orders'!$B:$P,7,0)</f>
        <v>Flight simulator software</v>
      </c>
      <c r="F178" s="83" t="str">
        <f>VLOOKUP($B178,'MAIN DATA, Orders'!$B:$P,8,0)</f>
        <v>Other</v>
      </c>
      <c r="G178" s="31">
        <f>VLOOKUP($B178,'MAIN DATA, Orders'!$B:$P,9,0)</f>
        <v>16</v>
      </c>
      <c r="H178" s="8">
        <f>VLOOKUP($B178,'MAIN DATA, Orders'!$B:$P,14,0)</f>
        <v>11500000</v>
      </c>
      <c r="I178" s="8">
        <f>VLOOKUP($B178,'MAIN DATA, Orders'!$B:$P,15,0)</f>
        <v>13221582.220995873</v>
      </c>
      <c r="J178" s="8">
        <f>VLOOKUP($B178,'MAIN DATA, Orders'!$B:$P,13,0)</f>
        <v>1</v>
      </c>
    </row>
    <row r="179" spans="1:10" x14ac:dyDescent="0.35">
      <c r="A179" s="83"/>
      <c r="B179" s="83" t="s">
        <v>2710</v>
      </c>
      <c r="C179" s="83" t="str">
        <f>VLOOKUP($B179,'MAIN DATA, Orders'!$B:$P,3,0)</f>
        <v>United Kingdom</v>
      </c>
      <c r="D179" s="83" t="str">
        <f>VLOOKUP($B179,'MAIN DATA, Orders'!$B:$P,6,0)</f>
        <v>Ukraine military vehicles support contract</v>
      </c>
      <c r="E179" s="83" t="str">
        <f>VLOOKUP($B179,'MAIN DATA, Orders'!$B:$P,7,0)</f>
        <v>Military vehicle maintentance</v>
      </c>
      <c r="F179" s="83" t="str">
        <f>VLOOKUP($B179,'MAIN DATA, Orders'!$B:$P,8,0)</f>
        <v>Maintenance</v>
      </c>
      <c r="G179" s="31">
        <f>VLOOKUP($B179,'MAIN DATA, Orders'!$B:$P,9,0)</f>
        <v>14</v>
      </c>
      <c r="H179" s="8">
        <f>VLOOKUP($B179,'MAIN DATA, Orders'!$B:$P,14,0)</f>
        <v>50000000</v>
      </c>
      <c r="I179" s="8">
        <f>VLOOKUP($B179,'MAIN DATA, Orders'!$B:$P,15,0)</f>
        <v>57485140.091286406</v>
      </c>
      <c r="J179" s="8">
        <f>VLOOKUP($B179,'MAIN DATA, Orders'!$B:$P,13,0)</f>
        <v>1</v>
      </c>
    </row>
    <row r="180" spans="1:10" x14ac:dyDescent="0.35">
      <c r="A180" s="83"/>
      <c r="B180" s="83" t="s">
        <v>2718</v>
      </c>
      <c r="C180" s="83" t="str">
        <f>VLOOKUP($B180,'MAIN DATA, Orders'!$B:$P,3,0)</f>
        <v>United Kingdom</v>
      </c>
      <c r="D180" s="83" t="str">
        <f>VLOOKUP($B180,'MAIN DATA, Orders'!$B:$P,6,0)</f>
        <v>Optronic mast for submarine</v>
      </c>
      <c r="E180" s="83" t="str">
        <f>VLOOKUP($B180,'MAIN DATA, Orders'!$B:$P,7,0)</f>
        <v>Submarine mast</v>
      </c>
      <c r="F180" s="83" t="str">
        <f>VLOOKUP($B180,'MAIN DATA, Orders'!$B:$P,8,0)</f>
        <v>Naval</v>
      </c>
      <c r="G180" s="31">
        <f>VLOOKUP($B180,'MAIN DATA, Orders'!$B:$P,9,0)</f>
        <v>12</v>
      </c>
      <c r="H180" s="8">
        <f>VLOOKUP($B180,'MAIN DATA, Orders'!$B:$P,14,0)</f>
        <v>42250000</v>
      </c>
      <c r="I180" s="8">
        <f>VLOOKUP($B180,'MAIN DATA, Orders'!$B:$P,15,0)</f>
        <v>48574943.377137013</v>
      </c>
      <c r="J180" s="8">
        <f>VLOOKUP($B180,'MAIN DATA, Orders'!$B:$P,13,0)</f>
        <v>4</v>
      </c>
    </row>
    <row r="181" spans="1:10" x14ac:dyDescent="0.35">
      <c r="A181" s="83"/>
      <c r="B181" s="83" t="s">
        <v>2725</v>
      </c>
      <c r="C181" s="83" t="str">
        <f>VLOOKUP($B181,'MAIN DATA, Orders'!$B:$P,3,0)</f>
        <v>United Kingdom</v>
      </c>
      <c r="D181" s="83" t="str">
        <f>VLOOKUP($B181,'MAIN DATA, Orders'!$B:$P,6,0)</f>
        <v>Flying electronics laboratory</v>
      </c>
      <c r="E181" s="83" t="str">
        <f>VLOOKUP($B181,'MAIN DATA, Orders'!$B:$P,7,0)</f>
        <v>Overhauled Boeing 757 for GCAP research</v>
      </c>
      <c r="F181" s="83" t="str">
        <f>VLOOKUP($B181,'MAIN DATA, Orders'!$B:$P,8,0)</f>
        <v>Development - Aircraft</v>
      </c>
      <c r="G181" s="31">
        <f>VLOOKUP($B181,'MAIN DATA, Orders'!$B:$P,9,0)</f>
        <v>15</v>
      </c>
      <c r="H181" s="8">
        <f>VLOOKUP($B181,'MAIN DATA, Orders'!$B:$P,14,0)</f>
        <v>115000000</v>
      </c>
      <c r="I181" s="8">
        <f>VLOOKUP($B181,'MAIN DATA, Orders'!$B:$P,15,0)</f>
        <v>132215822.20995873</v>
      </c>
      <c r="J181" s="8">
        <f>VLOOKUP($B181,'MAIN DATA, Orders'!$B:$P,13,0)</f>
        <v>1</v>
      </c>
    </row>
    <row r="182" spans="1:10" x14ac:dyDescent="0.35">
      <c r="A182" s="83"/>
      <c r="B182" s="83" t="s">
        <v>2739</v>
      </c>
      <c r="C182" s="83" t="str">
        <f>VLOOKUP($B182,'MAIN DATA, Orders'!$B:$P,3,0)</f>
        <v>United Kingdom</v>
      </c>
      <c r="D182" s="83" t="str">
        <f>VLOOKUP($B182,'MAIN DATA, Orders'!$B:$P,6,0)</f>
        <v>L403A1 AIW rifle</v>
      </c>
      <c r="E182" s="83" t="str">
        <f>VLOOKUP($B182,'MAIN DATA, Orders'!$B:$P,7,0)</f>
        <v>Small Arms and Light Weapons (SALW)</v>
      </c>
      <c r="F182" s="83" t="str">
        <f>VLOOKUP($B182,'MAIN DATA, Orders'!$B:$P,8,0)</f>
        <v>Infantry</v>
      </c>
      <c r="G182" s="31">
        <f>VLOOKUP($B182,'MAIN DATA, Orders'!$B:$P,9,0)</f>
        <v>8</v>
      </c>
      <c r="H182" s="8">
        <f>VLOOKUP($B182,'MAIN DATA, Orders'!$B:$P,14,0)</f>
        <v>9259.2592592592591</v>
      </c>
      <c r="I182" s="8">
        <f>VLOOKUP($B182,'MAIN DATA, Orders'!$B:$P,15,0)</f>
        <v>10645.396313201185</v>
      </c>
      <c r="J182" s="8">
        <f>VLOOKUP($B182,'MAIN DATA, Orders'!$B:$P,13,0)</f>
        <v>1620</v>
      </c>
    </row>
    <row r="183" spans="1:10" x14ac:dyDescent="0.35">
      <c r="A183" s="83"/>
      <c r="B183" s="83" t="s">
        <v>2818</v>
      </c>
      <c r="C183" s="83" t="str">
        <f>VLOOKUP($B183,'MAIN DATA, Orders'!$B:$P,3,0)</f>
        <v>United Kingdom</v>
      </c>
      <c r="D183" s="83" t="str">
        <f>VLOOKUP($B183,'MAIN DATA, Orders'!$B:$P,6,0)</f>
        <v>Protected truck 15t</v>
      </c>
      <c r="E183" s="83" t="str">
        <f>VLOOKUP($B183,'MAIN DATA, Orders'!$B:$P,7,0)</f>
        <v>Armoured Utility Vehicle (AUV)</v>
      </c>
      <c r="F183" s="83" t="str">
        <f>VLOOKUP($B183,'MAIN DATA, Orders'!$B:$P,8,0)</f>
        <v>Armoured vehicle</v>
      </c>
      <c r="G183" s="31">
        <f>VLOOKUP($B183,'MAIN DATA, Orders'!$B:$P,9,0)</f>
        <v>2</v>
      </c>
      <c r="H183" s="8">
        <f>VLOOKUP($B183,'MAIN DATA, Orders'!$B:$P,14,0)</f>
        <v>564000</v>
      </c>
      <c r="I183" s="8">
        <f>VLOOKUP($B183,'MAIN DATA, Orders'!$B:$P,15,0)</f>
        <v>666178.45078075165</v>
      </c>
      <c r="J183" s="8">
        <f>VLOOKUP($B183,'MAIN DATA, Orders'!$B:$P,13,0)</f>
        <v>500</v>
      </c>
    </row>
    <row r="184" spans="1:10" x14ac:dyDescent="0.35">
      <c r="A184" s="83"/>
      <c r="B184" s="83" t="s">
        <v>2838</v>
      </c>
      <c r="C184" s="83" t="str">
        <f>VLOOKUP($B184,'MAIN DATA, Orders'!$B:$P,3,0)</f>
        <v>United Kingdom</v>
      </c>
      <c r="D184" s="83" t="str">
        <f>VLOOKUP($B184,'MAIN DATA, Orders'!$B:$P,6,0)</f>
        <v>First-person view (FPV) drone</v>
      </c>
      <c r="E184" s="83" t="str">
        <f>VLOOKUP($B184,'MAIN DATA, Orders'!$B:$P,7,0)</f>
        <v>First-person view (FPV) drone</v>
      </c>
      <c r="F184" s="83" t="str">
        <f>VLOOKUP($B184,'MAIN DATA, Orders'!$B:$P,8,0)</f>
        <v>Drone</v>
      </c>
      <c r="G184" s="31">
        <f>VLOOKUP($B184,'MAIN DATA, Orders'!$B:$P,9,0)</f>
        <v>7</v>
      </c>
      <c r="H184" s="8">
        <f>VLOOKUP($B184,'MAIN DATA, Orders'!$B:$P,14,0)</f>
        <v>12500</v>
      </c>
      <c r="I184" s="8">
        <f>VLOOKUP($B184,'MAIN DATA, Orders'!$B:$P,15,0)</f>
        <v>14764.593324041483</v>
      </c>
      <c r="J184" s="8">
        <f>VLOOKUP($B184,'MAIN DATA, Orders'!$B:$P,13,0)</f>
        <v>10000</v>
      </c>
    </row>
    <row r="185" spans="1:10" x14ac:dyDescent="0.35">
      <c r="A185" s="83"/>
      <c r="B185" s="83" t="s">
        <v>2843</v>
      </c>
      <c r="C185" s="83" t="str">
        <f>VLOOKUP($B185,'MAIN DATA, Orders'!$B:$P,3,0)</f>
        <v>United Kingdom</v>
      </c>
      <c r="D185" s="83" t="str">
        <f>VLOOKUP($B185,'MAIN DATA, Orders'!$B:$P,6,0)</f>
        <v>EV ARC mobile charging station</v>
      </c>
      <c r="E185" s="83" t="str">
        <f>VLOOKUP($B185,'MAIN DATA, Orders'!$B:$P,7,0)</f>
        <v>Electric vehicle infrastructure</v>
      </c>
      <c r="F185" s="83" t="str">
        <f>VLOOKUP($B185,'MAIN DATA, Orders'!$B:$P,8,0)</f>
        <v>Other</v>
      </c>
      <c r="G185" s="31">
        <f>VLOOKUP($B185,'MAIN DATA, Orders'!$B:$P,9,0)</f>
        <v>16</v>
      </c>
      <c r="H185" s="8">
        <f>VLOOKUP($B185,'MAIN DATA, Orders'!$B:$P,14,0)</f>
        <v>82000</v>
      </c>
      <c r="I185" s="8">
        <f>VLOOKUP($B185,'MAIN DATA, Orders'!$B:$P,15,0)</f>
        <v>96855.73220571212</v>
      </c>
      <c r="J185" s="8">
        <f>VLOOKUP($B185,'MAIN DATA, Orders'!$B:$P,13,0)</f>
        <v>10</v>
      </c>
    </row>
    <row r="186" spans="1:10" x14ac:dyDescent="0.35">
      <c r="A186" s="83"/>
      <c r="B186" s="83" t="s">
        <v>2849</v>
      </c>
      <c r="C186" s="83" t="str">
        <f>VLOOKUP($B186,'MAIN DATA, Orders'!$B:$P,3,0)</f>
        <v>United Kingdom</v>
      </c>
      <c r="D186" s="83" t="str">
        <f>VLOOKUP($B186,'MAIN DATA, Orders'!$B:$P,6,0)</f>
        <v>CH-47ER Chinook helicopter</v>
      </c>
      <c r="E186" s="83" t="str">
        <f>VLOOKUP($B186,'MAIN DATA, Orders'!$B:$P,7,0)</f>
        <v>Heavy transport helicopter</v>
      </c>
      <c r="F186" s="83" t="str">
        <f>VLOOKUP($B186,'MAIN DATA, Orders'!$B:$P,8,0)</f>
        <v>Helicopter</v>
      </c>
      <c r="G186" s="31">
        <f>VLOOKUP($B186,'MAIN DATA, Orders'!$B:$P,9,0)</f>
        <v>10</v>
      </c>
      <c r="H186" s="8">
        <f>VLOOKUP($B186,'MAIN DATA, Orders'!$B:$P,14,0)</f>
        <v>142857142.85714287</v>
      </c>
      <c r="I186" s="8">
        <f>VLOOKUP($B186,'MAIN DATA, Orders'!$B:$P,15,0)</f>
        <v>168738209.41761693</v>
      </c>
      <c r="J186" s="8">
        <f>VLOOKUP($B186,'MAIN DATA, Orders'!$B:$P,13,0)</f>
        <v>14</v>
      </c>
    </row>
    <row r="187" spans="1:10" x14ac:dyDescent="0.35">
      <c r="A187" s="83"/>
      <c r="B187" s="83" t="s">
        <v>2856</v>
      </c>
      <c r="C187" s="83" t="str">
        <f>VLOOKUP($B187,'MAIN DATA, Orders'!$B:$P,3,0)</f>
        <v>IFU</v>
      </c>
      <c r="D187" s="83" t="str">
        <f>VLOOKUP($B187,'MAIN DATA, Orders'!$B:$P,6,0)</f>
        <v>Surveillance drone</v>
      </c>
      <c r="E187" s="83" t="str">
        <f>VLOOKUP($B187,'MAIN DATA, Orders'!$B:$P,7,0)</f>
        <v>Surveillance drone</v>
      </c>
      <c r="F187" s="83" t="str">
        <f>VLOOKUP($B187,'MAIN DATA, Orders'!$B:$P,8,0)</f>
        <v>Drone</v>
      </c>
      <c r="G187" s="31">
        <f>VLOOKUP($B187,'MAIN DATA, Orders'!$B:$P,9,0)</f>
        <v>7</v>
      </c>
      <c r="H187" s="8">
        <f>VLOOKUP($B187,'MAIN DATA, Orders'!$B:$P,14,0)</f>
        <v>266666.66666666669</v>
      </c>
      <c r="I187" s="8">
        <f>VLOOKUP($B187,'MAIN DATA, Orders'!$B:$P,15,0)</f>
        <v>314977.990912885</v>
      </c>
      <c r="J187" s="8">
        <f>VLOOKUP($B187,'MAIN DATA, Orders'!$B:$P,13,0)</f>
        <v>150</v>
      </c>
    </row>
    <row r="188" spans="1:10" x14ac:dyDescent="0.35">
      <c r="A188" s="83"/>
      <c r="B188" s="83" t="s">
        <v>2873</v>
      </c>
      <c r="C188" s="83" t="str">
        <f>VLOOKUP($B188,'MAIN DATA, Orders'!$B:$P,3,0)</f>
        <v>United Kingdom</v>
      </c>
      <c r="D188" s="83" t="str">
        <f>VLOOKUP($B188,'MAIN DATA, Orders'!$B:$P,6,0)</f>
        <v>Lynx Brutal Over Snow Reconnaissance Vehicle</v>
      </c>
      <c r="E188" s="83" t="str">
        <f>VLOOKUP($B188,'MAIN DATA, Orders'!$B:$P,7,0)</f>
        <v>Snowmobile</v>
      </c>
      <c r="F188" s="83" t="str">
        <f>VLOOKUP($B188,'MAIN DATA, Orders'!$B:$P,8,0)</f>
        <v>Other</v>
      </c>
      <c r="G188" s="31">
        <f>VLOOKUP($B188,'MAIN DATA, Orders'!$B:$P,9,0)</f>
        <v>16</v>
      </c>
      <c r="H188" s="8">
        <f>VLOOKUP($B188,'MAIN DATA, Orders'!$B:$P,14,0)</f>
        <v>62893.081761006288</v>
      </c>
      <c r="I188" s="8">
        <f>VLOOKUP($B188,'MAIN DATA, Orders'!$B:$P,15,0)</f>
        <v>74287.262007755882</v>
      </c>
      <c r="J188" s="8">
        <f>VLOOKUP($B188,'MAIN DATA, Orders'!$B:$P,13,0)</f>
        <v>159</v>
      </c>
    </row>
    <row r="189" spans="1:10" x14ac:dyDescent="0.35">
      <c r="A189" s="83"/>
      <c r="B189" s="83" t="s">
        <v>2878</v>
      </c>
      <c r="C189" s="83" t="str">
        <f>VLOOKUP($B189,'MAIN DATA, Orders'!$B:$P,3,0)</f>
        <v>United Kingdom</v>
      </c>
      <c r="D189" s="83" t="str">
        <f>VLOOKUP($B189,'MAIN DATA, Orders'!$B:$P,6,0)</f>
        <v>H145 helicopter</v>
      </c>
      <c r="E189" s="83" t="str">
        <f>VLOOKUP($B189,'MAIN DATA, Orders'!$B:$P,7,0)</f>
        <v>Light utility helicopter</v>
      </c>
      <c r="F189" s="83" t="str">
        <f>VLOOKUP($B189,'MAIN DATA, Orders'!$B:$P,8,0)</f>
        <v>Helicopter</v>
      </c>
      <c r="G189" s="31">
        <f>VLOOKUP($B189,'MAIN DATA, Orders'!$B:$P,9,0)</f>
        <v>10</v>
      </c>
      <c r="H189" s="8">
        <f>VLOOKUP($B189,'MAIN DATA, Orders'!$B:$P,14,0)</f>
        <v>20333333.333333332</v>
      </c>
      <c r="I189" s="8">
        <f>VLOOKUP($B189,'MAIN DATA, Orders'!$B:$P,15,0)</f>
        <v>24017071.807107478</v>
      </c>
      <c r="J189" s="8">
        <f>VLOOKUP($B189,'MAIN DATA, Orders'!$B:$P,13,0)</f>
        <v>6</v>
      </c>
    </row>
    <row r="190" spans="1:10" x14ac:dyDescent="0.35">
      <c r="A190" s="83"/>
      <c r="B190" s="83" t="s">
        <v>2886</v>
      </c>
      <c r="C190" s="83" t="str">
        <f>VLOOKUP($B190,'MAIN DATA, Orders'!$B:$P,3,0)</f>
        <v>United Kingdom</v>
      </c>
      <c r="D190" s="83" t="str">
        <f>VLOOKUP($B190,'MAIN DATA, Orders'!$B:$P,6,0)</f>
        <v>T4 bomb disposal robot</v>
      </c>
      <c r="E190" s="83" t="str">
        <f>VLOOKUP($B190,'MAIN DATA, Orders'!$B:$P,7,0)</f>
        <v>Bomb disposal robot</v>
      </c>
      <c r="F190" s="83" t="str">
        <f>VLOOKUP($B190,'MAIN DATA, Orders'!$B:$P,8,0)</f>
        <v>Drone</v>
      </c>
      <c r="G190" s="31">
        <f>VLOOKUP($B190,'MAIN DATA, Orders'!$B:$P,9,0)</f>
        <v>7</v>
      </c>
      <c r="H190" s="8">
        <f>VLOOKUP($B190,'MAIN DATA, Orders'!$B:$P,14,0)</f>
        <v>420000</v>
      </c>
      <c r="I190" s="8">
        <f>VLOOKUP($B190,'MAIN DATA, Orders'!$B:$P,15,0)</f>
        <v>496090.33568779379</v>
      </c>
      <c r="J190" s="8">
        <f>VLOOKUP($B190,'MAIN DATA, Orders'!$B:$P,13,0)</f>
        <v>50</v>
      </c>
    </row>
    <row r="191" spans="1:10" x14ac:dyDescent="0.35">
      <c r="A191" s="83"/>
      <c r="B191" s="83" t="s">
        <v>2891</v>
      </c>
      <c r="C191" s="83" t="str">
        <f>VLOOKUP($B191,'MAIN DATA, Orders'!$B:$P,3,0)</f>
        <v>IFU</v>
      </c>
      <c r="D191" s="83" t="str">
        <f>VLOOKUP($B191,'MAIN DATA, Orders'!$B:$P,6,0)</f>
        <v>152mm artillery round for Ukraine</v>
      </c>
      <c r="E191" s="83" t="str">
        <f>VLOOKUP($B191,'MAIN DATA, Orders'!$B:$P,7,0)</f>
        <v>152mm howitzer ammunition</v>
      </c>
      <c r="F191" s="83" t="str">
        <f>VLOOKUP($B191,'MAIN DATA, Orders'!$B:$P,8,0)</f>
        <v>Ammunition</v>
      </c>
      <c r="G191" s="31">
        <f>VLOOKUP($B191,'MAIN DATA, Orders'!$B:$P,9,0)</f>
        <v>4</v>
      </c>
      <c r="H191" s="8">
        <f>VLOOKUP($B191,'MAIN DATA, Orders'!$B:$P,14,0)</f>
        <v>2500</v>
      </c>
      <c r="I191" s="8">
        <f>VLOOKUP($B191,'MAIN DATA, Orders'!$B:$P,15,0)</f>
        <v>2952.9186648082959</v>
      </c>
      <c r="J191" s="8">
        <f>VLOOKUP($B191,'MAIN DATA, Orders'!$B:$P,13,0)</f>
        <v>120000</v>
      </c>
    </row>
    <row r="192" spans="1:10" x14ac:dyDescent="0.35">
      <c r="A192" s="83"/>
      <c r="B192" s="83" t="s">
        <v>2905</v>
      </c>
      <c r="C192" s="83" t="str">
        <f>VLOOKUP($B192,'MAIN DATA, Orders'!$B:$P,3,0)</f>
        <v>United Kingdom</v>
      </c>
      <c r="D192" s="83" t="str">
        <f>VLOOKUP($B192,'MAIN DATA, Orders'!$B:$P,6,0)</f>
        <v>Anechoic hangar</v>
      </c>
      <c r="E192" s="83" t="str">
        <f>VLOOKUP($B192,'MAIN DATA, Orders'!$B:$P,7,0)</f>
        <v>Anti-jamming test facility</v>
      </c>
      <c r="F192" s="83" t="str">
        <f>VLOOKUP($B192,'MAIN DATA, Orders'!$B:$P,8,0)</f>
        <v>Development - Modernisation</v>
      </c>
      <c r="G192" s="31">
        <f>VLOOKUP($B192,'MAIN DATA, Orders'!$B:$P,9,0)</f>
        <v>15</v>
      </c>
      <c r="H192" s="8">
        <f>VLOOKUP($B192,'MAIN DATA, Orders'!$B:$P,14,0)</f>
        <v>20000000</v>
      </c>
      <c r="I192" s="8">
        <f>VLOOKUP($B192,'MAIN DATA, Orders'!$B:$P,15,0)</f>
        <v>23623349.318466373</v>
      </c>
      <c r="J192" s="8">
        <f>VLOOKUP($B192,'MAIN DATA, Orders'!$B:$P,13,0)</f>
        <v>1</v>
      </c>
    </row>
    <row r="193" spans="1:10" x14ac:dyDescent="0.35">
      <c r="A193" s="83"/>
      <c r="B193" s="83" t="s">
        <v>2917</v>
      </c>
      <c r="C193" s="83" t="str">
        <f>VLOOKUP($B193,'MAIN DATA, Orders'!$B:$P,3,0)</f>
        <v>United Kingdom</v>
      </c>
      <c r="D193" s="83" t="str">
        <f>VLOOKUP($B193,'MAIN DATA, Orders'!$B:$P,6,0)</f>
        <v>Lightweight multirole missile</v>
      </c>
      <c r="E193" s="83" t="str">
        <f>VLOOKUP($B193,'MAIN DATA, Orders'!$B:$P,7,0)</f>
        <v>Multi role missile</v>
      </c>
      <c r="F193" s="83" t="str">
        <f>VLOOKUP($B193,'MAIN DATA, Orders'!$B:$P,8,0)</f>
        <v>Missile (Land)</v>
      </c>
      <c r="G193" s="31">
        <f>VLOOKUP($B193,'MAIN DATA, Orders'!$B:$P,9,0)</f>
        <v>6</v>
      </c>
      <c r="H193" s="8">
        <f>VLOOKUP($B193,'MAIN DATA, Orders'!$B:$P,14,0)</f>
        <v>249230.76923076922</v>
      </c>
      <c r="I193" s="8">
        <f>VLOOKUP($B193,'MAIN DATA, Orders'!$B:$P,15,0)</f>
        <v>294383.27612242708</v>
      </c>
      <c r="J193" s="8">
        <f>VLOOKUP($B193,'MAIN DATA, Orders'!$B:$P,13,0)</f>
        <v>650</v>
      </c>
    </row>
    <row r="194" spans="1:10" x14ac:dyDescent="0.35">
      <c r="A194" s="83"/>
      <c r="B194" s="83" t="s">
        <v>2940</v>
      </c>
      <c r="C194" s="83" t="str">
        <f>VLOOKUP($B194,'MAIN DATA, Orders'!$B:$P,3,0)</f>
        <v>United Kingdom</v>
      </c>
      <c r="D194" s="83" t="str">
        <f>VLOOKUP($B194,'MAIN DATA, Orders'!$B:$P,6,0)</f>
        <v>Juno satellite system</v>
      </c>
      <c r="E194" s="83" t="str">
        <f>VLOOKUP($B194,'MAIN DATA, Orders'!$B:$P,7,0)</f>
        <v>Communication and digitalisation</v>
      </c>
      <c r="F194" s="83" t="str">
        <f>VLOOKUP($B194,'MAIN DATA, Orders'!$B:$P,8,0)</f>
        <v>Modernisation</v>
      </c>
      <c r="G194" s="31">
        <f>VLOOKUP($B194,'MAIN DATA, Orders'!$B:$P,9,0)</f>
        <v>13</v>
      </c>
      <c r="H194" s="8">
        <f>VLOOKUP($B194,'MAIN DATA, Orders'!$B:$P,14,0)</f>
        <v>40000000</v>
      </c>
      <c r="I194" s="8">
        <f>VLOOKUP($B194,'MAIN DATA, Orders'!$B:$P,15,0)</f>
        <v>47246698.636932746</v>
      </c>
      <c r="J194" s="8">
        <f>VLOOKUP($B194,'MAIN DATA, Orders'!$B:$P,13,0)</f>
        <v>1</v>
      </c>
    </row>
    <row r="195" spans="1:10" x14ac:dyDescent="0.35">
      <c r="A195" s="83"/>
      <c r="B195" s="83" t="s">
        <v>2983</v>
      </c>
      <c r="C195" s="83" t="str">
        <f>VLOOKUP($B195,'MAIN DATA, Orders'!$B:$P,3,0)</f>
        <v>IFU</v>
      </c>
      <c r="D195" s="83" t="str">
        <f>VLOOKUP($B195,'MAIN DATA, Orders'!$B:$P,6,0)</f>
        <v>First-person view (FPV) drone</v>
      </c>
      <c r="E195" s="83" t="str">
        <f>VLOOKUP($B195,'MAIN DATA, Orders'!$B:$P,7,0)</f>
        <v>First-person view (FPV) drone</v>
      </c>
      <c r="F195" s="83" t="str">
        <f>VLOOKUP($B195,'MAIN DATA, Orders'!$B:$P,8,0)</f>
        <v>Drone</v>
      </c>
      <c r="G195" s="31">
        <f>VLOOKUP($B195,'MAIN DATA, Orders'!$B:$P,9,0)</f>
        <v>7</v>
      </c>
      <c r="H195" s="8">
        <f>VLOOKUP($B195,'MAIN DATA, Orders'!$B:$P,14,0)</f>
        <v>1500</v>
      </c>
      <c r="I195" s="8">
        <f>VLOOKUP($B195,'MAIN DATA, Orders'!$B:$P,15,0)</f>
        <v>1750.7207133603331</v>
      </c>
      <c r="J195" s="8">
        <f>VLOOKUP($B195,'MAIN DATA, Orders'!$B:$P,13,0)</f>
        <v>30000</v>
      </c>
    </row>
    <row r="196" spans="1:10" x14ac:dyDescent="0.35">
      <c r="A196" s="83"/>
      <c r="B196" s="83" t="s">
        <v>3004</v>
      </c>
      <c r="C196" s="83" t="str">
        <f>VLOOKUP($B196,'MAIN DATA, Orders'!$B:$P,3,0)</f>
        <v>United Kingdom</v>
      </c>
      <c r="D196" s="83" t="str">
        <f>VLOOKUP($B196,'MAIN DATA, Orders'!$B:$P,6,0)</f>
        <v>Oberon satellite system</v>
      </c>
      <c r="E196" s="83" t="str">
        <f>VLOOKUP($B196,'MAIN DATA, Orders'!$B:$P,7,0)</f>
        <v>Communication and digitalisation</v>
      </c>
      <c r="F196" s="83" t="str">
        <f>VLOOKUP($B196,'MAIN DATA, Orders'!$B:$P,8,0)</f>
        <v>Modernisation</v>
      </c>
      <c r="G196" s="31">
        <f>VLOOKUP($B196,'MAIN DATA, Orders'!$B:$P,9,0)</f>
        <v>13</v>
      </c>
      <c r="H196" s="8">
        <f>VLOOKUP($B196,'MAIN DATA, Orders'!$B:$P,14,0)</f>
        <v>127000000</v>
      </c>
      <c r="I196" s="8">
        <f>VLOOKUP($B196,'MAIN DATA, Orders'!$B:$P,15,0)</f>
        <v>148227687.0645082</v>
      </c>
      <c r="J196" s="8">
        <f>VLOOKUP($B196,'MAIN DATA, Orders'!$B:$P,13,0)</f>
        <v>1</v>
      </c>
    </row>
    <row r="197" spans="1:10" x14ac:dyDescent="0.35">
      <c r="A197" s="83"/>
      <c r="B197" s="83" t="s">
        <v>3027</v>
      </c>
      <c r="C197" s="83" t="str">
        <f>VLOOKUP($B197,'MAIN DATA, Orders'!$B:$P,3,0)</f>
        <v>United Kingdom</v>
      </c>
      <c r="D197" s="83" t="str">
        <f>VLOOKUP($B197,'MAIN DATA, Orders'!$B:$P,6,0)</f>
        <v>Lightweight multirole missile</v>
      </c>
      <c r="E197" s="83" t="str">
        <f>VLOOKUP($B197,'MAIN DATA, Orders'!$B:$P,7,0)</f>
        <v>Multi role missile</v>
      </c>
      <c r="F197" s="83" t="str">
        <f>VLOOKUP($B197,'MAIN DATA, Orders'!$B:$P,8,0)</f>
        <v>Missile (Land)</v>
      </c>
      <c r="G197" s="31">
        <f>VLOOKUP($B197,'MAIN DATA, Orders'!$B:$P,9,0)</f>
        <v>6</v>
      </c>
      <c r="H197" s="8">
        <f>VLOOKUP($B197,'MAIN DATA, Orders'!$B:$P,14,0)</f>
        <v>232000</v>
      </c>
      <c r="I197" s="8">
        <f>VLOOKUP($B197,'MAIN DATA, Orders'!$B:$P,15,0)</f>
        <v>270778.13699973153</v>
      </c>
      <c r="J197" s="8">
        <f>VLOOKUP($B197,'MAIN DATA, Orders'!$B:$P,13,0)</f>
        <v>5000</v>
      </c>
    </row>
    <row r="198" spans="1:10" x14ac:dyDescent="0.35">
      <c r="A198" s="83"/>
      <c r="B198" s="83" t="s">
        <v>3103</v>
      </c>
      <c r="C198" s="83" t="str">
        <f>VLOOKUP($B198,'MAIN DATA, Orders'!$B:$P,3,0)</f>
        <v>United Kingdom</v>
      </c>
      <c r="D198" s="83" t="str">
        <f>VLOOKUP($B198,'MAIN DATA, Orders'!$B:$P,6,0)</f>
        <v>Munitions and energetics factory</v>
      </c>
      <c r="E198" s="83" t="str">
        <f>VLOOKUP($B198,'MAIN DATA, Orders'!$B:$P,7,0)</f>
        <v>Industrial company investment</v>
      </c>
      <c r="F198" s="83" t="str">
        <f>VLOOKUP($B198,'MAIN DATA, Orders'!$B:$P,8,0)</f>
        <v>Other</v>
      </c>
      <c r="G198" s="31">
        <f>VLOOKUP($B198,'MAIN DATA, Orders'!$B:$P,9,0)</f>
        <v>16</v>
      </c>
      <c r="H198" s="8">
        <f>VLOOKUP($B198,'MAIN DATA, Orders'!$B:$P,14,0)</f>
        <v>250000000</v>
      </c>
      <c r="I198" s="8">
        <f>VLOOKUP($B198,'MAIN DATA, Orders'!$B:$P,15,0)</f>
        <v>291786785.56005555</v>
      </c>
      <c r="J198" s="8">
        <f>VLOOKUP($B198,'MAIN DATA, Orders'!$B:$P,13,0)</f>
        <v>6</v>
      </c>
    </row>
    <row r="199" spans="1:10" x14ac:dyDescent="0.35">
      <c r="A199" s="83"/>
      <c r="B199" s="83" t="s">
        <v>3109</v>
      </c>
      <c r="C199" s="83" t="str">
        <f>VLOOKUP($B199,'MAIN DATA, Orders'!$B:$P,3,0)</f>
        <v>United Kingdom</v>
      </c>
      <c r="D199" s="83" t="str">
        <f>VLOOKUP($B199,'MAIN DATA, Orders'!$B:$P,6,0)</f>
        <v>Drone (unspecified)</v>
      </c>
      <c r="E199" s="83" t="str">
        <f>VLOOKUP($B199,'MAIN DATA, Orders'!$B:$P,7,0)</f>
        <v>Drone (unspecified)</v>
      </c>
      <c r="F199" s="83" t="str">
        <f>VLOOKUP($B199,'MAIN DATA, Orders'!$B:$P,8,0)</f>
        <v>Drone</v>
      </c>
      <c r="G199" s="31">
        <f>VLOOKUP($B199,'MAIN DATA, Orders'!$B:$P,9,0)</f>
        <v>7</v>
      </c>
      <c r="H199" s="8">
        <f>VLOOKUP($B199,'MAIN DATA, Orders'!$B:$P,14,0)</f>
        <v>3500</v>
      </c>
      <c r="I199" s="8">
        <f>VLOOKUP($B199,'MAIN DATA, Orders'!$B:$P,15,0)</f>
        <v>4085.0149978407776</v>
      </c>
      <c r="J199" s="8">
        <f>VLOOKUP($B199,'MAIN DATA, Orders'!$B:$P,13,0)</f>
        <v>100000</v>
      </c>
    </row>
    <row r="200" spans="1:10" x14ac:dyDescent="0.35">
      <c r="A200" s="83"/>
      <c r="B200" s="83" t="s">
        <v>3115</v>
      </c>
      <c r="C200" s="83" t="str">
        <f>VLOOKUP($B200,'MAIN DATA, Orders'!$B:$P,3,0)</f>
        <v>United Kingdom</v>
      </c>
      <c r="D200" s="83" t="str">
        <f>VLOOKUP($B200,'MAIN DATA, Orders'!$B:$P,6,0)</f>
        <v>Orpheus satellite</v>
      </c>
      <c r="E200" s="83" t="str">
        <f>VLOOKUP($B200,'MAIN DATA, Orders'!$B:$P,7,0)</f>
        <v>Communication and digitalisation</v>
      </c>
      <c r="F200" s="83" t="str">
        <f>VLOOKUP($B200,'MAIN DATA, Orders'!$B:$P,8,0)</f>
        <v>Modernisation</v>
      </c>
      <c r="G200" s="31">
        <f>VLOOKUP($B200,'MAIN DATA, Orders'!$B:$P,9,0)</f>
        <v>13</v>
      </c>
      <c r="H200" s="8">
        <f>VLOOKUP($B200,'MAIN DATA, Orders'!$B:$P,14,0)</f>
        <v>2575000</v>
      </c>
      <c r="I200" s="8">
        <f>VLOOKUP($B200,'MAIN DATA, Orders'!$B:$P,15,0)</f>
        <v>3005403.8912685718</v>
      </c>
      <c r="J200" s="8">
        <f>VLOOKUP($B200,'MAIN DATA, Orders'!$B:$P,13,0)</f>
        <v>2</v>
      </c>
    </row>
    <row r="201" spans="1:10" x14ac:dyDescent="0.35">
      <c r="A201" s="83"/>
      <c r="B201" s="83" t="s">
        <v>3121</v>
      </c>
      <c r="C201" s="83" t="str">
        <f>VLOOKUP($B201,'MAIN DATA, Orders'!$B:$P,3,0)</f>
        <v>United Kingdom</v>
      </c>
      <c r="D201" s="83" t="str">
        <f>VLOOKUP($B201,'MAIN DATA, Orders'!$B:$P,6,0)</f>
        <v>F-35 fighter jet</v>
      </c>
      <c r="E201" s="83" t="str">
        <f>VLOOKUP($B201,'MAIN DATA, Orders'!$B:$P,7,0)</f>
        <v>Fighter aircraft</v>
      </c>
      <c r="F201" s="83" t="str">
        <f>VLOOKUP($B201,'MAIN DATA, Orders'!$B:$P,8,0)</f>
        <v>Aircraft</v>
      </c>
      <c r="G201" s="31">
        <f>VLOOKUP($B201,'MAIN DATA, Orders'!$B:$P,9,0)</f>
        <v>11</v>
      </c>
      <c r="H201" s="8">
        <f>VLOOKUP($B201,'MAIN DATA, Orders'!$B:$P,14,0)</f>
        <v>80000000</v>
      </c>
      <c r="I201" s="8">
        <f>VLOOKUP($B201,'MAIN DATA, Orders'!$B:$P,15,0)</f>
        <v>93371771.379217759</v>
      </c>
      <c r="J201" s="8">
        <f>VLOOKUP($B201,'MAIN DATA, Orders'!$B:$P,13,0)</f>
        <v>12</v>
      </c>
    </row>
    <row r="202" spans="1:10" x14ac:dyDescent="0.35">
      <c r="A202" s="83"/>
      <c r="B202" s="83" t="s">
        <v>3208</v>
      </c>
      <c r="C202" s="83" t="str">
        <f>VLOOKUP($B202,'MAIN DATA, Orders'!$B:$P,3,0)</f>
        <v>United Kingdom</v>
      </c>
      <c r="D202" s="83" t="str">
        <f>VLOOKUP($B202,'MAIN DATA, Orders'!$B:$P,6,0)</f>
        <v>Large amphibious bridging vehicle</v>
      </c>
      <c r="E202" s="83" t="str">
        <f>VLOOKUP($B202,'MAIN DATA, Orders'!$B:$P,7,0)</f>
        <v>Non-combat military vehicle </v>
      </c>
      <c r="F202" s="83" t="str">
        <f>VLOOKUP($B202,'MAIN DATA, Orders'!$B:$P,8,0)</f>
        <v>Other</v>
      </c>
      <c r="G202" s="31">
        <f>VLOOKUP($B202,'MAIN DATA, Orders'!$B:$P,9,0)</f>
        <v>16</v>
      </c>
      <c r="H202" s="8">
        <f>VLOOKUP($B202,'MAIN DATA, Orders'!$B:$P,14,0)</f>
        <v>5555555.555555556</v>
      </c>
      <c r="I202" s="8">
        <f>VLOOKUP($B202,'MAIN DATA, Orders'!$B:$P,15,0)</f>
        <v>6484150.790223456</v>
      </c>
      <c r="J202" s="8">
        <f>VLOOKUP($B202,'MAIN DATA, Orders'!$B:$P,13,0)</f>
        <v>36</v>
      </c>
    </row>
    <row r="203" spans="1:10" x14ac:dyDescent="0.35">
      <c r="A203" s="83"/>
      <c r="B203" s="83" t="s">
        <v>3235</v>
      </c>
      <c r="C203" s="83" t="str">
        <f>VLOOKUP($B203,'MAIN DATA, Orders'!$B:$P,3,0)</f>
        <v>United Kingdom</v>
      </c>
      <c r="D203" s="83" t="str">
        <f>VLOOKUP($B203,'MAIN DATA, Orders'!$B:$P,6,0)</f>
        <v>Gladiator sythentic training environment contract extension</v>
      </c>
      <c r="E203" s="83" t="str">
        <f>VLOOKUP($B203,'MAIN DATA, Orders'!$B:$P,7,0)</f>
        <v>Wargaming software</v>
      </c>
      <c r="F203" s="83" t="str">
        <f>VLOOKUP($B203,'MAIN DATA, Orders'!$B:$P,8,0)</f>
        <v>Other</v>
      </c>
      <c r="G203" s="31">
        <f>VLOOKUP($B203,'MAIN DATA, Orders'!$B:$P,9,0)</f>
        <v>16</v>
      </c>
      <c r="H203" s="8">
        <f>VLOOKUP($B203,'MAIN DATA, Orders'!$B:$P,14,0)</f>
        <v>8450000</v>
      </c>
      <c r="I203" s="8">
        <f>VLOOKUP($B203,'MAIN DATA, Orders'!$B:$P,15,0)</f>
        <v>9862393.351929877</v>
      </c>
      <c r="J203" s="8">
        <f>VLOOKUP($B203,'MAIN DATA, Orders'!$B:$P,13,0)</f>
        <v>2</v>
      </c>
    </row>
    <row r="204" spans="1:10" x14ac:dyDescent="0.35">
      <c r="A204" s="83"/>
      <c r="B204" s="83" t="s">
        <v>3239</v>
      </c>
      <c r="C204" s="83" t="str">
        <f>VLOOKUP($B204,'MAIN DATA, Orders'!$B:$P,3,0)</f>
        <v>United Kingdom</v>
      </c>
      <c r="D204" s="83" t="str">
        <f>VLOOKUP($B204,'MAIN DATA, Orders'!$B:$P,6,0)</f>
        <v>RCH 155</v>
      </c>
      <c r="E204" s="83" t="str">
        <f>VLOOKUP($B204,'MAIN DATA, Orders'!$B:$P,7,0)</f>
        <v>155mm howitzer</v>
      </c>
      <c r="F204" s="83" t="str">
        <f>VLOOKUP($B204,'MAIN DATA, Orders'!$B:$P,8,0)</f>
        <v>Artillery</v>
      </c>
      <c r="G204" s="31">
        <f>VLOOKUP($B204,'MAIN DATA, Orders'!$B:$P,9,0)</f>
        <v>3</v>
      </c>
      <c r="H204" s="8">
        <f>VLOOKUP($B204,'MAIN DATA, Orders'!$B:$P,14,0)</f>
        <v>52000000</v>
      </c>
      <c r="I204" s="8">
        <f>VLOOKUP($B204,'MAIN DATA, Orders'!$B:$P,15,0)</f>
        <v>60691651.39649155</v>
      </c>
      <c r="J204" s="8">
        <f>VLOOKUP($B204,'MAIN DATA, Orders'!$B:$P,13,0)</f>
        <v>1</v>
      </c>
    </row>
    <row r="205" spans="1:10" x14ac:dyDescent="0.35">
      <c r="A205" s="83"/>
      <c r="B205" s="83" t="s">
        <v>3262</v>
      </c>
      <c r="C205" s="83" t="str">
        <f>VLOOKUP($B205,'MAIN DATA, Orders'!$B:$P,3,0)</f>
        <v>United Kingdom</v>
      </c>
      <c r="D205" s="83" t="str">
        <f>VLOOKUP($B205,'MAIN DATA, Orders'!$B:$P,6,0)</f>
        <v>Radar technology for Eurofighter</v>
      </c>
      <c r="E205" s="83" t="str">
        <f>VLOOKUP($B205,'MAIN DATA, Orders'!$B:$P,7,0)</f>
        <v>Radar technology for fighter jet</v>
      </c>
      <c r="F205" s="83" t="str">
        <f>VLOOKUP($B205,'MAIN DATA, Orders'!$B:$P,8,0)</f>
        <v>Aircraft</v>
      </c>
      <c r="G205" s="31">
        <f>VLOOKUP($B205,'MAIN DATA, Orders'!$B:$P,9,0)</f>
        <v>11</v>
      </c>
      <c r="H205" s="8">
        <f>VLOOKUP($B205,'MAIN DATA, Orders'!$B:$P,14,0)</f>
        <v>11337500</v>
      </c>
      <c r="I205" s="8">
        <f>VLOOKUP($B205,'MAIN DATA, Orders'!$B:$P,15,0)</f>
        <v>13057423.872483529</v>
      </c>
      <c r="J205" s="8">
        <f>VLOOKUP($B205,'MAIN DATA, Orders'!$B:$P,13,0)</f>
        <v>40</v>
      </c>
    </row>
    <row r="206" spans="1:10" x14ac:dyDescent="0.35">
      <c r="A206" s="147"/>
      <c r="B206" s="147" t="s">
        <v>3271</v>
      </c>
      <c r="C206" s="83" t="str">
        <f>VLOOKUP($B206,'MAIN DATA, Orders'!$B:$P,3,0)</f>
        <v>Poland</v>
      </c>
      <c r="D206" s="83" t="str">
        <f>VLOOKUP($B206,'MAIN DATA, Orders'!$B:$P,6,0)</f>
        <v>S-70i Black Hawk Helicopter</v>
      </c>
      <c r="E206" s="83" t="str">
        <f>VLOOKUP($B206,'MAIN DATA, Orders'!$B:$P,7,0)</f>
        <v>Light attack helicopter</v>
      </c>
      <c r="F206" s="83" t="str">
        <f>VLOOKUP($B206,'MAIN DATA, Orders'!$B:$P,8,0)</f>
        <v>Helicopter</v>
      </c>
      <c r="G206" s="31">
        <f>VLOOKUP($B206,'MAIN DATA, Orders'!$B:$P,9,0)</f>
        <v>10</v>
      </c>
      <c r="H206" s="8">
        <f>VLOOKUP($B206,'MAIN DATA, Orders'!$B:$P,14,0)</f>
        <v>170850000</v>
      </c>
      <c r="I206" s="8">
        <f>VLOOKUP($B206,'MAIN DATA, Orders'!$B:$P,15,0)</f>
        <v>39754746.835443035</v>
      </c>
      <c r="J206" s="8">
        <f>VLOOKUP($B206,'MAIN DATA, Orders'!$B:$P,13,0)</f>
        <v>4</v>
      </c>
    </row>
    <row r="207" spans="1:10" x14ac:dyDescent="0.35">
      <c r="A207" s="147"/>
      <c r="B207" s="147" t="s">
        <v>3281</v>
      </c>
      <c r="C207" s="83" t="str">
        <f>VLOOKUP($B207,'MAIN DATA, Orders'!$B:$P,3,0)</f>
        <v>Poland</v>
      </c>
      <c r="D207" s="83" t="str">
        <f>VLOOKUP($B207,'MAIN DATA, Orders'!$B:$P,6,0)</f>
        <v>M142 HIMARS launcher</v>
      </c>
      <c r="E207" s="83" t="str">
        <f>VLOOKUP($B207,'MAIN DATA, Orders'!$B:$P,7,0)</f>
        <v>Multiple rocket launcher system</v>
      </c>
      <c r="F207" s="83" t="str">
        <f>VLOOKUP($B207,'MAIN DATA, Orders'!$B:$P,8,0)</f>
        <v>Artillery</v>
      </c>
      <c r="G207" s="31">
        <f>VLOOKUP($B207,'MAIN DATA, Orders'!$B:$P,9,0)</f>
        <v>3</v>
      </c>
      <c r="H207" s="8">
        <f>VLOOKUP($B207,'MAIN DATA, Orders'!$B:$P,14,0)</f>
        <v>23000000</v>
      </c>
      <c r="I207" s="8">
        <f>VLOOKUP($B207,'MAIN DATA, Orders'!$B:$P,15,0)</f>
        <v>20544886.109870479</v>
      </c>
      <c r="J207" s="8">
        <f>VLOOKUP($B207,'MAIN DATA, Orders'!$B:$P,13,0)</f>
        <v>18</v>
      </c>
    </row>
    <row r="208" spans="1:10" x14ac:dyDescent="0.35">
      <c r="A208" s="147"/>
      <c r="B208" s="147" t="s">
        <v>3314</v>
      </c>
      <c r="C208" s="83" t="str">
        <f>VLOOKUP($B208,'MAIN DATA, Orders'!$B:$P,3,0)</f>
        <v>Poland</v>
      </c>
      <c r="D208" s="83" t="str">
        <f>VLOOKUP($B208,'MAIN DATA, Orders'!$B:$P,6,0)</f>
        <v>AW101 helicopter</v>
      </c>
      <c r="E208" s="83" t="str">
        <f>VLOOKUP($B208,'MAIN DATA, Orders'!$B:$P,7,0)</f>
        <v>Naval heavy transport helicopter</v>
      </c>
      <c r="F208" s="83" t="str">
        <f>VLOOKUP($B208,'MAIN DATA, Orders'!$B:$P,8,0)</f>
        <v>Naval</v>
      </c>
      <c r="G208" s="31">
        <f>VLOOKUP($B208,'MAIN DATA, Orders'!$B:$P,9,0)</f>
        <v>12</v>
      </c>
      <c r="H208" s="8">
        <f>VLOOKUP($B208,'MAIN DATA, Orders'!$B:$P,14,0)</f>
        <v>412500000</v>
      </c>
      <c r="I208" s="8">
        <f>VLOOKUP($B208,'MAIN DATA, Orders'!$B:$P,15,0)</f>
        <v>95983804.914370805</v>
      </c>
      <c r="J208" s="8">
        <f>VLOOKUP($B208,'MAIN DATA, Orders'!$B:$P,13,0)</f>
        <v>4</v>
      </c>
    </row>
    <row r="209" spans="1:10" x14ac:dyDescent="0.35">
      <c r="A209" s="147"/>
      <c r="B209" s="147" t="s">
        <v>3323</v>
      </c>
      <c r="C209" s="83" t="str">
        <f>VLOOKUP($B209,'MAIN DATA, Orders'!$B:$P,3,0)</f>
        <v>Poland</v>
      </c>
      <c r="D209" s="83" t="str">
        <f>VLOOKUP($B209,'MAIN DATA, Orders'!$B:$P,6,0)</f>
        <v>JELCZ vehicle (assorted types)</v>
      </c>
      <c r="E209" s="83" t="str">
        <f>VLOOKUP($B209,'MAIN DATA, Orders'!$B:$P,7,0)</f>
        <v>Air defence system support vehicle</v>
      </c>
      <c r="F209" s="83" t="str">
        <f>VLOOKUP($B209,'MAIN DATA, Orders'!$B:$P,8,0)</f>
        <v>Air defence system</v>
      </c>
      <c r="G209" s="31">
        <f>VLOOKUP($B209,'MAIN DATA, Orders'!$B:$P,9,0)</f>
        <v>5</v>
      </c>
      <c r="H209" s="8">
        <f>VLOOKUP($B209,'MAIN DATA, Orders'!$B:$P,14,0)</f>
        <v>2341211.4794520549</v>
      </c>
      <c r="I209" s="8">
        <f>VLOOKUP($B209,'MAIN DATA, Orders'!$B:$P,15,0)</f>
        <v>544771.8446230581</v>
      </c>
      <c r="J209" s="8">
        <f>VLOOKUP($B209,'MAIN DATA, Orders'!$B:$P,13,0)</f>
        <v>73</v>
      </c>
    </row>
    <row r="210" spans="1:10" x14ac:dyDescent="0.35">
      <c r="A210" s="147"/>
      <c r="B210" s="147" t="s">
        <v>3330</v>
      </c>
      <c r="C210" s="83" t="str">
        <f>VLOOKUP($B210,'MAIN DATA, Orders'!$B:$P,3,0)</f>
        <v>Poland</v>
      </c>
      <c r="D210" s="83" t="str">
        <f>VLOOKUP($B210,'MAIN DATA, Orders'!$B:$P,6,0)</f>
        <v>S-34C Spycharko loader</v>
      </c>
      <c r="E210" s="83" t="str">
        <f>VLOOKUP($B210,'MAIN DATA, Orders'!$B:$P,7,0)</f>
        <v>Military equipment</v>
      </c>
      <c r="F210" s="83" t="str">
        <f>VLOOKUP($B210,'MAIN DATA, Orders'!$B:$P,8,0)</f>
        <v>Other</v>
      </c>
      <c r="G210" s="31">
        <f>VLOOKUP($B210,'MAIN DATA, Orders'!$B:$P,9,0)</f>
        <v>16</v>
      </c>
      <c r="H210" s="8">
        <f>VLOOKUP($B210,'MAIN DATA, Orders'!$B:$P,14,0)</f>
        <v>1578235.294117647</v>
      </c>
      <c r="I210" s="8">
        <f>VLOOKUP($B210,'MAIN DATA, Orders'!$B:$P,15,0)</f>
        <v>367236.43292015244</v>
      </c>
      <c r="J210" s="8">
        <f>VLOOKUP($B210,'MAIN DATA, Orders'!$B:$P,13,0)</f>
        <v>17</v>
      </c>
    </row>
    <row r="211" spans="1:10" x14ac:dyDescent="0.35">
      <c r="A211" s="83"/>
      <c r="B211" s="83" t="s">
        <v>3353</v>
      </c>
      <c r="C211" s="83" t="str">
        <f>VLOOKUP($B211,'MAIN DATA, Orders'!$B:$P,3,0)</f>
        <v>Poland</v>
      </c>
      <c r="D211" s="83" t="str">
        <f>VLOOKUP($B211,'MAIN DATA, Orders'!$B:$P,6,0)</f>
        <v>Modernisation of W-3 helicopters including SAR equipment</v>
      </c>
      <c r="E211" s="83" t="str">
        <f>VLOOKUP($B211,'MAIN DATA, Orders'!$B:$P,7,0)</f>
        <v>Sanitary assistance helicopter</v>
      </c>
      <c r="F211" s="83" t="str">
        <f>VLOOKUP($B211,'MAIN DATA, Orders'!$B:$P,8,0)</f>
        <v>Helicopter</v>
      </c>
      <c r="G211" s="31">
        <f>VLOOKUP($B211,'MAIN DATA, Orders'!$B:$P,9,0)</f>
        <v>10</v>
      </c>
      <c r="H211" s="8">
        <f>VLOOKUP($B211,'MAIN DATA, Orders'!$B:$P,14,0)</f>
        <v>24875000</v>
      </c>
      <c r="I211" s="8">
        <f>VLOOKUP($B211,'MAIN DATA, Orders'!$B:$P,15,0)</f>
        <v>5788114.2963514514</v>
      </c>
      <c r="J211" s="8">
        <f>VLOOKUP($B211,'MAIN DATA, Orders'!$B:$P,13,0)</f>
        <v>4</v>
      </c>
    </row>
    <row r="212" spans="1:10" x14ac:dyDescent="0.35">
      <c r="A212" s="147"/>
      <c r="B212" s="147" t="s">
        <v>3359</v>
      </c>
      <c r="C212" s="83" t="str">
        <f>VLOOKUP($B212,'MAIN DATA, Orders'!$B:$P,3,0)</f>
        <v>Poland</v>
      </c>
      <c r="D212" s="83" t="str">
        <f>VLOOKUP($B212,'MAIN DATA, Orders'!$B:$P,6,0)</f>
        <v>122mm Feniks extended range rocket</v>
      </c>
      <c r="E212" s="83" t="str">
        <f>VLOOKUP($B212,'MAIN DATA, Orders'!$B:$P,7,0)</f>
        <v>122mm multiple rocket launcher system munition</v>
      </c>
      <c r="F212" s="83" t="str">
        <f>VLOOKUP($B212,'MAIN DATA, Orders'!$B:$P,8,0)</f>
        <v>Ammunition</v>
      </c>
      <c r="G212" s="31">
        <f>VLOOKUP($B212,'MAIN DATA, Orders'!$B:$P,9,0)</f>
        <v>4</v>
      </c>
      <c r="H212" s="8">
        <f>VLOOKUP($B212,'MAIN DATA, Orders'!$B:$P,14,0)</f>
        <v>30487.804878048781</v>
      </c>
      <c r="I212" s="8">
        <f>VLOOKUP($B212,'MAIN DATA, Orders'!$B:$P,15,0)</f>
        <v>7094.1467046837251</v>
      </c>
      <c r="J212" s="8">
        <f>VLOOKUP($B212,'MAIN DATA, Orders'!$B:$P,13,0)</f>
        <v>820</v>
      </c>
    </row>
    <row r="213" spans="1:10" x14ac:dyDescent="0.35">
      <c r="A213" s="147"/>
      <c r="B213" s="147" t="s">
        <v>3396</v>
      </c>
      <c r="C213" s="83" t="str">
        <f>VLOOKUP($B213,'MAIN DATA, Orders'!$B:$P,3,0)</f>
        <v>Poland</v>
      </c>
      <c r="D213" s="83" t="str">
        <f>VLOOKUP($B213,'MAIN DATA, Orders'!$B:$P,6,0)</f>
        <v>F-35 fighter jet</v>
      </c>
      <c r="E213" s="83" t="str">
        <f>VLOOKUP($B213,'MAIN DATA, Orders'!$B:$P,7,0)</f>
        <v>Fighter aircraft</v>
      </c>
      <c r="F213" s="83" t="str">
        <f>VLOOKUP($B213,'MAIN DATA, Orders'!$B:$P,8,0)</f>
        <v>Aircraft</v>
      </c>
      <c r="G213" s="31">
        <f>VLOOKUP($B213,'MAIN DATA, Orders'!$B:$P,9,0)</f>
        <v>11</v>
      </c>
      <c r="H213" s="8">
        <f>VLOOKUP($B213,'MAIN DATA, Orders'!$B:$P,14,0)</f>
        <v>143750000</v>
      </c>
      <c r="I213" s="8">
        <f>VLOOKUP($B213,'MAIN DATA, Orders'!$B:$P,15,0)</f>
        <v>125853615.82910173</v>
      </c>
      <c r="J213" s="8">
        <f>VLOOKUP($B213,'MAIN DATA, Orders'!$B:$P,13,0)</f>
        <v>32</v>
      </c>
    </row>
    <row r="214" spans="1:10" x14ac:dyDescent="0.35">
      <c r="A214" s="147"/>
      <c r="B214" s="147" t="s">
        <v>3407</v>
      </c>
      <c r="C214" s="83" t="str">
        <f>VLOOKUP($B214,'MAIN DATA, Orders'!$B:$P,3,0)</f>
        <v>Poland</v>
      </c>
      <c r="D214" s="83" t="str">
        <f>VLOOKUP($B214,'MAIN DATA, Orders'!$B:$P,6,0)</f>
        <v>GROT rifle</v>
      </c>
      <c r="E214" s="83" t="str">
        <f>VLOOKUP($B214,'MAIN DATA, Orders'!$B:$P,7,0)</f>
        <v>Small Arms and Light Weapons (SALW)</v>
      </c>
      <c r="F214" s="83" t="str">
        <f>VLOOKUP($B214,'MAIN DATA, Orders'!$B:$P,8,0)</f>
        <v>Infantry</v>
      </c>
      <c r="G214" s="31">
        <f>VLOOKUP($B214,'MAIN DATA, Orders'!$B:$P,9,0)</f>
        <v>8</v>
      </c>
      <c r="H214" s="8">
        <f>VLOOKUP($B214,'MAIN DATA, Orders'!$B:$P,14,0)</f>
        <v>9833.3333333333339</v>
      </c>
      <c r="I214" s="8">
        <f>VLOOKUP($B214,'MAIN DATA, Orders'!$B:$P,15,0)</f>
        <v>2213.2192962712884</v>
      </c>
      <c r="J214" s="8">
        <f>VLOOKUP($B214,'MAIN DATA, Orders'!$B:$P,13,0)</f>
        <v>18000</v>
      </c>
    </row>
    <row r="215" spans="1:10" x14ac:dyDescent="0.35">
      <c r="A215" s="147"/>
      <c r="B215" s="147" t="s">
        <v>3417</v>
      </c>
      <c r="C215" s="83" t="str">
        <f>VLOOKUP($B215,'MAIN DATA, Orders'!$B:$P,3,0)</f>
        <v>Poland</v>
      </c>
      <c r="D215" s="83" t="str">
        <f>VLOOKUP($B215,'MAIN DATA, Orders'!$B:$P,6,0)</f>
        <v>Ambulance vehicle</v>
      </c>
      <c r="E215" s="83" t="str">
        <f>VLOOKUP($B215,'MAIN DATA, Orders'!$B:$P,7,0)</f>
        <v>Medical support</v>
      </c>
      <c r="F215" s="83" t="str">
        <f>VLOOKUP($B215,'MAIN DATA, Orders'!$B:$P,8,0)</f>
        <v>Other</v>
      </c>
      <c r="G215" s="31">
        <f>VLOOKUP($B215,'MAIN DATA, Orders'!$B:$P,9,0)</f>
        <v>16</v>
      </c>
      <c r="H215" s="8">
        <f>VLOOKUP($B215,'MAIN DATA, Orders'!$B:$P,14,0)</f>
        <v>948571.42857142852</v>
      </c>
      <c r="I215" s="8">
        <f>VLOOKUP($B215,'MAIN DATA, Orders'!$B:$P,15,0)</f>
        <v>213497.95826500756</v>
      </c>
      <c r="J215" s="8">
        <f>VLOOKUP($B215,'MAIN DATA, Orders'!$B:$P,13,0)</f>
        <v>175</v>
      </c>
    </row>
    <row r="216" spans="1:10" x14ac:dyDescent="0.35">
      <c r="A216" s="147"/>
      <c r="B216" s="147" t="s">
        <v>3427</v>
      </c>
      <c r="C216" s="83" t="str">
        <f>VLOOKUP($B216,'MAIN DATA, Orders'!$B:$P,3,0)</f>
        <v>Poland</v>
      </c>
      <c r="D216" s="83" t="str">
        <f>VLOOKUP($B216,'MAIN DATA, Orders'!$B:$P,6,0)</f>
        <v>RAK-HE-1 mortar ammunition</v>
      </c>
      <c r="E216" s="83" t="str">
        <f>VLOOKUP($B216,'MAIN DATA, Orders'!$B:$P,7,0)</f>
        <v>120mm mortar ammunition</v>
      </c>
      <c r="F216" s="83" t="str">
        <f>VLOOKUP($B216,'MAIN DATA, Orders'!$B:$P,8,0)</f>
        <v>Ammunition</v>
      </c>
      <c r="G216" s="31">
        <f>VLOOKUP($B216,'MAIN DATA, Orders'!$B:$P,9,0)</f>
        <v>4</v>
      </c>
      <c r="H216" s="8">
        <f>VLOOKUP($B216,'MAIN DATA, Orders'!$B:$P,14,0)</f>
        <v>11130.434782608696</v>
      </c>
      <c r="I216" s="8">
        <f>VLOOKUP($B216,'MAIN DATA, Orders'!$B:$P,15,0)</f>
        <v>2438.1045261124805</v>
      </c>
      <c r="J216" s="8">
        <f>VLOOKUP($B216,'MAIN DATA, Orders'!$B:$P,13,0)</f>
        <v>23000</v>
      </c>
    </row>
    <row r="217" spans="1:10" x14ac:dyDescent="0.35">
      <c r="A217" s="147"/>
      <c r="B217" s="147" t="s">
        <v>3433</v>
      </c>
      <c r="C217" s="83" t="str">
        <f>VLOOKUP($B217,'MAIN DATA, Orders'!$B:$P,3,0)</f>
        <v>Poland</v>
      </c>
      <c r="D217" s="83" t="str">
        <f>VLOOKUP($B217,'MAIN DATA, Orders'!$B:$P,6,0)</f>
        <v>M-21 FHD missile</v>
      </c>
      <c r="E217" s="83" t="str">
        <f>VLOOKUP($B217,'MAIN DATA, Orders'!$B:$P,7,0)</f>
        <v>Surface-to-air (SAM) missile (short-range)</v>
      </c>
      <c r="F217" s="83" t="str">
        <f>VLOOKUP($B217,'MAIN DATA, Orders'!$B:$P,8,0)</f>
        <v>Missile (Land)</v>
      </c>
      <c r="G217" s="31">
        <f>VLOOKUP($B217,'MAIN DATA, Orders'!$B:$P,9,0)</f>
        <v>6</v>
      </c>
      <c r="H217" s="8">
        <f>VLOOKUP($B217,'MAIN DATA, Orders'!$B:$P,14,0)</f>
        <v>41739.130434782608</v>
      </c>
      <c r="I217" s="8">
        <f>VLOOKUP($B217,'MAIN DATA, Orders'!$B:$P,15,0)</f>
        <v>9142.8919729218014</v>
      </c>
      <c r="J217" s="8">
        <f>VLOOKUP($B217,'MAIN DATA, Orders'!$B:$P,13,0)</f>
        <v>2300</v>
      </c>
    </row>
    <row r="218" spans="1:10" x14ac:dyDescent="0.35">
      <c r="A218" s="147"/>
      <c r="B218" s="147" t="s">
        <v>3436</v>
      </c>
      <c r="C218" s="83" t="str">
        <f>VLOOKUP($B218,'MAIN DATA, Orders'!$B:$P,3,0)</f>
        <v>Poland</v>
      </c>
      <c r="D218" s="83" t="str">
        <f>VLOOKUP($B218,'MAIN DATA, Orders'!$B:$P,6,0)</f>
        <v>Ammunition and weapon repair vehicle</v>
      </c>
      <c r="E218" s="83" t="str">
        <f>VLOOKUP($B218,'MAIN DATA, Orders'!$B:$P,7,0)</f>
        <v>Non-combat military vehicle</v>
      </c>
      <c r="F218" s="83" t="str">
        <f>VLOOKUP($B218,'MAIN DATA, Orders'!$B:$P,8,0)</f>
        <v>Other</v>
      </c>
      <c r="G218" s="31">
        <f>VLOOKUP($B218,'MAIN DATA, Orders'!$B:$P,9,0)</f>
        <v>16</v>
      </c>
      <c r="H218" s="8">
        <f>VLOOKUP($B218,'MAIN DATA, Orders'!$B:$P,14,0)</f>
        <v>6642857.1428571427</v>
      </c>
      <c r="I218" s="8">
        <f>VLOOKUP($B218,'MAIN DATA, Orders'!$B:$P,15,0)</f>
        <v>1455107.5840833136</v>
      </c>
      <c r="J218" s="8">
        <f>VLOOKUP($B218,'MAIN DATA, Orders'!$B:$P,13,0)</f>
        <v>28</v>
      </c>
    </row>
    <row r="219" spans="1:10" x14ac:dyDescent="0.35">
      <c r="A219" s="147"/>
      <c r="B219" s="147" t="s">
        <v>3440</v>
      </c>
      <c r="C219" s="83" t="str">
        <f>VLOOKUP($B219,'MAIN DATA, Orders'!$B:$P,3,0)</f>
        <v>Poland</v>
      </c>
      <c r="D219" s="83" t="str">
        <f>VLOOKUP($B219,'MAIN DATA, Orders'!$B:$P,6,0)</f>
        <v>Bayraktar TB2 drone</v>
      </c>
      <c r="E219" s="83" t="str">
        <f>VLOOKUP($B219,'MAIN DATA, Orders'!$B:$P,7,0)</f>
        <v>Combat drone</v>
      </c>
      <c r="F219" s="83" t="str">
        <f>VLOOKUP($B219,'MAIN DATA, Orders'!$B:$P,8,0)</f>
        <v>Drone</v>
      </c>
      <c r="G219" s="31">
        <f>VLOOKUP($B219,'MAIN DATA, Orders'!$B:$P,9,0)</f>
        <v>7</v>
      </c>
      <c r="H219" s="8">
        <f>VLOOKUP($B219,'MAIN DATA, Orders'!$B:$P,14,0)</f>
        <v>11166666.666666666</v>
      </c>
      <c r="I219" s="8">
        <f>VLOOKUP($B219,'MAIN DATA, Orders'!$B:$P,15,0)</f>
        <v>9441673.0080888364</v>
      </c>
      <c r="J219" s="8">
        <f>VLOOKUP($B219,'MAIN DATA, Orders'!$B:$P,13,0)</f>
        <v>24</v>
      </c>
    </row>
    <row r="220" spans="1:10" x14ac:dyDescent="0.35">
      <c r="A220" s="147"/>
      <c r="B220" s="147" t="s">
        <v>3445</v>
      </c>
      <c r="C220" s="83" t="str">
        <f>VLOOKUP($B220,'MAIN DATA, Orders'!$B:$P,3,0)</f>
        <v>Poland</v>
      </c>
      <c r="D220" s="83" t="str">
        <f>VLOOKUP($B220,'MAIN DATA, Orders'!$B:$P,6,0)</f>
        <v>M1A2 ABRAMS SEPv3 tank</v>
      </c>
      <c r="E220" s="83" t="str">
        <f>VLOOKUP($B220,'MAIN DATA, Orders'!$B:$P,7,0)</f>
        <v>Main Battle Tank (MBT)</v>
      </c>
      <c r="F220" s="83" t="str">
        <f>VLOOKUP($B220,'MAIN DATA, Orders'!$B:$P,8,0)</f>
        <v>Tank</v>
      </c>
      <c r="G220" s="31">
        <f>VLOOKUP($B220,'MAIN DATA, Orders'!$B:$P,9,0)</f>
        <v>1</v>
      </c>
      <c r="H220" s="8">
        <f>VLOOKUP($B220,'MAIN DATA, Orders'!$B:$P,14,0)</f>
        <v>19000000</v>
      </c>
      <c r="I220" s="8">
        <f>VLOOKUP($B220,'MAIN DATA, Orders'!$B:$P,15,0)</f>
        <v>16064936.163016824</v>
      </c>
      <c r="J220" s="8">
        <f>VLOOKUP($B220,'MAIN DATA, Orders'!$B:$P,13,0)</f>
        <v>250</v>
      </c>
    </row>
    <row r="221" spans="1:10" x14ac:dyDescent="0.35">
      <c r="A221" s="147"/>
      <c r="B221" s="147" t="s">
        <v>3452</v>
      </c>
      <c r="C221" s="83" t="str">
        <f>VLOOKUP($B221,'MAIN DATA, Orders'!$B:$P,3,0)</f>
        <v>Poland</v>
      </c>
      <c r="D221" s="83" t="str">
        <f>VLOOKUP($B221,'MAIN DATA, Orders'!$B:$P,6,0)</f>
        <v>Miecznik frigate</v>
      </c>
      <c r="E221" s="83" t="str">
        <f>VLOOKUP($B221,'MAIN DATA, Orders'!$B:$P,7,0)</f>
        <v>Frigate</v>
      </c>
      <c r="F221" s="83" t="str">
        <f>VLOOKUP($B221,'MAIN DATA, Orders'!$B:$P,8,0)</f>
        <v>Naval</v>
      </c>
      <c r="G221" s="31">
        <f>VLOOKUP($B221,'MAIN DATA, Orders'!$B:$P,9,0)</f>
        <v>12</v>
      </c>
      <c r="H221" s="8">
        <f>VLOOKUP($B221,'MAIN DATA, Orders'!$B:$P,14,0)</f>
        <v>2666666666.6666665</v>
      </c>
      <c r="I221" s="8">
        <f>VLOOKUP($B221,'MAIN DATA, Orders'!$B:$P,15,0)</f>
        <v>584129209.38111508</v>
      </c>
      <c r="J221" s="8">
        <f>VLOOKUP($B221,'MAIN DATA, Orders'!$B:$P,13,0)</f>
        <v>3</v>
      </c>
    </row>
    <row r="222" spans="1:10" x14ac:dyDescent="0.35">
      <c r="A222" s="147"/>
      <c r="B222" s="147" t="s">
        <v>3473</v>
      </c>
      <c r="C222" s="83" t="str">
        <f>VLOOKUP($B222,'MAIN DATA, Orders'!$B:$P,3,0)</f>
        <v>Poland</v>
      </c>
      <c r="D222" s="83" t="str">
        <f>VLOOKUP($B222,'MAIN DATA, Orders'!$B:$P,6,0)</f>
        <v>WIZJER unmanned aerial system</v>
      </c>
      <c r="E222" s="83" t="str">
        <f>VLOOKUP($B222,'MAIN DATA, Orders'!$B:$P,7,0)</f>
        <v>Reconnaissance drone</v>
      </c>
      <c r="F222" s="83" t="str">
        <f>VLOOKUP($B222,'MAIN DATA, Orders'!$B:$P,8,0)</f>
        <v>Drone</v>
      </c>
      <c r="G222" s="31">
        <f>VLOOKUP($B222,'MAIN DATA, Orders'!$B:$P,9,0)</f>
        <v>7</v>
      </c>
      <c r="H222" s="8">
        <f>VLOOKUP($B222,'MAIN DATA, Orders'!$B:$P,14,0)</f>
        <v>1740000</v>
      </c>
      <c r="I222" s="8">
        <f>VLOOKUP($B222,'MAIN DATA, Orders'!$B:$P,15,0)</f>
        <v>381144.30912117765</v>
      </c>
      <c r="J222" s="8">
        <f>VLOOKUP($B222,'MAIN DATA, Orders'!$B:$P,13,0)</f>
        <v>100</v>
      </c>
    </row>
    <row r="223" spans="1:10" x14ac:dyDescent="0.35">
      <c r="A223" s="147"/>
      <c r="B223" s="147" t="s">
        <v>3494</v>
      </c>
      <c r="C223" s="83" t="str">
        <f>VLOOKUP($B223,'MAIN DATA, Orders'!$B:$P,3,0)</f>
        <v>Poland</v>
      </c>
      <c r="D223" s="83" t="str">
        <f>VLOOKUP($B223,'MAIN DATA, Orders'!$B:$P,6,0)</f>
        <v>KORMORAN II class mine destroyer</v>
      </c>
      <c r="E223" s="83" t="str">
        <f>VLOOKUP($B223,'MAIN DATA, Orders'!$B:$P,7,0)</f>
        <v>Destroyer</v>
      </c>
      <c r="F223" s="83" t="str">
        <f>VLOOKUP($B223,'MAIN DATA, Orders'!$B:$P,8,0)</f>
        <v>Naval</v>
      </c>
      <c r="G223" s="31">
        <f>VLOOKUP($B223,'MAIN DATA, Orders'!$B:$P,9,0)</f>
        <v>12</v>
      </c>
      <c r="H223" s="8">
        <f>VLOOKUP($B223,'MAIN DATA, Orders'!$B:$P,14,0)</f>
        <v>833333333.33333337</v>
      </c>
      <c r="I223" s="8">
        <f>VLOOKUP($B223,'MAIN DATA, Orders'!$B:$P,15,0)</f>
        <v>177830889.93690559</v>
      </c>
      <c r="J223" s="8">
        <f>VLOOKUP($B223,'MAIN DATA, Orders'!$B:$P,13,0)</f>
        <v>3</v>
      </c>
    </row>
    <row r="224" spans="1:10" x14ac:dyDescent="0.35">
      <c r="A224" s="147"/>
      <c r="B224" s="147" t="s">
        <v>3502</v>
      </c>
      <c r="C224" s="83" t="str">
        <f>VLOOKUP($B224,'MAIN DATA, Orders'!$B:$P,3,0)</f>
        <v>Poland</v>
      </c>
      <c r="D224" s="83" t="str">
        <f>VLOOKUP($B224,'MAIN DATA, Orders'!$B:$P,6,0)</f>
        <v>AW149 helicopter</v>
      </c>
      <c r="E224" s="83" t="str">
        <f>VLOOKUP($B224,'MAIN DATA, Orders'!$B:$P,7,0)</f>
        <v>Heavy transport helicopter</v>
      </c>
      <c r="F224" s="83" t="str">
        <f>VLOOKUP($B224,'MAIN DATA, Orders'!$B:$P,8,0)</f>
        <v>Helicopter</v>
      </c>
      <c r="G224" s="31">
        <f>VLOOKUP($B224,'MAIN DATA, Orders'!$B:$P,9,0)</f>
        <v>10</v>
      </c>
      <c r="H224" s="8">
        <f>VLOOKUP($B224,'MAIN DATA, Orders'!$B:$P,14,0)</f>
        <v>257812500</v>
      </c>
      <c r="I224" s="8">
        <f>VLOOKUP($B224,'MAIN DATA, Orders'!$B:$P,15,0)</f>
        <v>55016431.574230172</v>
      </c>
      <c r="J224" s="8">
        <f>VLOOKUP($B224,'MAIN DATA, Orders'!$B:$P,13,0)</f>
        <v>32</v>
      </c>
    </row>
    <row r="225" spans="1:10" x14ac:dyDescent="0.35">
      <c r="A225" s="147"/>
      <c r="B225" s="147" t="s">
        <v>3507</v>
      </c>
      <c r="C225" s="83" t="str">
        <f>VLOOKUP($B225,'MAIN DATA, Orders'!$B:$P,3,0)</f>
        <v>Poland</v>
      </c>
      <c r="D225" s="83" t="str">
        <f>VLOOKUP($B225,'MAIN DATA, Orders'!$B:$P,6,0)</f>
        <v>Integrated turret system for Rosomak personnel carrier</v>
      </c>
      <c r="E225" s="83" t="str">
        <f>VLOOKUP($B225,'MAIN DATA, Orders'!$B:$P,7,0)</f>
        <v>Armoured personnel carrier part</v>
      </c>
      <c r="F225" s="83" t="str">
        <f>VLOOKUP($B225,'MAIN DATA, Orders'!$B:$P,8,0)</f>
        <v>Armoured vehicle</v>
      </c>
      <c r="G225" s="31">
        <f>VLOOKUP($B225,'MAIN DATA, Orders'!$B:$P,9,0)</f>
        <v>2</v>
      </c>
      <c r="H225" s="8">
        <f>VLOOKUP($B225,'MAIN DATA, Orders'!$B:$P,14,0)</f>
        <v>24285714.285714287</v>
      </c>
      <c r="I225" s="8">
        <f>VLOOKUP($B225,'MAIN DATA, Orders'!$B:$P,15,0)</f>
        <v>5182500.2210183917</v>
      </c>
      <c r="J225" s="8">
        <f>VLOOKUP($B225,'MAIN DATA, Orders'!$B:$P,13,0)</f>
        <v>70</v>
      </c>
    </row>
    <row r="226" spans="1:10" x14ac:dyDescent="0.35">
      <c r="A226" s="147"/>
      <c r="B226" s="147" t="s">
        <v>3513</v>
      </c>
      <c r="C226" s="83" t="str">
        <f>VLOOKUP($B226,'MAIN DATA, Orders'!$B:$P,3,0)</f>
        <v>Poland</v>
      </c>
      <c r="D226" s="83" t="str">
        <f>VLOOKUP($B226,'MAIN DATA, Orders'!$B:$P,6,0)</f>
        <v>K9 howitzer</v>
      </c>
      <c r="E226" s="83" t="str">
        <f>VLOOKUP($B226,'MAIN DATA, Orders'!$B:$P,7,0)</f>
        <v>155mm howitzer</v>
      </c>
      <c r="F226" s="83" t="str">
        <f>VLOOKUP($B226,'MAIN DATA, Orders'!$B:$P,8,0)</f>
        <v>Artillery</v>
      </c>
      <c r="G226" s="31">
        <f>VLOOKUP($B226,'MAIN DATA, Orders'!$B:$P,9,0)</f>
        <v>3</v>
      </c>
      <c r="H226" s="8">
        <f>VLOOKUP($B226,'MAIN DATA, Orders'!$B:$P,14,0)</f>
        <v>11320754.716981132</v>
      </c>
      <c r="I226" s="8">
        <f>VLOOKUP($B226,'MAIN DATA, Orders'!$B:$P,15,0)</f>
        <v>10750954.147180565</v>
      </c>
      <c r="J226" s="8">
        <f>VLOOKUP($B226,'MAIN DATA, Orders'!$B:$P,13,0)</f>
        <v>212</v>
      </c>
    </row>
    <row r="227" spans="1:10" x14ac:dyDescent="0.35">
      <c r="A227" s="147"/>
      <c r="B227" s="147" t="s">
        <v>3522</v>
      </c>
      <c r="C227" s="83" t="str">
        <f>VLOOKUP($B227,'MAIN DATA, Orders'!$B:$P,3,0)</f>
        <v>Poland</v>
      </c>
      <c r="D227" s="83" t="str">
        <f>VLOOKUP($B227,'MAIN DATA, Orders'!$B:$P,6,0)</f>
        <v>KRAB howitzer</v>
      </c>
      <c r="E227" s="83" t="str">
        <f>VLOOKUP($B227,'MAIN DATA, Orders'!$B:$P,7,0)</f>
        <v>155mm howitzer</v>
      </c>
      <c r="F227" s="83" t="str">
        <f>VLOOKUP($B227,'MAIN DATA, Orders'!$B:$P,8,0)</f>
        <v>Artillery</v>
      </c>
      <c r="G227" s="31">
        <f>VLOOKUP($B227,'MAIN DATA, Orders'!$B:$P,9,0)</f>
        <v>3</v>
      </c>
      <c r="H227" s="8">
        <f>VLOOKUP($B227,'MAIN DATA, Orders'!$B:$P,14,0)</f>
        <v>79166666.666666672</v>
      </c>
      <c r="I227" s="8">
        <f>VLOOKUP($B227,'MAIN DATA, Orders'!$B:$P,15,0)</f>
        <v>16893934.544006031</v>
      </c>
      <c r="J227" s="8">
        <f>VLOOKUP($B227,'MAIN DATA, Orders'!$B:$P,13,0)</f>
        <v>48</v>
      </c>
    </row>
    <row r="228" spans="1:10" x14ac:dyDescent="0.35">
      <c r="A228" s="147"/>
      <c r="B228" s="147" t="s">
        <v>3546</v>
      </c>
      <c r="C228" s="83" t="str">
        <f>VLOOKUP($B228,'MAIN DATA, Orders'!$B:$P,3,0)</f>
        <v>Poland</v>
      </c>
      <c r="D228" s="83" t="str">
        <f>VLOOKUP($B228,'MAIN DATA, Orders'!$B:$P,6,0)</f>
        <v>FA-50 fighter jet</v>
      </c>
      <c r="E228" s="83" t="str">
        <f>VLOOKUP($B228,'MAIN DATA, Orders'!$B:$P,7,0)</f>
        <v>Fighter aircraft</v>
      </c>
      <c r="F228" s="83" t="str">
        <f>VLOOKUP($B228,'MAIN DATA, Orders'!$B:$P,8,0)</f>
        <v>Aircraft</v>
      </c>
      <c r="G228" s="31">
        <f>VLOOKUP($B228,'MAIN DATA, Orders'!$B:$P,9,0)</f>
        <v>11</v>
      </c>
      <c r="H228" s="8">
        <f>VLOOKUP($B228,'MAIN DATA, Orders'!$B:$P,14,0)</f>
        <v>62604166.666666664</v>
      </c>
      <c r="I228" s="8">
        <f>VLOOKUP($B228,'MAIN DATA, Orders'!$B:$P,15,0)</f>
        <v>59453149.73092752</v>
      </c>
      <c r="J228" s="8">
        <f>VLOOKUP($B228,'MAIN DATA, Orders'!$B:$P,13,0)</f>
        <v>48</v>
      </c>
    </row>
    <row r="229" spans="1:10" x14ac:dyDescent="0.35">
      <c r="A229" s="147"/>
      <c r="B229" s="147" t="s">
        <v>3554</v>
      </c>
      <c r="C229" s="83" t="str">
        <f>VLOOKUP($B229,'MAIN DATA, Orders'!$B:$P,3,0)</f>
        <v>Poland</v>
      </c>
      <c r="D229" s="83" t="str">
        <f>VLOOKUP($B229,'MAIN DATA, Orders'!$B:$P,6,0)</f>
        <v>K2 tank</v>
      </c>
      <c r="E229" s="83" t="str">
        <f>VLOOKUP($B229,'MAIN DATA, Orders'!$B:$P,7,0)</f>
        <v>Main Battle Tank (MBT)</v>
      </c>
      <c r="F229" s="83" t="str">
        <f>VLOOKUP($B229,'MAIN DATA, Orders'!$B:$P,8,0)</f>
        <v>Tank</v>
      </c>
      <c r="G229" s="31">
        <f>VLOOKUP($B229,'MAIN DATA, Orders'!$B:$P,9,0)</f>
        <v>1</v>
      </c>
      <c r="H229" s="8">
        <f>VLOOKUP($B229,'MAIN DATA, Orders'!$B:$P,14,0)</f>
        <v>18888888.888888888</v>
      </c>
      <c r="I229" s="8">
        <f>VLOOKUP($B229,'MAIN DATA, Orders'!$B:$P,15,0)</f>
        <v>17938166.086314235</v>
      </c>
      <c r="J229" s="8">
        <f>VLOOKUP($B229,'MAIN DATA, Orders'!$B:$P,13,0)</f>
        <v>180</v>
      </c>
    </row>
    <row r="230" spans="1:10" x14ac:dyDescent="0.35">
      <c r="A230" s="147"/>
      <c r="B230" s="147" t="s">
        <v>3563</v>
      </c>
      <c r="C230" s="83" t="str">
        <f>VLOOKUP($B230,'MAIN DATA, Orders'!$B:$P,3,0)</f>
        <v>Poland</v>
      </c>
      <c r="D230" s="83" t="str">
        <f>VLOOKUP($B230,'MAIN DATA, Orders'!$B:$P,6,0)</f>
        <v>K239 Chunmoo launcher</v>
      </c>
      <c r="E230" s="83" t="str">
        <f>VLOOKUP($B230,'MAIN DATA, Orders'!$B:$P,7,0)</f>
        <v>Multiple rocket launcher system</v>
      </c>
      <c r="F230" s="83" t="str">
        <f>VLOOKUP($B230,'MAIN DATA, Orders'!$B:$P,8,0)</f>
        <v>Artillery</v>
      </c>
      <c r="G230" s="31">
        <f>VLOOKUP($B230,'MAIN DATA, Orders'!$B:$P,9,0)</f>
        <v>3</v>
      </c>
      <c r="H230" s="8">
        <f>VLOOKUP($B230,'MAIN DATA, Orders'!$B:$P,14,0)</f>
        <v>16284403.66972477</v>
      </c>
      <c r="I230" s="8">
        <f>VLOOKUP($B230,'MAIN DATA, Orders'!$B:$P,15,0)</f>
        <v>15464770.816452775</v>
      </c>
      <c r="J230" s="8">
        <f>VLOOKUP($B230,'MAIN DATA, Orders'!$B:$P,13,0)</f>
        <v>218</v>
      </c>
    </row>
    <row r="231" spans="1:10" x14ac:dyDescent="0.35">
      <c r="A231" s="147"/>
      <c r="B231" s="147" t="s">
        <v>3578</v>
      </c>
      <c r="C231" s="83" t="str">
        <f>VLOOKUP($B231,'MAIN DATA, Orders'!$B:$P,3,0)</f>
        <v>Poland</v>
      </c>
      <c r="D231" s="83" t="str">
        <f>VLOOKUP($B231,'MAIN DATA, Orders'!$B:$P,6,0)</f>
        <v>M101 ABRAMS</v>
      </c>
      <c r="E231" s="83" t="str">
        <f>VLOOKUP($B231,'MAIN DATA, Orders'!$B:$P,7,0)</f>
        <v>Main Battle Tank (MBT)</v>
      </c>
      <c r="F231" s="83" t="str">
        <f>VLOOKUP($B231,'MAIN DATA, Orders'!$B:$P,8,0)</f>
        <v>Tank</v>
      </c>
      <c r="G231" s="31">
        <f>VLOOKUP($B231,'MAIN DATA, Orders'!$B:$P,9,0)</f>
        <v>1</v>
      </c>
      <c r="H231" s="8">
        <f>VLOOKUP($B231,'MAIN DATA, Orders'!$B:$P,14,0)</f>
        <v>12068965.517241379</v>
      </c>
      <c r="I231" s="8">
        <f>VLOOKUP($B231,'MAIN DATA, Orders'!$B:$P,15,0)</f>
        <v>11161532.893037437</v>
      </c>
      <c r="J231" s="8">
        <f>VLOOKUP($B231,'MAIN DATA, Orders'!$B:$P,13,0)</f>
        <v>116</v>
      </c>
    </row>
    <row r="232" spans="1:10" x14ac:dyDescent="0.35">
      <c r="A232" s="147"/>
      <c r="B232" s="147" t="s">
        <v>3584</v>
      </c>
      <c r="C232" s="83" t="str">
        <f>VLOOKUP($B232,'MAIN DATA, Orders'!$B:$P,3,0)</f>
        <v>Poland</v>
      </c>
      <c r="D232" s="83" t="str">
        <f>VLOOKUP($B232,'MAIN DATA, Orders'!$B:$P,6,0)</f>
        <v>GROT rifle</v>
      </c>
      <c r="E232" s="83" t="str">
        <f>VLOOKUP($B232,'MAIN DATA, Orders'!$B:$P,7,0)</f>
        <v>Small Arms and Light Weapons (SALW)</v>
      </c>
      <c r="F232" s="83" t="str">
        <f>VLOOKUP($B232,'MAIN DATA, Orders'!$B:$P,8,0)</f>
        <v>Infantry</v>
      </c>
      <c r="G232" s="31">
        <f>VLOOKUP($B232,'MAIN DATA, Orders'!$B:$P,9,0)</f>
        <v>8</v>
      </c>
      <c r="H232" s="8">
        <f>VLOOKUP($B232,'MAIN DATA, Orders'!$B:$P,14,0)</f>
        <v>11413.04347826087</v>
      </c>
      <c r="I232" s="8">
        <f>VLOOKUP($B232,'MAIN DATA, Orders'!$B:$P,15,0)</f>
        <v>2512.7792774682675</v>
      </c>
      <c r="J232" s="8">
        <f>VLOOKUP($B232,'MAIN DATA, Orders'!$B:$P,13,0)</f>
        <v>184000</v>
      </c>
    </row>
    <row r="233" spans="1:10" x14ac:dyDescent="0.35">
      <c r="A233" s="147"/>
      <c r="B233" s="147" t="s">
        <v>3587</v>
      </c>
      <c r="C233" s="83" t="str">
        <f>VLOOKUP($B233,'MAIN DATA, Orders'!$B:$P,3,0)</f>
        <v>Poland</v>
      </c>
      <c r="D233" s="83" t="str">
        <f>VLOOKUP($B233,'MAIN DATA, Orders'!$B:$P,6,0)</f>
        <v>7.62mm SKBW semi-automatic sniper rifle</v>
      </c>
      <c r="E233" s="83" t="str">
        <f>VLOOKUP($B233,'MAIN DATA, Orders'!$B:$P,7,0)</f>
        <v>Small Arms and Light Weapons (SALW)</v>
      </c>
      <c r="F233" s="83" t="str">
        <f>VLOOKUP($B233,'MAIN DATA, Orders'!$B:$P,8,0)</f>
        <v>Infantry</v>
      </c>
      <c r="G233" s="31">
        <f>VLOOKUP($B233,'MAIN DATA, Orders'!$B:$P,9,0)</f>
        <v>8</v>
      </c>
      <c r="H233" s="8">
        <f>VLOOKUP($B233,'MAIN DATA, Orders'!$B:$P,14,0)</f>
        <v>44000</v>
      </c>
      <c r="I233" s="8">
        <f>VLOOKUP($B233,'MAIN DATA, Orders'!$B:$P,15,0)</f>
        <v>9687.3623954205195</v>
      </c>
      <c r="J233" s="8">
        <f>VLOOKUP($B233,'MAIN DATA, Orders'!$B:$P,13,0)</f>
        <v>250</v>
      </c>
    </row>
    <row r="234" spans="1:10" x14ac:dyDescent="0.35">
      <c r="A234" s="147"/>
      <c r="B234" s="147" t="s">
        <v>3590</v>
      </c>
      <c r="C234" s="83" t="str">
        <f>VLOOKUP($B234,'MAIN DATA, Orders'!$B:$P,3,0)</f>
        <v>Poland</v>
      </c>
      <c r="D234" s="83" t="str">
        <f>VLOOKUP($B234,'MAIN DATA, Orders'!$B:$P,6,0)</f>
        <v>Bystra radar station</v>
      </c>
      <c r="E234" s="83" t="str">
        <f>VLOOKUP($B234,'MAIN DATA, Orders'!$B:$P,7,0)</f>
        <v>Radar for air defence system</v>
      </c>
      <c r="F234" s="83" t="str">
        <f>VLOOKUP($B234,'MAIN DATA, Orders'!$B:$P,8,0)</f>
        <v>Air defence system</v>
      </c>
      <c r="G234" s="31">
        <f>VLOOKUP($B234,'MAIN DATA, Orders'!$B:$P,9,0)</f>
        <v>5</v>
      </c>
      <c r="H234" s="8">
        <f>VLOOKUP($B234,'MAIN DATA, Orders'!$B:$P,14,0)</f>
        <v>50000000</v>
      </c>
      <c r="I234" s="8">
        <f>VLOOKUP($B234,'MAIN DATA, Orders'!$B:$P,15,0)</f>
        <v>11008366.35843241</v>
      </c>
      <c r="J234" s="8">
        <f>VLOOKUP($B234,'MAIN DATA, Orders'!$B:$P,13,0)</f>
        <v>22</v>
      </c>
    </row>
    <row r="235" spans="1:10" x14ac:dyDescent="0.35">
      <c r="A235" s="147"/>
      <c r="B235" s="147" t="s">
        <v>3595</v>
      </c>
      <c r="C235" s="83" t="str">
        <f>VLOOKUP($B235,'MAIN DATA, Orders'!$B:$P,3,0)</f>
        <v>Poland</v>
      </c>
      <c r="D235" s="83" t="str">
        <f>VLOOKUP($B235,'MAIN DATA, Orders'!$B:$P,6,0)</f>
        <v>BAOBAB-K scattered mine-laying vehicle</v>
      </c>
      <c r="E235" s="83" t="str">
        <f>VLOOKUP($B235,'MAIN DATA, Orders'!$B:$P,7,0)</f>
        <v>Mine-laying vehicle</v>
      </c>
      <c r="F235" s="83" t="str">
        <f>VLOOKUP($B235,'MAIN DATA, Orders'!$B:$P,8,0)</f>
        <v>Mine</v>
      </c>
      <c r="G235" s="31">
        <f>VLOOKUP($B235,'MAIN DATA, Orders'!$B:$P,9,0)</f>
        <v>9</v>
      </c>
      <c r="H235" s="8">
        <f>VLOOKUP($B235,'MAIN DATA, Orders'!$B:$P,14,0)</f>
        <v>21250000</v>
      </c>
      <c r="I235" s="8">
        <f>VLOOKUP($B235,'MAIN DATA, Orders'!$B:$P,15,0)</f>
        <v>4678555.7023337735</v>
      </c>
      <c r="J235" s="8">
        <f>VLOOKUP($B235,'MAIN DATA, Orders'!$B:$P,13,0)</f>
        <v>24</v>
      </c>
    </row>
    <row r="236" spans="1:10" x14ac:dyDescent="0.35">
      <c r="A236" s="147"/>
      <c r="B236" s="147" t="s">
        <v>3600</v>
      </c>
      <c r="C236" s="83" t="str">
        <f>VLOOKUP($B236,'MAIN DATA, Orders'!$B:$P,3,0)</f>
        <v>Poland</v>
      </c>
      <c r="D236" s="83" t="str">
        <f>VLOOKUP($B236,'MAIN DATA, Orders'!$B:$P,6,0)</f>
        <v>Saab 340 AEW Aircraft</v>
      </c>
      <c r="E236" s="83" t="str">
        <f>VLOOKUP($B236,'MAIN DATA, Orders'!$B:$P,7,0)</f>
        <v>Airborne surveillance system</v>
      </c>
      <c r="F236" s="83" t="str">
        <f>VLOOKUP($B236,'MAIN DATA, Orders'!$B:$P,8,0)</f>
        <v>Aircraft</v>
      </c>
      <c r="G236" s="31">
        <f>VLOOKUP($B236,'MAIN DATA, Orders'!$B:$P,9,0)</f>
        <v>11</v>
      </c>
      <c r="H236" s="8">
        <f>VLOOKUP($B236,'MAIN DATA, Orders'!$B:$P,14,0)</f>
        <v>28905000</v>
      </c>
      <c r="I236" s="8">
        <f>VLOOKUP($B236,'MAIN DATA, Orders'!$B:$P,15,0)</f>
        <v>26731711.828354761</v>
      </c>
      <c r="J236" s="8">
        <f>VLOOKUP($B236,'MAIN DATA, Orders'!$B:$P,13,0)</f>
        <v>2</v>
      </c>
    </row>
    <row r="237" spans="1:10" x14ac:dyDescent="0.35">
      <c r="A237" s="147"/>
      <c r="B237" s="147" t="s">
        <v>3606</v>
      </c>
      <c r="C237" s="83" t="str">
        <f>VLOOKUP($B237,'MAIN DATA, Orders'!$B:$P,3,0)</f>
        <v>Poland</v>
      </c>
      <c r="D237" s="83" t="str">
        <f>VLOOKUP($B237,'MAIN DATA, Orders'!$B:$P,6,0)</f>
        <v>LPR light reconnaissance vehicle</v>
      </c>
      <c r="E237" s="83" t="str">
        <f>VLOOKUP($B237,'MAIN DATA, Orders'!$B:$P,7,0)</f>
        <v>Light reconnaissance vehicle</v>
      </c>
      <c r="F237" s="83" t="str">
        <f>VLOOKUP($B237,'MAIN DATA, Orders'!$B:$P,8,0)</f>
        <v>Armoured vehicle</v>
      </c>
      <c r="G237" s="31">
        <f>VLOOKUP($B237,'MAIN DATA, Orders'!$B:$P,9,0)</f>
        <v>2</v>
      </c>
      <c r="H237" s="8">
        <f>VLOOKUP($B237,'MAIN DATA, Orders'!$B:$P,14,0)</f>
        <v>3000000</v>
      </c>
      <c r="I237" s="8">
        <f>VLOOKUP($B237,'MAIN DATA, Orders'!$B:$P,15,0)</f>
        <v>660501.98150594463</v>
      </c>
      <c r="J237" s="8">
        <f>VLOOKUP($B237,'MAIN DATA, Orders'!$B:$P,13,0)</f>
        <v>400</v>
      </c>
    </row>
    <row r="238" spans="1:10" x14ac:dyDescent="0.35">
      <c r="A238" s="147"/>
      <c r="B238" s="147" t="s">
        <v>3624</v>
      </c>
      <c r="C238" s="83" t="str">
        <f>VLOOKUP($B238,'MAIN DATA, Orders'!$B:$P,3,0)</f>
        <v>Poland</v>
      </c>
      <c r="D238" s="83" t="str">
        <f>VLOOKUP($B238,'MAIN DATA, Orders'!$B:$P,6,0)</f>
        <v>Naval Strike Missile (NSM) system</v>
      </c>
      <c r="E238" s="83" t="str">
        <f>VLOOKUP($B238,'MAIN DATA, Orders'!$B:$P,7,0)</f>
        <v>Anti-ship and coastal missile defence system</v>
      </c>
      <c r="F238" s="83" t="str">
        <f>VLOOKUP($B238,'MAIN DATA, Orders'!$B:$P,8,0)</f>
        <v>Naval</v>
      </c>
      <c r="G238" s="31">
        <f>VLOOKUP($B238,'MAIN DATA, Orders'!$B:$P,9,0)</f>
        <v>12</v>
      </c>
      <c r="H238" s="8">
        <f>VLOOKUP($B238,'MAIN DATA, Orders'!$B:$P,14,0)</f>
        <v>4000000000</v>
      </c>
      <c r="I238" s="8">
        <f>VLOOKUP($B238,'MAIN DATA, Orders'!$B:$P,15,0)</f>
        <v>880669308.67459273</v>
      </c>
      <c r="J238" s="8">
        <f>VLOOKUP($B238,'MAIN DATA, Orders'!$B:$P,13,0)</f>
        <v>2</v>
      </c>
    </row>
    <row r="239" spans="1:10" x14ac:dyDescent="0.35">
      <c r="A239" s="147"/>
      <c r="B239" s="147" t="s">
        <v>3648</v>
      </c>
      <c r="C239" s="83" t="str">
        <f>VLOOKUP($B239,'MAIN DATA, Orders'!$B:$P,3,0)</f>
        <v>Poland</v>
      </c>
      <c r="D239" s="83" t="str">
        <f>VLOOKUP($B239,'MAIN DATA, Orders'!$B:$P,6,0)</f>
        <v>K9 howitzer</v>
      </c>
      <c r="E239" s="83" t="str">
        <f>VLOOKUP($B239,'MAIN DATA, Orders'!$B:$P,7,0)</f>
        <v>155mm howitzer</v>
      </c>
      <c r="F239" s="83" t="str">
        <f>VLOOKUP($B239,'MAIN DATA, Orders'!$B:$P,8,0)</f>
        <v>Artillery</v>
      </c>
      <c r="G239" s="31">
        <f>VLOOKUP($B239,'MAIN DATA, Orders'!$B:$P,9,0)</f>
        <v>3</v>
      </c>
      <c r="H239" s="8">
        <f>VLOOKUP($B239,'MAIN DATA, Orders'!$B:$P,14,0)</f>
        <v>65789473.684210524</v>
      </c>
      <c r="I239" s="8">
        <f>VLOOKUP($B239,'MAIN DATA, Orders'!$B:$P,15,0)</f>
        <v>14484692.57688475</v>
      </c>
      <c r="J239" s="8">
        <f>VLOOKUP($B239,'MAIN DATA, Orders'!$B:$P,13,0)</f>
        <v>152</v>
      </c>
    </row>
    <row r="240" spans="1:10" x14ac:dyDescent="0.35">
      <c r="A240" s="147"/>
      <c r="B240" s="147" t="s">
        <v>3670</v>
      </c>
      <c r="C240" s="83" t="str">
        <f>VLOOKUP($B240,'MAIN DATA, Orders'!$B:$P,3,0)</f>
        <v>Poland</v>
      </c>
      <c r="D240" s="83" t="str">
        <f>VLOOKUP($B240,'MAIN DATA, Orders'!$B:$P,6,0)</f>
        <v>Carl-Gustaf M4 grenade launcher</v>
      </c>
      <c r="E240" s="83" t="str">
        <f>VLOOKUP($B240,'MAIN DATA, Orders'!$B:$P,7,0)</f>
        <v>Grenade launcher</v>
      </c>
      <c r="F240" s="83" t="str">
        <f>VLOOKUP($B240,'MAIN DATA, Orders'!$B:$P,8,0)</f>
        <v>Infantry</v>
      </c>
      <c r="G240" s="31">
        <f>VLOOKUP($B240,'MAIN DATA, Orders'!$B:$P,9,0)</f>
        <v>8</v>
      </c>
      <c r="H240" s="8">
        <f>VLOOKUP($B240,'MAIN DATA, Orders'!$B:$P,14,0)</f>
        <v>1083333.3333333333</v>
      </c>
      <c r="I240" s="8">
        <f>VLOOKUP($B240,'MAIN DATA, Orders'!$B:$P,15,0)</f>
        <v>251598.61891711957</v>
      </c>
      <c r="J240" s="8">
        <f>VLOOKUP($B240,'MAIN DATA, Orders'!$B:$P,13,0)</f>
        <v>6000</v>
      </c>
    </row>
    <row r="241" spans="1:10" x14ac:dyDescent="0.35">
      <c r="A241" s="147"/>
      <c r="B241" s="147" t="s">
        <v>3678</v>
      </c>
      <c r="C241" s="83" t="str">
        <f>VLOOKUP($B241,'MAIN DATA, Orders'!$B:$P,3,0)</f>
        <v>Poland</v>
      </c>
      <c r="D241" s="83" t="str">
        <f>VLOOKUP($B241,'MAIN DATA, Orders'!$B:$P,6,0)</f>
        <v>FlyEye drone</v>
      </c>
      <c r="E241" s="83" t="str">
        <f>VLOOKUP($B241,'MAIN DATA, Orders'!$B:$P,7,0)</f>
        <v>Reconnaissance drone</v>
      </c>
      <c r="F241" s="83" t="str">
        <f>VLOOKUP($B241,'MAIN DATA, Orders'!$B:$P,8,0)</f>
        <v>Drone</v>
      </c>
      <c r="G241" s="31">
        <f>VLOOKUP($B241,'MAIN DATA, Orders'!$B:$P,9,0)</f>
        <v>7</v>
      </c>
      <c r="H241" s="8">
        <f>VLOOKUP($B241,'MAIN DATA, Orders'!$B:$P,14,0)</f>
        <v>2057142.857142857</v>
      </c>
      <c r="I241" s="8">
        <f>VLOOKUP($B241,'MAIN DATA, Orders'!$B:$P,15,0)</f>
        <v>477760.89394371718</v>
      </c>
      <c r="J241" s="8">
        <f>VLOOKUP($B241,'MAIN DATA, Orders'!$B:$P,13,0)</f>
        <v>28</v>
      </c>
    </row>
    <row r="242" spans="1:10" x14ac:dyDescent="0.35">
      <c r="A242" s="147"/>
      <c r="B242" s="147" t="s">
        <v>3688</v>
      </c>
      <c r="C242" s="83" t="str">
        <f>VLOOKUP($B242,'MAIN DATA, Orders'!$B:$P,3,0)</f>
        <v>Poland</v>
      </c>
      <c r="D242" s="83" t="str">
        <f>VLOOKUP($B242,'MAIN DATA, Orders'!$B:$P,6,0)</f>
        <v>K239 Chunmoo launcher</v>
      </c>
      <c r="E242" s="83" t="str">
        <f>VLOOKUP($B242,'MAIN DATA, Orders'!$B:$P,7,0)</f>
        <v>Multiple rocket launcher system</v>
      </c>
      <c r="F242" s="83" t="str">
        <f>VLOOKUP($B242,'MAIN DATA, Orders'!$B:$P,8,0)</f>
        <v>Artillery</v>
      </c>
      <c r="G242" s="31">
        <f>VLOOKUP($B242,'MAIN DATA, Orders'!$B:$P,9,0)</f>
        <v>3</v>
      </c>
      <c r="H242" s="8">
        <f>VLOOKUP($B242,'MAIN DATA, Orders'!$B:$P,14,0)</f>
        <v>22222222.222222224</v>
      </c>
      <c r="I242" s="8">
        <f>VLOOKUP($B242,'MAIN DATA, Orders'!$B:$P,15,0)</f>
        <v>20530508.335386381</v>
      </c>
      <c r="J242" s="8">
        <f>VLOOKUP($B242,'MAIN DATA, Orders'!$B:$P,13,0)</f>
        <v>72</v>
      </c>
    </row>
    <row r="243" spans="1:10" x14ac:dyDescent="0.35">
      <c r="A243" s="147"/>
      <c r="B243" s="147" t="s">
        <v>3694</v>
      </c>
      <c r="C243" s="83" t="str">
        <f>VLOOKUP($B243,'MAIN DATA, Orders'!$B:$P,3,0)</f>
        <v>Poland</v>
      </c>
      <c r="D243" s="83" t="str">
        <f>VLOOKUP($B243,'MAIN DATA, Orders'!$B:$P,6,0)</f>
        <v>Barbara aerostat radar system</v>
      </c>
      <c r="E243" s="83" t="str">
        <f>VLOOKUP($B243,'MAIN DATA, Orders'!$B:$P,7,0)</f>
        <v>Radar for air defence system</v>
      </c>
      <c r="F243" s="83" t="str">
        <f>VLOOKUP($B243,'MAIN DATA, Orders'!$B:$P,8,0)</f>
        <v>Air defence system</v>
      </c>
      <c r="G243" s="31">
        <f>VLOOKUP($B243,'MAIN DATA, Orders'!$B:$P,9,0)</f>
        <v>5</v>
      </c>
      <c r="H243" s="8">
        <f>VLOOKUP($B243,'MAIN DATA, Orders'!$B:$P,14,0)</f>
        <v>240000000</v>
      </c>
      <c r="I243" s="8">
        <f>VLOOKUP($B243,'MAIN DATA, Orders'!$B:$P,15,0)</f>
        <v>221729490.02217296</v>
      </c>
      <c r="J243" s="8">
        <f>VLOOKUP($B243,'MAIN DATA, Orders'!$B:$P,13,0)</f>
        <v>4</v>
      </c>
    </row>
    <row r="244" spans="1:10" x14ac:dyDescent="0.35">
      <c r="A244" s="147"/>
      <c r="B244" s="147" t="s">
        <v>3710</v>
      </c>
      <c r="C244" s="83" t="str">
        <f>VLOOKUP($B244,'MAIN DATA, Orders'!$B:$P,3,0)</f>
        <v>Poland</v>
      </c>
      <c r="D244" s="83" t="str">
        <f>VLOOKUP($B244,'MAIN DATA, Orders'!$B:$P,6,0)</f>
        <v>Rosomak personnel carrier</v>
      </c>
      <c r="E244" s="83" t="str">
        <f>VLOOKUP($B244,'MAIN DATA, Orders'!$B:$P,7,0)</f>
        <v>Armoured personnel carrier</v>
      </c>
      <c r="F244" s="83" t="str">
        <f>VLOOKUP($B244,'MAIN DATA, Orders'!$B:$P,8,0)</f>
        <v>Armoured vehicle</v>
      </c>
      <c r="G244" s="31">
        <f>VLOOKUP($B244,'MAIN DATA, Orders'!$B:$P,9,0)</f>
        <v>2</v>
      </c>
      <c r="H244" s="8">
        <f>VLOOKUP($B244,'MAIN DATA, Orders'!$B:$P,14,0)</f>
        <v>44827586.206896551</v>
      </c>
      <c r="I244" s="8">
        <f>VLOOKUP($B244,'MAIN DATA, Orders'!$B:$P,15,0)</f>
        <v>10410977.334501499</v>
      </c>
      <c r="J244" s="8">
        <f>VLOOKUP($B244,'MAIN DATA, Orders'!$B:$P,13,0)</f>
        <v>58</v>
      </c>
    </row>
    <row r="245" spans="1:10" x14ac:dyDescent="0.35">
      <c r="A245" s="147"/>
      <c r="B245" s="147" t="s">
        <v>3721</v>
      </c>
      <c r="C245" s="83" t="str">
        <f>VLOOKUP($B245,'MAIN DATA, Orders'!$B:$P,3,0)</f>
        <v>Poland</v>
      </c>
      <c r="D245" s="83" t="str">
        <f>VLOOKUP($B245,'MAIN DATA, Orders'!$B:$P,6,0)</f>
        <v>M903 launcher for Patriot system</v>
      </c>
      <c r="E245" s="83" t="str">
        <f>VLOOKUP($B245,'MAIN DATA, Orders'!$B:$P,7,0)</f>
        <v>Anti-aircraft surface-to-air missile (SAM) system (long-range)</v>
      </c>
      <c r="F245" s="83" t="str">
        <f>VLOOKUP($B245,'MAIN DATA, Orders'!$B:$P,8,0)</f>
        <v>Air defence system</v>
      </c>
      <c r="G245" s="31">
        <f>VLOOKUP($B245,'MAIN DATA, Orders'!$B:$P,9,0)</f>
        <v>5</v>
      </c>
      <c r="H245" s="8">
        <f>VLOOKUP($B245,'MAIN DATA, Orders'!$B:$P,14,0)</f>
        <v>97916666.666666672</v>
      </c>
      <c r="I245" s="8">
        <f>VLOOKUP($B245,'MAIN DATA, Orders'!$B:$P,15,0)</f>
        <v>22740644.402124271</v>
      </c>
      <c r="J245" s="8">
        <f>VLOOKUP($B245,'MAIN DATA, Orders'!$B:$P,13,0)</f>
        <v>48</v>
      </c>
    </row>
    <row r="246" spans="1:10" x14ac:dyDescent="0.35">
      <c r="A246" s="147"/>
      <c r="B246" s="147" t="s">
        <v>3728</v>
      </c>
      <c r="C246" s="83" t="str">
        <f>VLOOKUP($B246,'MAIN DATA, Orders'!$B:$P,3,0)</f>
        <v>Poland</v>
      </c>
      <c r="D246" s="83" t="str">
        <f>VLOOKUP($B246,'MAIN DATA, Orders'!$B:$P,6,0)</f>
        <v>AH-64E Apache attack helicopter</v>
      </c>
      <c r="E246" s="83" t="str">
        <f>VLOOKUP($B246,'MAIN DATA, Orders'!$B:$P,7,0)</f>
        <v>Attack helicopter</v>
      </c>
      <c r="F246" s="83" t="str">
        <f>VLOOKUP($B246,'MAIN DATA, Orders'!$B:$P,8,0)</f>
        <v>Helicopter</v>
      </c>
      <c r="G246" s="31">
        <f>VLOOKUP($B246,'MAIN DATA, Orders'!$B:$P,9,0)</f>
        <v>10</v>
      </c>
      <c r="H246" s="8">
        <f>VLOOKUP($B246,'MAIN DATA, Orders'!$B:$P,14,0)</f>
        <v>104166666.66666667</v>
      </c>
      <c r="I246" s="8">
        <f>VLOOKUP($B246,'MAIN DATA, Orders'!$B:$P,15,0)</f>
        <v>96236757.822123662</v>
      </c>
      <c r="J246" s="8">
        <f>VLOOKUP($B246,'MAIN DATA, Orders'!$B:$P,13,0)</f>
        <v>96</v>
      </c>
    </row>
    <row r="247" spans="1:10" x14ac:dyDescent="0.35">
      <c r="A247" s="147"/>
      <c r="B247" s="147" t="s">
        <v>3734</v>
      </c>
      <c r="C247" s="83" t="str">
        <f>VLOOKUP($B247,'MAIN DATA, Orders'!$B:$P,3,0)</f>
        <v>Poland</v>
      </c>
      <c r="D247" s="83" t="str">
        <f>VLOOKUP($B247,'MAIN DATA, Orders'!$B:$P,6,0)</f>
        <v>KLESZCZ light armoured reconnaissance carrier</v>
      </c>
      <c r="E247" s="83" t="str">
        <f>VLOOKUP($B247,'MAIN DATA, Orders'!$B:$P,7,0)</f>
        <v>Armoured reconnaissance personnel carrier</v>
      </c>
      <c r="F247" s="83" t="str">
        <f>VLOOKUP($B247,'MAIN DATA, Orders'!$B:$P,8,0)</f>
        <v>Armoured vehicle</v>
      </c>
      <c r="G247" s="31">
        <f>VLOOKUP($B247,'MAIN DATA, Orders'!$B:$P,9,0)</f>
        <v>2</v>
      </c>
      <c r="H247" s="8">
        <f>VLOOKUP($B247,'MAIN DATA, Orders'!$B:$P,14,0)</f>
        <v>28571428.571428571</v>
      </c>
      <c r="I247" s="8">
        <f>VLOOKUP($B247,'MAIN DATA, Orders'!$B:$P,15,0)</f>
        <v>6635567.9714405164</v>
      </c>
      <c r="J247" s="8">
        <f>VLOOKUP($B247,'MAIN DATA, Orders'!$B:$P,13,0)</f>
        <v>28</v>
      </c>
    </row>
    <row r="248" spans="1:10" x14ac:dyDescent="0.35">
      <c r="A248" s="147"/>
      <c r="B248" s="147" t="s">
        <v>3743</v>
      </c>
      <c r="C248" s="83" t="str">
        <f>VLOOKUP($B248,'MAIN DATA, Orders'!$B:$P,3,0)</f>
        <v>Poland</v>
      </c>
      <c r="D248" s="83" t="str">
        <f>VLOOKUP($B248,'MAIN DATA, Orders'!$B:$P,6,0)</f>
        <v>FlyEye drone</v>
      </c>
      <c r="E248" s="83" t="str">
        <f>VLOOKUP($B248,'MAIN DATA, Orders'!$B:$P,7,0)</f>
        <v>Reconnaissance drone</v>
      </c>
      <c r="F248" s="83" t="str">
        <f>VLOOKUP($B248,'MAIN DATA, Orders'!$B:$P,8,0)</f>
        <v>Drone</v>
      </c>
      <c r="G248" s="31">
        <f>VLOOKUP($B248,'MAIN DATA, Orders'!$B:$P,9,0)</f>
        <v>7</v>
      </c>
      <c r="H248" s="8">
        <f>VLOOKUP($B248,'MAIN DATA, Orders'!$B:$P,14,0)</f>
        <v>2779166.6666666665</v>
      </c>
      <c r="I248" s="8">
        <f>VLOOKUP($B248,'MAIN DATA, Orders'!$B:$P,15,0)</f>
        <v>645447.2262219952</v>
      </c>
      <c r="J248" s="8">
        <f>VLOOKUP($B248,'MAIN DATA, Orders'!$B:$P,13,0)</f>
        <v>24</v>
      </c>
    </row>
    <row r="249" spans="1:10" x14ac:dyDescent="0.35">
      <c r="A249" s="147"/>
      <c r="B249" s="147" t="s">
        <v>3751</v>
      </c>
      <c r="C249" s="83" t="str">
        <f>VLOOKUP($B249,'MAIN DATA, Orders'!$B:$P,3,0)</f>
        <v>Poland</v>
      </c>
      <c r="D249" s="83" t="str">
        <f>VLOOKUP($B249,'MAIN DATA, Orders'!$B:$P,6,0)</f>
        <v>FlyEye drone</v>
      </c>
      <c r="E249" s="83" t="str">
        <f>VLOOKUP($B249,'MAIN DATA, Orders'!$B:$P,7,0)</f>
        <v>Reconnaissance drone</v>
      </c>
      <c r="F249" s="83" t="str">
        <f>VLOOKUP($B249,'MAIN DATA, Orders'!$B:$P,8,0)</f>
        <v>Drone</v>
      </c>
      <c r="G249" s="31">
        <f>VLOOKUP($B249,'MAIN DATA, Orders'!$B:$P,9,0)</f>
        <v>7</v>
      </c>
      <c r="H249" s="8">
        <f>VLOOKUP($B249,'MAIN DATA, Orders'!$B:$P,14,0)</f>
        <v>1923076.923076923</v>
      </c>
      <c r="I249" s="8">
        <f>VLOOKUP($B249,'MAIN DATA, Orders'!$B:$P,15,0)</f>
        <v>446624.76730849629</v>
      </c>
      <c r="J249" s="8">
        <f>VLOOKUP($B249,'MAIN DATA, Orders'!$B:$P,13,0)</f>
        <v>52</v>
      </c>
    </row>
    <row r="250" spans="1:10" x14ac:dyDescent="0.35">
      <c r="A250" s="147"/>
      <c r="B250" s="147" t="s">
        <v>3754</v>
      </c>
      <c r="C250" s="83" t="str">
        <f>VLOOKUP($B250,'MAIN DATA, Orders'!$B:$P,3,0)</f>
        <v>Poland</v>
      </c>
      <c r="D250" s="83" t="str">
        <f>VLOOKUP($B250,'MAIN DATA, Orders'!$B:$P,6,0)</f>
        <v>AIM9X Sidewinder Block II missile</v>
      </c>
      <c r="E250" s="83" t="str">
        <f>VLOOKUP($B250,'MAIN DATA, Orders'!$B:$P,7,0)</f>
        <v>Air-to-air missile (AAM) (short-range)</v>
      </c>
      <c r="F250" s="83" t="str">
        <f>VLOOKUP($B250,'MAIN DATA, Orders'!$B:$P,8,0)</f>
        <v>Missile (Air)</v>
      </c>
      <c r="G250" s="31">
        <f>VLOOKUP($B250,'MAIN DATA, Orders'!$B:$P,9,0)</f>
        <v>6</v>
      </c>
      <c r="H250" s="8">
        <f>VLOOKUP($B250,'MAIN DATA, Orders'!$B:$P,14,0)</f>
        <v>754310.3448275862</v>
      </c>
      <c r="I250" s="8">
        <f>VLOOKUP($B250,'MAIN DATA, Orders'!$B:$P,15,0)</f>
        <v>696886.86698779208</v>
      </c>
      <c r="J250" s="8">
        <f>VLOOKUP($B250,'MAIN DATA, Orders'!$B:$P,13,0)</f>
        <v>232</v>
      </c>
    </row>
    <row r="251" spans="1:10" x14ac:dyDescent="0.35">
      <c r="A251" s="147"/>
      <c r="B251" s="147" t="s">
        <v>3760</v>
      </c>
      <c r="C251" s="83" t="str">
        <f>VLOOKUP($B251,'MAIN DATA, Orders'!$B:$P,3,0)</f>
        <v>Poland</v>
      </c>
      <c r="D251" s="83" t="str">
        <f>VLOOKUP($B251,'MAIN DATA, Orders'!$B:$P,6,0)</f>
        <v>Fuel tanker</v>
      </c>
      <c r="E251" s="83" t="str">
        <f>VLOOKUP($B251,'MAIN DATA, Orders'!$B:$P,7,0)</f>
        <v>Non-combat military vehicle</v>
      </c>
      <c r="F251" s="83" t="str">
        <f>VLOOKUP($B251,'MAIN DATA, Orders'!$B:$P,8,0)</f>
        <v>Other</v>
      </c>
      <c r="G251" s="31">
        <f>VLOOKUP($B251,'MAIN DATA, Orders'!$B:$P,9,0)</f>
        <v>16</v>
      </c>
      <c r="H251" s="8">
        <f>VLOOKUP($B251,'MAIN DATA, Orders'!$B:$P,14,0)</f>
        <v>3255813.9534883723</v>
      </c>
      <c r="I251" s="8">
        <f>VLOOKUP($B251,'MAIN DATA, Orders'!$B:$P,15,0)</f>
        <v>756146.11767577974</v>
      </c>
      <c r="J251" s="8">
        <f>VLOOKUP($B251,'MAIN DATA, Orders'!$B:$P,13,0)</f>
        <v>215</v>
      </c>
    </row>
    <row r="252" spans="1:10" x14ac:dyDescent="0.35">
      <c r="A252" s="147"/>
      <c r="B252" s="147" t="s">
        <v>3767</v>
      </c>
      <c r="C252" s="83" t="str">
        <f>VLOOKUP($B252,'MAIN DATA, Orders'!$B:$P,3,0)</f>
        <v>Poland</v>
      </c>
      <c r="D252" s="83" t="str">
        <f>VLOOKUP($B252,'MAIN DATA, Orders'!$B:$P,6,0)</f>
        <v>MQ-9B SkyGuardian unmanned system</v>
      </c>
      <c r="E252" s="83" t="str">
        <f>VLOOKUP($B252,'MAIN DATA, Orders'!$B:$P,7,0)</f>
        <v>Reconnaissance drone</v>
      </c>
      <c r="F252" s="83" t="str">
        <f>VLOOKUP($B252,'MAIN DATA, Orders'!$B:$P,8,0)</f>
        <v>Drone</v>
      </c>
      <c r="G252" s="31">
        <f>VLOOKUP($B252,'MAIN DATA, Orders'!$B:$P,9,0)</f>
        <v>7</v>
      </c>
      <c r="H252" s="8">
        <f>VLOOKUP($B252,'MAIN DATA, Orders'!$B:$P,14,0)</f>
        <v>1200000000</v>
      </c>
      <c r="I252" s="8">
        <f>VLOOKUP($B252,'MAIN DATA, Orders'!$B:$P,15,0)</f>
        <v>278693854.80050164</v>
      </c>
      <c r="J252" s="8">
        <f>VLOOKUP($B252,'MAIN DATA, Orders'!$B:$P,13,0)</f>
        <v>1</v>
      </c>
    </row>
    <row r="253" spans="1:10" x14ac:dyDescent="0.35">
      <c r="A253" s="147"/>
      <c r="B253" s="147" t="s">
        <v>3773</v>
      </c>
      <c r="C253" s="83" t="str">
        <f>VLOOKUP($B253,'MAIN DATA, Orders'!$B:$P,3,0)</f>
        <v>Poland</v>
      </c>
      <c r="D253" s="83" t="str">
        <f>VLOOKUP($B253,'MAIN DATA, Orders'!$B:$P,6,0)</f>
        <v>CASA aircraft modernisation</v>
      </c>
      <c r="E253" s="83" t="str">
        <f>VLOOKUP($B253,'MAIN DATA, Orders'!$B:$P,7,0)</f>
        <v>Aircraft modernisation</v>
      </c>
      <c r="F253" s="83" t="str">
        <f>VLOOKUP($B253,'MAIN DATA, Orders'!$B:$P,8,0)</f>
        <v>Aircraft</v>
      </c>
      <c r="G253" s="31">
        <f>VLOOKUP($B253,'MAIN DATA, Orders'!$B:$P,9,0)</f>
        <v>11</v>
      </c>
      <c r="H253" s="8">
        <f>VLOOKUP($B253,'MAIN DATA, Orders'!$B:$P,14,0)</f>
        <v>6418750</v>
      </c>
      <c r="I253" s="8">
        <f>VLOOKUP($B253,'MAIN DATA, Orders'!$B:$P,15,0)</f>
        <v>6418750</v>
      </c>
      <c r="J253" s="8">
        <f>VLOOKUP($B253,'MAIN DATA, Orders'!$B:$P,13,0)</f>
        <v>16</v>
      </c>
    </row>
    <row r="254" spans="1:10" x14ac:dyDescent="0.35">
      <c r="A254" s="147"/>
      <c r="B254" s="147" t="s">
        <v>3780</v>
      </c>
      <c r="C254" s="83" t="str">
        <f>VLOOKUP($B254,'MAIN DATA, Orders'!$B:$P,3,0)</f>
        <v>Poland</v>
      </c>
      <c r="D254" s="83" t="str">
        <f>VLOOKUP($B254,'MAIN DATA, Orders'!$B:$P,6,0)</f>
        <v>Rosomak-L personnel carrier</v>
      </c>
      <c r="E254" s="83" t="str">
        <f>VLOOKUP($B254,'MAIN DATA, Orders'!$B:$P,7,0)</f>
        <v>Armoured personnel carrier (APC)</v>
      </c>
      <c r="F254" s="83" t="str">
        <f>VLOOKUP($B254,'MAIN DATA, Orders'!$B:$P,8,0)</f>
        <v>Armoured vehicle</v>
      </c>
      <c r="G254" s="31">
        <f>VLOOKUP($B254,'MAIN DATA, Orders'!$B:$P,9,0)</f>
        <v>2</v>
      </c>
      <c r="H254" s="8">
        <f>VLOOKUP($B254,'MAIN DATA, Orders'!$B:$P,14,0)</f>
        <v>53750000</v>
      </c>
      <c r="I254" s="8">
        <f>VLOOKUP($B254,'MAIN DATA, Orders'!$B:$P,15,0)</f>
        <v>12483162.246272471</v>
      </c>
      <c r="J254" s="8">
        <f>VLOOKUP($B254,'MAIN DATA, Orders'!$B:$P,13,0)</f>
        <v>80</v>
      </c>
    </row>
    <row r="255" spans="1:10" x14ac:dyDescent="0.35">
      <c r="A255" s="147"/>
      <c r="B255" s="147" t="s">
        <v>3795</v>
      </c>
      <c r="C255" s="83" t="str">
        <f>VLOOKUP($B255,'MAIN DATA, Orders'!$B:$P,3,0)</f>
        <v>Poland</v>
      </c>
      <c r="D255" s="83" t="str">
        <f>VLOOKUP($B255,'MAIN DATA, Orders'!$B:$P,6,0)</f>
        <v>Observation satellite</v>
      </c>
      <c r="E255" s="83" t="str">
        <f>VLOOKUP($B255,'MAIN DATA, Orders'!$B:$P,7,0)</f>
        <v>ISR Satellite</v>
      </c>
      <c r="F255" s="83" t="str">
        <f>VLOOKUP($B255,'MAIN DATA, Orders'!$B:$P,8,0)</f>
        <v>Modernisation</v>
      </c>
      <c r="G255" s="31">
        <f>VLOOKUP($B255,'MAIN DATA, Orders'!$B:$P,9,0)</f>
        <v>13</v>
      </c>
      <c r="H255" s="8">
        <f>VLOOKUP($B255,'MAIN DATA, Orders'!$B:$P,14,0)</f>
        <v>137500000</v>
      </c>
      <c r="I255" s="8">
        <f>VLOOKUP($B255,'MAIN DATA, Orders'!$B:$P,15,0)</f>
        <v>31933670.862557482</v>
      </c>
      <c r="J255" s="8">
        <f>VLOOKUP($B255,'MAIN DATA, Orders'!$B:$P,13,0)</f>
        <v>4</v>
      </c>
    </row>
    <row r="256" spans="1:10" x14ac:dyDescent="0.35">
      <c r="A256" s="147"/>
      <c r="B256" s="147" t="s">
        <v>3810</v>
      </c>
      <c r="C256" s="83" t="str">
        <f>VLOOKUP($B256,'MAIN DATA, Orders'!$B:$P,3,0)</f>
        <v>Poland</v>
      </c>
      <c r="D256" s="83" t="str">
        <f>VLOOKUP($B256,'MAIN DATA, Orders'!$B:$P,6,0)</f>
        <v>FORCE PROTECTION unmanned aerial system</v>
      </c>
      <c r="E256" s="83" t="str">
        <f>VLOOKUP($B256,'MAIN DATA, Orders'!$B:$P,7,0)</f>
        <v>Unmanned aerial system</v>
      </c>
      <c r="F256" s="83" t="str">
        <f>VLOOKUP($B256,'MAIN DATA, Orders'!$B:$P,8,0)</f>
        <v>Drone</v>
      </c>
      <c r="G256" s="31">
        <f>VLOOKUP($B256,'MAIN DATA, Orders'!$B:$P,9,0)</f>
        <v>7</v>
      </c>
      <c r="H256" s="8">
        <f>VLOOKUP($B256,'MAIN DATA, Orders'!$B:$P,14,0)</f>
        <v>41583333.333333336</v>
      </c>
      <c r="I256" s="8">
        <f>VLOOKUP($B256,'MAIN DATA, Orders'!$B:$P,15,0)</f>
        <v>9657516.2184340507</v>
      </c>
      <c r="J256" s="8">
        <f>VLOOKUP($B256,'MAIN DATA, Orders'!$B:$P,13,0)</f>
        <v>12</v>
      </c>
    </row>
    <row r="257" spans="1:10" x14ac:dyDescent="0.35">
      <c r="A257" s="147"/>
      <c r="B257" s="147" t="s">
        <v>3821</v>
      </c>
      <c r="C257" s="83" t="str">
        <f>VLOOKUP($B257,'MAIN DATA, Orders'!$B:$P,3,0)</f>
        <v>Poland</v>
      </c>
      <c r="D257" s="83" t="str">
        <f>VLOOKUP($B257,'MAIN DATA, Orders'!$B:$P,6,0)</f>
        <v>AGM-88G AARGM-ER (Advanced Anti-Radiation Guided Missiles – Extended Range) self-guided missiles</v>
      </c>
      <c r="E257" s="83" t="str">
        <f>VLOOKUP($B257,'MAIN DATA, Orders'!$B:$P,7,0)</f>
        <v>Anti-Radiation Guided Missiles (ARM)</v>
      </c>
      <c r="F257" s="83" t="str">
        <f>VLOOKUP($B257,'MAIN DATA, Orders'!$B:$P,8,0)</f>
        <v>Missile (Land)</v>
      </c>
      <c r="G257" s="31">
        <f>VLOOKUP($B257,'MAIN DATA, Orders'!$B:$P,9,0)</f>
        <v>6</v>
      </c>
      <c r="H257" s="8">
        <f>VLOOKUP($B257,'MAIN DATA, Orders'!$B:$P,14,0)</f>
        <v>3725000</v>
      </c>
      <c r="I257" s="8">
        <f>VLOOKUP($B257,'MAIN DATA, Orders'!$B:$P,15,0)</f>
        <v>3296460.1769911512</v>
      </c>
      <c r="J257" s="8">
        <f>VLOOKUP($B257,'MAIN DATA, Orders'!$B:$P,13,0)</f>
        <v>200</v>
      </c>
    </row>
    <row r="258" spans="1:10" x14ac:dyDescent="0.35">
      <c r="A258" s="147"/>
      <c r="B258" s="147" t="s">
        <v>3825</v>
      </c>
      <c r="C258" s="83" t="str">
        <f>VLOOKUP($B258,'MAIN DATA, Orders'!$B:$P,3,0)</f>
        <v>Poland</v>
      </c>
      <c r="D258" s="83" t="str">
        <f>VLOOKUP($B258,'MAIN DATA, Orders'!$B:$P,6,0)</f>
        <v>Apache helicopter leasing</v>
      </c>
      <c r="E258" s="83" t="str">
        <f>VLOOKUP($B258,'MAIN DATA, Orders'!$B:$P,7,0)</f>
        <v>Attack helicopter training support</v>
      </c>
      <c r="F258" s="83" t="str">
        <f>VLOOKUP($B258,'MAIN DATA, Orders'!$B:$P,8,0)</f>
        <v>Helicopter</v>
      </c>
      <c r="G258" s="31">
        <f>VLOOKUP($B258,'MAIN DATA, Orders'!$B:$P,9,0)</f>
        <v>10</v>
      </c>
      <c r="H258" s="8">
        <f>VLOOKUP($B258,'MAIN DATA, Orders'!$B:$P,14,0)</f>
        <v>37500000</v>
      </c>
      <c r="I258" s="8">
        <f>VLOOKUP($B258,'MAIN DATA, Orders'!$B:$P,15,0)</f>
        <v>33185840.707964607</v>
      </c>
      <c r="J258" s="8">
        <f>VLOOKUP($B258,'MAIN DATA, Orders'!$B:$P,13,0)</f>
        <v>8</v>
      </c>
    </row>
    <row r="259" spans="1:10" x14ac:dyDescent="0.35">
      <c r="A259" s="147"/>
      <c r="B259" s="147" t="s">
        <v>3831</v>
      </c>
      <c r="C259" s="83" t="str">
        <f>VLOOKUP($B259,'MAIN DATA, Orders'!$B:$P,3,0)</f>
        <v>Poland</v>
      </c>
      <c r="D259" s="83" t="str">
        <f>VLOOKUP($B259,'MAIN DATA, Orders'!$B:$P,6,0)</f>
        <v>Tarantula self-propelled reconnaisance system</v>
      </c>
      <c r="E259" s="83" t="str">
        <f>VLOOKUP($B259,'MAIN DATA, Orders'!$B:$P,7,0)</f>
        <v>Reconnaissance mobile unmanned vehicle</v>
      </c>
      <c r="F259" s="83" t="str">
        <f>VLOOKUP($B259,'MAIN DATA, Orders'!$B:$P,8,0)</f>
        <v>Drone</v>
      </c>
      <c r="G259" s="31">
        <f>VLOOKUP($B259,'MAIN DATA, Orders'!$B:$P,9,0)</f>
        <v>7</v>
      </c>
      <c r="H259" s="8">
        <f>VLOOKUP($B259,'MAIN DATA, Orders'!$B:$P,14,0)</f>
        <v>520833.33333333331</v>
      </c>
      <c r="I259" s="8">
        <f>VLOOKUP($B259,'MAIN DATA, Orders'!$B:$P,15,0)</f>
        <v>122846.74230094896</v>
      </c>
      <c r="J259" s="8">
        <f>VLOOKUP($B259,'MAIN DATA, Orders'!$B:$P,13,0)</f>
        <v>96</v>
      </c>
    </row>
    <row r="260" spans="1:10" x14ac:dyDescent="0.35">
      <c r="A260" s="147"/>
      <c r="B260" s="147" t="s">
        <v>3843</v>
      </c>
      <c r="C260" s="83" t="str">
        <f>VLOOKUP($B260,'MAIN DATA, Orders'!$B:$P,3,0)</f>
        <v>Poland</v>
      </c>
      <c r="D260" s="83" t="str">
        <f>VLOOKUP($B260,'MAIN DATA, Orders'!$B:$P,6,0)</f>
        <v>Borsuk IFV</v>
      </c>
      <c r="E260" s="83" t="str">
        <f>VLOOKUP($B260,'MAIN DATA, Orders'!$B:$P,7,0)</f>
        <v>Infantry Fighting Vehicle (IFV)</v>
      </c>
      <c r="F260" s="83" t="str">
        <f>VLOOKUP($B260,'MAIN DATA, Orders'!$B:$P,8,0)</f>
        <v>Armoured vehicle</v>
      </c>
      <c r="G260" s="31">
        <f>VLOOKUP($B260,'MAIN DATA, Orders'!$B:$P,9,0)</f>
        <v>2</v>
      </c>
      <c r="H260" s="8">
        <f>VLOOKUP($B260,'MAIN DATA, Orders'!$B:$P,14,0)</f>
        <v>59189189.189189188</v>
      </c>
      <c r="I260" s="8">
        <f>VLOOKUP($B260,'MAIN DATA, Orders'!$B:$P,15,0)</f>
        <v>13960702.216946762</v>
      </c>
      <c r="J260" s="8">
        <f>VLOOKUP($B260,'MAIN DATA, Orders'!$B:$P,13,0)</f>
        <v>111</v>
      </c>
    </row>
    <row r="261" spans="1:10" x14ac:dyDescent="0.35">
      <c r="A261" s="147"/>
      <c r="B261" s="147" t="s">
        <v>3854</v>
      </c>
      <c r="C261" s="83" t="str">
        <f>VLOOKUP($B261,'MAIN DATA, Orders'!$B:$P,3,0)</f>
        <v>Poland</v>
      </c>
      <c r="D261" s="83" t="str">
        <f>VLOOKUP($B261,'MAIN DATA, Orders'!$B:$P,6,0)</f>
        <v>Satellite Earth Observation System</v>
      </c>
      <c r="E261" s="83" t="str">
        <f>VLOOKUP($B261,'MAIN DATA, Orders'!$B:$P,7,0)</f>
        <v>Communication and digitalisation</v>
      </c>
      <c r="F261" s="83" t="str">
        <f>VLOOKUP($B261,'MAIN DATA, Orders'!$B:$P,8,0)</f>
        <v>Modernisation</v>
      </c>
      <c r="G261" s="31">
        <f>VLOOKUP($B261,'MAIN DATA, Orders'!$B:$P,9,0)</f>
        <v>13</v>
      </c>
      <c r="H261" s="8">
        <f>VLOOKUP($B261,'MAIN DATA, Orders'!$B:$P,14,0)</f>
        <v>860000000</v>
      </c>
      <c r="I261" s="8">
        <f>VLOOKUP($B261,'MAIN DATA, Orders'!$B:$P,15,0)</f>
        <v>202844540.88732693</v>
      </c>
      <c r="J261" s="8">
        <f>VLOOKUP($B261,'MAIN DATA, Orders'!$B:$P,13,0)</f>
        <v>1</v>
      </c>
    </row>
    <row r="262" spans="1:10" x14ac:dyDescent="0.35">
      <c r="A262" s="147"/>
      <c r="B262" s="147" t="s">
        <v>3867</v>
      </c>
      <c r="C262" s="83" t="str">
        <f>VLOOKUP($B262,'MAIN DATA, Orders'!$B:$P,3,0)</f>
        <v>Poland</v>
      </c>
      <c r="D262" s="83" t="str">
        <f>VLOOKUP($B262,'MAIN DATA, Orders'!$B:$P,6,0)</f>
        <v>Rosomak-L personnel carrier</v>
      </c>
      <c r="E262" s="83" t="str">
        <f>VLOOKUP($B262,'MAIN DATA, Orders'!$B:$P,7,0)</f>
        <v>Armoured personnel carrier (APC)</v>
      </c>
      <c r="F262" s="83" t="str">
        <f>VLOOKUP($B262,'MAIN DATA, Orders'!$B:$P,8,0)</f>
        <v>Armoured vehicle</v>
      </c>
      <c r="G262" s="31">
        <f>VLOOKUP($B262,'MAIN DATA, Orders'!$B:$P,9,0)</f>
        <v>2</v>
      </c>
      <c r="H262" s="8">
        <f>VLOOKUP($B262,'MAIN DATA, Orders'!$B:$P,14,0)</f>
        <v>20833333.333333332</v>
      </c>
      <c r="I262" s="8">
        <f>VLOOKUP($B262,'MAIN DATA, Orders'!$B:$P,15,0)</f>
        <v>4913869.6920379587</v>
      </c>
      <c r="J262" s="8">
        <f>VLOOKUP($B262,'MAIN DATA, Orders'!$B:$P,13,0)</f>
        <v>12</v>
      </c>
    </row>
    <row r="263" spans="1:10" x14ac:dyDescent="0.35">
      <c r="A263" s="147"/>
      <c r="B263" s="147" t="s">
        <v>3877</v>
      </c>
      <c r="C263" s="83" t="str">
        <f>VLOOKUP($B263,'MAIN DATA, Orders'!$B:$P,3,0)</f>
        <v>Poland</v>
      </c>
      <c r="D263" s="83" t="str">
        <f>VLOOKUP($B263,'MAIN DATA, Orders'!$B:$P,6,0)</f>
        <v>M1150 ABV sapper tank</v>
      </c>
      <c r="E263" s="83" t="str">
        <f>VLOOKUP($B263,'MAIN DATA, Orders'!$B:$P,7,0)</f>
        <v>Anti-mine armoured vehicle</v>
      </c>
      <c r="F263" s="83" t="str">
        <f>VLOOKUP($B263,'MAIN DATA, Orders'!$B:$P,8,0)</f>
        <v>Armoured vehicle</v>
      </c>
      <c r="G263" s="31">
        <f>VLOOKUP($B263,'MAIN DATA, Orders'!$B:$P,9,0)</f>
        <v>2</v>
      </c>
      <c r="H263" s="8">
        <f>VLOOKUP($B263,'MAIN DATA, Orders'!$B:$P,14,0)</f>
        <v>4600000</v>
      </c>
      <c r="I263" s="8">
        <f>VLOOKUP($B263,'MAIN DATA, Orders'!$B:$P,15,0)</f>
        <v>4070796.4601769918</v>
      </c>
      <c r="J263" s="8">
        <f>VLOOKUP($B263,'MAIN DATA, Orders'!$B:$P,13,0)</f>
        <v>25</v>
      </c>
    </row>
    <row r="264" spans="1:10" x14ac:dyDescent="0.35">
      <c r="A264" s="147"/>
      <c r="B264" s="147" t="s">
        <v>3907</v>
      </c>
      <c r="C264" s="83" t="str">
        <f>VLOOKUP($B264,'MAIN DATA, Orders'!$B:$P,3,0)</f>
        <v>Poland</v>
      </c>
      <c r="D264" s="83" t="str">
        <f>VLOOKUP($B264,'MAIN DATA, Orders'!$B:$P,6,0)</f>
        <v>Passive Location Radars PET/PCL</v>
      </c>
      <c r="E264" s="83" t="str">
        <f>VLOOKUP($B264,'MAIN DATA, Orders'!$B:$P,7,0)</f>
        <v>Communication and digitalisation</v>
      </c>
      <c r="F264" s="83" t="str">
        <f>VLOOKUP($B264,'MAIN DATA, Orders'!$B:$P,8,0)</f>
        <v>Modernisation</v>
      </c>
      <c r="G264" s="31">
        <f>VLOOKUP($B264,'MAIN DATA, Orders'!$B:$P,9,0)</f>
        <v>13</v>
      </c>
      <c r="H264" s="8">
        <f>VLOOKUP($B264,'MAIN DATA, Orders'!$B:$P,14,0)</f>
        <v>139285714.2857143</v>
      </c>
      <c r="I264" s="8">
        <f>VLOOKUP($B264,'MAIN DATA, Orders'!$B:$P,15,0)</f>
        <v>32852728.79819664</v>
      </c>
      <c r="J264" s="8">
        <f>VLOOKUP($B264,'MAIN DATA, Orders'!$B:$P,13,0)</f>
        <v>28</v>
      </c>
    </row>
    <row r="265" spans="1:10" x14ac:dyDescent="0.35">
      <c r="A265" s="147"/>
      <c r="B265" s="147" t="s">
        <v>3940</v>
      </c>
      <c r="C265" s="83" t="str">
        <f>VLOOKUP($B265,'MAIN DATA, Orders'!$B:$P,3,0)</f>
        <v>Poland</v>
      </c>
      <c r="D265" s="83" t="str">
        <f>VLOOKUP($B265,'MAIN DATA, Orders'!$B:$P,6,0)</f>
        <v>A-26 submarine</v>
      </c>
      <c r="E265" s="83" t="str">
        <f>VLOOKUP($B265,'MAIN DATA, Orders'!$B:$P,7,0)</f>
        <v>Submarine</v>
      </c>
      <c r="F265" s="83" t="str">
        <f>VLOOKUP($B265,'MAIN DATA, Orders'!$B:$P,8,0)</f>
        <v>Naval</v>
      </c>
      <c r="G265" s="31">
        <f>VLOOKUP($B265,'MAIN DATA, Orders'!$B:$P,9,0)</f>
        <v>12</v>
      </c>
      <c r="H265" s="8">
        <f>VLOOKUP($B265,'MAIN DATA, Orders'!$B:$P,14,0)</f>
        <v>3333333333.3333335</v>
      </c>
      <c r="I265" s="8">
        <f>VLOOKUP($B265,'MAIN DATA, Orders'!$B:$P,15,0)</f>
        <v>786219150.72607338</v>
      </c>
      <c r="J265" s="8">
        <f>VLOOKUP($B265,'MAIN DATA, Orders'!$B:$P,13,0)</f>
        <v>3</v>
      </c>
    </row>
    <row r="266" spans="1:10" x14ac:dyDescent="0.35">
      <c r="A266" s="147"/>
      <c r="B266" s="147" t="s">
        <v>3956</v>
      </c>
      <c r="C266" s="83" t="str">
        <f>VLOOKUP($B266,'MAIN DATA, Orders'!$B:$P,3,0)</f>
        <v>Poland</v>
      </c>
      <c r="D266" s="83" t="str">
        <f>VLOOKUP($B266,'MAIN DATA, Orders'!$B:$P,6,0)</f>
        <v xml:space="preserve">Leopard 2 PLM1 tank simulator </v>
      </c>
      <c r="E266" s="83" t="str">
        <f>VLOOKUP($B266,'MAIN DATA, Orders'!$B:$P,7,0)</f>
        <v>Tank training simulator</v>
      </c>
      <c r="F266" s="83" t="str">
        <f>VLOOKUP($B266,'MAIN DATA, Orders'!$B:$P,8,0)</f>
        <v>Other</v>
      </c>
      <c r="G266" s="31">
        <f>VLOOKUP($B266,'MAIN DATA, Orders'!$B:$P,9,0)</f>
        <v>16</v>
      </c>
      <c r="H266" s="8">
        <f>VLOOKUP($B266,'MAIN DATA, Orders'!$B:$P,14,0)</f>
        <v>16666666.666666666</v>
      </c>
      <c r="I266" s="8">
        <f>VLOOKUP($B266,'MAIN DATA, Orders'!$B:$P,15,0)</f>
        <v>3931095.7536303666</v>
      </c>
      <c r="J266" s="8">
        <f>VLOOKUP($B266,'MAIN DATA, Orders'!$B:$P,13,0)</f>
        <v>6</v>
      </c>
    </row>
    <row r="267" spans="1:10" x14ac:dyDescent="0.35">
      <c r="A267" s="147"/>
      <c r="B267" s="147" t="s">
        <v>3967</v>
      </c>
      <c r="C267" s="83" t="str">
        <f>VLOOKUP($B267,'MAIN DATA, Orders'!$B:$P,3,0)</f>
        <v>Poland</v>
      </c>
      <c r="D267" s="83" t="str">
        <f>VLOOKUP($B267,'MAIN DATA, Orders'!$B:$P,6,0)</f>
        <v>SAN anti-drone air defence system</v>
      </c>
      <c r="E267" s="83" t="str">
        <f>VLOOKUP($B267,'MAIN DATA, Orders'!$B:$P,7,0)</f>
        <v>Anti-drone battery system</v>
      </c>
      <c r="F267" s="83" t="str">
        <f>VLOOKUP($B267,'MAIN DATA, Orders'!$B:$P,8,0)</f>
        <v>Air defence system</v>
      </c>
      <c r="G267" s="31">
        <f>VLOOKUP($B267,'MAIN DATA, Orders'!$B:$P,9,0)</f>
        <v>5</v>
      </c>
      <c r="H267" s="8">
        <f>VLOOKUP($B267,'MAIN DATA, Orders'!$B:$P,14,0)</f>
        <v>833333333.33333337</v>
      </c>
      <c r="I267" s="8">
        <f>VLOOKUP($B267,'MAIN DATA, Orders'!$B:$P,15,0)</f>
        <v>197814544.90785801</v>
      </c>
      <c r="J267" s="8">
        <f>VLOOKUP($B267,'MAIN DATA, Orders'!$B:$P,13,0)</f>
        <v>18</v>
      </c>
    </row>
    <row r="268" spans="1:10" x14ac:dyDescent="0.35">
      <c r="A268" s="27"/>
      <c r="B268" s="27" t="s">
        <v>3996</v>
      </c>
      <c r="C268" s="83" t="str">
        <f>VLOOKUP($B268,'MAIN DATA, Orders'!$B:$P,3,0)</f>
        <v>France</v>
      </c>
      <c r="D268" s="83" t="str">
        <f>VLOOKUP($B268,'MAIN DATA, Orders'!$B:$P,6,0)</f>
        <v>Hawkeye (E2D) surveillance aircraft</v>
      </c>
      <c r="E268" s="83" t="str">
        <f>VLOOKUP($B268,'MAIN DATA, Orders'!$B:$P,7,0)</f>
        <v>Surveillance aircraft</v>
      </c>
      <c r="F268" s="83" t="str">
        <f>VLOOKUP($B268,'MAIN DATA, Orders'!$B:$P,8,0)</f>
        <v>Aircraft</v>
      </c>
      <c r="G268" s="31">
        <f>VLOOKUP($B268,'MAIN DATA, Orders'!$B:$P,9,0)</f>
        <v>11</v>
      </c>
      <c r="H268" s="8">
        <f>VLOOKUP($B268,'MAIN DATA, Orders'!$B:$P,14,0)</f>
        <v>666666666.66666663</v>
      </c>
      <c r="I268" s="8">
        <f>VLOOKUP($B268,'MAIN DATA, Orders'!$B:$P,15,0)</f>
        <v>583668942.97554421</v>
      </c>
      <c r="J268" s="8">
        <f>VLOOKUP($B268,'MAIN DATA, Orders'!$B:$P,13,0)</f>
        <v>3</v>
      </c>
    </row>
    <row r="269" spans="1:10" x14ac:dyDescent="0.35">
      <c r="A269" s="27"/>
      <c r="B269" s="27" t="s">
        <v>4002</v>
      </c>
      <c r="C269" s="83" t="str">
        <f>VLOOKUP($B269,'MAIN DATA, Orders'!$B:$P,3,0)</f>
        <v>France</v>
      </c>
      <c r="D269" s="83" t="str">
        <f>VLOOKUP($B269,'MAIN DATA, Orders'!$B:$P,6,0)</f>
        <v>Maritime surveillance and intervention aircraft</v>
      </c>
      <c r="E269" s="83" t="str">
        <f>VLOOKUP($B269,'MAIN DATA, Orders'!$B:$P,7,0)</f>
        <v>Naval surveillance aircraft</v>
      </c>
      <c r="F269" s="83" t="str">
        <f>VLOOKUP($B269,'MAIN DATA, Orders'!$B:$P,8,0)</f>
        <v>Naval</v>
      </c>
      <c r="G269" s="31">
        <f>VLOOKUP($B269,'MAIN DATA, Orders'!$B:$P,9,0)</f>
        <v>12</v>
      </c>
      <c r="H269" s="8">
        <f>VLOOKUP($B269,'MAIN DATA, Orders'!$B:$P,14,0)</f>
        <v>108333333.28571428</v>
      </c>
      <c r="I269" s="8">
        <f>VLOOKUP($B269,'MAIN DATA, Orders'!$B:$P,15,0)</f>
        <v>108333333.28571428</v>
      </c>
      <c r="J269" s="8">
        <f>VLOOKUP($B269,'MAIN DATA, Orders'!$B:$P,13,0)</f>
        <v>7</v>
      </c>
    </row>
    <row r="270" spans="1:10" x14ac:dyDescent="0.35">
      <c r="A270" s="27"/>
      <c r="B270" s="27" t="s">
        <v>4021</v>
      </c>
      <c r="C270" s="83" t="str">
        <f>VLOOKUP($B270,'MAIN DATA, Orders'!$B:$P,3,0)</f>
        <v>France</v>
      </c>
      <c r="D270" s="83" t="str">
        <f>VLOOKUP($B270,'MAIN DATA, Orders'!$B:$P,6,0)</f>
        <v>Multi-role transport aircraft A330-MRTT</v>
      </c>
      <c r="E270" s="83" t="str">
        <f>VLOOKUP($B270,'MAIN DATA, Orders'!$B:$P,7,0)</f>
        <v>Transport aircraft</v>
      </c>
      <c r="F270" s="83" t="str">
        <f>VLOOKUP($B270,'MAIN DATA, Orders'!$B:$P,8,0)</f>
        <v>Aircraft</v>
      </c>
      <c r="G270" s="31">
        <f>VLOOKUP($B270,'MAIN DATA, Orders'!$B:$P,9,0)</f>
        <v>11</v>
      </c>
      <c r="H270" s="8">
        <f>VLOOKUP($B270,'MAIN DATA, Orders'!$B:$P,14,0)</f>
        <v>66666666.666666664</v>
      </c>
      <c r="I270" s="8">
        <f>VLOOKUP($B270,'MAIN DATA, Orders'!$B:$P,15,0)</f>
        <v>66666666.666666664</v>
      </c>
      <c r="J270" s="8">
        <f>VLOOKUP($B270,'MAIN DATA, Orders'!$B:$P,13,0)</f>
        <v>3</v>
      </c>
    </row>
    <row r="271" spans="1:10" x14ac:dyDescent="0.35">
      <c r="A271" s="27"/>
      <c r="B271" s="27" t="s">
        <v>4042</v>
      </c>
      <c r="C271" s="83" t="str">
        <f>VLOOKUP($B271,'MAIN DATA, Orders'!$B:$P,3,0)</f>
        <v>France</v>
      </c>
      <c r="D271" s="83" t="str">
        <f>VLOOKUP($B271,'MAIN DATA, Orders'!$B:$P,6,0)</f>
        <v>Eurodrone system</v>
      </c>
      <c r="E271" s="83" t="str">
        <f>VLOOKUP($B271,'MAIN DATA, Orders'!$B:$P,7,0)</f>
        <v>Reconnaisance drone</v>
      </c>
      <c r="F271" s="83" t="str">
        <f>VLOOKUP($B271,'MAIN DATA, Orders'!$B:$P,8,0)</f>
        <v>Drone</v>
      </c>
      <c r="G271" s="31">
        <f>VLOOKUP($B271,'MAIN DATA, Orders'!$B:$P,9,0)</f>
        <v>7</v>
      </c>
      <c r="H271" s="8">
        <f>VLOOKUP($B271,'MAIN DATA, Orders'!$B:$P,14,0)</f>
        <v>355000000</v>
      </c>
      <c r="I271" s="8">
        <f>VLOOKUP($B271,'MAIN DATA, Orders'!$B:$P,15,0)</f>
        <v>355000000</v>
      </c>
      <c r="J271" s="8">
        <f>VLOOKUP($B271,'MAIN DATA, Orders'!$B:$P,13,0)</f>
        <v>4</v>
      </c>
    </row>
    <row r="272" spans="1:10" x14ac:dyDescent="0.35">
      <c r="A272" s="27"/>
      <c r="B272" s="27" t="s">
        <v>4106</v>
      </c>
      <c r="C272" s="83" t="str">
        <f>VLOOKUP($B272,'MAIN DATA, Orders'!$B:$P,3,0)</f>
        <v>France</v>
      </c>
      <c r="D272" s="83" t="str">
        <f>VLOOKUP($B272,'MAIN DATA, Orders'!$B:$P,6,0)</f>
        <v>Fardier airborne all-terrain vehicle</v>
      </c>
      <c r="E272" s="83" t="str">
        <f>VLOOKUP($B272,'MAIN DATA, Orders'!$B:$P,7,0)</f>
        <v>Small all-terrain transport vehicle</v>
      </c>
      <c r="F272" s="83" t="str">
        <f>VLOOKUP($B272,'MAIN DATA, Orders'!$B:$P,8,0)</f>
        <v>Other</v>
      </c>
      <c r="G272" s="31">
        <f>VLOOKUP($B272,'MAIN DATA, Orders'!$B:$P,9,0)</f>
        <v>16</v>
      </c>
      <c r="H272" s="8">
        <f>VLOOKUP($B272,'MAIN DATA, Orders'!$B:$P,14,0)</f>
        <v>244444.44444444444</v>
      </c>
      <c r="I272" s="8">
        <f>VLOOKUP($B272,'MAIN DATA, Orders'!$B:$P,15,0)</f>
        <v>244444.44444444444</v>
      </c>
      <c r="J272" s="8">
        <f>VLOOKUP($B272,'MAIN DATA, Orders'!$B:$P,13,0)</f>
        <v>180</v>
      </c>
    </row>
    <row r="273" spans="1:10" x14ac:dyDescent="0.35">
      <c r="A273" s="27"/>
      <c r="B273" s="27" t="s">
        <v>4144</v>
      </c>
      <c r="C273" s="83" t="str">
        <f>VLOOKUP($B273,'MAIN DATA, Orders'!$B:$P,3,0)</f>
        <v>France</v>
      </c>
      <c r="D273" s="83" t="str">
        <f>VLOOKUP($B273,'MAIN DATA, Orders'!$B:$P,6,0)</f>
        <v>CAESAR</v>
      </c>
      <c r="E273" s="83" t="str">
        <f>VLOOKUP($B273,'MAIN DATA, Orders'!$B:$P,7,0)</f>
        <v>155mm howitzer</v>
      </c>
      <c r="F273" s="83" t="str">
        <f>VLOOKUP($B273,'MAIN DATA, Orders'!$B:$P,8,0)</f>
        <v>Artillery</v>
      </c>
      <c r="G273" s="31">
        <f>VLOOKUP($B273,'MAIN DATA, Orders'!$B:$P,9,0)</f>
        <v>3</v>
      </c>
      <c r="H273" s="8">
        <f>VLOOKUP($B273,'MAIN DATA, Orders'!$B:$P,14,0)</f>
        <v>3211009.1743119266</v>
      </c>
      <c r="I273" s="8">
        <f>VLOOKUP($B273,'MAIN DATA, Orders'!$B:$P,15,0)</f>
        <v>3211009.1743119266</v>
      </c>
      <c r="J273" s="8">
        <f>VLOOKUP($B273,'MAIN DATA, Orders'!$B:$P,13,0)</f>
        <v>109</v>
      </c>
    </row>
    <row r="274" spans="1:10" x14ac:dyDescent="0.35">
      <c r="A274" s="27"/>
      <c r="B274" s="27" t="s">
        <v>4163</v>
      </c>
      <c r="C274" s="83" t="str">
        <f>VLOOKUP($B274,'MAIN DATA, Orders'!$B:$P,3,0)</f>
        <v>France</v>
      </c>
      <c r="D274" s="83" t="str">
        <f>VLOOKUP($B274,'MAIN DATA, Orders'!$B:$P,6,0)</f>
        <v>SAMP-T NG system (retrofit)</v>
      </c>
      <c r="E274" s="83" t="str">
        <f>VLOOKUP($B274,'MAIN DATA, Orders'!$B:$P,7,0)</f>
        <v>Anti-aircraft surface-to-air missile (SAM) system (long-range)</v>
      </c>
      <c r="F274" s="83" t="str">
        <f>VLOOKUP($B274,'MAIN DATA, Orders'!$B:$P,8,0)</f>
        <v>Air defence system</v>
      </c>
      <c r="G274" s="31">
        <f>VLOOKUP($B274,'MAIN DATA, Orders'!$B:$P,9,0)</f>
        <v>5</v>
      </c>
      <c r="H274" s="8">
        <f>VLOOKUP($B274,'MAIN DATA, Orders'!$B:$P,14,0)</f>
        <v>75000000</v>
      </c>
      <c r="I274" s="8">
        <f>VLOOKUP($B274,'MAIN DATA, Orders'!$B:$P,15,0)</f>
        <v>75000000</v>
      </c>
      <c r="J274" s="8">
        <f>VLOOKUP($B274,'MAIN DATA, Orders'!$B:$P,13,0)</f>
        <v>8</v>
      </c>
    </row>
    <row r="275" spans="1:10" x14ac:dyDescent="0.35">
      <c r="A275" s="27"/>
    </row>
    <row r="276" spans="1:10" x14ac:dyDescent="0.35">
      <c r="A276" s="27"/>
      <c r="B276" s="53" t="s">
        <v>4235</v>
      </c>
    </row>
    <row r="277" spans="1:10" x14ac:dyDescent="0.35">
      <c r="A277" s="27"/>
      <c r="B277" s="147"/>
    </row>
    <row r="278" spans="1:10" x14ac:dyDescent="0.35">
      <c r="A278" s="27"/>
      <c r="B278" s="147" t="s">
        <v>126</v>
      </c>
      <c r="C278" s="83" t="str">
        <f>VLOOKUP($B278,'MAIN DATA, Orders'!$B:$P,3,0)</f>
        <v>Germany</v>
      </c>
      <c r="D278" s="83" t="str">
        <f>VLOOKUP($B278,'MAIN DATA, Orders'!$B:$P,6,0)</f>
        <v>Heron 1 operation contract extension</v>
      </c>
      <c r="E278" s="83" t="str">
        <f>VLOOKUP($B278,'MAIN DATA, Orders'!$B:$P,7,0)</f>
        <v>Medium-altitude long-endurance (MALE) unmanned aerial vehicle (UAV)</v>
      </c>
      <c r="F278" s="83" t="str">
        <f>VLOOKUP($B278,'MAIN DATA, Orders'!$B:$P,8,0)</f>
        <v>Drone</v>
      </c>
      <c r="G278" s="31">
        <f>VLOOKUP($B278,'MAIN DATA, Orders'!$B:$P,9,0)</f>
        <v>7</v>
      </c>
      <c r="H278" s="8">
        <f>VLOOKUP($B278,'MAIN DATA, Orders'!$B:$P,14,0)</f>
        <v>30000000</v>
      </c>
      <c r="I278" s="8">
        <f>VLOOKUP($B278,'MAIN DATA, Orders'!$B:$P,15,0)</f>
        <v>30000000</v>
      </c>
      <c r="J278" s="8">
        <f>VLOOKUP($B278,'MAIN DATA, Orders'!$B:$P,13,0)</f>
        <v>1</v>
      </c>
    </row>
    <row r="279" spans="1:10" x14ac:dyDescent="0.35">
      <c r="A279" s="27"/>
      <c r="B279" s="147" t="s">
        <v>165</v>
      </c>
      <c r="C279" s="83" t="str">
        <f>VLOOKUP($B279,'MAIN DATA, Orders'!$B:$P,3,0)</f>
        <v>Germany</v>
      </c>
      <c r="D279" s="83" t="str">
        <f>VLOOKUP($B279,'MAIN DATA, Orders'!$B:$P,6,0)</f>
        <v>Hercules follow-up project (HFP) contract extension</v>
      </c>
      <c r="E279" s="83" t="str">
        <f>VLOOKUP($B279,'MAIN DATA, Orders'!$B:$P,7,0)</f>
        <v>Communication and digitalisation</v>
      </c>
      <c r="F279" s="83" t="str">
        <f>VLOOKUP($B279,'MAIN DATA, Orders'!$B:$P,8,0)</f>
        <v>Modernisation</v>
      </c>
      <c r="G279" s="31">
        <f>VLOOKUP($B279,'MAIN DATA, Orders'!$B:$P,9,0)</f>
        <v>13</v>
      </c>
      <c r="H279" s="8">
        <f>VLOOKUP($B279,'MAIN DATA, Orders'!$B:$P,14,0)</f>
        <v>1150000000</v>
      </c>
      <c r="I279" s="8">
        <f>VLOOKUP($B279,'MAIN DATA, Orders'!$B:$P,15,0)</f>
        <v>1150000000</v>
      </c>
      <c r="J279" s="8">
        <f>VLOOKUP($B279,'MAIN DATA, Orders'!$B:$P,13,0)</f>
        <v>4</v>
      </c>
    </row>
    <row r="280" spans="1:10" x14ac:dyDescent="0.35">
      <c r="A280" s="27"/>
      <c r="B280" s="147" t="s">
        <v>180</v>
      </c>
      <c r="C280" s="83" t="str">
        <f>VLOOKUP($B280,'MAIN DATA, Orders'!$B:$P,3,0)</f>
        <v>Germany</v>
      </c>
      <c r="D280" s="83" t="str">
        <f>VLOOKUP($B280,'MAIN DATA, Orders'!$B:$P,6,0)</f>
        <v>BWI contract extension</v>
      </c>
      <c r="E280" s="83" t="str">
        <f>VLOOKUP($B280,'MAIN DATA, Orders'!$B:$P,7,0)</f>
        <v>Communication and digitalisation</v>
      </c>
      <c r="F280" s="83" t="str">
        <f>VLOOKUP($B280,'MAIN DATA, Orders'!$B:$P,8,0)</f>
        <v>Modernisation</v>
      </c>
      <c r="G280" s="31">
        <f>VLOOKUP($B280,'MAIN DATA, Orders'!$B:$P,9,0)</f>
        <v>13</v>
      </c>
      <c r="H280" s="8">
        <f>VLOOKUP($B280,'MAIN DATA, Orders'!$B:$P,14,0)</f>
        <v>228571428.57142857</v>
      </c>
      <c r="I280" s="8">
        <f>VLOOKUP($B280,'MAIN DATA, Orders'!$B:$P,15,0)</f>
        <v>228571428.57142857</v>
      </c>
      <c r="J280" s="8">
        <f>VLOOKUP($B280,'MAIN DATA, Orders'!$B:$P,13,0)</f>
        <v>7</v>
      </c>
    </row>
    <row r="281" spans="1:10" x14ac:dyDescent="0.35">
      <c r="A281" s="27"/>
      <c r="B281" s="147" t="s">
        <v>219</v>
      </c>
      <c r="C281" s="83" t="str">
        <f>VLOOKUP($B281,'MAIN DATA, Orders'!$B:$P,3,0)</f>
        <v>Germany</v>
      </c>
      <c r="D281" s="83" t="str">
        <f>VLOOKUP($B281,'MAIN DATA, Orders'!$B:$P,6,0)</f>
        <v>Clothing and personal equipment contract extension</v>
      </c>
      <c r="E281" s="83" t="str">
        <f>VLOOKUP($B281,'MAIN DATA, Orders'!$B:$P,7,0)</f>
        <v>Clothing and personal equipment</v>
      </c>
      <c r="F281" s="83" t="str">
        <f>VLOOKUP($B281,'MAIN DATA, Orders'!$B:$P,8,0)</f>
        <v>Modernisation</v>
      </c>
      <c r="G281" s="31">
        <f>VLOOKUP($B281,'MAIN DATA, Orders'!$B:$P,9,0)</f>
        <v>13</v>
      </c>
      <c r="H281" s="8">
        <f>VLOOKUP($B281,'MAIN DATA, Orders'!$B:$P,14,0)</f>
        <v>93333333.333333328</v>
      </c>
      <c r="I281" s="8">
        <f>VLOOKUP($B281,'MAIN DATA, Orders'!$B:$P,15,0)</f>
        <v>93333333.333333328</v>
      </c>
      <c r="J281" s="8">
        <f>VLOOKUP($B281,'MAIN DATA, Orders'!$B:$P,13,0)</f>
        <v>3</v>
      </c>
    </row>
    <row r="282" spans="1:10" x14ac:dyDescent="0.35">
      <c r="A282" s="27"/>
      <c r="B282" s="147" t="s">
        <v>403</v>
      </c>
      <c r="C282" s="83" t="str">
        <f>VLOOKUP($B282,'MAIN DATA, Orders'!$B:$P,3,0)</f>
        <v>Germany</v>
      </c>
      <c r="D282" s="83" t="str">
        <f>VLOOKUP($B282,'MAIN DATA, Orders'!$B:$P,6,0)</f>
        <v>Clothing and personal equipment contract extension</v>
      </c>
      <c r="E282" s="83" t="str">
        <f>VLOOKUP($B282,'MAIN DATA, Orders'!$B:$P,7,0)</f>
        <v>Clothing and personal equipment</v>
      </c>
      <c r="F282" s="83" t="str">
        <f>VLOOKUP($B282,'MAIN DATA, Orders'!$B:$P,8,0)</f>
        <v>Modernisation</v>
      </c>
      <c r="G282" s="31">
        <f>VLOOKUP($B282,'MAIN DATA, Orders'!$B:$P,9,0)</f>
        <v>13</v>
      </c>
      <c r="H282" s="8">
        <f>VLOOKUP($B282,'MAIN DATA, Orders'!$B:$P,14,0)</f>
        <v>47500000</v>
      </c>
      <c r="I282" s="8">
        <f>VLOOKUP($B282,'MAIN DATA, Orders'!$B:$P,15,0)</f>
        <v>47500000</v>
      </c>
      <c r="J282" s="8">
        <f>VLOOKUP($B282,'MAIN DATA, Orders'!$B:$P,13,0)</f>
        <v>2</v>
      </c>
    </row>
    <row r="283" spans="1:10" x14ac:dyDescent="0.35">
      <c r="A283" s="27"/>
      <c r="B283" s="147" t="s">
        <v>421</v>
      </c>
      <c r="C283" s="83" t="str">
        <f>VLOOKUP($B283,'MAIN DATA, Orders'!$B:$P,3,0)</f>
        <v>Germany</v>
      </c>
      <c r="D283" s="83" t="str">
        <f>VLOOKUP($B283,'MAIN DATA, Orders'!$B:$P,6,0)</f>
        <v>Future Combat Air System project contract extension</v>
      </c>
      <c r="E283" s="83" t="str">
        <f>VLOOKUP($B283,'MAIN DATA, Orders'!$B:$P,7,0)</f>
        <v>Combat aircraft system development</v>
      </c>
      <c r="F283" s="83" t="str">
        <f>VLOOKUP($B283,'MAIN DATA, Orders'!$B:$P,8,0)</f>
        <v>Development - Aircraft</v>
      </c>
      <c r="G283" s="31">
        <f>VLOOKUP($B283,'MAIN DATA, Orders'!$B:$P,9,0)</f>
        <v>15</v>
      </c>
      <c r="H283" s="8">
        <f>VLOOKUP($B283,'MAIN DATA, Orders'!$B:$P,14,0)</f>
        <v>628571428.57142854</v>
      </c>
      <c r="I283" s="8">
        <f>VLOOKUP($B283,'MAIN DATA, Orders'!$B:$P,15,0)</f>
        <v>628571428.57142854</v>
      </c>
      <c r="J283" s="8">
        <f>VLOOKUP($B283,'MAIN DATA, Orders'!$B:$P,13,0)</f>
        <v>7</v>
      </c>
    </row>
    <row r="284" spans="1:10" x14ac:dyDescent="0.35">
      <c r="A284" s="27"/>
      <c r="B284" s="147" t="s">
        <v>505</v>
      </c>
      <c r="C284" s="83" t="str">
        <f>VLOOKUP($B284,'MAIN DATA, Orders'!$B:$P,3,0)</f>
        <v>Germany</v>
      </c>
      <c r="D284" s="83" t="str">
        <f>VLOOKUP($B284,'MAIN DATA, Orders'!$B:$P,6,0)</f>
        <v>Secure Inter- Network Architecture (SINA) contract extension</v>
      </c>
      <c r="E284" s="83" t="str">
        <f>VLOOKUP($B284,'MAIN DATA, Orders'!$B:$P,7,0)</f>
        <v>Communication and digitalisation</v>
      </c>
      <c r="F284" s="83" t="str">
        <f>VLOOKUP($B284,'MAIN DATA, Orders'!$B:$P,8,0)</f>
        <v>Modernisation</v>
      </c>
      <c r="G284" s="31">
        <f>VLOOKUP($B284,'MAIN DATA, Orders'!$B:$P,9,0)</f>
        <v>13</v>
      </c>
      <c r="H284" s="8">
        <f>VLOOKUP($B284,'MAIN DATA, Orders'!$B:$P,14,0)</f>
        <v>218500000</v>
      </c>
      <c r="I284" s="8">
        <f>VLOOKUP($B284,'MAIN DATA, Orders'!$B:$P,15,0)</f>
        <v>218500000</v>
      </c>
      <c r="J284" s="8">
        <f>VLOOKUP($B284,'MAIN DATA, Orders'!$B:$P,13,0)</f>
        <v>4</v>
      </c>
    </row>
    <row r="285" spans="1:10" x14ac:dyDescent="0.35">
      <c r="A285" s="27"/>
      <c r="B285" s="147" t="s">
        <v>599</v>
      </c>
      <c r="C285" s="83" t="str">
        <f>VLOOKUP($B285,'MAIN DATA, Orders'!$B:$P,3,0)</f>
        <v>Germany</v>
      </c>
      <c r="D285" s="83" t="str">
        <f>VLOOKUP($B285,'MAIN DATA, Orders'!$B:$P,6,0)</f>
        <v>SALIS (Strategic Airlift International Solution) contract extension</v>
      </c>
      <c r="E285" s="83" t="str">
        <f>VLOOKUP($B285,'MAIN DATA, Orders'!$B:$P,7,0)</f>
        <v>Airforce operational readiness</v>
      </c>
      <c r="F285" s="83" t="str">
        <f>VLOOKUP($B285,'MAIN DATA, Orders'!$B:$P,8,0)</f>
        <v>Aircraft</v>
      </c>
      <c r="G285" s="31">
        <f>VLOOKUP($B285,'MAIN DATA, Orders'!$B:$P,9,0)</f>
        <v>11</v>
      </c>
      <c r="H285" s="8">
        <f>VLOOKUP($B285,'MAIN DATA, Orders'!$B:$P,14,0)</f>
        <v>41200000</v>
      </c>
      <c r="I285" s="8">
        <f>VLOOKUP($B285,'MAIN DATA, Orders'!$B:$P,15,0)</f>
        <v>41200000</v>
      </c>
      <c r="J285" s="8">
        <f>VLOOKUP($B285,'MAIN DATA, Orders'!$B:$P,13,0)</f>
        <v>5</v>
      </c>
    </row>
    <row r="286" spans="1:10" x14ac:dyDescent="0.35">
      <c r="A286" s="27"/>
      <c r="B286" s="147" t="s">
        <v>651</v>
      </c>
      <c r="C286" s="83" t="str">
        <f>VLOOKUP($B286,'MAIN DATA, Orders'!$B:$P,3,0)</f>
        <v>Germany</v>
      </c>
      <c r="D286" s="83" t="str">
        <f>VLOOKUP($B286,'MAIN DATA, Orders'!$B:$P,6,0)</f>
        <v>Spare parts logistics ZEBEL contract extension</v>
      </c>
      <c r="E286" s="83" t="str">
        <f>VLOOKUP($B286,'MAIN DATA, Orders'!$B:$P,7,0)</f>
        <v>Spare parts logistics</v>
      </c>
      <c r="F286" s="83" t="str">
        <f>VLOOKUP($B286,'MAIN DATA, Orders'!$B:$P,8,0)</f>
        <v>Maintenance</v>
      </c>
      <c r="G286" s="31">
        <f>VLOOKUP($B286,'MAIN DATA, Orders'!$B:$P,9,0)</f>
        <v>14</v>
      </c>
      <c r="H286" s="8">
        <f>VLOOKUP($B286,'MAIN DATA, Orders'!$B:$P,14,0)</f>
        <v>25950000</v>
      </c>
      <c r="I286" s="8">
        <f>VLOOKUP($B286,'MAIN DATA, Orders'!$B:$P,15,0)</f>
        <v>25950000</v>
      </c>
      <c r="J286" s="8">
        <f>VLOOKUP($B286,'MAIN DATA, Orders'!$B:$P,13,0)</f>
        <v>2</v>
      </c>
    </row>
    <row r="287" spans="1:10" x14ac:dyDescent="0.35">
      <c r="A287" s="27"/>
      <c r="B287" s="147" t="s">
        <v>674</v>
      </c>
      <c r="C287" s="83" t="str">
        <f>VLOOKUP($B287,'MAIN DATA, Orders'!$B:$P,3,0)</f>
        <v>Germany</v>
      </c>
      <c r="D287" s="83" t="str">
        <f>VLOOKUP($B287,'MAIN DATA, Orders'!$B:$P,6,0)</f>
        <v>Level 2 satellite communications contract extension</v>
      </c>
      <c r="E287" s="83" t="str">
        <f>VLOOKUP($B287,'MAIN DATA, Orders'!$B:$P,7,0)</f>
        <v>Communication and digitalisation</v>
      </c>
      <c r="F287" s="83" t="str">
        <f>VLOOKUP($B287,'MAIN DATA, Orders'!$B:$P,8,0)</f>
        <v>Modernisation</v>
      </c>
      <c r="G287" s="31">
        <f>VLOOKUP($B287,'MAIN DATA, Orders'!$B:$P,9,0)</f>
        <v>13</v>
      </c>
      <c r="H287" s="8">
        <f>VLOOKUP($B287,'MAIN DATA, Orders'!$B:$P,14,0)</f>
        <v>12400000</v>
      </c>
      <c r="I287" s="8">
        <f>VLOOKUP($B287,'MAIN DATA, Orders'!$B:$P,15,0)</f>
        <v>12400000</v>
      </c>
      <c r="J287" s="8">
        <f>VLOOKUP($B287,'MAIN DATA, Orders'!$B:$P,13,0)</f>
        <v>5</v>
      </c>
    </row>
    <row r="288" spans="1:10" x14ac:dyDescent="0.35">
      <c r="A288" s="27"/>
      <c r="B288" s="147" t="s">
        <v>754</v>
      </c>
      <c r="C288" s="83" t="str">
        <f>VLOOKUP($B288,'MAIN DATA, Orders'!$B:$P,3,0)</f>
        <v>Germany</v>
      </c>
      <c r="D288" s="83" t="str">
        <f>VLOOKUP($B288,'MAIN DATA, Orders'!$B:$P,6,0)</f>
        <v>Bundeswehr Cyber ​​Innovation Hub contract extension</v>
      </c>
      <c r="E288" s="83" t="str">
        <f>VLOOKUP($B288,'MAIN DATA, Orders'!$B:$P,7,0)</f>
        <v>Communication and digitalisation</v>
      </c>
      <c r="F288" s="83" t="str">
        <f>VLOOKUP($B288,'MAIN DATA, Orders'!$B:$P,8,0)</f>
        <v>Modernisation</v>
      </c>
      <c r="G288" s="31">
        <f>VLOOKUP($B288,'MAIN DATA, Orders'!$B:$P,9,0)</f>
        <v>13</v>
      </c>
      <c r="H288" s="8">
        <f>VLOOKUP($B288,'MAIN DATA, Orders'!$B:$P,14,0)</f>
        <v>10000000</v>
      </c>
      <c r="I288" s="8">
        <f>VLOOKUP($B288,'MAIN DATA, Orders'!$B:$P,15,0)</f>
        <v>10000000</v>
      </c>
      <c r="J288" s="8">
        <f>VLOOKUP($B288,'MAIN DATA, Orders'!$B:$P,13,0)</f>
        <v>5</v>
      </c>
    </row>
    <row r="289" spans="1:10" x14ac:dyDescent="0.35">
      <c r="A289" s="27"/>
      <c r="B289" s="147" t="s">
        <v>800</v>
      </c>
      <c r="C289" s="83" t="str">
        <f>VLOOKUP($B289,'MAIN DATA, Orders'!$B:$P,3,0)</f>
        <v>Germany</v>
      </c>
      <c r="D289" s="83" t="str">
        <f>VLOOKUP($B289,'MAIN DATA, Orders'!$B:$P,6,0)</f>
        <v>COMSATBw 1 and 2 satellites contract extension</v>
      </c>
      <c r="E289" s="83" t="str">
        <f>VLOOKUP($B289,'MAIN DATA, Orders'!$B:$P,7,0)</f>
        <v>Communication and digitalisation</v>
      </c>
      <c r="F289" s="83" t="str">
        <f>VLOOKUP($B289,'MAIN DATA, Orders'!$B:$P,8,0)</f>
        <v>Modernisation</v>
      </c>
      <c r="G289" s="31">
        <f>VLOOKUP($B289,'MAIN DATA, Orders'!$B:$P,9,0)</f>
        <v>13</v>
      </c>
      <c r="H289" s="8">
        <f>VLOOKUP($B289,'MAIN DATA, Orders'!$B:$P,14,0)</f>
        <v>10560000</v>
      </c>
      <c r="I289" s="8">
        <f>VLOOKUP($B289,'MAIN DATA, Orders'!$B:$P,15,0)</f>
        <v>10560000</v>
      </c>
      <c r="J289" s="8">
        <f>VLOOKUP($B289,'MAIN DATA, Orders'!$B:$P,13,0)</f>
        <v>5</v>
      </c>
    </row>
    <row r="290" spans="1:10" x14ac:dyDescent="0.35">
      <c r="A290" s="27"/>
      <c r="B290" s="147" t="s">
        <v>1079</v>
      </c>
      <c r="C290" s="83" t="str">
        <f>VLOOKUP($B290,'MAIN DATA, Orders'!$B:$P,3,0)</f>
        <v>Germany</v>
      </c>
      <c r="D290" s="83" t="str">
        <f>VLOOKUP($B290,'MAIN DATA, Orders'!$B:$P,6,0)</f>
        <v>Military vehicle maintentance contract extension</v>
      </c>
      <c r="E290" s="83" t="str">
        <f>VLOOKUP($B290,'MAIN DATA, Orders'!$B:$P,7,0)</f>
        <v>Military vehicle maintentance</v>
      </c>
      <c r="F290" s="83" t="str">
        <f>VLOOKUP($B290,'MAIN DATA, Orders'!$B:$P,8,0)</f>
        <v>Maintenance</v>
      </c>
      <c r="G290" s="31">
        <f>VLOOKUP($B290,'MAIN DATA, Orders'!$B:$P,9,0)</f>
        <v>14</v>
      </c>
      <c r="H290" s="8">
        <f>VLOOKUP($B290,'MAIN DATA, Orders'!$B:$P,14,0)</f>
        <v>1340000000</v>
      </c>
      <c r="I290" s="8">
        <f>VLOOKUP($B290,'MAIN DATA, Orders'!$B:$P,15,0)</f>
        <v>1340000000</v>
      </c>
      <c r="J290" s="8">
        <f>VLOOKUP($B290,'MAIN DATA, Orders'!$B:$P,13,0)</f>
        <v>10</v>
      </c>
    </row>
    <row r="291" spans="1:10" x14ac:dyDescent="0.35">
      <c r="A291" s="27"/>
      <c r="B291" s="147" t="s">
        <v>1209</v>
      </c>
      <c r="C291" s="83" t="str">
        <f>VLOOKUP($B291,'MAIN DATA, Orders'!$B:$P,3,0)</f>
        <v>Germany</v>
      </c>
      <c r="D291" s="83" t="str">
        <f>VLOOKUP($B291,'MAIN DATA, Orders'!$B:$P,6,0)</f>
        <v>Heavy infantry weapon carrier maintenance</v>
      </c>
      <c r="E291" s="83" t="str">
        <f>VLOOKUP($B291,'MAIN DATA, Orders'!$B:$P,7,0)</f>
        <v>Armored fighting vehicle maintenance</v>
      </c>
      <c r="F291" s="83" t="str">
        <f>VLOOKUP($B291,'MAIN DATA, Orders'!$B:$P,8,0)</f>
        <v>Maintenance</v>
      </c>
      <c r="G291" s="31">
        <f>VLOOKUP($B291,'MAIN DATA, Orders'!$B:$P,9,0)</f>
        <v>14</v>
      </c>
      <c r="H291" s="8">
        <f>VLOOKUP($B291,'MAIN DATA, Orders'!$B:$P,14,0)</f>
        <v>149380000</v>
      </c>
      <c r="I291" s="8">
        <f>VLOOKUP($B291,'MAIN DATA, Orders'!$B:$P,15,0)</f>
        <v>149380000</v>
      </c>
      <c r="J291" s="8">
        <f>VLOOKUP($B291,'MAIN DATA, Orders'!$B:$P,13,0)</f>
        <v>5</v>
      </c>
    </row>
    <row r="292" spans="1:10" x14ac:dyDescent="0.35">
      <c r="A292" s="27"/>
      <c r="B292" s="147" t="s">
        <v>1440</v>
      </c>
      <c r="C292" s="83" t="str">
        <f>VLOOKUP($B292,'MAIN DATA, Orders'!$B:$P,3,0)</f>
        <v>Germany</v>
      </c>
      <c r="D292" s="83" t="str">
        <f>VLOOKUP($B292,'MAIN DATA, Orders'!$B:$P,6,0)</f>
        <v>NH-90 Sea Lion and Sea Tiger training contract</v>
      </c>
      <c r="E292" s="83" t="str">
        <f>VLOOKUP($B292,'MAIN DATA, Orders'!$B:$P,7,0)</f>
        <v>Maritime frigate attack helicopter</v>
      </c>
      <c r="F292" s="83" t="str">
        <f>VLOOKUP($B292,'MAIN DATA, Orders'!$B:$P,8,0)</f>
        <v>Aircraft</v>
      </c>
      <c r="G292" s="31">
        <f>VLOOKUP($B292,'MAIN DATA, Orders'!$B:$P,9,0)</f>
        <v>11</v>
      </c>
      <c r="H292" s="8">
        <f>VLOOKUP($B292,'MAIN DATA, Orders'!$B:$P,14,0)</f>
        <v>24285714.285714287</v>
      </c>
      <c r="I292" s="8">
        <f>VLOOKUP($B292,'MAIN DATA, Orders'!$B:$P,15,0)</f>
        <v>24285714.285714287</v>
      </c>
      <c r="J292" s="8">
        <f>VLOOKUP($B292,'MAIN DATA, Orders'!$B:$P,13,0)</f>
        <v>7</v>
      </c>
    </row>
    <row r="293" spans="1:10" x14ac:dyDescent="0.35">
      <c r="A293" s="27"/>
      <c r="B293" s="147" t="s">
        <v>1459</v>
      </c>
      <c r="C293" s="83" t="str">
        <f>VLOOKUP($B293,'MAIN DATA, Orders'!$B:$P,3,0)</f>
        <v>Germany</v>
      </c>
      <c r="D293" s="83" t="str">
        <f>VLOOKUP($B293,'MAIN DATA, Orders'!$B:$P,6,0)</f>
        <v>Hercules follow-up project (HFP) contract extension</v>
      </c>
      <c r="E293" s="83" t="str">
        <f>VLOOKUP($B293,'MAIN DATA, Orders'!$B:$P,7,0)</f>
        <v>Communication and digitalisation</v>
      </c>
      <c r="F293" s="83" t="str">
        <f>VLOOKUP($B293,'MAIN DATA, Orders'!$B:$P,8,0)</f>
        <v>Modernisation</v>
      </c>
      <c r="G293" s="31">
        <f>VLOOKUP($B293,'MAIN DATA, Orders'!$B:$P,9,0)</f>
        <v>13</v>
      </c>
      <c r="H293" s="8">
        <f>VLOOKUP($B293,'MAIN DATA, Orders'!$B:$P,14,0)</f>
        <v>1625000000</v>
      </c>
      <c r="I293" s="8">
        <f>VLOOKUP($B293,'MAIN DATA, Orders'!$B:$P,15,0)</f>
        <v>1625000000</v>
      </c>
      <c r="J293" s="8">
        <f>VLOOKUP($B293,'MAIN DATA, Orders'!$B:$P,13,0)</f>
        <v>4</v>
      </c>
    </row>
    <row r="294" spans="1:10" x14ac:dyDescent="0.35">
      <c r="A294" s="27"/>
      <c r="B294" s="147" t="s">
        <v>1642</v>
      </c>
      <c r="C294" s="83" t="str">
        <f>VLOOKUP($B294,'MAIN DATA, Orders'!$B:$P,3,0)</f>
        <v>Germany</v>
      </c>
      <c r="D294" s="83" t="str">
        <f>VLOOKUP($B294,'MAIN DATA, Orders'!$B:$P,6,0)</f>
        <v>Installation of DIRCM system for A400M</v>
      </c>
      <c r="E294" s="83" t="str">
        <f>VLOOKUP($B294,'MAIN DATA, Orders'!$B:$P,7,0)</f>
        <v>Anti-missile countermeasure system</v>
      </c>
      <c r="F294" s="83" t="str">
        <f>VLOOKUP($B294,'MAIN DATA, Orders'!$B:$P,8,0)</f>
        <v>Aircraft</v>
      </c>
      <c r="G294" s="31">
        <f>VLOOKUP($B294,'MAIN DATA, Orders'!$B:$P,9,0)</f>
        <v>11</v>
      </c>
      <c r="H294" s="8">
        <f>VLOOKUP($B294,'MAIN DATA, Orders'!$B:$P,14,0)</f>
        <v>7478260.8695652178</v>
      </c>
      <c r="I294" s="8">
        <f>VLOOKUP($B294,'MAIN DATA, Orders'!$B:$P,15,0)</f>
        <v>7478260.8695652178</v>
      </c>
      <c r="J294" s="8">
        <f>VLOOKUP($B294,'MAIN DATA, Orders'!$B:$P,13,0)</f>
        <v>23</v>
      </c>
    </row>
    <row r="295" spans="1:10" x14ac:dyDescent="0.35">
      <c r="A295" s="27"/>
      <c r="B295" s="147" t="s">
        <v>1688</v>
      </c>
      <c r="C295" s="83" t="str">
        <f>VLOOKUP($B295,'MAIN DATA, Orders'!$B:$P,3,0)</f>
        <v>Germany</v>
      </c>
      <c r="D295" s="83" t="str">
        <f>VLOOKUP($B295,'MAIN DATA, Orders'!$B:$P,6,0)</f>
        <v>NH90 simulator upgrade</v>
      </c>
      <c r="E295" s="83" t="str">
        <f>VLOOKUP($B295,'MAIN DATA, Orders'!$B:$P,7,0)</f>
        <v xml:space="preserve">Helicopter support and maintenance </v>
      </c>
      <c r="F295" s="83" t="str">
        <f>VLOOKUP($B295,'MAIN DATA, Orders'!$B:$P,8,0)</f>
        <v>Aircraft</v>
      </c>
      <c r="G295" s="31">
        <f>VLOOKUP($B295,'MAIN DATA, Orders'!$B:$P,9,0)</f>
        <v>11</v>
      </c>
      <c r="H295" s="8">
        <f>VLOOKUP($B295,'MAIN DATA, Orders'!$B:$P,14,0)</f>
        <v>9300000</v>
      </c>
      <c r="I295" s="8">
        <f>VLOOKUP($B295,'MAIN DATA, Orders'!$B:$P,15,0)</f>
        <v>9300000</v>
      </c>
      <c r="J295" s="8">
        <f>VLOOKUP($B295,'MAIN DATA, Orders'!$B:$P,13,0)</f>
        <v>5</v>
      </c>
    </row>
    <row r="296" spans="1:10" x14ac:dyDescent="0.35">
      <c r="A296" s="27"/>
      <c r="B296" s="147" t="s">
        <v>2075</v>
      </c>
      <c r="C296" s="83" t="str">
        <f>VLOOKUP($B296,'MAIN DATA, Orders'!$B:$P,3,0)</f>
        <v>Germany</v>
      </c>
      <c r="D296" s="83" t="str">
        <f>VLOOKUP($B296,'MAIN DATA, Orders'!$B:$P,6,0)</f>
        <v>Multi-Mission Aircraft operating agreement</v>
      </c>
      <c r="E296" s="83" t="str">
        <f>VLOOKUP($B296,'MAIN DATA, Orders'!$B:$P,7,0)</f>
        <v>Light aircraft</v>
      </c>
      <c r="F296" s="83" t="str">
        <f>VLOOKUP($B296,'MAIN DATA, Orders'!$B:$P,8,0)</f>
        <v>Aircraft</v>
      </c>
      <c r="G296" s="31">
        <f>VLOOKUP($B296,'MAIN DATA, Orders'!$B:$P,9,0)</f>
        <v>11</v>
      </c>
      <c r="H296" s="8">
        <f>VLOOKUP($B296,'MAIN DATA, Orders'!$B:$P,14,0)</f>
        <v>56000000</v>
      </c>
      <c r="I296" s="8">
        <f>VLOOKUP($B296,'MAIN DATA, Orders'!$B:$P,15,0)</f>
        <v>56000000</v>
      </c>
      <c r="J296" s="8">
        <f>VLOOKUP($B296,'MAIN DATA, Orders'!$B:$P,13,0)</f>
        <v>4</v>
      </c>
    </row>
    <row r="297" spans="1:10" x14ac:dyDescent="0.35">
      <c r="A297" s="27"/>
      <c r="B297" s="147" t="s">
        <v>2162</v>
      </c>
      <c r="C297" s="83" t="str">
        <f>VLOOKUP($B297,'MAIN DATA, Orders'!$B:$P,3,0)</f>
        <v>United Kingdom</v>
      </c>
      <c r="D297" s="83" t="str">
        <f>VLOOKUP($B297,'MAIN DATA, Orders'!$B:$P,6,0)</f>
        <v>Small boat engine support contract</v>
      </c>
      <c r="E297" s="83" t="str">
        <f>VLOOKUP($B297,'MAIN DATA, Orders'!$B:$P,7,0)</f>
        <v>Engine maintenance</v>
      </c>
      <c r="F297" s="83" t="str">
        <f>VLOOKUP($B297,'MAIN DATA, Orders'!$B:$P,8,0)</f>
        <v>Maintenance</v>
      </c>
      <c r="G297" s="31">
        <f>VLOOKUP($B297,'MAIN DATA, Orders'!$B:$P,9,0)</f>
        <v>14</v>
      </c>
      <c r="H297" s="8">
        <f>VLOOKUP($B297,'MAIN DATA, Orders'!$B:$P,14,0)</f>
        <v>3814285.7142857141</v>
      </c>
      <c r="I297" s="8">
        <f>VLOOKUP($B297,'MAIN DATA, Orders'!$B:$P,15,0)</f>
        <v>4287159.3956229221</v>
      </c>
      <c r="J297" s="8">
        <f>VLOOKUP($B297,'MAIN DATA, Orders'!$B:$P,13,0)</f>
        <v>7</v>
      </c>
    </row>
    <row r="298" spans="1:10" x14ac:dyDescent="0.35">
      <c r="A298" s="27"/>
      <c r="B298" s="147" t="s">
        <v>2184</v>
      </c>
      <c r="C298" s="83" t="str">
        <f>VLOOKUP($B298,'MAIN DATA, Orders'!$B:$P,3,0)</f>
        <v>United Kingdom</v>
      </c>
      <c r="D298" s="83" t="str">
        <f>VLOOKUP($B298,'MAIN DATA, Orders'!$B:$P,6,0)</f>
        <v>Disruptive weapon technologies development contract</v>
      </c>
      <c r="E298" s="83" t="str">
        <f>VLOOKUP($B298,'MAIN DATA, Orders'!$B:$P,7,0)</f>
        <v>Development (unspecified)</v>
      </c>
      <c r="F298" s="83" t="str">
        <f>VLOOKUP($B298,'MAIN DATA, Orders'!$B:$P,8,0)</f>
        <v>Development - Modernisation</v>
      </c>
      <c r="G298" s="31">
        <f>VLOOKUP($B298,'MAIN DATA, Orders'!$B:$P,9,0)</f>
        <v>15</v>
      </c>
      <c r="H298" s="8">
        <f>VLOOKUP($B298,'MAIN DATA, Orders'!$B:$P,14,0)</f>
        <v>60000000</v>
      </c>
      <c r="I298" s="8">
        <f>VLOOKUP($B298,'MAIN DATA, Orders'!$B:$P,15,0)</f>
        <v>67438462.403057203</v>
      </c>
      <c r="J298" s="8">
        <f>VLOOKUP($B298,'MAIN DATA, Orders'!$B:$P,13,0)</f>
        <v>5</v>
      </c>
    </row>
    <row r="299" spans="1:10" x14ac:dyDescent="0.35">
      <c r="A299" s="27"/>
      <c r="B299" s="147" t="s">
        <v>2201</v>
      </c>
      <c r="C299" s="83" t="str">
        <f>VLOOKUP($B299,'MAIN DATA, Orders'!$B:$P,3,0)</f>
        <v>United Kingdom</v>
      </c>
      <c r="D299" s="83" t="str">
        <f>VLOOKUP($B299,'MAIN DATA, Orders'!$B:$P,6,0)</f>
        <v>Construction vehicle support contract</v>
      </c>
      <c r="E299" s="83" t="str">
        <f>VLOOKUP($B299,'MAIN DATA, Orders'!$B:$P,7,0)</f>
        <v>Non-combat military vehicle maintenance</v>
      </c>
      <c r="F299" s="83" t="str">
        <f>VLOOKUP($B299,'MAIN DATA, Orders'!$B:$P,8,0)</f>
        <v>Maintenance</v>
      </c>
      <c r="G299" s="31">
        <f>VLOOKUP($B299,'MAIN DATA, Orders'!$B:$P,9,0)</f>
        <v>14</v>
      </c>
      <c r="H299" s="8">
        <f>VLOOKUP($B299,'MAIN DATA, Orders'!$B:$P,14,0)</f>
        <v>34285714.285714284</v>
      </c>
      <c r="I299" s="8">
        <f>VLOOKUP($B299,'MAIN DATA, Orders'!$B:$P,15,0)</f>
        <v>38536264.230318405</v>
      </c>
      <c r="J299" s="8">
        <f>VLOOKUP($B299,'MAIN DATA, Orders'!$B:$P,13,0)</f>
        <v>7</v>
      </c>
    </row>
    <row r="300" spans="1:10" x14ac:dyDescent="0.35">
      <c r="A300" s="27"/>
      <c r="B300" s="147" t="s">
        <v>2219</v>
      </c>
      <c r="C300" s="83" t="str">
        <f>VLOOKUP($B300,'MAIN DATA, Orders'!$B:$P,3,0)</f>
        <v>United Kingdom</v>
      </c>
      <c r="D300" s="83" t="str">
        <f>VLOOKUP($B300,'MAIN DATA, Orders'!$B:$P,6,0)</f>
        <v>Submarine rescue system contract extension</v>
      </c>
      <c r="E300" s="83" t="str">
        <f>VLOOKUP($B300,'MAIN DATA, Orders'!$B:$P,7,0)</f>
        <v>Submarine rescue operations contract</v>
      </c>
      <c r="F300" s="83" t="str">
        <f>VLOOKUP($B300,'MAIN DATA, Orders'!$B:$P,8,0)</f>
        <v>Naval</v>
      </c>
      <c r="G300" s="31">
        <f>VLOOKUP($B300,'MAIN DATA, Orders'!$B:$P,9,0)</f>
        <v>12</v>
      </c>
      <c r="H300" s="8">
        <f>VLOOKUP($B300,'MAIN DATA, Orders'!$B:$P,14,0)</f>
        <v>2333333.3333333335</v>
      </c>
      <c r="I300" s="8">
        <f>VLOOKUP($B300,'MAIN DATA, Orders'!$B:$P,15,0)</f>
        <v>2622606.8712300025</v>
      </c>
      <c r="J300" s="8">
        <f>VLOOKUP($B300,'MAIN DATA, Orders'!$B:$P,13,0)</f>
        <v>3</v>
      </c>
    </row>
    <row r="301" spans="1:10" x14ac:dyDescent="0.35">
      <c r="A301" s="27"/>
      <c r="B301" s="147" t="s">
        <v>2253</v>
      </c>
      <c r="C301" s="83" t="str">
        <f>VLOOKUP($B301,'MAIN DATA, Orders'!$B:$P,3,0)</f>
        <v>United Kingdom</v>
      </c>
      <c r="D301" s="83" t="str">
        <f>VLOOKUP($B301,'MAIN DATA, Orders'!$B:$P,6,0)</f>
        <v>F-35 support contract</v>
      </c>
      <c r="E301" s="83" t="str">
        <f>VLOOKUP($B301,'MAIN DATA, Orders'!$B:$P,7,0)</f>
        <v>Fighter jet maintenance contract</v>
      </c>
      <c r="F301" s="83" t="str">
        <f>VLOOKUP($B301,'MAIN DATA, Orders'!$B:$P,8,0)</f>
        <v>Maintenance</v>
      </c>
      <c r="G301" s="31">
        <f>VLOOKUP($B301,'MAIN DATA, Orders'!$B:$P,9,0)</f>
        <v>14</v>
      </c>
      <c r="H301" s="8">
        <f>VLOOKUP($B301,'MAIN DATA, Orders'!$B:$P,14,0)</f>
        <v>38000000</v>
      </c>
      <c r="I301" s="8">
        <f>VLOOKUP($B301,'MAIN DATA, Orders'!$B:$P,15,0)</f>
        <v>44206607.72452303</v>
      </c>
      <c r="J301" s="8">
        <f>VLOOKUP($B301,'MAIN DATA, Orders'!$B:$P,13,0)</f>
        <v>2</v>
      </c>
    </row>
    <row r="302" spans="1:10" x14ac:dyDescent="0.35">
      <c r="A302" s="27"/>
      <c r="B302" s="147" t="s">
        <v>2282</v>
      </c>
      <c r="C302" s="83" t="str">
        <f>VLOOKUP($B302,'MAIN DATA, Orders'!$B:$P,3,0)</f>
        <v>United Kingdom</v>
      </c>
      <c r="D302" s="83" t="str">
        <f>VLOOKUP($B302,'MAIN DATA, Orders'!$B:$P,6,0)</f>
        <v>Torpedo maintenance contract</v>
      </c>
      <c r="E302" s="83" t="str">
        <f>VLOOKUP($B302,'MAIN DATA, Orders'!$B:$P,7,0)</f>
        <v>Torpedo maintenance</v>
      </c>
      <c r="F302" s="83" t="str">
        <f>VLOOKUP($B302,'MAIN DATA, Orders'!$B:$P,8,0)</f>
        <v>Maintenance</v>
      </c>
      <c r="G302" s="31">
        <f>VLOOKUP($B302,'MAIN DATA, Orders'!$B:$P,9,0)</f>
        <v>14</v>
      </c>
      <c r="H302" s="8">
        <f>VLOOKUP($B302,'MAIN DATA, Orders'!$B:$P,14,0)</f>
        <v>38333333.333333336</v>
      </c>
      <c r="I302" s="8">
        <f>VLOOKUP($B302,'MAIN DATA, Orders'!$B:$P,15,0)</f>
        <v>44594384.985264458</v>
      </c>
      <c r="J302" s="8">
        <f>VLOOKUP($B302,'MAIN DATA, Orders'!$B:$P,13,0)</f>
        <v>6</v>
      </c>
    </row>
    <row r="303" spans="1:10" x14ac:dyDescent="0.35">
      <c r="A303" s="27"/>
      <c r="B303" s="147" t="s">
        <v>2305</v>
      </c>
      <c r="C303" s="83" t="str">
        <f>VLOOKUP($B303,'MAIN DATA, Orders'!$B:$P,3,0)</f>
        <v>United Kingdom</v>
      </c>
      <c r="D303" s="83" t="str">
        <f>VLOOKUP($B303,'MAIN DATA, Orders'!$B:$P,6,0)</f>
        <v>Multi domain mission support system support contract</v>
      </c>
      <c r="E303" s="83" t="str">
        <f>VLOOKUP($B303,'MAIN DATA, Orders'!$B:$P,7,0)</f>
        <v>Air force and navy support system</v>
      </c>
      <c r="F303" s="83" t="str">
        <f>VLOOKUP($B303,'MAIN DATA, Orders'!$B:$P,8,0)</f>
        <v>Modernisation</v>
      </c>
      <c r="G303" s="31">
        <f>VLOOKUP($B303,'MAIN DATA, Orders'!$B:$P,9,0)</f>
        <v>13</v>
      </c>
      <c r="H303" s="8">
        <f>VLOOKUP($B303,'MAIN DATA, Orders'!$B:$P,14,0)</f>
        <v>9400000</v>
      </c>
      <c r="I303" s="8">
        <f>VLOOKUP($B303,'MAIN DATA, Orders'!$B:$P,15,0)</f>
        <v>10935318.75290833</v>
      </c>
      <c r="J303" s="8">
        <f>VLOOKUP($B303,'MAIN DATA, Orders'!$B:$P,13,0)</f>
        <v>5</v>
      </c>
    </row>
    <row r="304" spans="1:10" x14ac:dyDescent="0.35">
      <c r="A304" s="27"/>
      <c r="B304" s="147" t="s">
        <v>2310</v>
      </c>
      <c r="C304" s="83" t="str">
        <f>VLOOKUP($B304,'MAIN DATA, Orders'!$B:$P,3,0)</f>
        <v>United Kingdom</v>
      </c>
      <c r="D304" s="83" t="str">
        <f>VLOOKUP($B304,'MAIN DATA, Orders'!$B:$P,6,0)</f>
        <v>C-17 Globemaster synthetic training course</v>
      </c>
      <c r="E304" s="83" t="str">
        <f>VLOOKUP($B304,'MAIN DATA, Orders'!$B:$P,7,0)</f>
        <v>Synthetic training equipment</v>
      </c>
      <c r="F304" s="83" t="str">
        <f>VLOOKUP($B304,'MAIN DATA, Orders'!$B:$P,8,0)</f>
        <v>Other</v>
      </c>
      <c r="G304" s="31">
        <f>VLOOKUP($B304,'MAIN DATA, Orders'!$B:$P,9,0)</f>
        <v>16</v>
      </c>
      <c r="H304" s="8">
        <f>VLOOKUP($B304,'MAIN DATA, Orders'!$B:$P,14,0)</f>
        <v>14421052.631578946</v>
      </c>
      <c r="I304" s="8">
        <f>VLOOKUP($B304,'MAIN DATA, Orders'!$B:$P,15,0)</f>
        <v>16776468.85944503</v>
      </c>
      <c r="J304" s="8">
        <f>VLOOKUP($B304,'MAIN DATA, Orders'!$B:$P,13,0)</f>
        <v>19</v>
      </c>
    </row>
    <row r="305" spans="1:10" x14ac:dyDescent="0.35">
      <c r="A305" s="27"/>
      <c r="B305" s="147" t="s">
        <v>2418</v>
      </c>
      <c r="C305" s="83" t="str">
        <f>VLOOKUP($B305,'MAIN DATA, Orders'!$B:$P,3,0)</f>
        <v>United Kingdom</v>
      </c>
      <c r="D305" s="83" t="str">
        <f>VLOOKUP($B305,'MAIN DATA, Orders'!$B:$P,6,0)</f>
        <v>Logistics information system contract</v>
      </c>
      <c r="E305" s="83" t="str">
        <f>VLOOKUP($B305,'MAIN DATA, Orders'!$B:$P,7,0)</f>
        <v>Communication and digitalisation</v>
      </c>
      <c r="F305" s="83" t="str">
        <f>VLOOKUP($B305,'MAIN DATA, Orders'!$B:$P,8,0)</f>
        <v>Modernisation</v>
      </c>
      <c r="G305" s="31">
        <f>VLOOKUP($B305,'MAIN DATA, Orders'!$B:$P,9,0)</f>
        <v>13</v>
      </c>
      <c r="H305" s="8">
        <f>VLOOKUP($B305,'MAIN DATA, Orders'!$B:$P,14,0)</f>
        <v>92000000</v>
      </c>
      <c r="I305" s="8">
        <f>VLOOKUP($B305,'MAIN DATA, Orders'!$B:$P,15,0)</f>
        <v>107884985.22444768</v>
      </c>
      <c r="J305" s="8">
        <f>VLOOKUP($B305,'MAIN DATA, Orders'!$B:$P,13,0)</f>
        <v>5</v>
      </c>
    </row>
    <row r="306" spans="1:10" x14ac:dyDescent="0.35">
      <c r="A306" s="27"/>
      <c r="B306" s="147" t="s">
        <v>2440</v>
      </c>
      <c r="C306" s="83" t="str">
        <f>VLOOKUP($B306,'MAIN DATA, Orders'!$B:$P,3,0)</f>
        <v>United Kingdom</v>
      </c>
      <c r="D306" s="83" t="str">
        <f>VLOOKUP($B306,'MAIN DATA, Orders'!$B:$P,6,0)</f>
        <v>Helicopter training contract</v>
      </c>
      <c r="E306" s="83" t="str">
        <f>VLOOKUP($B306,'MAIN DATA, Orders'!$B:$P,7,0)</f>
        <v>Training contract</v>
      </c>
      <c r="F306" s="83" t="str">
        <f>VLOOKUP($B306,'MAIN DATA, Orders'!$B:$P,8,0)</f>
        <v>Other</v>
      </c>
      <c r="G306" s="31">
        <f>VLOOKUP($B306,'MAIN DATA, Orders'!$B:$P,9,0)</f>
        <v>16</v>
      </c>
      <c r="H306" s="8">
        <f>VLOOKUP($B306,'MAIN DATA, Orders'!$B:$P,14,0)</f>
        <v>95666666.666666672</v>
      </c>
      <c r="I306" s="8">
        <f>VLOOKUP($B306,'MAIN DATA, Orders'!$B:$P,15,0)</f>
        <v>112184749.12832059</v>
      </c>
      <c r="J306" s="8">
        <f>VLOOKUP($B306,'MAIN DATA, Orders'!$B:$P,13,0)</f>
        <v>3</v>
      </c>
    </row>
    <row r="307" spans="1:10" x14ac:dyDescent="0.35">
      <c r="A307" s="27"/>
      <c r="B307" s="147" t="s">
        <v>2451</v>
      </c>
      <c r="C307" s="83" t="str">
        <f>VLOOKUP($B307,'MAIN DATA, Orders'!$B:$P,3,0)</f>
        <v>United Kingdom</v>
      </c>
      <c r="D307" s="83" t="str">
        <f>VLOOKUP($B307,'MAIN DATA, Orders'!$B:$P,6,0)</f>
        <v>Hawk T1/T2 support contract</v>
      </c>
      <c r="E307" s="83" t="str">
        <f>VLOOKUP($B307,'MAIN DATA, Orders'!$B:$P,7,0)</f>
        <v>Aircraft maintenance</v>
      </c>
      <c r="F307" s="83" t="str">
        <f>VLOOKUP($B307,'MAIN DATA, Orders'!$B:$P,8,0)</f>
        <v>Maintenance</v>
      </c>
      <c r="G307" s="31">
        <f>VLOOKUP($B307,'MAIN DATA, Orders'!$B:$P,9,0)</f>
        <v>14</v>
      </c>
      <c r="H307" s="8">
        <f>VLOOKUP($B307,'MAIN DATA, Orders'!$B:$P,14,0)</f>
        <v>53636363.636363633</v>
      </c>
      <c r="I307" s="8">
        <f>VLOOKUP($B307,'MAIN DATA, Orders'!$B:$P,15,0)</f>
        <v>62897372.808719493</v>
      </c>
      <c r="J307" s="8">
        <f>VLOOKUP($B307,'MAIN DATA, Orders'!$B:$P,13,0)</f>
        <v>11</v>
      </c>
    </row>
    <row r="308" spans="1:10" x14ac:dyDescent="0.35">
      <c r="A308" s="27"/>
      <c r="B308" s="147" t="s">
        <v>2456</v>
      </c>
      <c r="C308" s="83" t="str">
        <f>VLOOKUP($B308,'MAIN DATA, Orders'!$B:$P,3,0)</f>
        <v>United Kingdom</v>
      </c>
      <c r="D308" s="83" t="str">
        <f>VLOOKUP($B308,'MAIN DATA, Orders'!$B:$P,6,0)</f>
        <v>Hawk T1/T2 engine support contract</v>
      </c>
      <c r="E308" s="83" t="str">
        <f>VLOOKUP($B308,'MAIN DATA, Orders'!$B:$P,7,0)</f>
        <v>Aircraft maintenance</v>
      </c>
      <c r="F308" s="83" t="str">
        <f>VLOOKUP($B308,'MAIN DATA, Orders'!$B:$P,8,0)</f>
        <v>Maintenance</v>
      </c>
      <c r="G308" s="31">
        <f>VLOOKUP($B308,'MAIN DATA, Orders'!$B:$P,9,0)</f>
        <v>14</v>
      </c>
      <c r="H308" s="8">
        <f>VLOOKUP($B308,'MAIN DATA, Orders'!$B:$P,14,0)</f>
        <v>9545454.5454545449</v>
      </c>
      <c r="I308" s="8">
        <f>VLOOKUP($B308,'MAIN DATA, Orders'!$B:$P,15,0)</f>
        <v>11193600.245619573</v>
      </c>
      <c r="J308" s="8">
        <f>VLOOKUP($B308,'MAIN DATA, Orders'!$B:$P,13,0)</f>
        <v>11</v>
      </c>
    </row>
    <row r="309" spans="1:10" x14ac:dyDescent="0.35">
      <c r="A309" s="27"/>
      <c r="B309" s="147" t="s">
        <v>2466</v>
      </c>
      <c r="C309" s="83" t="str">
        <f>VLOOKUP($B309,'MAIN DATA, Orders'!$B:$P,3,0)</f>
        <v>United Kingdom</v>
      </c>
      <c r="D309" s="83" t="str">
        <f>VLOOKUP($B309,'MAIN DATA, Orders'!$B:$P,6,0)</f>
        <v>Helicopter training contract</v>
      </c>
      <c r="E309" s="83" t="str">
        <f>VLOOKUP($B309,'MAIN DATA, Orders'!$B:$P,7,0)</f>
        <v>Training contract</v>
      </c>
      <c r="F309" s="83" t="str">
        <f>VLOOKUP($B309,'MAIN DATA, Orders'!$B:$P,8,0)</f>
        <v>Other</v>
      </c>
      <c r="G309" s="31">
        <f>VLOOKUP($B309,'MAIN DATA, Orders'!$B:$P,9,0)</f>
        <v>16</v>
      </c>
      <c r="H309" s="8">
        <f>VLOOKUP($B309,'MAIN DATA, Orders'!$B:$P,14,0)</f>
        <v>72000000</v>
      </c>
      <c r="I309" s="8">
        <f>VLOOKUP($B309,'MAIN DATA, Orders'!$B:$P,15,0)</f>
        <v>84431727.566959053</v>
      </c>
      <c r="J309" s="8">
        <f>VLOOKUP($B309,'MAIN DATA, Orders'!$B:$P,13,0)</f>
        <v>5</v>
      </c>
    </row>
    <row r="310" spans="1:10" x14ac:dyDescent="0.35">
      <c r="A310" s="27"/>
      <c r="B310" s="147" t="s">
        <v>2490</v>
      </c>
      <c r="C310" s="83" t="str">
        <f>VLOOKUP($B310,'MAIN DATA, Orders'!$B:$P,3,0)</f>
        <v>United Kingdom</v>
      </c>
      <c r="D310" s="83" t="str">
        <f>VLOOKUP($B310,'MAIN DATA, Orders'!$B:$P,6,0)</f>
        <v>Science &amp; technology mixed development portfolio</v>
      </c>
      <c r="E310" s="83" t="str">
        <f>VLOOKUP($B310,'MAIN DATA, Orders'!$B:$P,7,0)</f>
        <v>Development (unspecified)</v>
      </c>
      <c r="F310" s="83" t="str">
        <f>VLOOKUP($B310,'MAIN DATA, Orders'!$B:$P,8,0)</f>
        <v>Development - Modernisation</v>
      </c>
      <c r="G310" s="31">
        <f>VLOOKUP($B310,'MAIN DATA, Orders'!$B:$P,9,0)</f>
        <v>15</v>
      </c>
      <c r="H310" s="8">
        <f>VLOOKUP($B310,'MAIN DATA, Orders'!$B:$P,14,0)</f>
        <v>500000000</v>
      </c>
      <c r="I310" s="8">
        <f>VLOOKUP($B310,'MAIN DATA, Orders'!$B:$P,15,0)</f>
        <v>586331441.43721569</v>
      </c>
      <c r="J310" s="8">
        <f>VLOOKUP($B310,'MAIN DATA, Orders'!$B:$P,13,0)</f>
        <v>4</v>
      </c>
    </row>
    <row r="311" spans="1:10" x14ac:dyDescent="0.35">
      <c r="A311" s="27"/>
      <c r="B311" s="147" t="s">
        <v>2555</v>
      </c>
      <c r="C311" s="83" t="str">
        <f>VLOOKUP($B311,'MAIN DATA, Orders'!$B:$P,3,0)</f>
        <v>United Kingdom</v>
      </c>
      <c r="D311" s="83" t="str">
        <f>VLOOKUP($B311,'MAIN DATA, Orders'!$B:$P,6,0)</f>
        <v>Future Combat Air System (UK) technical support contract</v>
      </c>
      <c r="E311" s="83" t="str">
        <f>VLOOKUP($B311,'MAIN DATA, Orders'!$B:$P,7,0)</f>
        <v>Fighter jet development</v>
      </c>
      <c r="F311" s="83" t="str">
        <f>VLOOKUP($B311,'MAIN DATA, Orders'!$B:$P,8,0)</f>
        <v>Development - Aircraft</v>
      </c>
      <c r="G311" s="31">
        <f>VLOOKUP($B311,'MAIN DATA, Orders'!$B:$P,9,0)</f>
        <v>15</v>
      </c>
      <c r="H311" s="8">
        <f>VLOOKUP($B311,'MAIN DATA, Orders'!$B:$P,14,0)</f>
        <v>10333333.333333334</v>
      </c>
      <c r="I311" s="8">
        <f>VLOOKUP($B311,'MAIN DATA, Orders'!$B:$P,15,0)</f>
        <v>12117516.456369124</v>
      </c>
      <c r="J311" s="8">
        <f>VLOOKUP($B311,'MAIN DATA, Orders'!$B:$P,13,0)</f>
        <v>3</v>
      </c>
    </row>
    <row r="312" spans="1:10" x14ac:dyDescent="0.35">
      <c r="A312" s="27"/>
      <c r="B312" s="147" t="s">
        <v>2617</v>
      </c>
      <c r="C312" s="83" t="str">
        <f>VLOOKUP($B312,'MAIN DATA, Orders'!$B:$P,3,0)</f>
        <v>United Kingdom</v>
      </c>
      <c r="D312" s="83" t="str">
        <f>VLOOKUP($B312,'MAIN DATA, Orders'!$B:$P,6,0)</f>
        <v>Skynet satellite operations contract</v>
      </c>
      <c r="E312" s="83" t="str">
        <f>VLOOKUP($B312,'MAIN DATA, Orders'!$B:$P,7,0)</f>
        <v>Communication and digitalisation</v>
      </c>
      <c r="F312" s="83" t="str">
        <f>VLOOKUP($B312,'MAIN DATA, Orders'!$B:$P,8,0)</f>
        <v>Modernisation</v>
      </c>
      <c r="G312" s="31">
        <f>VLOOKUP($B312,'MAIN DATA, Orders'!$B:$P,9,0)</f>
        <v>13</v>
      </c>
      <c r="H312" s="8">
        <f>VLOOKUP($B312,'MAIN DATA, Orders'!$B:$P,14,0)</f>
        <v>66666666.666666664</v>
      </c>
      <c r="I312" s="8">
        <f>VLOOKUP($B312,'MAIN DATA, Orders'!$B:$P,15,0)</f>
        <v>76646853.455048546</v>
      </c>
      <c r="J312" s="8">
        <f>VLOOKUP($B312,'MAIN DATA, Orders'!$B:$P,13,0)</f>
        <v>6</v>
      </c>
    </row>
    <row r="313" spans="1:10" x14ac:dyDescent="0.35">
      <c r="A313" s="27"/>
      <c r="B313" s="147" t="s">
        <v>2663</v>
      </c>
      <c r="C313" s="83" t="str">
        <f>VLOOKUP($B313,'MAIN DATA, Orders'!$B:$P,3,0)</f>
        <v>United Kingdom</v>
      </c>
      <c r="D313" s="83" t="str">
        <f>VLOOKUP($B313,'MAIN DATA, Orders'!$B:$P,6,0)</f>
        <v>F-35 support contract</v>
      </c>
      <c r="E313" s="83" t="str">
        <f>VLOOKUP($B313,'MAIN DATA, Orders'!$B:$P,7,0)</f>
        <v>Fighter jet maintenance contract</v>
      </c>
      <c r="F313" s="83" t="str">
        <f>VLOOKUP($B313,'MAIN DATA, Orders'!$B:$P,8,0)</f>
        <v>Maintenance</v>
      </c>
      <c r="G313" s="31">
        <f>VLOOKUP($B313,'MAIN DATA, Orders'!$B:$P,9,0)</f>
        <v>14</v>
      </c>
      <c r="H313" s="8">
        <f>VLOOKUP($B313,'MAIN DATA, Orders'!$B:$P,14,0)</f>
        <v>40250000</v>
      </c>
      <c r="I313" s="8">
        <f>VLOOKUP($B313,'MAIN DATA, Orders'!$B:$P,15,0)</f>
        <v>46275537.773485556</v>
      </c>
      <c r="J313" s="8">
        <f>VLOOKUP($B313,'MAIN DATA, Orders'!$B:$P,13,0)</f>
        <v>4</v>
      </c>
    </row>
    <row r="314" spans="1:10" x14ac:dyDescent="0.35">
      <c r="A314" s="27"/>
      <c r="B314" s="147" t="s">
        <v>2674</v>
      </c>
      <c r="C314" s="83" t="str">
        <f>VLOOKUP($B314,'MAIN DATA, Orders'!$B:$P,3,0)</f>
        <v>United Kingdom</v>
      </c>
      <c r="D314" s="83" t="str">
        <f>VLOOKUP($B314,'MAIN DATA, Orders'!$B:$P,6,0)</f>
        <v>Offshore patrol vessel support contract</v>
      </c>
      <c r="E314" s="83" t="str">
        <f>VLOOKUP($B314,'MAIN DATA, Orders'!$B:$P,7,0)</f>
        <v>Naval maintenance contract</v>
      </c>
      <c r="F314" s="83" t="str">
        <f>VLOOKUP($B314,'MAIN DATA, Orders'!$B:$P,8,0)</f>
        <v>Maintenance</v>
      </c>
      <c r="G314" s="31">
        <f>VLOOKUP($B314,'MAIN DATA, Orders'!$B:$P,9,0)</f>
        <v>14</v>
      </c>
      <c r="H314" s="8">
        <f>VLOOKUP($B314,'MAIN DATA, Orders'!$B:$P,14,0)</f>
        <v>14000000</v>
      </c>
      <c r="I314" s="8">
        <f>VLOOKUP($B314,'MAIN DATA, Orders'!$B:$P,15,0)</f>
        <v>16095839.225560194</v>
      </c>
      <c r="J314" s="8">
        <f>VLOOKUP($B314,'MAIN DATA, Orders'!$B:$P,13,0)</f>
        <v>5</v>
      </c>
    </row>
    <row r="315" spans="1:10" x14ac:dyDescent="0.35">
      <c r="A315" s="27"/>
      <c r="B315" s="147" t="s">
        <v>2679</v>
      </c>
      <c r="C315" s="83" t="str">
        <f>VLOOKUP($B315,'MAIN DATA, Orders'!$B:$P,3,0)</f>
        <v>United Kingdom</v>
      </c>
      <c r="D315" s="83" t="str">
        <f>VLOOKUP($B315,'MAIN DATA, Orders'!$B:$P,6,0)</f>
        <v>Offshore patrol vessel support contract</v>
      </c>
      <c r="E315" s="83" t="str">
        <f>VLOOKUP($B315,'MAIN DATA, Orders'!$B:$P,7,0)</f>
        <v>Naval maintenance contract</v>
      </c>
      <c r="F315" s="83" t="str">
        <f>VLOOKUP($B315,'MAIN DATA, Orders'!$B:$P,8,0)</f>
        <v>Maintenance</v>
      </c>
      <c r="G315" s="31">
        <f>VLOOKUP($B315,'MAIN DATA, Orders'!$B:$P,9,0)</f>
        <v>14</v>
      </c>
      <c r="H315" s="8">
        <f>VLOOKUP($B315,'MAIN DATA, Orders'!$B:$P,14,0)</f>
        <v>31250000</v>
      </c>
      <c r="I315" s="8">
        <f>VLOOKUP($B315,'MAIN DATA, Orders'!$B:$P,15,0)</f>
        <v>35928212.557054006</v>
      </c>
      <c r="J315" s="8">
        <f>VLOOKUP($B315,'MAIN DATA, Orders'!$B:$P,13,0)</f>
        <v>8</v>
      </c>
    </row>
    <row r="316" spans="1:10" x14ac:dyDescent="0.35">
      <c r="A316" s="27"/>
      <c r="B316" s="147" t="s">
        <v>2682</v>
      </c>
      <c r="C316" s="83" t="str">
        <f>VLOOKUP($B316,'MAIN DATA, Orders'!$B:$P,3,0)</f>
        <v>United Kingdom</v>
      </c>
      <c r="D316" s="83" t="str">
        <f>VLOOKUP($B316,'MAIN DATA, Orders'!$B:$P,6,0)</f>
        <v>Aircrew training contract</v>
      </c>
      <c r="E316" s="83" t="str">
        <f>VLOOKUP($B316,'MAIN DATA, Orders'!$B:$P,7,0)</f>
        <v>Training contract</v>
      </c>
      <c r="F316" s="83" t="str">
        <f>VLOOKUP($B316,'MAIN DATA, Orders'!$B:$P,8,0)</f>
        <v>Other</v>
      </c>
      <c r="G316" s="31">
        <f>VLOOKUP($B316,'MAIN DATA, Orders'!$B:$P,9,0)</f>
        <v>16</v>
      </c>
      <c r="H316" s="8">
        <f>VLOOKUP($B316,'MAIN DATA, Orders'!$B:$P,14,0)</f>
        <v>41666666.666666664</v>
      </c>
      <c r="I316" s="8">
        <f>VLOOKUP($B316,'MAIN DATA, Orders'!$B:$P,15,0)</f>
        <v>47904283.409405343</v>
      </c>
      <c r="J316" s="8">
        <f>VLOOKUP($B316,'MAIN DATA, Orders'!$B:$P,13,0)</f>
        <v>3</v>
      </c>
    </row>
    <row r="317" spans="1:10" x14ac:dyDescent="0.35">
      <c r="A317" s="27"/>
      <c r="B317" s="147" t="s">
        <v>2688</v>
      </c>
      <c r="C317" s="83" t="str">
        <f>VLOOKUP($B317,'MAIN DATA, Orders'!$B:$P,3,0)</f>
        <v>United Kingdom</v>
      </c>
      <c r="D317" s="83" t="str">
        <f>VLOOKUP($B317,'MAIN DATA, Orders'!$B:$P,6,0)</f>
        <v>Naval radar upgrade and support contract</v>
      </c>
      <c r="E317" s="83" t="str">
        <f>VLOOKUP($B317,'MAIN DATA, Orders'!$B:$P,7,0)</f>
        <v>Naval radar</v>
      </c>
      <c r="F317" s="83" t="str">
        <f>VLOOKUP($B317,'MAIN DATA, Orders'!$B:$P,8,0)</f>
        <v>Naval</v>
      </c>
      <c r="G317" s="31">
        <f>VLOOKUP($B317,'MAIN DATA, Orders'!$B:$P,9,0)</f>
        <v>12</v>
      </c>
      <c r="H317" s="8">
        <f>VLOOKUP($B317,'MAIN DATA, Orders'!$B:$P,14,0)</f>
        <v>27000000</v>
      </c>
      <c r="I317" s="8">
        <f>VLOOKUP($B317,'MAIN DATA, Orders'!$B:$P,15,0)</f>
        <v>31041975.649294656</v>
      </c>
      <c r="J317" s="8">
        <f>VLOOKUP($B317,'MAIN DATA, Orders'!$B:$P,13,0)</f>
        <v>10</v>
      </c>
    </row>
    <row r="318" spans="1:10" x14ac:dyDescent="0.35">
      <c r="A318" s="27"/>
      <c r="B318" s="147" t="s">
        <v>2795</v>
      </c>
      <c r="C318" s="83" t="str">
        <f>VLOOKUP($B318,'MAIN DATA, Orders'!$B:$P,3,0)</f>
        <v>United Kingdom</v>
      </c>
      <c r="D318" s="83" t="str">
        <f>VLOOKUP($B318,'MAIN DATA, Orders'!$B:$P,6,0)</f>
        <v>IT services expansion contract</v>
      </c>
      <c r="E318" s="83" t="str">
        <f>VLOOKUP($B318,'MAIN DATA, Orders'!$B:$P,7,0)</f>
        <v>Communication and digitalisation</v>
      </c>
      <c r="F318" s="83" t="str">
        <f>VLOOKUP($B318,'MAIN DATA, Orders'!$B:$P,8,0)</f>
        <v>Modernisation</v>
      </c>
      <c r="G318" s="31">
        <f>VLOOKUP($B318,'MAIN DATA, Orders'!$B:$P,9,0)</f>
        <v>13</v>
      </c>
      <c r="H318" s="8">
        <f>VLOOKUP($B318,'MAIN DATA, Orders'!$B:$P,14,0)</f>
        <v>37500000</v>
      </c>
      <c r="I318" s="8">
        <f>VLOOKUP($B318,'MAIN DATA, Orders'!$B:$P,15,0)</f>
        <v>44293779.972124442</v>
      </c>
      <c r="J318" s="8">
        <f>VLOOKUP($B318,'MAIN DATA, Orders'!$B:$P,13,0)</f>
        <v>4</v>
      </c>
    </row>
    <row r="319" spans="1:10" x14ac:dyDescent="0.35">
      <c r="A319" s="27"/>
      <c r="B319" s="147" t="s">
        <v>2811</v>
      </c>
      <c r="C319" s="83" t="str">
        <f>VLOOKUP($B319,'MAIN DATA, Orders'!$B:$P,3,0)</f>
        <v>United Kingdom</v>
      </c>
      <c r="D319" s="83" t="str">
        <f>VLOOKUP($B319,'MAIN DATA, Orders'!$B:$P,6,0)</f>
        <v>Maritime Sensor Enhancement Team (MSET) contract</v>
      </c>
      <c r="E319" s="83" t="str">
        <f>VLOOKUP($B319,'MAIN DATA, Orders'!$B:$P,7,0)</f>
        <v>Sonar and sensor equipment</v>
      </c>
      <c r="F319" s="83" t="str">
        <f>VLOOKUP($B319,'MAIN DATA, Orders'!$B:$P,8,0)</f>
        <v>Naval</v>
      </c>
      <c r="G319" s="31">
        <f>VLOOKUP($B319,'MAIN DATA, Orders'!$B:$P,9,0)</f>
        <v>12</v>
      </c>
      <c r="H319" s="8">
        <f>VLOOKUP($B319,'MAIN DATA, Orders'!$B:$P,14,0)</f>
        <v>123333333.33333333</v>
      </c>
      <c r="I319" s="8">
        <f>VLOOKUP($B319,'MAIN DATA, Orders'!$B:$P,15,0)</f>
        <v>145677320.79720929</v>
      </c>
      <c r="J319" s="8">
        <f>VLOOKUP($B319,'MAIN DATA, Orders'!$B:$P,13,0)</f>
        <v>15</v>
      </c>
    </row>
    <row r="320" spans="1:10" x14ac:dyDescent="0.35">
      <c r="A320" s="27"/>
      <c r="B320" s="147" t="s">
        <v>2867</v>
      </c>
      <c r="C320" s="83" t="str">
        <f>VLOOKUP($B320,'MAIN DATA, Orders'!$B:$P,3,0)</f>
        <v>United Kingdom</v>
      </c>
      <c r="D320" s="83" t="str">
        <f>VLOOKUP($B320,'MAIN DATA, Orders'!$B:$P,6,0)</f>
        <v>Merlin helicopter support contract</v>
      </c>
      <c r="E320" s="83" t="str">
        <f>VLOOKUP($B320,'MAIN DATA, Orders'!$B:$P,7,0)</f>
        <v>Naval helicopter maintenance</v>
      </c>
      <c r="F320" s="83" t="str">
        <f>VLOOKUP($B320,'MAIN DATA, Orders'!$B:$P,8,0)</f>
        <v>Maintenance</v>
      </c>
      <c r="G320" s="31">
        <f>VLOOKUP($B320,'MAIN DATA, Orders'!$B:$P,9,0)</f>
        <v>14</v>
      </c>
      <c r="H320" s="8">
        <f>VLOOKUP($B320,'MAIN DATA, Orders'!$B:$P,14,0)</f>
        <v>40166666.666666664</v>
      </c>
      <c r="I320" s="8">
        <f>VLOOKUP($B320,'MAIN DATA, Orders'!$B:$P,15,0)</f>
        <v>47443559.881253295</v>
      </c>
      <c r="J320" s="8">
        <f>VLOOKUP($B320,'MAIN DATA, Orders'!$B:$P,13,0)</f>
        <v>6</v>
      </c>
    </row>
    <row r="321" spans="1:10" x14ac:dyDescent="0.35">
      <c r="A321" s="27"/>
      <c r="B321" s="147" t="s">
        <v>2895</v>
      </c>
      <c r="C321" s="83" t="str">
        <f>VLOOKUP($B321,'MAIN DATA, Orders'!$B:$P,3,0)</f>
        <v>United Kingdom</v>
      </c>
      <c r="D321" s="83" t="str">
        <f>VLOOKUP($B321,'MAIN DATA, Orders'!$B:$P,6,0)</f>
        <v>MBDA portfolio management agreement contract</v>
      </c>
      <c r="E321" s="83" t="str">
        <f>VLOOKUP($B321,'MAIN DATA, Orders'!$B:$P,7,0)</f>
        <v>Industrial company investment</v>
      </c>
      <c r="F321" s="83" t="str">
        <f>VLOOKUP($B321,'MAIN DATA, Orders'!$B:$P,8,0)</f>
        <v>Other</v>
      </c>
      <c r="G321" s="31">
        <f>VLOOKUP($B321,'MAIN DATA, Orders'!$B:$P,9,0)</f>
        <v>16</v>
      </c>
      <c r="H321" s="8">
        <f>VLOOKUP($B321,'MAIN DATA, Orders'!$B:$P,14,0)</f>
        <v>650000000</v>
      </c>
      <c r="I321" s="8">
        <f>VLOOKUP($B321,'MAIN DATA, Orders'!$B:$P,15,0)</f>
        <v>767758852.85015702</v>
      </c>
      <c r="J321" s="8">
        <f>VLOOKUP($B321,'MAIN DATA, Orders'!$B:$P,13,0)</f>
        <v>10</v>
      </c>
    </row>
    <row r="322" spans="1:10" x14ac:dyDescent="0.35">
      <c r="A322" s="27"/>
      <c r="B322" s="147" t="s">
        <v>2926</v>
      </c>
      <c r="C322" s="83" t="str">
        <f>VLOOKUP($B322,'MAIN DATA, Orders'!$B:$P,3,0)</f>
        <v>United Kingdom</v>
      </c>
      <c r="D322" s="83" t="str">
        <f>VLOOKUP($B322,'MAIN DATA, Orders'!$B:$P,6,0)</f>
        <v>Spares and post design services contract</v>
      </c>
      <c r="E322" s="83" t="str">
        <f>VLOOKUP($B322,'MAIN DATA, Orders'!$B:$P,7,0)</f>
        <v>Military vehicle maintentance</v>
      </c>
      <c r="F322" s="83" t="str">
        <f>VLOOKUP($B322,'MAIN DATA, Orders'!$B:$P,8,0)</f>
        <v>Maintenance</v>
      </c>
      <c r="G322" s="31">
        <f>VLOOKUP($B322,'MAIN DATA, Orders'!$B:$P,9,0)</f>
        <v>14</v>
      </c>
      <c r="H322" s="8">
        <f>VLOOKUP($B322,'MAIN DATA, Orders'!$B:$P,14,0)</f>
        <v>17750000</v>
      </c>
      <c r="I322" s="8">
        <f>VLOOKUP($B322,'MAIN DATA, Orders'!$B:$P,15,0)</f>
        <v>20965722.520138904</v>
      </c>
      <c r="J322" s="8">
        <f>VLOOKUP($B322,'MAIN DATA, Orders'!$B:$P,13,0)</f>
        <v>4</v>
      </c>
    </row>
    <row r="323" spans="1:10" x14ac:dyDescent="0.35">
      <c r="A323" s="27"/>
      <c r="B323" s="147" t="s">
        <v>2975</v>
      </c>
      <c r="C323" s="83" t="str">
        <f>VLOOKUP($B323,'MAIN DATA, Orders'!$B:$P,3,0)</f>
        <v>United Kingdom</v>
      </c>
      <c r="D323" s="83" t="str">
        <f>VLOOKUP($B323,'MAIN DATA, Orders'!$B:$P,6,0)</f>
        <v>Roll-on roll-off shipping vessel operations contract</v>
      </c>
      <c r="E323" s="83" t="str">
        <f>VLOOKUP($B323,'MAIN DATA, Orders'!$B:$P,7,0)</f>
        <v>Strategic sealift vessel lease</v>
      </c>
      <c r="F323" s="83" t="str">
        <f>VLOOKUP($B323,'MAIN DATA, Orders'!$B:$P,8,0)</f>
        <v>Naval</v>
      </c>
      <c r="G323" s="31">
        <f>VLOOKUP($B323,'MAIN DATA, Orders'!$B:$P,9,0)</f>
        <v>12</v>
      </c>
      <c r="H323" s="8">
        <f>VLOOKUP($B323,'MAIN DATA, Orders'!$B:$P,14,0)</f>
        <v>68000000</v>
      </c>
      <c r="I323" s="8">
        <f>VLOOKUP($B323,'MAIN DATA, Orders'!$B:$P,15,0)</f>
        <v>80319387.68278566</v>
      </c>
      <c r="J323" s="8">
        <f>VLOOKUP($B323,'MAIN DATA, Orders'!$B:$P,13,0)</f>
        <v>7</v>
      </c>
    </row>
    <row r="324" spans="1:10" x14ac:dyDescent="0.35">
      <c r="A324" s="27"/>
      <c r="B324" s="147" t="s">
        <v>3043</v>
      </c>
      <c r="C324" s="83" t="str">
        <f>VLOOKUP($B324,'MAIN DATA, Orders'!$B:$P,3,0)</f>
        <v>United Kingdom</v>
      </c>
      <c r="D324" s="83" t="str">
        <f>VLOOKUP($B324,'MAIN DATA, Orders'!$B:$P,6,0)</f>
        <v>Military vehicle maintentance contract extension</v>
      </c>
      <c r="E324" s="83" t="str">
        <f>VLOOKUP($B324,'MAIN DATA, Orders'!$B:$P,7,0)</f>
        <v>Military vehicle maintentance</v>
      </c>
      <c r="F324" s="83" t="str">
        <f>VLOOKUP($B324,'MAIN DATA, Orders'!$B:$P,8,0)</f>
        <v>Maintenance</v>
      </c>
      <c r="G324" s="31">
        <f>VLOOKUP($B324,'MAIN DATA, Orders'!$B:$P,9,0)</f>
        <v>14</v>
      </c>
      <c r="H324" s="8">
        <f>VLOOKUP($B324,'MAIN DATA, Orders'!$B:$P,14,0)</f>
        <v>320000000</v>
      </c>
      <c r="I324" s="8">
        <f>VLOOKUP($B324,'MAIN DATA, Orders'!$B:$P,15,0)</f>
        <v>373487085.51687109</v>
      </c>
      <c r="J324" s="8">
        <f>VLOOKUP($B324,'MAIN DATA, Orders'!$B:$P,13,0)</f>
        <v>5</v>
      </c>
    </row>
    <row r="325" spans="1:10" x14ac:dyDescent="0.35">
      <c r="A325" s="27"/>
      <c r="B325" s="147" t="s">
        <v>3052</v>
      </c>
      <c r="C325" s="83" t="str">
        <f>VLOOKUP($B325,'MAIN DATA, Orders'!$B:$P,3,0)</f>
        <v>United Kingdom</v>
      </c>
      <c r="D325" s="83" t="str">
        <f>VLOOKUP($B325,'MAIN DATA, Orders'!$B:$P,6,0)</f>
        <v>Anti-ballistic and hypersonic missile development contract</v>
      </c>
      <c r="E325" s="83" t="str">
        <f>VLOOKUP($B325,'MAIN DATA, Orders'!$B:$P,7,0)</f>
        <v>Air defence development</v>
      </c>
      <c r="F325" s="83" t="str">
        <f>VLOOKUP($B325,'MAIN DATA, Orders'!$B:$P,8,0)</f>
        <v>Development - Air defence system</v>
      </c>
      <c r="G325" s="31">
        <f>VLOOKUP($B325,'MAIN DATA, Orders'!$B:$P,9,0)</f>
        <v>15</v>
      </c>
      <c r="H325" s="8">
        <f>VLOOKUP($B325,'MAIN DATA, Orders'!$B:$P,14,0)</f>
        <v>41666666.666666664</v>
      </c>
      <c r="I325" s="8">
        <f>VLOOKUP($B325,'MAIN DATA, Orders'!$B:$P,15,0)</f>
        <v>48631130.926675923</v>
      </c>
      <c r="J325" s="8">
        <f>VLOOKUP($B325,'MAIN DATA, Orders'!$B:$P,13,0)</f>
        <v>6</v>
      </c>
    </row>
    <row r="326" spans="1:10" x14ac:dyDescent="0.35">
      <c r="A326" s="27"/>
      <c r="B326" s="147" t="s">
        <v>3076</v>
      </c>
      <c r="C326" s="83" t="str">
        <f>VLOOKUP($B326,'MAIN DATA, Orders'!$B:$P,3,0)</f>
        <v>United Kingdom</v>
      </c>
      <c r="D326" s="83" t="str">
        <f>VLOOKUP($B326,'MAIN DATA, Orders'!$B:$P,6,0)</f>
        <v>Eurofighter support contract</v>
      </c>
      <c r="E326" s="83" t="str">
        <f>VLOOKUP($B326,'MAIN DATA, Orders'!$B:$P,7,0)</f>
        <v>Fighter jet maintenance contract</v>
      </c>
      <c r="F326" s="83" t="str">
        <f>VLOOKUP($B326,'MAIN DATA, Orders'!$B:$P,8,0)</f>
        <v>Maintenance</v>
      </c>
      <c r="G326" s="31">
        <f>VLOOKUP($B326,'MAIN DATA, Orders'!$B:$P,9,0)</f>
        <v>14</v>
      </c>
      <c r="H326" s="8">
        <f>VLOOKUP($B326,'MAIN DATA, Orders'!$B:$P,14,0)</f>
        <v>112600000</v>
      </c>
      <c r="I326" s="8">
        <f>VLOOKUP($B326,'MAIN DATA, Orders'!$B:$P,15,0)</f>
        <v>131420768.21624902</v>
      </c>
      <c r="J326" s="8">
        <f>VLOOKUP($B326,'MAIN DATA, Orders'!$B:$P,13,0)</f>
        <v>5</v>
      </c>
    </row>
    <row r="327" spans="1:10" x14ac:dyDescent="0.35">
      <c r="A327" s="27"/>
      <c r="B327" s="147" t="s">
        <v>3089</v>
      </c>
      <c r="C327" s="83" t="str">
        <f>VLOOKUP($B327,'MAIN DATA, Orders'!$B:$P,3,0)</f>
        <v>United Kingdom</v>
      </c>
      <c r="D327" s="83" t="str">
        <f>VLOOKUP($B327,'MAIN DATA, Orders'!$B:$P,6,0)</f>
        <v>Aircrew training contract</v>
      </c>
      <c r="E327" s="83" t="str">
        <f>VLOOKUP($B327,'MAIN DATA, Orders'!$B:$P,7,0)</f>
        <v>Training contract</v>
      </c>
      <c r="F327" s="83" t="str">
        <f>VLOOKUP($B327,'MAIN DATA, Orders'!$B:$P,8,0)</f>
        <v>Other</v>
      </c>
      <c r="G327" s="31">
        <f>VLOOKUP($B327,'MAIN DATA, Orders'!$B:$P,9,0)</f>
        <v>16</v>
      </c>
      <c r="H327" s="8">
        <f>VLOOKUP($B327,'MAIN DATA, Orders'!$B:$P,14,0)</f>
        <v>37500000</v>
      </c>
      <c r="I327" s="8">
        <f>VLOOKUP($B327,'MAIN DATA, Orders'!$B:$P,15,0)</f>
        <v>43768017.834008329</v>
      </c>
      <c r="J327" s="8">
        <f>VLOOKUP($B327,'MAIN DATA, Orders'!$B:$P,13,0)</f>
        <v>8</v>
      </c>
    </row>
    <row r="328" spans="1:10" x14ac:dyDescent="0.35">
      <c r="A328" s="27"/>
      <c r="B328" s="147" t="s">
        <v>3092</v>
      </c>
      <c r="C328" s="83" t="str">
        <f>VLOOKUP($B328,'MAIN DATA, Orders'!$B:$P,3,0)</f>
        <v>United Kingdom</v>
      </c>
      <c r="D328" s="83" t="str">
        <f>VLOOKUP($B328,'MAIN DATA, Orders'!$B:$P,6,0)</f>
        <v>Test, Trials, Training and Evaluation contract extension</v>
      </c>
      <c r="E328" s="83" t="str">
        <f>VLOOKUP($B328,'MAIN DATA, Orders'!$B:$P,7,0)</f>
        <v>Equipment testing and evaluation</v>
      </c>
      <c r="F328" s="83" t="str">
        <f>VLOOKUP($B328,'MAIN DATA, Orders'!$B:$P,8,0)</f>
        <v>Modernisation</v>
      </c>
      <c r="G328" s="31">
        <f>VLOOKUP($B328,'MAIN DATA, Orders'!$B:$P,9,0)</f>
        <v>13</v>
      </c>
      <c r="H328" s="8">
        <f>VLOOKUP($B328,'MAIN DATA, Orders'!$B:$P,14,0)</f>
        <v>300000000</v>
      </c>
      <c r="I328" s="8">
        <f>VLOOKUP($B328,'MAIN DATA, Orders'!$B:$P,15,0)</f>
        <v>350144142.67206663</v>
      </c>
      <c r="J328" s="8">
        <f>VLOOKUP($B328,'MAIN DATA, Orders'!$B:$P,13,0)</f>
        <v>5</v>
      </c>
    </row>
    <row r="329" spans="1:10" x14ac:dyDescent="0.35">
      <c r="A329" s="27"/>
      <c r="B329" s="147" t="s">
        <v>3128</v>
      </c>
      <c r="C329" s="83" t="str">
        <f>VLOOKUP($B329,'MAIN DATA, Orders'!$B:$P,3,0)</f>
        <v>United Kingdom</v>
      </c>
      <c r="D329" s="83" t="str">
        <f>VLOOKUP($B329,'MAIN DATA, Orders'!$B:$P,6,0)</f>
        <v>ASRAAM air defence missile</v>
      </c>
      <c r="E329" s="83" t="str">
        <f>VLOOKUP($B329,'MAIN DATA, Orders'!$B:$P,7,0)</f>
        <v>Surface-to-air missile (SAM)</v>
      </c>
      <c r="F329" s="83" t="str">
        <f>VLOOKUP($B329,'MAIN DATA, Orders'!$B:$P,8,0)</f>
        <v>Missile (Land)</v>
      </c>
      <c r="G329" s="31">
        <f>VLOOKUP($B329,'MAIN DATA, Orders'!$B:$P,9,0)</f>
        <v>6</v>
      </c>
      <c r="H329" s="8">
        <f>VLOOKUP($B329,'MAIN DATA, Orders'!$B:$P,14,0)</f>
        <v>200000</v>
      </c>
      <c r="I329" s="8">
        <f>VLOOKUP($B329,'MAIN DATA, Orders'!$B:$P,15,0)</f>
        <v>233429.42844804443</v>
      </c>
      <c r="J329" s="8">
        <f>VLOOKUP($B329,'MAIN DATA, Orders'!$B:$P,13,0)</f>
        <v>350</v>
      </c>
    </row>
    <row r="330" spans="1:10" x14ac:dyDescent="0.35">
      <c r="A330" s="27"/>
      <c r="B330" s="147" t="s">
        <v>3132</v>
      </c>
      <c r="C330" s="83" t="str">
        <f>VLOOKUP($B330,'MAIN DATA, Orders'!$B:$P,3,0)</f>
        <v>United Kingdom</v>
      </c>
      <c r="D330" s="83" t="str">
        <f>VLOOKUP($B330,'MAIN DATA, Orders'!$B:$P,6,0)</f>
        <v>AFU training programme contract extension</v>
      </c>
      <c r="E330" s="83" t="str">
        <f>VLOOKUP($B330,'MAIN DATA, Orders'!$B:$P,7,0)</f>
        <v>Training contract</v>
      </c>
      <c r="F330" s="83" t="str">
        <f>VLOOKUP($B330,'MAIN DATA, Orders'!$B:$P,8,0)</f>
        <v>Other</v>
      </c>
      <c r="G330" s="31">
        <f>VLOOKUP($B330,'MAIN DATA, Orders'!$B:$P,9,0)</f>
        <v>16</v>
      </c>
      <c r="H330" s="8">
        <f>VLOOKUP($B330,'MAIN DATA, Orders'!$B:$P,14,0)</f>
        <v>247000000</v>
      </c>
      <c r="I330" s="8">
        <f>VLOOKUP($B330,'MAIN DATA, Orders'!$B:$P,15,0)</f>
        <v>288285344.13333488</v>
      </c>
      <c r="J330" s="8">
        <f>VLOOKUP($B330,'MAIN DATA, Orders'!$B:$P,13,0)</f>
        <v>1</v>
      </c>
    </row>
    <row r="331" spans="1:10" x14ac:dyDescent="0.35">
      <c r="A331" s="27"/>
      <c r="B331" s="147" t="s">
        <v>3136</v>
      </c>
      <c r="C331" s="83" t="str">
        <f>VLOOKUP($B331,'MAIN DATA, Orders'!$B:$P,3,0)</f>
        <v>United Kingdom</v>
      </c>
      <c r="D331" s="83" t="str">
        <f>VLOOKUP($B331,'MAIN DATA, Orders'!$B:$P,6,0)</f>
        <v>Nuclear submarine base modernisation</v>
      </c>
      <c r="E331" s="83" t="str">
        <f>VLOOKUP($B331,'MAIN DATA, Orders'!$B:$P,7,0)</f>
        <v>Naval facility modernisation</v>
      </c>
      <c r="F331" s="83" t="str">
        <f>VLOOKUP($B331,'MAIN DATA, Orders'!$B:$P,8,0)</f>
        <v>Modernisation</v>
      </c>
      <c r="G331" s="31">
        <f>VLOOKUP($B331,'MAIN DATA, Orders'!$B:$P,9,0)</f>
        <v>13</v>
      </c>
      <c r="H331" s="8">
        <f>VLOOKUP($B331,'MAIN DATA, Orders'!$B:$P,14,0)</f>
        <v>82333333.333333328</v>
      </c>
      <c r="I331" s="8">
        <f>VLOOKUP($B331,'MAIN DATA, Orders'!$B:$P,15,0)</f>
        <v>96095114.71111162</v>
      </c>
      <c r="J331" s="8">
        <f>VLOOKUP($B331,'MAIN DATA, Orders'!$B:$P,13,0)</f>
        <v>3</v>
      </c>
    </row>
    <row r="332" spans="1:10" x14ac:dyDescent="0.35">
      <c r="A332" s="27"/>
      <c r="B332" s="147" t="s">
        <v>3142</v>
      </c>
      <c r="C332" s="83" t="str">
        <f>VLOOKUP($B332,'MAIN DATA, Orders'!$B:$P,3,0)</f>
        <v>United Kingdom</v>
      </c>
      <c r="D332" s="83" t="str">
        <f>VLOOKUP($B332,'MAIN DATA, Orders'!$B:$P,6,0)</f>
        <v>AW139 helicopter transport operations contract</v>
      </c>
      <c r="E332" s="83" t="str">
        <f>VLOOKUP($B332,'MAIN DATA, Orders'!$B:$P,7,0)</f>
        <v>Naval heavy transport helicopter</v>
      </c>
      <c r="F332" s="83" t="str">
        <f>VLOOKUP($B332,'MAIN DATA, Orders'!$B:$P,8,0)</f>
        <v>Naval</v>
      </c>
      <c r="G332" s="31">
        <f>VLOOKUP($B332,'MAIN DATA, Orders'!$B:$P,9,0)</f>
        <v>12</v>
      </c>
      <c r="H332" s="8">
        <f>VLOOKUP($B332,'MAIN DATA, Orders'!$B:$P,14,0)</f>
        <v>8200000</v>
      </c>
      <c r="I332" s="8">
        <f>VLOOKUP($B332,'MAIN DATA, Orders'!$B:$P,15,0)</f>
        <v>9570606.5663698204</v>
      </c>
      <c r="J332" s="8">
        <f>VLOOKUP($B332,'MAIN DATA, Orders'!$B:$P,13,0)</f>
        <v>5</v>
      </c>
    </row>
    <row r="333" spans="1:10" x14ac:dyDescent="0.35">
      <c r="A333" s="27"/>
      <c r="B333" s="147" t="s">
        <v>3147</v>
      </c>
      <c r="C333" s="83" t="str">
        <f>VLOOKUP($B333,'MAIN DATA, Orders'!$B:$P,3,0)</f>
        <v>United Kingdom</v>
      </c>
      <c r="D333" s="83" t="str">
        <f>VLOOKUP($B333,'MAIN DATA, Orders'!$B:$P,6,0)</f>
        <v>Combat vehicle spare parts</v>
      </c>
      <c r="E333" s="83" t="str">
        <f>VLOOKUP($B333,'MAIN DATA, Orders'!$B:$P,7,0)</f>
        <v>Spare parts logistics</v>
      </c>
      <c r="F333" s="83" t="str">
        <f>VLOOKUP($B333,'MAIN DATA, Orders'!$B:$P,8,0)</f>
        <v>Maintenance</v>
      </c>
      <c r="G333" s="31">
        <f>VLOOKUP($B333,'MAIN DATA, Orders'!$B:$P,9,0)</f>
        <v>14</v>
      </c>
      <c r="H333" s="8">
        <f>VLOOKUP($B333,'MAIN DATA, Orders'!$B:$P,14,0)</f>
        <v>41666666.666666664</v>
      </c>
      <c r="I333" s="8">
        <f>VLOOKUP($B333,'MAIN DATA, Orders'!$B:$P,15,0)</f>
        <v>48631130.926675923</v>
      </c>
      <c r="J333" s="8">
        <f>VLOOKUP($B333,'MAIN DATA, Orders'!$B:$P,13,0)</f>
        <v>3</v>
      </c>
    </row>
    <row r="334" spans="1:10" x14ac:dyDescent="0.35">
      <c r="A334" s="27"/>
      <c r="B334" s="147" t="s">
        <v>3173</v>
      </c>
      <c r="C334" s="83" t="str">
        <f>VLOOKUP($B334,'MAIN DATA, Orders'!$B:$P,3,0)</f>
        <v>United Kingdom</v>
      </c>
      <c r="D334" s="83" t="str">
        <f>VLOOKUP($B334,'MAIN DATA, Orders'!$B:$P,6,0)</f>
        <v>Defence Technical Excellence College</v>
      </c>
      <c r="E334" s="83" t="str">
        <f>VLOOKUP($B334,'MAIN DATA, Orders'!$B:$P,7,0)</f>
        <v>Specialist training centre</v>
      </c>
      <c r="F334" s="83" t="str">
        <f>VLOOKUP($B334,'MAIN DATA, Orders'!$B:$P,8,0)</f>
        <v>Other</v>
      </c>
      <c r="G334" s="31">
        <f>VLOOKUP($B334,'MAIN DATA, Orders'!$B:$P,9,0)</f>
        <v>16</v>
      </c>
      <c r="H334" s="8">
        <f>VLOOKUP($B334,'MAIN DATA, Orders'!$B:$P,14,0)</f>
        <v>20400000</v>
      </c>
      <c r="I334" s="8">
        <f>VLOOKUP($B334,'MAIN DATA, Orders'!$B:$P,15,0)</f>
        <v>23809801.701700531</v>
      </c>
      <c r="J334" s="8">
        <f>VLOOKUP($B334,'MAIN DATA, Orders'!$B:$P,13,0)</f>
        <v>5</v>
      </c>
    </row>
    <row r="335" spans="1:10" x14ac:dyDescent="0.35">
      <c r="A335" s="27"/>
      <c r="B335" s="147" t="s">
        <v>3191</v>
      </c>
      <c r="C335" s="83" t="str">
        <f>VLOOKUP($B335,'MAIN DATA, Orders'!$B:$P,3,0)</f>
        <v>United Kingdom</v>
      </c>
      <c r="D335" s="83" t="str">
        <f>VLOOKUP($B335,'MAIN DATA, Orders'!$B:$P,6,0)</f>
        <v>L111A1 Heavy Machine Gun upgrade and support contract</v>
      </c>
      <c r="E335" s="83" t="str">
        <f>VLOOKUP($B335,'MAIN DATA, Orders'!$B:$P,7,0)</f>
        <v>Heavy machine gun</v>
      </c>
      <c r="F335" s="83" t="str">
        <f>VLOOKUP($B335,'MAIN DATA, Orders'!$B:$P,8,0)</f>
        <v>Infantry</v>
      </c>
      <c r="G335" s="31">
        <f>VLOOKUP($B335,'MAIN DATA, Orders'!$B:$P,9,0)</f>
        <v>8</v>
      </c>
      <c r="H335" s="8">
        <f>VLOOKUP($B335,'MAIN DATA, Orders'!$B:$P,14,0)</f>
        <v>2000000</v>
      </c>
      <c r="I335" s="8">
        <f>VLOOKUP($B335,'MAIN DATA, Orders'!$B:$P,15,0)</f>
        <v>2334294.2844804442</v>
      </c>
      <c r="J335" s="8">
        <f>VLOOKUP($B335,'MAIN DATA, Orders'!$B:$P,13,0)</f>
        <v>10</v>
      </c>
    </row>
    <row r="336" spans="1:10" x14ac:dyDescent="0.35">
      <c r="A336" s="27"/>
      <c r="B336" s="147" t="s">
        <v>3204</v>
      </c>
      <c r="C336" s="83" t="str">
        <f>VLOOKUP($B336,'MAIN DATA, Orders'!$B:$P,3,0)</f>
        <v>United Kingdom</v>
      </c>
      <c r="D336" s="83" t="str">
        <f>VLOOKUP($B336,'MAIN DATA, Orders'!$B:$P,6,0)</f>
        <v>Eurofighter support contract</v>
      </c>
      <c r="E336" s="83" t="str">
        <f>VLOOKUP($B336,'MAIN DATA, Orders'!$B:$P,7,0)</f>
        <v>Fighter jet maintenance contract</v>
      </c>
      <c r="F336" s="83" t="str">
        <f>VLOOKUP($B336,'MAIN DATA, Orders'!$B:$P,8,0)</f>
        <v>Maintenance</v>
      </c>
      <c r="G336" s="31">
        <f>VLOOKUP($B336,'MAIN DATA, Orders'!$B:$P,9,0)</f>
        <v>14</v>
      </c>
      <c r="H336" s="8">
        <f>VLOOKUP($B336,'MAIN DATA, Orders'!$B:$P,14,0)</f>
        <v>1560000</v>
      </c>
      <c r="I336" s="8">
        <f>VLOOKUP($B336,'MAIN DATA, Orders'!$B:$P,15,0)</f>
        <v>1820749.5418947465</v>
      </c>
      <c r="J336" s="8">
        <f>VLOOKUP($B336,'MAIN DATA, Orders'!$B:$P,13,0)</f>
        <v>5</v>
      </c>
    </row>
    <row r="337" spans="1:10" x14ac:dyDescent="0.35">
      <c r="A337" s="27"/>
      <c r="B337" s="147" t="s">
        <v>3230</v>
      </c>
      <c r="C337" s="83" t="str">
        <f>VLOOKUP($B337,'MAIN DATA, Orders'!$B:$P,3,0)</f>
        <v>United Kingdom</v>
      </c>
      <c r="D337" s="83" t="str">
        <f>VLOOKUP($B337,'MAIN DATA, Orders'!$B:$P,6,0)</f>
        <v>H145 helicopter support contract</v>
      </c>
      <c r="E337" s="83" t="str">
        <f>VLOOKUP($B337,'MAIN DATA, Orders'!$B:$P,7,0)</f>
        <v>Helicopter maintenance</v>
      </c>
      <c r="F337" s="83" t="str">
        <f>VLOOKUP($B337,'MAIN DATA, Orders'!$B:$P,8,0)</f>
        <v>Maintenance</v>
      </c>
      <c r="G337" s="31">
        <f>VLOOKUP($B337,'MAIN DATA, Orders'!$B:$P,9,0)</f>
        <v>14</v>
      </c>
      <c r="H337" s="8">
        <f>VLOOKUP($B337,'MAIN DATA, Orders'!$B:$P,14,0)</f>
        <v>16800000</v>
      </c>
      <c r="I337" s="8">
        <f>VLOOKUP($B337,'MAIN DATA, Orders'!$B:$P,15,0)</f>
        <v>19608071.989635732</v>
      </c>
      <c r="J337" s="8">
        <f>VLOOKUP($B337,'MAIN DATA, Orders'!$B:$P,13,0)</f>
        <v>2</v>
      </c>
    </row>
    <row r="338" spans="1:10" x14ac:dyDescent="0.35">
      <c r="A338" s="27"/>
      <c r="B338" s="147" t="s">
        <v>3258</v>
      </c>
      <c r="C338" s="83" t="str">
        <f>VLOOKUP($B338,'MAIN DATA, Orders'!$B:$P,3,0)</f>
        <v>United Kingdom</v>
      </c>
      <c r="D338" s="83" t="str">
        <f>VLOOKUP($B338,'MAIN DATA, Orders'!$B:$P,6,0)</f>
        <v>Eurofighter support contract</v>
      </c>
      <c r="E338" s="83" t="str">
        <f>VLOOKUP($B338,'MAIN DATA, Orders'!$B:$P,7,0)</f>
        <v>Fighter jet maintenance contract</v>
      </c>
      <c r="F338" s="83" t="str">
        <f>VLOOKUP($B338,'MAIN DATA, Orders'!$B:$P,8,0)</f>
        <v>Maintenance</v>
      </c>
      <c r="G338" s="31">
        <f>VLOOKUP($B338,'MAIN DATA, Orders'!$B:$P,9,0)</f>
        <v>14</v>
      </c>
      <c r="H338" s="8">
        <f>VLOOKUP($B338,'MAIN DATA, Orders'!$B:$P,14,0)</f>
        <v>41000000</v>
      </c>
      <c r="I338" s="8">
        <f>VLOOKUP($B338,'MAIN DATA, Orders'!$B:$P,15,0)</f>
        <v>47219790.850877598</v>
      </c>
      <c r="J338" s="8">
        <f>VLOOKUP($B338,'MAIN DATA, Orders'!$B:$P,13,0)</f>
        <v>5</v>
      </c>
    </row>
    <row r="339" spans="1:10" x14ac:dyDescent="0.35">
      <c r="A339" s="27"/>
      <c r="B339" s="147" t="s">
        <v>3902</v>
      </c>
      <c r="C339" s="83" t="str">
        <f>VLOOKUP($B339,'MAIN DATA, Orders'!$B:$P,3,0)</f>
        <v>Poland</v>
      </c>
      <c r="D339" s="83" t="str">
        <f>VLOOKUP($B339,'MAIN DATA, Orders'!$B:$P,6,0)</f>
        <v>F-16 modernisation</v>
      </c>
      <c r="E339" s="83" t="str">
        <f>VLOOKUP($B339,'MAIN DATA, Orders'!$B:$P,7,0)</f>
        <v>Aircraft modernisation</v>
      </c>
      <c r="F339" s="83" t="str">
        <f>VLOOKUP($B339,'MAIN DATA, Orders'!$B:$P,8,0)</f>
        <v>Aircraft</v>
      </c>
      <c r="G339" s="31">
        <f>VLOOKUP($B339,'MAIN DATA, Orders'!$B:$P,9,0)</f>
        <v>11</v>
      </c>
      <c r="H339" s="8">
        <f>VLOOKUP($B339,'MAIN DATA, Orders'!$B:$P,14,0)</f>
        <v>79166666.666666672</v>
      </c>
      <c r="I339" s="8">
        <f>VLOOKUP($B339,'MAIN DATA, Orders'!$B:$P,15,0)</f>
        <v>70058997.050147504</v>
      </c>
      <c r="J339" s="8">
        <f>VLOOKUP($B339,'MAIN DATA, Orders'!$B:$P,13,0)</f>
        <v>48</v>
      </c>
    </row>
    <row r="340" spans="1:10" x14ac:dyDescent="0.35">
      <c r="A340" s="27"/>
      <c r="B340" s="147" t="s">
        <v>3923</v>
      </c>
      <c r="C340" s="83" t="str">
        <f>VLOOKUP($B340,'MAIN DATA, Orders'!$B:$P,3,0)</f>
        <v>Poland</v>
      </c>
      <c r="D340" s="83" t="str">
        <f>VLOOKUP($B340,'MAIN DATA, Orders'!$B:$P,6,0)</f>
        <v>Mobile Communication Node (MCC)</v>
      </c>
      <c r="E340" s="83" t="str">
        <f>VLOOKUP($B340,'MAIN DATA, Orders'!$B:$P,7,0)</f>
        <v>Communication and digitalisation</v>
      </c>
      <c r="F340" s="83" t="str">
        <f>VLOOKUP($B340,'MAIN DATA, Orders'!$B:$P,8,0)</f>
        <v>Modernisation</v>
      </c>
      <c r="G340" s="31">
        <f>VLOOKUP($B340,'MAIN DATA, Orders'!$B:$P,9,0)</f>
        <v>13</v>
      </c>
      <c r="H340" s="8">
        <f>VLOOKUP($B340,'MAIN DATA, Orders'!$B:$P,14,0)</f>
        <v>37321428.571428575</v>
      </c>
      <c r="I340" s="8">
        <f>VLOOKUP($B340,'MAIN DATA, Orders'!$B:$P,15,0)</f>
        <v>8802846.5625937153</v>
      </c>
      <c r="J340" s="8">
        <f>VLOOKUP($B340,'MAIN DATA, Orders'!$B:$P,13,0)</f>
        <v>56</v>
      </c>
    </row>
    <row r="341" spans="1:10" x14ac:dyDescent="0.35">
      <c r="A341" s="27"/>
      <c r="B341" s="171"/>
      <c r="C341" s="171"/>
      <c r="D341" s="171"/>
      <c r="E341" s="171"/>
      <c r="F341" s="171"/>
      <c r="G341" s="183"/>
      <c r="H341" s="184"/>
      <c r="I341" s="184"/>
      <c r="J341" s="184"/>
    </row>
    <row r="342" spans="1:10" x14ac:dyDescent="0.35">
      <c r="A342" s="27"/>
      <c r="B342" s="147"/>
      <c r="C342" s="83"/>
      <c r="D342" s="83"/>
      <c r="E342" s="83"/>
      <c r="F342" s="83"/>
      <c r="G342" s="31"/>
      <c r="H342" s="8"/>
      <c r="I342" s="8"/>
      <c r="J342" s="8"/>
    </row>
    <row r="343" spans="1:10" x14ac:dyDescent="0.35">
      <c r="A343" s="27"/>
      <c r="C343" s="83"/>
      <c r="D343" s="83"/>
      <c r="E343" s="83"/>
      <c r="F343" s="83"/>
      <c r="G343" s="31"/>
      <c r="H343" s="8"/>
      <c r="I343" s="8"/>
      <c r="J343" s="8"/>
    </row>
    <row r="344" spans="1:10" x14ac:dyDescent="0.35">
      <c r="A344" s="27"/>
      <c r="C344" s="83"/>
      <c r="D344" s="83"/>
      <c r="E344" s="83"/>
      <c r="F344" s="83"/>
      <c r="G344" s="31"/>
      <c r="H344" s="8"/>
      <c r="I344" s="8"/>
      <c r="J344" s="8"/>
    </row>
    <row r="345" spans="1:10" x14ac:dyDescent="0.35">
      <c r="A345" s="27"/>
      <c r="C345" s="83"/>
      <c r="D345" s="83"/>
      <c r="E345" s="83"/>
      <c r="F345" s="83"/>
      <c r="G345" s="31"/>
      <c r="H345" s="8"/>
      <c r="I345" s="8"/>
      <c r="J345" s="8"/>
    </row>
    <row r="346" spans="1:10" x14ac:dyDescent="0.35">
      <c r="C346" s="83"/>
      <c r="D346" s="83"/>
      <c r="E346" s="83"/>
      <c r="F346" s="83"/>
      <c r="G346" s="31"/>
      <c r="H346" s="8"/>
      <c r="I346" s="8"/>
      <c r="J346" s="8"/>
    </row>
    <row r="347" spans="1:10" x14ac:dyDescent="0.35">
      <c r="C347" s="83"/>
      <c r="D347" s="83"/>
      <c r="E347" s="83"/>
      <c r="F347" s="83"/>
      <c r="G347" s="31"/>
      <c r="H347" s="8"/>
      <c r="I347" s="8"/>
      <c r="J347" s="8"/>
    </row>
    <row r="348" spans="1:10" x14ac:dyDescent="0.35">
      <c r="C348" s="83"/>
      <c r="D348" s="83"/>
      <c r="E348" s="83"/>
      <c r="F348" s="83"/>
      <c r="G348" s="31"/>
      <c r="H348" s="8"/>
      <c r="I348" s="8"/>
      <c r="J348" s="8"/>
    </row>
    <row r="349" spans="1:10" x14ac:dyDescent="0.35">
      <c r="C349" s="83"/>
      <c r="D349" s="83"/>
      <c r="E349" s="83"/>
      <c r="F349" s="83"/>
      <c r="G349" s="31"/>
      <c r="H349" s="8"/>
      <c r="I349" s="8"/>
      <c r="J349" s="8"/>
    </row>
    <row r="350" spans="1:10" x14ac:dyDescent="0.35">
      <c r="C350" s="83"/>
      <c r="D350" s="83"/>
      <c r="E350" s="83"/>
      <c r="F350" s="83"/>
      <c r="G350" s="31"/>
      <c r="H350" s="8"/>
      <c r="I350" s="8"/>
      <c r="J350" s="8"/>
    </row>
    <row r="351" spans="1:10" x14ac:dyDescent="0.35">
      <c r="C351" s="83"/>
      <c r="D351" s="83"/>
      <c r="E351" s="83"/>
      <c r="F351" s="83"/>
      <c r="G351" s="31"/>
      <c r="H351" s="8"/>
      <c r="I351" s="8"/>
      <c r="J351" s="8"/>
    </row>
    <row r="352" spans="1:10" x14ac:dyDescent="0.35">
      <c r="C352" s="83"/>
      <c r="D352" s="83"/>
      <c r="E352" s="83"/>
      <c r="F352" s="83"/>
      <c r="G352" s="31"/>
      <c r="H352" s="8"/>
      <c r="I352" s="8"/>
      <c r="J352" s="8"/>
    </row>
    <row r="353" spans="3:10" x14ac:dyDescent="0.35">
      <c r="C353" s="83"/>
      <c r="D353" s="83"/>
      <c r="E353" s="83"/>
      <c r="F353" s="83"/>
      <c r="G353" s="31"/>
      <c r="H353" s="8"/>
      <c r="I353" s="8"/>
      <c r="J353" s="8"/>
    </row>
    <row r="354" spans="3:10" x14ac:dyDescent="0.35">
      <c r="C354" s="83"/>
      <c r="D354" s="83"/>
      <c r="E354" s="83"/>
      <c r="F354" s="83"/>
      <c r="G354" s="31"/>
      <c r="H354" s="8"/>
      <c r="I354" s="8"/>
      <c r="J354" s="8"/>
    </row>
    <row r="355" spans="3:10" x14ac:dyDescent="0.35">
      <c r="C355" s="83"/>
      <c r="D355" s="83"/>
      <c r="E355" s="83"/>
      <c r="F355" s="83"/>
      <c r="G355" s="31"/>
      <c r="H355" s="8"/>
      <c r="I355" s="8"/>
      <c r="J355" s="8"/>
    </row>
    <row r="356" spans="3:10" x14ac:dyDescent="0.35">
      <c r="C356" s="83"/>
      <c r="D356" s="83"/>
      <c r="E356" s="83"/>
      <c r="F356" s="83"/>
      <c r="G356" s="31"/>
      <c r="H356" s="8"/>
      <c r="I356" s="8"/>
      <c r="J356" s="8"/>
    </row>
    <row r="357" spans="3:10" x14ac:dyDescent="0.35">
      <c r="C357" s="83"/>
      <c r="D357" s="83"/>
      <c r="E357" s="83"/>
      <c r="F357" s="83"/>
      <c r="G357" s="31"/>
      <c r="H357" s="8"/>
      <c r="I357" s="8"/>
      <c r="J357" s="8"/>
    </row>
    <row r="358" spans="3:10" x14ac:dyDescent="0.35">
      <c r="C358" s="83"/>
      <c r="D358" s="83"/>
      <c r="E358" s="83"/>
      <c r="F358" s="83"/>
      <c r="G358" s="31"/>
      <c r="H358" s="8"/>
      <c r="I358" s="8"/>
      <c r="J358" s="8"/>
    </row>
    <row r="359" spans="3:10" x14ac:dyDescent="0.35">
      <c r="C359" s="83"/>
      <c r="D359" s="83"/>
      <c r="E359" s="83"/>
      <c r="F359" s="83"/>
      <c r="G359" s="31"/>
      <c r="H359" s="8"/>
      <c r="I359" s="8"/>
      <c r="J359" s="8"/>
    </row>
    <row r="360" spans="3:10" x14ac:dyDescent="0.35">
      <c r="C360" s="83"/>
      <c r="D360" s="83"/>
      <c r="E360" s="83"/>
      <c r="F360" s="83"/>
      <c r="G360" s="31"/>
      <c r="H360" s="8"/>
      <c r="I360" s="8"/>
      <c r="J360" s="8"/>
    </row>
    <row r="361" spans="3:10" x14ac:dyDescent="0.35">
      <c r="C361" s="83"/>
      <c r="D361" s="83"/>
      <c r="E361" s="83"/>
      <c r="F361" s="83"/>
      <c r="G361" s="31"/>
      <c r="H361" s="8"/>
      <c r="I361" s="8"/>
      <c r="J361" s="8"/>
    </row>
    <row r="362" spans="3:10" x14ac:dyDescent="0.35">
      <c r="C362" s="83"/>
      <c r="D362" s="83"/>
      <c r="E362" s="83"/>
      <c r="F362" s="83"/>
      <c r="G362" s="31"/>
      <c r="H362" s="8"/>
      <c r="I362" s="8"/>
      <c r="J362" s="8"/>
    </row>
    <row r="363" spans="3:10" x14ac:dyDescent="0.35">
      <c r="C363" s="83"/>
      <c r="D363" s="83"/>
      <c r="E363" s="83"/>
      <c r="F363" s="83"/>
      <c r="G363" s="31"/>
      <c r="H363" s="8"/>
      <c r="I363" s="8"/>
      <c r="J363" s="8"/>
    </row>
    <row r="364" spans="3:10" x14ac:dyDescent="0.35">
      <c r="C364" s="83"/>
      <c r="D364" s="83"/>
      <c r="E364" s="83"/>
      <c r="F364" s="83"/>
      <c r="G364" s="31"/>
      <c r="H364" s="8"/>
      <c r="I364" s="8"/>
      <c r="J364" s="8"/>
    </row>
    <row r="365" spans="3:10" x14ac:dyDescent="0.35">
      <c r="C365" s="83"/>
      <c r="D365" s="83"/>
      <c r="E365" s="83"/>
      <c r="F365" s="83"/>
      <c r="G365" s="31"/>
      <c r="H365" s="8"/>
      <c r="I365" s="8"/>
      <c r="J365" s="8"/>
    </row>
    <row r="366" spans="3:10" x14ac:dyDescent="0.35">
      <c r="C366" s="83"/>
      <c r="D366" s="83"/>
      <c r="E366" s="83"/>
      <c r="F366" s="83"/>
      <c r="G366" s="31"/>
      <c r="H366" s="8"/>
      <c r="I366" s="8"/>
      <c r="J366" s="8"/>
    </row>
    <row r="367" spans="3:10" x14ac:dyDescent="0.35">
      <c r="C367" s="83"/>
      <c r="D367" s="83"/>
      <c r="E367" s="83"/>
      <c r="F367" s="83"/>
      <c r="G367" s="31"/>
      <c r="H367" s="8"/>
      <c r="I367" s="8"/>
      <c r="J367" s="8"/>
    </row>
    <row r="368" spans="3:10" x14ac:dyDescent="0.35">
      <c r="C368" s="83"/>
      <c r="D368" s="83"/>
      <c r="E368" s="83"/>
      <c r="F368" s="83"/>
      <c r="G368" s="31"/>
      <c r="H368" s="8"/>
      <c r="I368" s="8"/>
      <c r="J368" s="8"/>
    </row>
    <row r="369" spans="3:10" x14ac:dyDescent="0.35">
      <c r="C369" s="83"/>
      <c r="D369" s="83"/>
      <c r="E369" s="83"/>
      <c r="F369" s="83"/>
      <c r="G369" s="31"/>
      <c r="H369" s="8"/>
      <c r="I369" s="8"/>
      <c r="J369" s="8"/>
    </row>
    <row r="370" spans="3:10" x14ac:dyDescent="0.35">
      <c r="C370" s="83"/>
      <c r="D370" s="83"/>
      <c r="E370" s="83"/>
      <c r="F370" s="83"/>
      <c r="G370" s="31"/>
      <c r="H370" s="8"/>
      <c r="I370" s="8"/>
      <c r="J370" s="8"/>
    </row>
    <row r="371" spans="3:10" x14ac:dyDescent="0.35">
      <c r="C371" s="83"/>
      <c r="D371" s="83"/>
      <c r="E371" s="83"/>
      <c r="F371" s="83"/>
      <c r="G371" s="31"/>
      <c r="H371" s="8"/>
      <c r="I371" s="8"/>
      <c r="J371" s="8"/>
    </row>
    <row r="372" spans="3:10" x14ac:dyDescent="0.35">
      <c r="C372" s="83"/>
      <c r="D372" s="83"/>
      <c r="E372" s="83"/>
      <c r="F372" s="83"/>
      <c r="G372" s="31"/>
      <c r="H372" s="8"/>
      <c r="I372" s="8"/>
      <c r="J372" s="8"/>
    </row>
    <row r="373" spans="3:10" x14ac:dyDescent="0.35">
      <c r="C373" s="83"/>
      <c r="D373" s="83"/>
      <c r="E373" s="83"/>
      <c r="F373" s="83"/>
      <c r="G373" s="31"/>
      <c r="H373" s="8"/>
      <c r="I373" s="8"/>
      <c r="J373" s="8"/>
    </row>
    <row r="374" spans="3:10" x14ac:dyDescent="0.35">
      <c r="C374" s="83"/>
      <c r="D374" s="83"/>
      <c r="E374" s="83"/>
      <c r="F374" s="83"/>
      <c r="G374" s="31"/>
      <c r="H374" s="8"/>
      <c r="I374" s="8"/>
      <c r="J374" s="8"/>
    </row>
    <row r="375" spans="3:10" x14ac:dyDescent="0.35">
      <c r="C375" s="83"/>
      <c r="D375" s="83"/>
      <c r="E375" s="83"/>
      <c r="F375" s="83"/>
      <c r="G375" s="31"/>
      <c r="H375" s="8"/>
      <c r="I375" s="8"/>
      <c r="J375" s="8"/>
    </row>
    <row r="376" spans="3:10" x14ac:dyDescent="0.35">
      <c r="C376" s="83"/>
      <c r="D376" s="83"/>
      <c r="E376" s="83"/>
      <c r="F376" s="83"/>
      <c r="G376" s="31"/>
      <c r="H376" s="8"/>
      <c r="I376" s="8"/>
      <c r="J376" s="8"/>
    </row>
  </sheetData>
  <mergeCells count="1">
    <mergeCell ref="B4:E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39997558519241921"/>
  </sheetPr>
  <dimension ref="B2:K43"/>
  <sheetViews>
    <sheetView workbookViewId="0"/>
  </sheetViews>
  <sheetFormatPr baseColWidth="10" defaultColWidth="8.75" defaultRowHeight="15.5" x14ac:dyDescent="0.35"/>
  <cols>
    <col min="1" max="1" width="8.75" style="1"/>
    <col min="2" max="2" width="14.58203125" style="1" customWidth="1"/>
    <col min="3" max="3" width="18.33203125" style="1" customWidth="1"/>
    <col min="4" max="16384" width="8.75" style="1"/>
  </cols>
  <sheetData>
    <row r="2" spans="2:11" ht="25.9" customHeight="1" x14ac:dyDescent="0.7">
      <c r="B2" s="21" t="s">
        <v>4236</v>
      </c>
    </row>
    <row r="4" spans="2:11" ht="64.900000000000006" customHeight="1" x14ac:dyDescent="0.35">
      <c r="B4" s="233" t="s">
        <v>4237</v>
      </c>
      <c r="C4" s="233"/>
      <c r="D4" s="233"/>
      <c r="E4" s="233"/>
      <c r="F4" s="233"/>
      <c r="G4" s="233"/>
      <c r="H4" s="233"/>
      <c r="I4" s="233"/>
      <c r="J4" s="233"/>
      <c r="K4" s="233"/>
    </row>
    <row r="6" spans="2:11" x14ac:dyDescent="0.35">
      <c r="B6" s="53" t="s">
        <v>4238</v>
      </c>
    </row>
    <row r="8" spans="2:11" x14ac:dyDescent="0.35">
      <c r="B8" s="60" t="s">
        <v>4239</v>
      </c>
      <c r="C8" s="11" t="s">
        <v>4240</v>
      </c>
      <c r="D8" s="11" t="s">
        <v>4241</v>
      </c>
    </row>
    <row r="9" spans="2:11" x14ac:dyDescent="0.35">
      <c r="B9" s="59">
        <v>1</v>
      </c>
      <c r="C9" s="83" t="s">
        <v>1105</v>
      </c>
      <c r="D9" s="83" t="s">
        <v>4242</v>
      </c>
    </row>
    <row r="10" spans="2:11" x14ac:dyDescent="0.35">
      <c r="B10" s="59">
        <v>2</v>
      </c>
      <c r="C10" s="83" t="s">
        <v>4201</v>
      </c>
      <c r="D10" s="83" t="s">
        <v>4243</v>
      </c>
    </row>
    <row r="11" spans="2:11" x14ac:dyDescent="0.35">
      <c r="B11" s="59">
        <v>3</v>
      </c>
      <c r="C11" s="83" t="s">
        <v>3376</v>
      </c>
      <c r="D11" s="83" t="s">
        <v>4244</v>
      </c>
    </row>
    <row r="12" spans="2:11" x14ac:dyDescent="0.35">
      <c r="B12" s="59">
        <v>4</v>
      </c>
      <c r="C12" s="83" t="s">
        <v>999</v>
      </c>
      <c r="D12" s="83" t="s">
        <v>4245</v>
      </c>
    </row>
    <row r="13" spans="2:11" x14ac:dyDescent="0.35">
      <c r="B13" s="59">
        <v>5</v>
      </c>
      <c r="C13" s="83" t="s">
        <v>2967</v>
      </c>
      <c r="D13" s="83" t="s">
        <v>4246</v>
      </c>
    </row>
    <row r="14" spans="2:11" x14ac:dyDescent="0.35">
      <c r="B14" s="59">
        <v>6</v>
      </c>
      <c r="C14" s="83" t="s">
        <v>4213</v>
      </c>
      <c r="D14" s="83" t="s">
        <v>4247</v>
      </c>
    </row>
    <row r="15" spans="2:11" x14ac:dyDescent="0.35">
      <c r="B15" s="59">
        <v>7</v>
      </c>
      <c r="C15" s="83" t="s">
        <v>2580</v>
      </c>
      <c r="D15" s="83" t="s">
        <v>4248</v>
      </c>
    </row>
    <row r="16" spans="2:11" x14ac:dyDescent="0.35">
      <c r="B16" s="59">
        <v>8</v>
      </c>
      <c r="C16" s="83" t="s">
        <v>1311</v>
      </c>
      <c r="D16" s="83" t="s">
        <v>4249</v>
      </c>
    </row>
    <row r="17" spans="2:4" x14ac:dyDescent="0.35">
      <c r="B17" s="59">
        <v>9</v>
      </c>
      <c r="C17" s="83" t="s">
        <v>4211</v>
      </c>
      <c r="D17" s="83" t="s">
        <v>4250</v>
      </c>
    </row>
    <row r="18" spans="2:4" x14ac:dyDescent="0.35">
      <c r="B18" s="59">
        <v>10</v>
      </c>
      <c r="C18" s="83" t="s">
        <v>608</v>
      </c>
      <c r="D18" s="83" t="s">
        <v>4251</v>
      </c>
    </row>
    <row r="19" spans="2:4" x14ac:dyDescent="0.35">
      <c r="B19" s="59">
        <v>11</v>
      </c>
      <c r="C19" s="83" t="s">
        <v>188</v>
      </c>
      <c r="D19" s="83" t="s">
        <v>4252</v>
      </c>
    </row>
    <row r="20" spans="2:4" x14ac:dyDescent="0.35">
      <c r="B20" s="59">
        <v>12</v>
      </c>
      <c r="C20" s="83" t="s">
        <v>2955</v>
      </c>
      <c r="D20" s="83" t="s">
        <v>4253</v>
      </c>
    </row>
    <row r="21" spans="2:4" x14ac:dyDescent="0.35">
      <c r="B21" s="59">
        <v>13</v>
      </c>
      <c r="C21" s="83" t="s">
        <v>659</v>
      </c>
      <c r="D21" s="83" t="s">
        <v>4254</v>
      </c>
    </row>
    <row r="22" spans="2:4" x14ac:dyDescent="0.35">
      <c r="B22" s="59">
        <v>14</v>
      </c>
      <c r="C22" s="83" t="s">
        <v>4209</v>
      </c>
      <c r="D22" s="83" t="s">
        <v>4255</v>
      </c>
    </row>
    <row r="23" spans="2:4" x14ac:dyDescent="0.35">
      <c r="B23" s="59">
        <v>15</v>
      </c>
      <c r="C23" s="83" t="s">
        <v>4256</v>
      </c>
      <c r="D23" s="83" t="s">
        <v>4257</v>
      </c>
    </row>
    <row r="24" spans="2:4" x14ac:dyDescent="0.35">
      <c r="B24" s="59">
        <v>16</v>
      </c>
      <c r="C24" s="83" t="s">
        <v>287</v>
      </c>
      <c r="D24" s="83" t="s">
        <v>4258</v>
      </c>
    </row>
    <row r="28" spans="2:4" x14ac:dyDescent="0.35">
      <c r="B28" s="53" t="s">
        <v>4259</v>
      </c>
    </row>
    <row r="30" spans="2:4" x14ac:dyDescent="0.35">
      <c r="B30" s="83" t="s">
        <v>175</v>
      </c>
      <c r="C30" s="83" t="s">
        <v>4260</v>
      </c>
      <c r="D30" s="83"/>
    </row>
    <row r="31" spans="2:4" x14ac:dyDescent="0.35">
      <c r="B31" s="83" t="s">
        <v>133</v>
      </c>
      <c r="C31" s="83" t="s">
        <v>4261</v>
      </c>
      <c r="D31" s="83"/>
    </row>
    <row r="32" spans="2:4" x14ac:dyDescent="0.35">
      <c r="B32" s="83" t="s">
        <v>808</v>
      </c>
      <c r="C32" s="83" t="s">
        <v>4262</v>
      </c>
      <c r="D32" s="83"/>
    </row>
    <row r="33" spans="2:4" x14ac:dyDescent="0.35">
      <c r="B33" s="83" t="s">
        <v>283</v>
      </c>
      <c r="C33" s="83" t="s">
        <v>4263</v>
      </c>
      <c r="D33" s="83"/>
    </row>
    <row r="34" spans="2:4" x14ac:dyDescent="0.35">
      <c r="B34" s="83" t="s">
        <v>682</v>
      </c>
      <c r="C34" s="83" t="s">
        <v>4264</v>
      </c>
      <c r="D34" s="83"/>
    </row>
    <row r="37" spans="2:4" x14ac:dyDescent="0.35">
      <c r="B37" s="53" t="s">
        <v>4265</v>
      </c>
    </row>
    <row r="39" spans="2:4" x14ac:dyDescent="0.35">
      <c r="B39" s="27" t="s">
        <v>3978</v>
      </c>
      <c r="C39" s="83" t="s">
        <v>4266</v>
      </c>
    </row>
    <row r="40" spans="2:4" x14ac:dyDescent="0.35">
      <c r="B40" s="27" t="s">
        <v>4115</v>
      </c>
      <c r="C40" s="83" t="s">
        <v>4267</v>
      </c>
    </row>
    <row r="41" spans="2:4" x14ac:dyDescent="0.35">
      <c r="B41" s="83"/>
      <c r="C41" s="83"/>
    </row>
    <row r="42" spans="2:4" x14ac:dyDescent="0.35">
      <c r="B42" s="83"/>
      <c r="C42" s="83"/>
    </row>
    <row r="43" spans="2:4" x14ac:dyDescent="0.35">
      <c r="B43" s="83"/>
      <c r="C43" s="83"/>
    </row>
  </sheetData>
  <sortState xmlns:xlrd2="http://schemas.microsoft.com/office/spreadsheetml/2017/richdata2" ref="B30:B34">
    <sortCondition ref="B30:B34"/>
  </sortState>
  <mergeCells count="1">
    <mergeCell ref="B4:K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5" tint="0.39997558519241921"/>
  </sheetPr>
  <dimension ref="A1:G692"/>
  <sheetViews>
    <sheetView zoomScaleNormal="100" workbookViewId="0"/>
  </sheetViews>
  <sheetFormatPr baseColWidth="10" defaultColWidth="8.75" defaultRowHeight="15.65" customHeight="1" x14ac:dyDescent="0.35"/>
  <cols>
    <col min="1" max="1" width="8.75" style="1"/>
    <col min="2" max="2" width="53.75" style="1" customWidth="1"/>
    <col min="3" max="3" width="34.58203125" style="1" customWidth="1"/>
    <col min="4" max="4" width="28.58203125" style="1" customWidth="1"/>
    <col min="5" max="5" width="16.75" style="166" bestFit="1" customWidth="1"/>
    <col min="6" max="6" width="15.25" style="1" bestFit="1" customWidth="1"/>
    <col min="7" max="7" width="12.25" style="1" customWidth="1"/>
    <col min="8" max="8" width="18.75" style="1" customWidth="1"/>
    <col min="9" max="16384" width="8.75" style="1"/>
  </cols>
  <sheetData>
    <row r="1" spans="1:7" ht="15.65" customHeight="1" x14ac:dyDescent="0.35">
      <c r="A1" s="109" t="s">
        <v>200</v>
      </c>
      <c r="B1" s="109" t="s">
        <v>200</v>
      </c>
      <c r="C1" s="109" t="s">
        <v>200</v>
      </c>
      <c r="D1" s="109" t="s">
        <v>200</v>
      </c>
      <c r="E1" s="163" t="s">
        <v>200</v>
      </c>
      <c r="F1" s="109" t="s">
        <v>200</v>
      </c>
      <c r="G1" s="109" t="s">
        <v>200</v>
      </c>
    </row>
    <row r="2" spans="1:7" ht="25.9" customHeight="1" x14ac:dyDescent="0.7">
      <c r="A2" s="109" t="s">
        <v>200</v>
      </c>
      <c r="B2" s="156" t="s">
        <v>4268</v>
      </c>
      <c r="C2" s="109" t="s">
        <v>200</v>
      </c>
      <c r="D2" s="109" t="s">
        <v>200</v>
      </c>
      <c r="E2" s="163" t="s">
        <v>200</v>
      </c>
      <c r="F2" s="109" t="s">
        <v>200</v>
      </c>
      <c r="G2" s="109" t="s">
        <v>200</v>
      </c>
    </row>
    <row r="3" spans="1:7" ht="15.65" customHeight="1" x14ac:dyDescent="0.35">
      <c r="A3" s="109" t="s">
        <v>200</v>
      </c>
      <c r="B3" s="109" t="s">
        <v>200</v>
      </c>
      <c r="C3" s="109" t="s">
        <v>200</v>
      </c>
      <c r="D3" s="109" t="s">
        <v>200</v>
      </c>
      <c r="E3" s="163" t="s">
        <v>200</v>
      </c>
      <c r="F3" s="109" t="s">
        <v>200</v>
      </c>
      <c r="G3" s="109" t="s">
        <v>200</v>
      </c>
    </row>
    <row r="4" spans="1:7" ht="64.900000000000006" customHeight="1" x14ac:dyDescent="0.35">
      <c r="A4" s="109" t="s">
        <v>200</v>
      </c>
      <c r="B4" s="234" t="s">
        <v>4269</v>
      </c>
      <c r="C4" s="234"/>
      <c r="D4" s="234"/>
      <c r="E4" s="164" t="s">
        <v>200</v>
      </c>
      <c r="F4" s="109" t="s">
        <v>200</v>
      </c>
      <c r="G4" s="109" t="s">
        <v>200</v>
      </c>
    </row>
    <row r="5" spans="1:7" ht="15.65" customHeight="1" x14ac:dyDescent="0.35">
      <c r="A5" s="109" t="s">
        <v>200</v>
      </c>
      <c r="B5" s="109" t="s">
        <v>200</v>
      </c>
      <c r="C5" s="109" t="s">
        <v>200</v>
      </c>
      <c r="D5" s="109" t="s">
        <v>200</v>
      </c>
      <c r="E5" s="163" t="s">
        <v>200</v>
      </c>
      <c r="F5" s="109" t="s">
        <v>200</v>
      </c>
      <c r="G5" s="109" t="s">
        <v>200</v>
      </c>
    </row>
    <row r="6" spans="1:7" ht="21" customHeight="1" x14ac:dyDescent="0.35">
      <c r="A6" s="109" t="s">
        <v>200</v>
      </c>
      <c r="B6" s="157" t="s">
        <v>4228</v>
      </c>
      <c r="C6" s="157" t="s">
        <v>4229</v>
      </c>
      <c r="D6" s="157" t="s">
        <v>4230</v>
      </c>
      <c r="E6" s="165" t="s">
        <v>4231</v>
      </c>
      <c r="F6" s="109" t="s">
        <v>200</v>
      </c>
      <c r="G6" s="109" t="s">
        <v>200</v>
      </c>
    </row>
    <row r="7" spans="1:7" ht="15.65" customHeight="1" x14ac:dyDescent="0.35">
      <c r="A7" s="109" t="s">
        <v>200</v>
      </c>
      <c r="B7" s="120" t="s">
        <v>129</v>
      </c>
      <c r="C7" s="120" t="s">
        <v>4270</v>
      </c>
      <c r="D7" s="120" t="s">
        <v>2580</v>
      </c>
      <c r="E7" s="164">
        <v>7</v>
      </c>
      <c r="F7" s="109" t="s">
        <v>200</v>
      </c>
      <c r="G7" s="109" t="s">
        <v>200</v>
      </c>
    </row>
    <row r="8" spans="1:7" ht="15.65" customHeight="1" x14ac:dyDescent="0.35">
      <c r="A8" s="109" t="s">
        <v>200</v>
      </c>
      <c r="B8" s="120" t="s">
        <v>142</v>
      </c>
      <c r="C8" s="120" t="s">
        <v>4271</v>
      </c>
      <c r="D8" s="120" t="s">
        <v>2955</v>
      </c>
      <c r="E8" s="164">
        <v>12</v>
      </c>
      <c r="F8" s="109" t="s">
        <v>200</v>
      </c>
      <c r="G8" s="109" t="s">
        <v>200</v>
      </c>
    </row>
    <row r="9" spans="1:7" ht="15.65" customHeight="1" x14ac:dyDescent="0.35">
      <c r="A9" s="109" t="s">
        <v>200</v>
      </c>
      <c r="B9" s="120" t="s">
        <v>157</v>
      </c>
      <c r="C9" s="120" t="s">
        <v>4272</v>
      </c>
      <c r="D9" s="120" t="s">
        <v>188</v>
      </c>
      <c r="E9" s="164">
        <v>11</v>
      </c>
      <c r="F9" s="109" t="s">
        <v>200</v>
      </c>
      <c r="G9" s="109" t="s">
        <v>200</v>
      </c>
    </row>
    <row r="10" spans="1:7" ht="15.65" customHeight="1" x14ac:dyDescent="0.35">
      <c r="A10" s="109" t="s">
        <v>200</v>
      </c>
      <c r="B10" s="120" t="s">
        <v>167</v>
      </c>
      <c r="C10" s="120" t="s">
        <v>4273</v>
      </c>
      <c r="D10" s="120" t="s">
        <v>659</v>
      </c>
      <c r="E10" s="164">
        <v>13</v>
      </c>
      <c r="F10" s="109" t="s">
        <v>200</v>
      </c>
      <c r="G10" s="109" t="s">
        <v>200</v>
      </c>
    </row>
    <row r="11" spans="1:7" ht="15.65" customHeight="1" x14ac:dyDescent="0.35">
      <c r="A11" s="109" t="s">
        <v>200</v>
      </c>
      <c r="B11" s="120" t="s">
        <v>173</v>
      </c>
      <c r="C11" s="120" t="s">
        <v>4273</v>
      </c>
      <c r="D11" s="120" t="s">
        <v>659</v>
      </c>
      <c r="E11" s="164">
        <v>13</v>
      </c>
      <c r="F11" s="109" t="s">
        <v>200</v>
      </c>
      <c r="G11" s="109" t="s">
        <v>200</v>
      </c>
    </row>
    <row r="12" spans="1:7" ht="15.65" customHeight="1" x14ac:dyDescent="0.35">
      <c r="A12" s="109" t="s">
        <v>200</v>
      </c>
      <c r="B12" s="120" t="s">
        <v>181</v>
      </c>
      <c r="C12" s="120" t="s">
        <v>4273</v>
      </c>
      <c r="D12" s="120" t="s">
        <v>659</v>
      </c>
      <c r="E12" s="164">
        <v>13</v>
      </c>
      <c r="F12" s="109" t="s">
        <v>200</v>
      </c>
      <c r="G12" s="109" t="s">
        <v>200</v>
      </c>
    </row>
    <row r="13" spans="1:7" ht="15.65" customHeight="1" x14ac:dyDescent="0.35">
      <c r="A13" s="109" t="s">
        <v>200</v>
      </c>
      <c r="B13" s="120" t="s">
        <v>202</v>
      </c>
      <c r="C13" s="120" t="s">
        <v>187</v>
      </c>
      <c r="D13" s="120" t="s">
        <v>188</v>
      </c>
      <c r="E13" s="164">
        <v>11</v>
      </c>
      <c r="F13" s="109" t="s">
        <v>200</v>
      </c>
      <c r="G13" s="109" t="s">
        <v>200</v>
      </c>
    </row>
    <row r="14" spans="1:7" ht="15.65" customHeight="1" x14ac:dyDescent="0.35">
      <c r="A14" s="109" t="s">
        <v>200</v>
      </c>
      <c r="B14" s="120" t="s">
        <v>204</v>
      </c>
      <c r="C14" s="120" t="s">
        <v>187</v>
      </c>
      <c r="D14" s="120" t="s">
        <v>188</v>
      </c>
      <c r="E14" s="164">
        <v>11</v>
      </c>
      <c r="F14" s="109" t="s">
        <v>200</v>
      </c>
      <c r="G14" s="109" t="s">
        <v>200</v>
      </c>
    </row>
    <row r="15" spans="1:7" ht="15.65" customHeight="1" x14ac:dyDescent="0.35">
      <c r="A15" s="109" t="s">
        <v>200</v>
      </c>
      <c r="B15" s="120" t="s">
        <v>207</v>
      </c>
      <c r="C15" s="120" t="s">
        <v>187</v>
      </c>
      <c r="D15" s="120" t="s">
        <v>188</v>
      </c>
      <c r="E15" s="164">
        <v>11</v>
      </c>
      <c r="F15" s="109" t="s">
        <v>200</v>
      </c>
      <c r="G15" s="109" t="s">
        <v>200</v>
      </c>
    </row>
    <row r="16" spans="1:7" ht="15.65" customHeight="1" x14ac:dyDescent="0.35">
      <c r="A16" s="109" t="s">
        <v>200</v>
      </c>
      <c r="B16" s="120" t="s">
        <v>210</v>
      </c>
      <c r="C16" s="120" t="s">
        <v>4274</v>
      </c>
      <c r="D16" s="120" t="s">
        <v>1891</v>
      </c>
      <c r="E16" s="164">
        <v>6</v>
      </c>
      <c r="F16" s="109" t="s">
        <v>200</v>
      </c>
      <c r="G16" s="109" t="s">
        <v>200</v>
      </c>
    </row>
    <row r="17" spans="1:7" ht="15.65" customHeight="1" x14ac:dyDescent="0.35">
      <c r="A17" s="109" t="s">
        <v>200</v>
      </c>
      <c r="B17" s="120" t="s">
        <v>217</v>
      </c>
      <c r="C17" s="120" t="s">
        <v>4275</v>
      </c>
      <c r="D17" s="120" t="s">
        <v>1891</v>
      </c>
      <c r="E17" s="164">
        <v>6</v>
      </c>
      <c r="F17" s="109" t="s">
        <v>200</v>
      </c>
      <c r="G17" s="109" t="s">
        <v>200</v>
      </c>
    </row>
    <row r="18" spans="1:7" ht="15.65" customHeight="1" x14ac:dyDescent="0.35">
      <c r="A18" s="109" t="s">
        <v>200</v>
      </c>
      <c r="B18" s="120" t="s">
        <v>220</v>
      </c>
      <c r="C18" s="120" t="s">
        <v>658</v>
      </c>
      <c r="D18" s="120" t="s">
        <v>659</v>
      </c>
      <c r="E18" s="164">
        <v>13</v>
      </c>
      <c r="F18" s="109" t="s">
        <v>200</v>
      </c>
      <c r="G18" s="109" t="s">
        <v>200</v>
      </c>
    </row>
    <row r="19" spans="1:7" ht="15.65" customHeight="1" x14ac:dyDescent="0.35">
      <c r="A19" s="109" t="s">
        <v>200</v>
      </c>
      <c r="B19" s="120" t="s">
        <v>228</v>
      </c>
      <c r="C19" s="120" t="s">
        <v>4276</v>
      </c>
      <c r="D19" s="120" t="s">
        <v>287</v>
      </c>
      <c r="E19" s="164">
        <v>16</v>
      </c>
      <c r="F19" s="109" t="s">
        <v>200</v>
      </c>
      <c r="G19" s="109" t="s">
        <v>200</v>
      </c>
    </row>
    <row r="20" spans="1:7" ht="15.65" customHeight="1" x14ac:dyDescent="0.35">
      <c r="A20" s="109" t="s">
        <v>200</v>
      </c>
      <c r="B20" s="120" t="s">
        <v>236</v>
      </c>
      <c r="C20" s="120" t="s">
        <v>4277</v>
      </c>
      <c r="D20" s="120" t="s">
        <v>188</v>
      </c>
      <c r="E20" s="164">
        <v>11</v>
      </c>
      <c r="F20" s="109" t="s">
        <v>200</v>
      </c>
      <c r="G20" s="109" t="s">
        <v>200</v>
      </c>
    </row>
    <row r="21" spans="1:7" ht="15.65" customHeight="1" x14ac:dyDescent="0.35">
      <c r="A21" s="109" t="s">
        <v>200</v>
      </c>
      <c r="B21" s="120" t="s">
        <v>245</v>
      </c>
      <c r="C21" s="120" t="s">
        <v>4278</v>
      </c>
      <c r="D21" s="120" t="s">
        <v>2955</v>
      </c>
      <c r="E21" s="164">
        <v>12</v>
      </c>
      <c r="F21" s="109" t="s">
        <v>200</v>
      </c>
      <c r="G21" s="109" t="s">
        <v>200</v>
      </c>
    </row>
    <row r="22" spans="1:7" ht="15.65" customHeight="1" x14ac:dyDescent="0.35">
      <c r="A22" s="109" t="s">
        <v>200</v>
      </c>
      <c r="B22" s="120" t="s">
        <v>254</v>
      </c>
      <c r="C22" s="120" t="s">
        <v>1013</v>
      </c>
      <c r="D22" s="120" t="s">
        <v>999</v>
      </c>
      <c r="E22" s="164">
        <v>4</v>
      </c>
      <c r="F22" s="109" t="s">
        <v>200</v>
      </c>
      <c r="G22" s="109" t="s">
        <v>200</v>
      </c>
    </row>
    <row r="23" spans="1:7" ht="15.65" customHeight="1" x14ac:dyDescent="0.35">
      <c r="A23" s="109" t="s">
        <v>200</v>
      </c>
      <c r="B23" s="120" t="s">
        <v>261</v>
      </c>
      <c r="C23" s="120" t="s">
        <v>4279</v>
      </c>
      <c r="D23" s="120" t="s">
        <v>4280</v>
      </c>
      <c r="E23" s="164">
        <v>15</v>
      </c>
      <c r="F23" s="109" t="s">
        <v>200</v>
      </c>
      <c r="G23" s="109" t="s">
        <v>200</v>
      </c>
    </row>
    <row r="24" spans="1:7" ht="15.65" customHeight="1" x14ac:dyDescent="0.35">
      <c r="A24" s="109" t="s">
        <v>200</v>
      </c>
      <c r="B24" s="120" t="s">
        <v>265</v>
      </c>
      <c r="C24" s="120" t="s">
        <v>4281</v>
      </c>
      <c r="D24" s="120" t="s">
        <v>2955</v>
      </c>
      <c r="E24" s="164">
        <v>12</v>
      </c>
      <c r="F24" s="109" t="s">
        <v>200</v>
      </c>
      <c r="G24" s="109" t="s">
        <v>200</v>
      </c>
    </row>
    <row r="25" spans="1:7" ht="15.65" customHeight="1" x14ac:dyDescent="0.35">
      <c r="A25" s="109" t="s">
        <v>200</v>
      </c>
      <c r="B25" s="120" t="s">
        <v>273</v>
      </c>
      <c r="C25" s="120" t="s">
        <v>4282</v>
      </c>
      <c r="D25" s="120" t="s">
        <v>4201</v>
      </c>
      <c r="E25" s="164">
        <v>2</v>
      </c>
      <c r="F25" s="109" t="s">
        <v>200</v>
      </c>
      <c r="G25" s="109" t="s">
        <v>200</v>
      </c>
    </row>
    <row r="26" spans="1:7" ht="15.65" customHeight="1" x14ac:dyDescent="0.35">
      <c r="A26" s="109" t="s">
        <v>200</v>
      </c>
      <c r="B26" s="120" t="s">
        <v>282</v>
      </c>
      <c r="C26" s="120" t="s">
        <v>286</v>
      </c>
      <c r="D26" s="120" t="s">
        <v>287</v>
      </c>
      <c r="E26" s="164">
        <v>16</v>
      </c>
      <c r="F26" s="109" t="s">
        <v>200</v>
      </c>
      <c r="G26" s="109" t="s">
        <v>200</v>
      </c>
    </row>
    <row r="27" spans="1:7" ht="15.65" customHeight="1" x14ac:dyDescent="0.35">
      <c r="A27" s="109" t="s">
        <v>200</v>
      </c>
      <c r="B27" s="120" t="s">
        <v>290</v>
      </c>
      <c r="C27" s="120" t="s">
        <v>286</v>
      </c>
      <c r="D27" s="120" t="s">
        <v>287</v>
      </c>
      <c r="E27" s="164">
        <v>16</v>
      </c>
      <c r="F27" s="109" t="s">
        <v>200</v>
      </c>
      <c r="G27" s="109" t="s">
        <v>200</v>
      </c>
    </row>
    <row r="28" spans="1:7" ht="15.65" customHeight="1" x14ac:dyDescent="0.35">
      <c r="A28" s="109" t="s">
        <v>200</v>
      </c>
      <c r="B28" s="120" t="s">
        <v>293</v>
      </c>
      <c r="C28" s="120" t="s">
        <v>286</v>
      </c>
      <c r="D28" s="120" t="s">
        <v>287</v>
      </c>
      <c r="E28" s="164">
        <v>16</v>
      </c>
      <c r="F28" s="109" t="s">
        <v>200</v>
      </c>
      <c r="G28" s="109" t="s">
        <v>200</v>
      </c>
    </row>
    <row r="29" spans="1:7" ht="15.65" customHeight="1" x14ac:dyDescent="0.35">
      <c r="A29" s="109" t="s">
        <v>200</v>
      </c>
      <c r="B29" s="120" t="s">
        <v>305</v>
      </c>
      <c r="C29" s="120" t="s">
        <v>299</v>
      </c>
      <c r="D29" s="120" t="s">
        <v>287</v>
      </c>
      <c r="E29" s="164">
        <v>16</v>
      </c>
      <c r="F29" s="109" t="s">
        <v>200</v>
      </c>
      <c r="G29" s="109" t="s">
        <v>200</v>
      </c>
    </row>
    <row r="30" spans="1:7" ht="15.65" customHeight="1" x14ac:dyDescent="0.35">
      <c r="A30" s="109" t="s">
        <v>200</v>
      </c>
      <c r="B30" s="120" t="s">
        <v>307</v>
      </c>
      <c r="C30" s="120" t="s">
        <v>299</v>
      </c>
      <c r="D30" s="120" t="s">
        <v>287</v>
      </c>
      <c r="E30" s="164">
        <v>16</v>
      </c>
      <c r="F30" s="109" t="s">
        <v>200</v>
      </c>
      <c r="G30" s="109" t="s">
        <v>200</v>
      </c>
    </row>
    <row r="31" spans="1:7" ht="15.65" customHeight="1" x14ac:dyDescent="0.35">
      <c r="A31" s="109" t="s">
        <v>200</v>
      </c>
      <c r="B31" s="120" t="s">
        <v>309</v>
      </c>
      <c r="C31" s="120" t="s">
        <v>4283</v>
      </c>
      <c r="D31" s="120" t="s">
        <v>287</v>
      </c>
      <c r="E31" s="164">
        <v>16</v>
      </c>
      <c r="F31" s="109" t="s">
        <v>200</v>
      </c>
      <c r="G31" s="109" t="s">
        <v>200</v>
      </c>
    </row>
    <row r="32" spans="1:7" ht="15.65" customHeight="1" x14ac:dyDescent="0.35">
      <c r="A32" s="109" t="s">
        <v>200</v>
      </c>
      <c r="B32" s="120" t="s">
        <v>323</v>
      </c>
      <c r="C32" s="120" t="s">
        <v>314</v>
      </c>
      <c r="D32" s="120" t="s">
        <v>315</v>
      </c>
      <c r="E32" s="164">
        <v>6</v>
      </c>
      <c r="F32" s="109" t="s">
        <v>200</v>
      </c>
      <c r="G32" s="109" t="s">
        <v>200</v>
      </c>
    </row>
    <row r="33" spans="1:7" ht="15.65" customHeight="1" x14ac:dyDescent="0.35">
      <c r="A33" s="109" t="s">
        <v>200</v>
      </c>
      <c r="B33" s="120" t="s">
        <v>325</v>
      </c>
      <c r="C33" s="120" t="s">
        <v>4284</v>
      </c>
      <c r="D33" s="120" t="s">
        <v>315</v>
      </c>
      <c r="E33" s="164">
        <v>6</v>
      </c>
      <c r="F33" s="109" t="s">
        <v>200</v>
      </c>
      <c r="G33" s="109" t="s">
        <v>200</v>
      </c>
    </row>
    <row r="34" spans="1:7" ht="15.65" customHeight="1" x14ac:dyDescent="0.35">
      <c r="A34" s="109" t="s">
        <v>200</v>
      </c>
      <c r="B34" s="120" t="s">
        <v>328</v>
      </c>
      <c r="C34" s="120" t="s">
        <v>4285</v>
      </c>
      <c r="D34" s="120" t="s">
        <v>4201</v>
      </c>
      <c r="E34" s="164">
        <v>2</v>
      </c>
      <c r="F34" s="109" t="s">
        <v>200</v>
      </c>
      <c r="G34" s="109" t="s">
        <v>200</v>
      </c>
    </row>
    <row r="35" spans="1:7" ht="15.65" customHeight="1" x14ac:dyDescent="0.35">
      <c r="A35" s="109" t="s">
        <v>200</v>
      </c>
      <c r="B35" s="120" t="s">
        <v>335</v>
      </c>
      <c r="C35" s="120" t="s">
        <v>4286</v>
      </c>
      <c r="D35" s="120" t="s">
        <v>2955</v>
      </c>
      <c r="E35" s="164">
        <v>12</v>
      </c>
      <c r="F35" s="109" t="s">
        <v>200</v>
      </c>
      <c r="G35" s="109" t="s">
        <v>200</v>
      </c>
    </row>
    <row r="36" spans="1:7" ht="15.65" customHeight="1" x14ac:dyDescent="0.35">
      <c r="A36" s="109" t="s">
        <v>200</v>
      </c>
      <c r="B36" s="120" t="s">
        <v>343</v>
      </c>
      <c r="C36" s="120" t="s">
        <v>4287</v>
      </c>
      <c r="D36" s="120" t="s">
        <v>608</v>
      </c>
      <c r="E36" s="164">
        <v>10</v>
      </c>
      <c r="F36" s="109" t="s">
        <v>200</v>
      </c>
      <c r="G36" s="109" t="s">
        <v>200</v>
      </c>
    </row>
    <row r="37" spans="1:7" ht="15.65" customHeight="1" x14ac:dyDescent="0.35">
      <c r="A37" s="109" t="s">
        <v>200</v>
      </c>
      <c r="B37" s="120" t="s">
        <v>348</v>
      </c>
      <c r="C37" s="120" t="s">
        <v>4288</v>
      </c>
      <c r="D37" s="120" t="s">
        <v>188</v>
      </c>
      <c r="E37" s="164">
        <v>11</v>
      </c>
      <c r="F37" s="109" t="s">
        <v>200</v>
      </c>
      <c r="G37" s="109" t="s">
        <v>200</v>
      </c>
    </row>
    <row r="38" spans="1:7" ht="15.65" customHeight="1" x14ac:dyDescent="0.35">
      <c r="A38" s="109" t="s">
        <v>200</v>
      </c>
      <c r="B38" s="120" t="s">
        <v>353</v>
      </c>
      <c r="C38" s="120" t="s">
        <v>817</v>
      </c>
      <c r="D38" s="120" t="s">
        <v>659</v>
      </c>
      <c r="E38" s="164">
        <v>13</v>
      </c>
      <c r="F38" s="109" t="s">
        <v>200</v>
      </c>
      <c r="G38" s="109" t="s">
        <v>200</v>
      </c>
    </row>
    <row r="39" spans="1:7" ht="15.65" customHeight="1" x14ac:dyDescent="0.35">
      <c r="A39" s="109" t="s">
        <v>200</v>
      </c>
      <c r="B39" s="120" t="s">
        <v>358</v>
      </c>
      <c r="C39" s="120" t="s">
        <v>4289</v>
      </c>
      <c r="D39" s="120" t="s">
        <v>4290</v>
      </c>
      <c r="E39" s="164">
        <v>15</v>
      </c>
      <c r="F39" s="109" t="s">
        <v>200</v>
      </c>
      <c r="G39" s="109" t="s">
        <v>200</v>
      </c>
    </row>
    <row r="40" spans="1:7" ht="15.65" customHeight="1" x14ac:dyDescent="0.35">
      <c r="A40" s="109" t="s">
        <v>200</v>
      </c>
      <c r="B40" s="120" t="s">
        <v>368</v>
      </c>
      <c r="C40" s="120" t="s">
        <v>624</v>
      </c>
      <c r="D40" s="120" t="s">
        <v>287</v>
      </c>
      <c r="E40" s="164">
        <v>16</v>
      </c>
      <c r="F40" s="109" t="s">
        <v>200</v>
      </c>
      <c r="G40" s="109" t="s">
        <v>200</v>
      </c>
    </row>
    <row r="41" spans="1:7" ht="15.65" customHeight="1" x14ac:dyDescent="0.35">
      <c r="A41" s="109" t="s">
        <v>200</v>
      </c>
      <c r="B41" s="120" t="s">
        <v>378</v>
      </c>
      <c r="C41" s="120" t="s">
        <v>4291</v>
      </c>
      <c r="D41" s="120" t="s">
        <v>608</v>
      </c>
      <c r="E41" s="164">
        <v>10</v>
      </c>
      <c r="F41" s="109" t="s">
        <v>200</v>
      </c>
      <c r="G41" s="109" t="s">
        <v>200</v>
      </c>
    </row>
    <row r="42" spans="1:7" ht="15.65" customHeight="1" x14ac:dyDescent="0.35">
      <c r="A42" s="109" t="s">
        <v>200</v>
      </c>
      <c r="B42" s="120" t="s">
        <v>385</v>
      </c>
      <c r="C42" s="120" t="s">
        <v>4292</v>
      </c>
      <c r="D42" s="120" t="s">
        <v>4209</v>
      </c>
      <c r="E42" s="164">
        <v>14</v>
      </c>
      <c r="F42" s="109" t="s">
        <v>200</v>
      </c>
      <c r="G42" s="109" t="s">
        <v>200</v>
      </c>
    </row>
    <row r="43" spans="1:7" ht="15.65" customHeight="1" x14ac:dyDescent="0.35">
      <c r="A43" s="109" t="s">
        <v>200</v>
      </c>
      <c r="B43" s="120" t="s">
        <v>392</v>
      </c>
      <c r="C43" s="120" t="s">
        <v>299</v>
      </c>
      <c r="D43" s="120" t="s">
        <v>287</v>
      </c>
      <c r="E43" s="164">
        <v>16</v>
      </c>
      <c r="F43" s="109" t="s">
        <v>200</v>
      </c>
      <c r="G43" s="109" t="s">
        <v>200</v>
      </c>
    </row>
    <row r="44" spans="1:7" ht="15.65" customHeight="1" x14ac:dyDescent="0.35">
      <c r="A44" s="109" t="s">
        <v>200</v>
      </c>
      <c r="B44" s="120" t="s">
        <v>398</v>
      </c>
      <c r="C44" s="120" t="s">
        <v>4273</v>
      </c>
      <c r="D44" s="120" t="s">
        <v>659</v>
      </c>
      <c r="E44" s="164">
        <v>13</v>
      </c>
      <c r="F44" s="109" t="s">
        <v>200</v>
      </c>
      <c r="G44" s="109" t="s">
        <v>200</v>
      </c>
    </row>
    <row r="45" spans="1:7" ht="15.65" customHeight="1" x14ac:dyDescent="0.35">
      <c r="A45" s="109" t="s">
        <v>200</v>
      </c>
      <c r="B45" s="120" t="s">
        <v>409</v>
      </c>
      <c r="C45" s="120" t="s">
        <v>4273</v>
      </c>
      <c r="D45" s="120" t="s">
        <v>659</v>
      </c>
      <c r="E45" s="164">
        <v>13</v>
      </c>
      <c r="F45" s="109" t="s">
        <v>200</v>
      </c>
      <c r="G45" s="109" t="s">
        <v>200</v>
      </c>
    </row>
    <row r="46" spans="1:7" ht="15.65" customHeight="1" x14ac:dyDescent="0.35">
      <c r="A46" s="109" t="s">
        <v>200</v>
      </c>
      <c r="B46" s="120" t="s">
        <v>416</v>
      </c>
      <c r="C46" s="120" t="s">
        <v>4293</v>
      </c>
      <c r="D46" s="120" t="s">
        <v>2955</v>
      </c>
      <c r="E46" s="164">
        <v>12</v>
      </c>
      <c r="F46" s="109" t="s">
        <v>200</v>
      </c>
      <c r="G46" s="109" t="s">
        <v>200</v>
      </c>
    </row>
    <row r="47" spans="1:7" ht="15.65" customHeight="1" x14ac:dyDescent="0.35">
      <c r="A47" s="109" t="s">
        <v>200</v>
      </c>
      <c r="B47" s="120" t="s">
        <v>423</v>
      </c>
      <c r="C47" s="120" t="s">
        <v>4294</v>
      </c>
      <c r="D47" s="120" t="s">
        <v>4295</v>
      </c>
      <c r="E47" s="164">
        <v>15</v>
      </c>
      <c r="F47" s="109" t="s">
        <v>200</v>
      </c>
      <c r="G47" s="109" t="s">
        <v>200</v>
      </c>
    </row>
    <row r="48" spans="1:7" ht="15.65" customHeight="1" x14ac:dyDescent="0.35">
      <c r="A48" s="109" t="s">
        <v>200</v>
      </c>
      <c r="B48" s="120" t="s">
        <v>428</v>
      </c>
      <c r="C48" s="120" t="s">
        <v>4296</v>
      </c>
      <c r="D48" s="120" t="s">
        <v>188</v>
      </c>
      <c r="E48" s="164">
        <v>11</v>
      </c>
      <c r="F48" s="109" t="s">
        <v>200</v>
      </c>
      <c r="G48" s="109" t="s">
        <v>200</v>
      </c>
    </row>
    <row r="49" spans="1:7" ht="15.65" customHeight="1" x14ac:dyDescent="0.35">
      <c r="A49" s="109" t="s">
        <v>200</v>
      </c>
      <c r="B49" s="120" t="s">
        <v>436</v>
      </c>
      <c r="C49" s="120" t="s">
        <v>4273</v>
      </c>
      <c r="D49" s="120" t="s">
        <v>659</v>
      </c>
      <c r="E49" s="164">
        <v>13</v>
      </c>
      <c r="F49" s="109" t="s">
        <v>200</v>
      </c>
      <c r="G49" s="109" t="s">
        <v>200</v>
      </c>
    </row>
    <row r="50" spans="1:7" ht="15.65" customHeight="1" x14ac:dyDescent="0.35">
      <c r="A50" s="109" t="s">
        <v>200</v>
      </c>
      <c r="B50" s="120" t="s">
        <v>442</v>
      </c>
      <c r="C50" s="120" t="s">
        <v>4297</v>
      </c>
      <c r="D50" s="120" t="s">
        <v>188</v>
      </c>
      <c r="E50" s="164">
        <v>11</v>
      </c>
      <c r="F50" s="109" t="s">
        <v>200</v>
      </c>
      <c r="G50" s="109" t="s">
        <v>200</v>
      </c>
    </row>
    <row r="51" spans="1:7" ht="15.65" customHeight="1" x14ac:dyDescent="0.35">
      <c r="A51" s="109" t="s">
        <v>200</v>
      </c>
      <c r="B51" s="120" t="s">
        <v>451</v>
      </c>
      <c r="C51" s="120" t="s">
        <v>4298</v>
      </c>
      <c r="D51" s="120" t="s">
        <v>2955</v>
      </c>
      <c r="E51" s="164">
        <v>12</v>
      </c>
      <c r="F51" s="109" t="s">
        <v>200</v>
      </c>
      <c r="G51" s="109" t="s">
        <v>200</v>
      </c>
    </row>
    <row r="52" spans="1:7" ht="15.65" customHeight="1" x14ac:dyDescent="0.35">
      <c r="A52" s="109" t="s">
        <v>200</v>
      </c>
      <c r="B52" s="120" t="s">
        <v>459</v>
      </c>
      <c r="C52" s="120" t="s">
        <v>4299</v>
      </c>
      <c r="D52" s="120" t="s">
        <v>2955</v>
      </c>
      <c r="E52" s="164">
        <v>12</v>
      </c>
      <c r="F52" s="109" t="s">
        <v>200</v>
      </c>
      <c r="G52" s="109" t="s">
        <v>200</v>
      </c>
    </row>
    <row r="53" spans="1:7" ht="15.65" customHeight="1" x14ac:dyDescent="0.35">
      <c r="A53" s="109" t="s">
        <v>200</v>
      </c>
      <c r="B53" s="120" t="s">
        <v>466</v>
      </c>
      <c r="C53" s="120" t="s">
        <v>4300</v>
      </c>
      <c r="D53" s="120" t="s">
        <v>2955</v>
      </c>
      <c r="E53" s="164">
        <v>12</v>
      </c>
      <c r="F53" s="109" t="s">
        <v>200</v>
      </c>
      <c r="G53" s="109" t="s">
        <v>200</v>
      </c>
    </row>
    <row r="54" spans="1:7" ht="15.65" customHeight="1" x14ac:dyDescent="0.35">
      <c r="A54" s="109" t="s">
        <v>200</v>
      </c>
      <c r="B54" s="120" t="s">
        <v>474</v>
      </c>
      <c r="C54" s="120" t="s">
        <v>4301</v>
      </c>
      <c r="D54" s="120" t="s">
        <v>1891</v>
      </c>
      <c r="E54" s="164">
        <v>6</v>
      </c>
      <c r="F54" s="109" t="s">
        <v>200</v>
      </c>
      <c r="G54" s="109" t="s">
        <v>200</v>
      </c>
    </row>
    <row r="55" spans="1:7" ht="15.65" customHeight="1" x14ac:dyDescent="0.35">
      <c r="A55" s="109" t="s">
        <v>200</v>
      </c>
      <c r="B55" s="120" t="s">
        <v>483</v>
      </c>
      <c r="C55" s="120" t="s">
        <v>4302</v>
      </c>
      <c r="D55" s="120" t="s">
        <v>4303</v>
      </c>
      <c r="E55" s="164">
        <v>15</v>
      </c>
      <c r="F55" s="109" t="s">
        <v>200</v>
      </c>
      <c r="G55" s="109" t="s">
        <v>200</v>
      </c>
    </row>
    <row r="56" spans="1:7" ht="15.65" customHeight="1" x14ac:dyDescent="0.35">
      <c r="A56" s="109" t="s">
        <v>200</v>
      </c>
      <c r="B56" s="120" t="s">
        <v>487</v>
      </c>
      <c r="C56" s="120" t="s">
        <v>4304</v>
      </c>
      <c r="D56" s="120" t="s">
        <v>4201</v>
      </c>
      <c r="E56" s="164">
        <v>2</v>
      </c>
      <c r="F56" s="109" t="s">
        <v>200</v>
      </c>
      <c r="G56" s="109" t="s">
        <v>200</v>
      </c>
    </row>
    <row r="57" spans="1:7" ht="15.65" customHeight="1" x14ac:dyDescent="0.35">
      <c r="A57" s="109" t="s">
        <v>200</v>
      </c>
      <c r="B57" s="120" t="s">
        <v>492</v>
      </c>
      <c r="C57" s="120" t="s">
        <v>4305</v>
      </c>
      <c r="D57" s="120" t="s">
        <v>4306</v>
      </c>
      <c r="E57" s="164">
        <v>15</v>
      </c>
      <c r="F57" s="109" t="s">
        <v>200</v>
      </c>
      <c r="G57" s="109" t="s">
        <v>200</v>
      </c>
    </row>
    <row r="58" spans="1:7" ht="15.65" customHeight="1" x14ac:dyDescent="0.35">
      <c r="A58" s="109" t="s">
        <v>200</v>
      </c>
      <c r="B58" s="120" t="s">
        <v>499</v>
      </c>
      <c r="C58" s="120" t="s">
        <v>4307</v>
      </c>
      <c r="D58" s="120" t="s">
        <v>4201</v>
      </c>
      <c r="E58" s="164">
        <v>2</v>
      </c>
      <c r="F58" s="109" t="s">
        <v>200</v>
      </c>
      <c r="G58" s="109" t="s">
        <v>200</v>
      </c>
    </row>
    <row r="59" spans="1:7" ht="15.65" customHeight="1" x14ac:dyDescent="0.35">
      <c r="A59" s="109" t="s">
        <v>200</v>
      </c>
      <c r="B59" s="120" t="s">
        <v>506</v>
      </c>
      <c r="C59" s="120" t="s">
        <v>4273</v>
      </c>
      <c r="D59" s="120" t="s">
        <v>659</v>
      </c>
      <c r="E59" s="164">
        <v>13</v>
      </c>
      <c r="F59" s="109" t="s">
        <v>200</v>
      </c>
      <c r="G59" s="109" t="s">
        <v>200</v>
      </c>
    </row>
    <row r="60" spans="1:7" ht="15.65" customHeight="1" x14ac:dyDescent="0.35">
      <c r="A60" s="109" t="s">
        <v>200</v>
      </c>
      <c r="B60" s="120" t="s">
        <v>512</v>
      </c>
      <c r="C60" s="120" t="s">
        <v>4308</v>
      </c>
      <c r="D60" s="120" t="s">
        <v>4201</v>
      </c>
      <c r="E60" s="164">
        <v>2</v>
      </c>
      <c r="F60" s="109" t="s">
        <v>200</v>
      </c>
      <c r="G60" s="109" t="s">
        <v>200</v>
      </c>
    </row>
    <row r="61" spans="1:7" ht="15.65" customHeight="1" x14ac:dyDescent="0.35">
      <c r="A61" s="109" t="s">
        <v>200</v>
      </c>
      <c r="B61" s="120" t="s">
        <v>520</v>
      </c>
      <c r="C61" s="120" t="s">
        <v>286</v>
      </c>
      <c r="D61" s="120" t="s">
        <v>287</v>
      </c>
      <c r="E61" s="164">
        <v>16</v>
      </c>
      <c r="F61" s="109" t="s">
        <v>200</v>
      </c>
      <c r="G61" s="109" t="s">
        <v>200</v>
      </c>
    </row>
    <row r="62" spans="1:7" ht="15.65" customHeight="1" x14ac:dyDescent="0.35">
      <c r="A62" s="109" t="s">
        <v>200</v>
      </c>
      <c r="B62" s="120" t="s">
        <v>529</v>
      </c>
      <c r="C62" s="120" t="s">
        <v>4309</v>
      </c>
      <c r="D62" s="120" t="s">
        <v>2955</v>
      </c>
      <c r="E62" s="164">
        <v>12</v>
      </c>
      <c r="F62" s="109" t="s">
        <v>200</v>
      </c>
      <c r="G62" s="109" t="s">
        <v>200</v>
      </c>
    </row>
    <row r="63" spans="1:7" ht="15.65" customHeight="1" x14ac:dyDescent="0.35">
      <c r="A63" s="109" t="s">
        <v>200</v>
      </c>
      <c r="B63" s="120" t="s">
        <v>538</v>
      </c>
      <c r="C63" s="120" t="s">
        <v>4310</v>
      </c>
      <c r="D63" s="120" t="s">
        <v>1891</v>
      </c>
      <c r="E63" s="164">
        <v>6</v>
      </c>
      <c r="F63" s="109" t="s">
        <v>200</v>
      </c>
      <c r="G63" s="109" t="s">
        <v>200</v>
      </c>
    </row>
    <row r="64" spans="1:7" ht="15.65" customHeight="1" x14ac:dyDescent="0.35">
      <c r="A64" s="109" t="s">
        <v>200</v>
      </c>
      <c r="B64" s="120" t="s">
        <v>546</v>
      </c>
      <c r="C64" s="120" t="s">
        <v>4309</v>
      </c>
      <c r="D64" s="120" t="s">
        <v>2955</v>
      </c>
      <c r="E64" s="164">
        <v>12</v>
      </c>
      <c r="F64" s="109" t="s">
        <v>200</v>
      </c>
      <c r="G64" s="109" t="s">
        <v>200</v>
      </c>
    </row>
    <row r="65" spans="1:7" ht="15.65" customHeight="1" x14ac:dyDescent="0.35">
      <c r="A65" s="109" t="s">
        <v>200</v>
      </c>
      <c r="B65" s="120" t="s">
        <v>552</v>
      </c>
      <c r="C65" s="120" t="s">
        <v>4311</v>
      </c>
      <c r="D65" s="120" t="s">
        <v>2955</v>
      </c>
      <c r="E65" s="164">
        <v>12</v>
      </c>
      <c r="F65" s="109" t="s">
        <v>200</v>
      </c>
      <c r="G65" s="109" t="s">
        <v>200</v>
      </c>
    </row>
    <row r="66" spans="1:7" ht="15.65" customHeight="1" x14ac:dyDescent="0.35">
      <c r="A66" s="109" t="s">
        <v>200</v>
      </c>
      <c r="B66" s="120" t="s">
        <v>561</v>
      </c>
      <c r="C66" s="120" t="s">
        <v>4312</v>
      </c>
      <c r="D66" s="120" t="s">
        <v>2955</v>
      </c>
      <c r="E66" s="164">
        <v>12</v>
      </c>
      <c r="F66" s="109" t="s">
        <v>200</v>
      </c>
      <c r="G66" s="109" t="s">
        <v>200</v>
      </c>
    </row>
    <row r="67" spans="1:7" ht="15.65" customHeight="1" x14ac:dyDescent="0.35">
      <c r="A67" s="109" t="s">
        <v>200</v>
      </c>
      <c r="B67" s="120" t="s">
        <v>566</v>
      </c>
      <c r="C67" s="120" t="s">
        <v>4313</v>
      </c>
      <c r="D67" s="120" t="s">
        <v>2955</v>
      </c>
      <c r="E67" s="164">
        <v>12</v>
      </c>
      <c r="F67" s="109" t="s">
        <v>200</v>
      </c>
      <c r="G67" s="109" t="s">
        <v>200</v>
      </c>
    </row>
    <row r="68" spans="1:7" ht="15.65" customHeight="1" x14ac:dyDescent="0.35">
      <c r="A68" s="109" t="s">
        <v>200</v>
      </c>
      <c r="B68" s="120" t="s">
        <v>574</v>
      </c>
      <c r="C68" s="120" t="s">
        <v>4314</v>
      </c>
      <c r="D68" s="120" t="s">
        <v>2955</v>
      </c>
      <c r="E68" s="164">
        <v>12</v>
      </c>
      <c r="F68" s="109" t="s">
        <v>200</v>
      </c>
      <c r="G68" s="109" t="s">
        <v>200</v>
      </c>
    </row>
    <row r="69" spans="1:7" ht="15.65" customHeight="1" x14ac:dyDescent="0.35">
      <c r="A69" s="109" t="s">
        <v>200</v>
      </c>
      <c r="B69" s="120" t="s">
        <v>579</v>
      </c>
      <c r="C69" s="120" t="s">
        <v>4315</v>
      </c>
      <c r="D69" s="120" t="s">
        <v>1311</v>
      </c>
      <c r="E69" s="164">
        <v>8</v>
      </c>
      <c r="F69" s="109" t="s">
        <v>200</v>
      </c>
      <c r="G69" s="109" t="s">
        <v>200</v>
      </c>
    </row>
    <row r="70" spans="1:7" ht="15.65" customHeight="1" x14ac:dyDescent="0.35">
      <c r="A70" s="109" t="s">
        <v>200</v>
      </c>
      <c r="B70" s="120" t="s">
        <v>589</v>
      </c>
      <c r="C70" s="120" t="s">
        <v>4315</v>
      </c>
      <c r="D70" s="120" t="s">
        <v>1311</v>
      </c>
      <c r="E70" s="164">
        <v>8</v>
      </c>
      <c r="F70" s="109" t="s">
        <v>200</v>
      </c>
      <c r="G70" s="109" t="s">
        <v>200</v>
      </c>
    </row>
    <row r="71" spans="1:7" ht="15.65" customHeight="1" x14ac:dyDescent="0.35">
      <c r="A71" s="109" t="s">
        <v>200</v>
      </c>
      <c r="B71" s="120" t="s">
        <v>594</v>
      </c>
      <c r="C71" s="120" t="s">
        <v>4316</v>
      </c>
      <c r="D71" s="120" t="s">
        <v>999</v>
      </c>
      <c r="E71" s="164">
        <v>4</v>
      </c>
      <c r="F71" s="109" t="s">
        <v>200</v>
      </c>
      <c r="G71" s="109" t="s">
        <v>200</v>
      </c>
    </row>
    <row r="72" spans="1:7" ht="15.65" customHeight="1" x14ac:dyDescent="0.35">
      <c r="A72" s="109" t="s">
        <v>200</v>
      </c>
      <c r="B72" s="120" t="s">
        <v>600</v>
      </c>
      <c r="C72" s="120" t="s">
        <v>4317</v>
      </c>
      <c r="D72" s="120" t="s">
        <v>188</v>
      </c>
      <c r="E72" s="164">
        <v>11</v>
      </c>
      <c r="F72" s="109" t="s">
        <v>200</v>
      </c>
      <c r="G72" s="109" t="s">
        <v>200</v>
      </c>
    </row>
    <row r="73" spans="1:7" ht="15.65" customHeight="1" x14ac:dyDescent="0.35">
      <c r="A73" s="109" t="s">
        <v>200</v>
      </c>
      <c r="B73" s="120" t="s">
        <v>616</v>
      </c>
      <c r="C73" s="120" t="s">
        <v>607</v>
      </c>
      <c r="D73" s="120" t="s">
        <v>608</v>
      </c>
      <c r="E73" s="164">
        <v>10</v>
      </c>
      <c r="F73" s="109" t="s">
        <v>200</v>
      </c>
      <c r="G73" s="109" t="s">
        <v>200</v>
      </c>
    </row>
    <row r="74" spans="1:7" ht="15.65" customHeight="1" x14ac:dyDescent="0.35">
      <c r="A74" s="109" t="s">
        <v>200</v>
      </c>
      <c r="B74" s="120" t="s">
        <v>619</v>
      </c>
      <c r="C74" s="120" t="s">
        <v>4318</v>
      </c>
      <c r="D74" s="120" t="s">
        <v>608</v>
      </c>
      <c r="E74" s="164">
        <v>10</v>
      </c>
      <c r="F74" s="109" t="s">
        <v>200</v>
      </c>
      <c r="G74" s="109" t="s">
        <v>200</v>
      </c>
    </row>
    <row r="75" spans="1:7" ht="15.65" customHeight="1" x14ac:dyDescent="0.35">
      <c r="A75" s="109" t="s">
        <v>200</v>
      </c>
      <c r="B75" s="120" t="s">
        <v>633</v>
      </c>
      <c r="C75" s="120" t="s">
        <v>624</v>
      </c>
      <c r="D75" s="120" t="s">
        <v>287</v>
      </c>
      <c r="E75" s="164">
        <v>16</v>
      </c>
      <c r="F75" s="109" t="s">
        <v>200</v>
      </c>
      <c r="G75" s="109" t="s">
        <v>200</v>
      </c>
    </row>
    <row r="76" spans="1:7" ht="15.65" customHeight="1" x14ac:dyDescent="0.35">
      <c r="A76" s="109" t="s">
        <v>200</v>
      </c>
      <c r="B76" s="120" t="s">
        <v>635</v>
      </c>
      <c r="C76" s="120" t="s">
        <v>624</v>
      </c>
      <c r="D76" s="120" t="s">
        <v>287</v>
      </c>
      <c r="E76" s="164">
        <v>16</v>
      </c>
      <c r="F76" s="109" t="s">
        <v>200</v>
      </c>
      <c r="G76" s="109" t="s">
        <v>200</v>
      </c>
    </row>
    <row r="77" spans="1:7" ht="15.65" customHeight="1" x14ac:dyDescent="0.35">
      <c r="A77" s="109" t="s">
        <v>200</v>
      </c>
      <c r="B77" s="120" t="s">
        <v>637</v>
      </c>
      <c r="C77" s="120" t="s">
        <v>4319</v>
      </c>
      <c r="D77" s="120" t="s">
        <v>315</v>
      </c>
      <c r="E77" s="164">
        <v>6</v>
      </c>
      <c r="F77" s="109" t="s">
        <v>200</v>
      </c>
      <c r="G77" s="109" t="s">
        <v>200</v>
      </c>
    </row>
    <row r="78" spans="1:7" ht="15.65" customHeight="1" x14ac:dyDescent="0.35">
      <c r="A78" s="109" t="s">
        <v>200</v>
      </c>
      <c r="B78" s="120" t="s">
        <v>644</v>
      </c>
      <c r="C78" s="120" t="s">
        <v>286</v>
      </c>
      <c r="D78" s="120" t="s">
        <v>287</v>
      </c>
      <c r="E78" s="164">
        <v>16</v>
      </c>
      <c r="F78" s="109" t="s">
        <v>200</v>
      </c>
      <c r="G78" s="109" t="s">
        <v>200</v>
      </c>
    </row>
    <row r="79" spans="1:7" ht="15.65" customHeight="1" x14ac:dyDescent="0.35">
      <c r="A79" s="109" t="s">
        <v>200</v>
      </c>
      <c r="B79" s="120" t="s">
        <v>653</v>
      </c>
      <c r="C79" s="120" t="s">
        <v>4320</v>
      </c>
      <c r="D79" s="120" t="s">
        <v>4209</v>
      </c>
      <c r="E79" s="164">
        <v>14</v>
      </c>
      <c r="F79" s="109" t="s">
        <v>200</v>
      </c>
      <c r="G79" s="109" t="s">
        <v>200</v>
      </c>
    </row>
    <row r="80" spans="1:7" ht="15.65" customHeight="1" x14ac:dyDescent="0.35">
      <c r="A80" s="109" t="s">
        <v>200</v>
      </c>
      <c r="B80" s="120" t="s">
        <v>665</v>
      </c>
      <c r="C80" s="120" t="s">
        <v>658</v>
      </c>
      <c r="D80" s="120" t="s">
        <v>659</v>
      </c>
      <c r="E80" s="164">
        <v>13</v>
      </c>
      <c r="F80" s="109" t="s">
        <v>200</v>
      </c>
      <c r="G80" s="109" t="s">
        <v>200</v>
      </c>
    </row>
    <row r="81" spans="1:7" ht="15.65" customHeight="1" x14ac:dyDescent="0.35">
      <c r="A81" s="109" t="s">
        <v>200</v>
      </c>
      <c r="B81" s="120" t="s">
        <v>668</v>
      </c>
      <c r="C81" s="120" t="s">
        <v>658</v>
      </c>
      <c r="D81" s="120" t="s">
        <v>659</v>
      </c>
      <c r="E81" s="164">
        <v>13</v>
      </c>
      <c r="F81" s="109" t="s">
        <v>200</v>
      </c>
      <c r="G81" s="109" t="s">
        <v>200</v>
      </c>
    </row>
    <row r="82" spans="1:7" ht="15.65" customHeight="1" x14ac:dyDescent="0.35">
      <c r="A82" s="109" t="s">
        <v>200</v>
      </c>
      <c r="B82" s="120" t="s">
        <v>670</v>
      </c>
      <c r="C82" s="120" t="s">
        <v>658</v>
      </c>
      <c r="D82" s="120" t="s">
        <v>659</v>
      </c>
      <c r="E82" s="164">
        <v>13</v>
      </c>
      <c r="F82" s="109" t="s">
        <v>200</v>
      </c>
      <c r="G82" s="109" t="s">
        <v>200</v>
      </c>
    </row>
    <row r="83" spans="1:7" ht="15.65" customHeight="1" x14ac:dyDescent="0.35">
      <c r="A83" s="109" t="s">
        <v>200</v>
      </c>
      <c r="B83" s="120" t="s">
        <v>673</v>
      </c>
      <c r="C83" s="120" t="s">
        <v>658</v>
      </c>
      <c r="D83" s="120" t="s">
        <v>659</v>
      </c>
      <c r="E83" s="164">
        <v>13</v>
      </c>
      <c r="F83" s="109" t="s">
        <v>200</v>
      </c>
      <c r="G83" s="109" t="s">
        <v>200</v>
      </c>
    </row>
    <row r="84" spans="1:7" ht="15.65" customHeight="1" x14ac:dyDescent="0.35">
      <c r="A84" s="109" t="s">
        <v>200</v>
      </c>
      <c r="B84" s="120" t="s">
        <v>675</v>
      </c>
      <c r="C84" s="120" t="s">
        <v>4273</v>
      </c>
      <c r="D84" s="120" t="s">
        <v>659</v>
      </c>
      <c r="E84" s="164">
        <v>13</v>
      </c>
      <c r="F84" s="109" t="s">
        <v>200</v>
      </c>
      <c r="G84" s="109" t="s">
        <v>200</v>
      </c>
    </row>
    <row r="85" spans="1:7" ht="15.65" customHeight="1" x14ac:dyDescent="0.35">
      <c r="A85" s="109" t="s">
        <v>200</v>
      </c>
      <c r="B85" s="120" t="s">
        <v>680</v>
      </c>
      <c r="C85" s="120" t="s">
        <v>4321</v>
      </c>
      <c r="D85" s="120" t="s">
        <v>2955</v>
      </c>
      <c r="E85" s="164">
        <v>12</v>
      </c>
      <c r="F85" s="109" t="s">
        <v>200</v>
      </c>
      <c r="G85" s="109" t="s">
        <v>200</v>
      </c>
    </row>
    <row r="86" spans="1:7" ht="15.65" customHeight="1" x14ac:dyDescent="0.35">
      <c r="A86" s="109" t="s">
        <v>200</v>
      </c>
      <c r="B86" s="120" t="s">
        <v>692</v>
      </c>
      <c r="C86" s="120" t="s">
        <v>4273</v>
      </c>
      <c r="D86" s="120" t="s">
        <v>659</v>
      </c>
      <c r="E86" s="164">
        <v>13</v>
      </c>
      <c r="F86" s="109" t="s">
        <v>200</v>
      </c>
      <c r="G86" s="109" t="s">
        <v>200</v>
      </c>
    </row>
    <row r="87" spans="1:7" ht="15.65" customHeight="1" x14ac:dyDescent="0.35">
      <c r="A87" s="109" t="s">
        <v>200</v>
      </c>
      <c r="B87" s="120" t="s">
        <v>698</v>
      </c>
      <c r="C87" s="120" t="s">
        <v>4322</v>
      </c>
      <c r="D87" s="120" t="s">
        <v>2955</v>
      </c>
      <c r="E87" s="164">
        <v>12</v>
      </c>
      <c r="F87" s="109" t="s">
        <v>200</v>
      </c>
      <c r="G87" s="109" t="s">
        <v>200</v>
      </c>
    </row>
    <row r="88" spans="1:7" ht="15.65" customHeight="1" x14ac:dyDescent="0.35">
      <c r="A88" s="109" t="s">
        <v>200</v>
      </c>
      <c r="B88" s="120" t="s">
        <v>704</v>
      </c>
      <c r="C88" s="120" t="s">
        <v>4323</v>
      </c>
      <c r="D88" s="120" t="s">
        <v>4295</v>
      </c>
      <c r="E88" s="164">
        <v>15</v>
      </c>
      <c r="F88" s="109" t="s">
        <v>200</v>
      </c>
      <c r="G88" s="109" t="s">
        <v>200</v>
      </c>
    </row>
    <row r="89" spans="1:7" ht="15.65" customHeight="1" x14ac:dyDescent="0.35">
      <c r="A89" s="109" t="s">
        <v>200</v>
      </c>
      <c r="B89" s="120" t="s">
        <v>658</v>
      </c>
      <c r="C89" s="120" t="s">
        <v>658</v>
      </c>
      <c r="D89" s="120" t="s">
        <v>659</v>
      </c>
      <c r="E89" s="164">
        <v>13</v>
      </c>
      <c r="F89" s="109" t="s">
        <v>200</v>
      </c>
      <c r="G89" s="109" t="s">
        <v>200</v>
      </c>
    </row>
    <row r="90" spans="1:7" ht="15.65" customHeight="1" x14ac:dyDescent="0.35">
      <c r="A90" s="109" t="s">
        <v>200</v>
      </c>
      <c r="B90" s="120" t="s">
        <v>714</v>
      </c>
      <c r="C90" s="120" t="s">
        <v>1890</v>
      </c>
      <c r="D90" s="120" t="s">
        <v>1891</v>
      </c>
      <c r="E90" s="164">
        <v>6</v>
      </c>
      <c r="F90" s="109" t="s">
        <v>200</v>
      </c>
      <c r="G90" s="109" t="s">
        <v>200</v>
      </c>
    </row>
    <row r="91" spans="1:7" ht="15.65" customHeight="1" x14ac:dyDescent="0.35">
      <c r="A91" s="109" t="s">
        <v>200</v>
      </c>
      <c r="B91" s="120" t="s">
        <v>724</v>
      </c>
      <c r="C91" s="120" t="s">
        <v>4324</v>
      </c>
      <c r="D91" s="120" t="s">
        <v>1891</v>
      </c>
      <c r="E91" s="164">
        <v>6</v>
      </c>
      <c r="F91" s="109" t="s">
        <v>200</v>
      </c>
      <c r="G91" s="109" t="s">
        <v>200</v>
      </c>
    </row>
    <row r="92" spans="1:7" ht="15.65" customHeight="1" x14ac:dyDescent="0.35">
      <c r="A92" s="109" t="s">
        <v>200</v>
      </c>
      <c r="B92" s="120" t="s">
        <v>726</v>
      </c>
      <c r="C92" s="120" t="s">
        <v>817</v>
      </c>
      <c r="D92" s="120" t="s">
        <v>659</v>
      </c>
      <c r="E92" s="164">
        <v>13</v>
      </c>
      <c r="F92" s="109" t="s">
        <v>200</v>
      </c>
      <c r="G92" s="109" t="s">
        <v>200</v>
      </c>
    </row>
    <row r="93" spans="1:7" ht="15.65" customHeight="1" x14ac:dyDescent="0.35">
      <c r="A93" s="109" t="s">
        <v>200</v>
      </c>
      <c r="B93" s="120" t="s">
        <v>732</v>
      </c>
      <c r="C93" s="120" t="s">
        <v>4325</v>
      </c>
      <c r="D93" s="120" t="s">
        <v>4326</v>
      </c>
      <c r="E93" s="164">
        <v>15</v>
      </c>
      <c r="F93" s="109" t="s">
        <v>200</v>
      </c>
      <c r="G93" s="109" t="s">
        <v>200</v>
      </c>
    </row>
    <row r="94" spans="1:7" ht="15.65" customHeight="1" x14ac:dyDescent="0.35">
      <c r="A94" s="109" t="s">
        <v>200</v>
      </c>
      <c r="B94" s="120" t="s">
        <v>739</v>
      </c>
      <c r="C94" s="120" t="s">
        <v>4327</v>
      </c>
      <c r="D94" s="120" t="s">
        <v>999</v>
      </c>
      <c r="E94" s="164">
        <v>4</v>
      </c>
      <c r="F94" s="109" t="s">
        <v>200</v>
      </c>
      <c r="G94" s="109" t="s">
        <v>200</v>
      </c>
    </row>
    <row r="95" spans="1:7" ht="15.65" customHeight="1" x14ac:dyDescent="0.35">
      <c r="A95" s="109" t="s">
        <v>200</v>
      </c>
      <c r="B95" s="120" t="s">
        <v>746</v>
      </c>
      <c r="C95" s="120" t="s">
        <v>817</v>
      </c>
      <c r="D95" s="120" t="s">
        <v>659</v>
      </c>
      <c r="E95" s="164">
        <v>13</v>
      </c>
      <c r="F95" s="109" t="s">
        <v>200</v>
      </c>
      <c r="G95" s="109" t="s">
        <v>200</v>
      </c>
    </row>
    <row r="96" spans="1:7" ht="15.65" customHeight="1" x14ac:dyDescent="0.35">
      <c r="A96" s="109" t="s">
        <v>200</v>
      </c>
      <c r="B96" s="120" t="s">
        <v>755</v>
      </c>
      <c r="C96" s="120" t="s">
        <v>4273</v>
      </c>
      <c r="D96" s="120" t="s">
        <v>659</v>
      </c>
      <c r="E96" s="164">
        <v>13</v>
      </c>
      <c r="F96" s="109" t="s">
        <v>200</v>
      </c>
      <c r="G96" s="109" t="s">
        <v>200</v>
      </c>
    </row>
    <row r="97" spans="1:7" ht="15.65" customHeight="1" x14ac:dyDescent="0.35">
      <c r="A97" s="109" t="s">
        <v>200</v>
      </c>
      <c r="B97" s="120" t="s">
        <v>758</v>
      </c>
      <c r="C97" s="120" t="s">
        <v>817</v>
      </c>
      <c r="D97" s="120" t="s">
        <v>659</v>
      </c>
      <c r="E97" s="164">
        <v>13</v>
      </c>
      <c r="F97" s="109" t="s">
        <v>200</v>
      </c>
      <c r="G97" s="109" t="s">
        <v>200</v>
      </c>
    </row>
    <row r="98" spans="1:7" ht="15.65" customHeight="1" x14ac:dyDescent="0.35">
      <c r="A98" s="109" t="s">
        <v>200</v>
      </c>
      <c r="B98" s="120" t="s">
        <v>762</v>
      </c>
      <c r="C98" s="120" t="s">
        <v>3366</v>
      </c>
      <c r="D98" s="120" t="s">
        <v>1311</v>
      </c>
      <c r="E98" s="164">
        <v>8</v>
      </c>
      <c r="F98" s="109" t="s">
        <v>200</v>
      </c>
      <c r="G98" s="109" t="s">
        <v>200</v>
      </c>
    </row>
    <row r="99" spans="1:7" ht="15.65" customHeight="1" x14ac:dyDescent="0.35">
      <c r="A99" s="109" t="s">
        <v>200</v>
      </c>
      <c r="B99" s="120" t="s">
        <v>775</v>
      </c>
      <c r="C99" s="120" t="s">
        <v>4328</v>
      </c>
      <c r="D99" s="120" t="s">
        <v>4201</v>
      </c>
      <c r="E99" s="164">
        <v>2</v>
      </c>
      <c r="F99" s="109" t="s">
        <v>200</v>
      </c>
      <c r="G99" s="109" t="s">
        <v>200</v>
      </c>
    </row>
    <row r="100" spans="1:7" ht="15.65" customHeight="1" x14ac:dyDescent="0.35">
      <c r="A100" s="109" t="s">
        <v>200</v>
      </c>
      <c r="B100" s="120" t="s">
        <v>780</v>
      </c>
      <c r="C100" s="120" t="s">
        <v>817</v>
      </c>
      <c r="D100" s="120" t="s">
        <v>659</v>
      </c>
      <c r="E100" s="164">
        <v>13</v>
      </c>
      <c r="F100" s="109" t="s">
        <v>200</v>
      </c>
      <c r="G100" s="109" t="s">
        <v>200</v>
      </c>
    </row>
    <row r="101" spans="1:7" ht="15.65" customHeight="1" x14ac:dyDescent="0.35">
      <c r="A101" s="109" t="s">
        <v>200</v>
      </c>
      <c r="B101" s="120" t="s">
        <v>785</v>
      </c>
      <c r="C101" s="120" t="s">
        <v>817</v>
      </c>
      <c r="D101" s="120" t="s">
        <v>659</v>
      </c>
      <c r="E101" s="164">
        <v>13</v>
      </c>
      <c r="F101" s="109" t="s">
        <v>200</v>
      </c>
      <c r="G101" s="109" t="s">
        <v>200</v>
      </c>
    </row>
    <row r="102" spans="1:7" ht="15.65" customHeight="1" x14ac:dyDescent="0.35">
      <c r="A102" s="109" t="s">
        <v>200</v>
      </c>
      <c r="B102" s="120" t="s">
        <v>790</v>
      </c>
      <c r="C102" s="120" t="s">
        <v>4329</v>
      </c>
      <c r="D102" s="120" t="s">
        <v>287</v>
      </c>
      <c r="E102" s="164">
        <v>16</v>
      </c>
      <c r="F102" s="109" t="s">
        <v>200</v>
      </c>
      <c r="G102" s="109" t="s">
        <v>200</v>
      </c>
    </row>
    <row r="103" spans="1:7" ht="15.65" customHeight="1" x14ac:dyDescent="0.35">
      <c r="A103" s="109" t="s">
        <v>200</v>
      </c>
      <c r="B103" s="120" t="s">
        <v>794</v>
      </c>
      <c r="C103" s="120" t="s">
        <v>4277</v>
      </c>
      <c r="D103" s="120" t="s">
        <v>188</v>
      </c>
      <c r="E103" s="164">
        <v>11</v>
      </c>
      <c r="F103" s="109" t="s">
        <v>200</v>
      </c>
      <c r="G103" s="109" t="s">
        <v>200</v>
      </c>
    </row>
    <row r="104" spans="1:7" ht="15.65" customHeight="1" x14ac:dyDescent="0.35">
      <c r="A104" s="109" t="s">
        <v>200</v>
      </c>
      <c r="B104" s="120" t="s">
        <v>801</v>
      </c>
      <c r="C104" s="120" t="s">
        <v>4273</v>
      </c>
      <c r="D104" s="120" t="s">
        <v>659</v>
      </c>
      <c r="E104" s="164">
        <v>13</v>
      </c>
      <c r="F104" s="109" t="s">
        <v>200</v>
      </c>
      <c r="G104" s="109" t="s">
        <v>200</v>
      </c>
    </row>
    <row r="105" spans="1:7" ht="15.65" customHeight="1" x14ac:dyDescent="0.35">
      <c r="A105" s="109" t="s">
        <v>200</v>
      </c>
      <c r="B105" s="120" t="s">
        <v>806</v>
      </c>
      <c r="C105" s="120" t="s">
        <v>4330</v>
      </c>
      <c r="D105" s="120" t="s">
        <v>999</v>
      </c>
      <c r="E105" s="164">
        <v>4</v>
      </c>
      <c r="F105" s="109" t="s">
        <v>200</v>
      </c>
      <c r="G105" s="109" t="s">
        <v>200</v>
      </c>
    </row>
    <row r="106" spans="1:7" ht="15.65" customHeight="1" x14ac:dyDescent="0.35">
      <c r="A106" s="109" t="s">
        <v>200</v>
      </c>
      <c r="B106" s="120" t="s">
        <v>821</v>
      </c>
      <c r="C106" s="120" t="s">
        <v>817</v>
      </c>
      <c r="D106" s="120" t="s">
        <v>659</v>
      </c>
      <c r="E106" s="164">
        <v>13</v>
      </c>
      <c r="F106" s="109" t="s">
        <v>200</v>
      </c>
      <c r="G106" s="109" t="s">
        <v>200</v>
      </c>
    </row>
    <row r="107" spans="1:7" ht="15.65" customHeight="1" x14ac:dyDescent="0.35">
      <c r="A107" s="109" t="s">
        <v>200</v>
      </c>
      <c r="B107" s="120" t="s">
        <v>823</v>
      </c>
      <c r="C107" s="120" t="s">
        <v>817</v>
      </c>
      <c r="D107" s="120" t="s">
        <v>659</v>
      </c>
      <c r="E107" s="164">
        <v>13</v>
      </c>
      <c r="F107" s="109" t="s">
        <v>200</v>
      </c>
      <c r="G107" s="109" t="s">
        <v>200</v>
      </c>
    </row>
    <row r="108" spans="1:7" ht="15.65" customHeight="1" x14ac:dyDescent="0.35">
      <c r="A108" s="109" t="s">
        <v>200</v>
      </c>
      <c r="B108" s="120" t="s">
        <v>825</v>
      </c>
      <c r="C108" s="120" t="s">
        <v>4282</v>
      </c>
      <c r="D108" s="120" t="s">
        <v>4201</v>
      </c>
      <c r="E108" s="164">
        <v>2</v>
      </c>
      <c r="F108" s="109" t="s">
        <v>200</v>
      </c>
      <c r="G108" s="109" t="s">
        <v>200</v>
      </c>
    </row>
    <row r="109" spans="1:7" ht="15.65" customHeight="1" x14ac:dyDescent="0.35">
      <c r="A109" s="109" t="s">
        <v>200</v>
      </c>
      <c r="B109" s="120" t="s">
        <v>835</v>
      </c>
      <c r="C109" s="120" t="s">
        <v>4331</v>
      </c>
      <c r="D109" s="120" t="s">
        <v>3376</v>
      </c>
      <c r="E109" s="164">
        <v>3</v>
      </c>
      <c r="F109" s="109" t="s">
        <v>200</v>
      </c>
      <c r="G109" s="109" t="s">
        <v>200</v>
      </c>
    </row>
    <row r="110" spans="1:7" ht="15.65" customHeight="1" x14ac:dyDescent="0.35">
      <c r="A110" s="109" t="s">
        <v>200</v>
      </c>
      <c r="B110" s="120" t="s">
        <v>842</v>
      </c>
      <c r="C110" s="120" t="s">
        <v>4332</v>
      </c>
      <c r="D110" s="120" t="s">
        <v>2955</v>
      </c>
      <c r="E110" s="164">
        <v>12</v>
      </c>
      <c r="F110" s="109" t="s">
        <v>200</v>
      </c>
      <c r="G110" s="109" t="s">
        <v>200</v>
      </c>
    </row>
    <row r="111" spans="1:7" ht="15.65" customHeight="1" x14ac:dyDescent="0.35">
      <c r="A111" s="109" t="s">
        <v>200</v>
      </c>
      <c r="B111" s="120" t="s">
        <v>853</v>
      </c>
      <c r="C111" s="120" t="s">
        <v>4333</v>
      </c>
      <c r="D111" s="120" t="s">
        <v>1891</v>
      </c>
      <c r="E111" s="164">
        <v>6</v>
      </c>
      <c r="F111" s="109" t="s">
        <v>200</v>
      </c>
      <c r="G111" s="109" t="s">
        <v>200</v>
      </c>
    </row>
    <row r="112" spans="1:7" ht="15.65" customHeight="1" x14ac:dyDescent="0.35">
      <c r="A112" s="109" t="s">
        <v>200</v>
      </c>
      <c r="B112" s="120" t="s">
        <v>863</v>
      </c>
      <c r="C112" s="120" t="s">
        <v>817</v>
      </c>
      <c r="D112" s="120" t="s">
        <v>659</v>
      </c>
      <c r="E112" s="164">
        <v>13</v>
      </c>
      <c r="F112" s="109" t="s">
        <v>200</v>
      </c>
      <c r="G112" s="109" t="s">
        <v>200</v>
      </c>
    </row>
    <row r="113" spans="1:7" ht="15.65" customHeight="1" x14ac:dyDescent="0.35">
      <c r="A113" s="109" t="s">
        <v>200</v>
      </c>
      <c r="B113" s="120" t="s">
        <v>867</v>
      </c>
      <c r="C113" s="120" t="s">
        <v>817</v>
      </c>
      <c r="D113" s="120" t="s">
        <v>659</v>
      </c>
      <c r="E113" s="164">
        <v>13</v>
      </c>
      <c r="F113" s="109" t="s">
        <v>200</v>
      </c>
      <c r="G113" s="109" t="s">
        <v>200</v>
      </c>
    </row>
    <row r="114" spans="1:7" ht="15.65" customHeight="1" x14ac:dyDescent="0.35">
      <c r="A114" s="109" t="s">
        <v>200</v>
      </c>
      <c r="B114" s="120" t="s">
        <v>871</v>
      </c>
      <c r="C114" s="120" t="s">
        <v>817</v>
      </c>
      <c r="D114" s="120" t="s">
        <v>659</v>
      </c>
      <c r="E114" s="164">
        <v>13</v>
      </c>
      <c r="F114" s="109" t="s">
        <v>200</v>
      </c>
      <c r="G114" s="109" t="s">
        <v>200</v>
      </c>
    </row>
    <row r="115" spans="1:7" ht="15.65" customHeight="1" x14ac:dyDescent="0.35">
      <c r="A115" s="109" t="s">
        <v>200</v>
      </c>
      <c r="B115" s="120" t="s">
        <v>877</v>
      </c>
      <c r="C115" s="120" t="s">
        <v>817</v>
      </c>
      <c r="D115" s="120" t="s">
        <v>659</v>
      </c>
      <c r="E115" s="164">
        <v>13</v>
      </c>
      <c r="F115" s="109" t="s">
        <v>200</v>
      </c>
      <c r="G115" s="109" t="s">
        <v>200</v>
      </c>
    </row>
    <row r="116" spans="1:7" ht="15.65" customHeight="1" x14ac:dyDescent="0.35">
      <c r="A116" s="109" t="s">
        <v>200</v>
      </c>
      <c r="B116" s="120" t="s">
        <v>881</v>
      </c>
      <c r="C116" s="120" t="s">
        <v>817</v>
      </c>
      <c r="D116" s="120" t="s">
        <v>659</v>
      </c>
      <c r="E116" s="164">
        <v>13</v>
      </c>
      <c r="F116" s="109" t="s">
        <v>200</v>
      </c>
      <c r="G116" s="109" t="s">
        <v>200</v>
      </c>
    </row>
    <row r="117" spans="1:7" ht="15.65" customHeight="1" x14ac:dyDescent="0.35">
      <c r="A117" s="109" t="s">
        <v>200</v>
      </c>
      <c r="B117" s="120" t="s">
        <v>886</v>
      </c>
      <c r="C117" s="120" t="s">
        <v>817</v>
      </c>
      <c r="D117" s="120" t="s">
        <v>659</v>
      </c>
      <c r="E117" s="164">
        <v>13</v>
      </c>
      <c r="F117" s="109" t="s">
        <v>200</v>
      </c>
      <c r="G117" s="109" t="s">
        <v>200</v>
      </c>
    </row>
    <row r="118" spans="1:7" ht="15.65" customHeight="1" x14ac:dyDescent="0.35">
      <c r="A118" s="109" t="s">
        <v>200</v>
      </c>
      <c r="B118" s="120" t="s">
        <v>890</v>
      </c>
      <c r="C118" s="120" t="s">
        <v>817</v>
      </c>
      <c r="D118" s="120" t="s">
        <v>659</v>
      </c>
      <c r="E118" s="164">
        <v>13</v>
      </c>
      <c r="F118" s="109" t="s">
        <v>200</v>
      </c>
      <c r="G118" s="109" t="s">
        <v>200</v>
      </c>
    </row>
    <row r="119" spans="1:7" ht="15.65" customHeight="1" x14ac:dyDescent="0.35">
      <c r="A119" s="109" t="s">
        <v>200</v>
      </c>
      <c r="B119" s="120" t="s">
        <v>894</v>
      </c>
      <c r="C119" s="120" t="s">
        <v>817</v>
      </c>
      <c r="D119" s="120" t="s">
        <v>659</v>
      </c>
      <c r="E119" s="164">
        <v>13</v>
      </c>
      <c r="F119" s="109" t="s">
        <v>200</v>
      </c>
      <c r="G119" s="109" t="s">
        <v>200</v>
      </c>
    </row>
    <row r="120" spans="1:7" ht="15.65" customHeight="1" x14ac:dyDescent="0.35">
      <c r="A120" s="109" t="s">
        <v>200</v>
      </c>
      <c r="B120" s="120" t="s">
        <v>901</v>
      </c>
      <c r="C120" s="120" t="s">
        <v>817</v>
      </c>
      <c r="D120" s="120" t="s">
        <v>659</v>
      </c>
      <c r="E120" s="164">
        <v>13</v>
      </c>
      <c r="F120" s="109" t="s">
        <v>200</v>
      </c>
      <c r="G120" s="109" t="s">
        <v>200</v>
      </c>
    </row>
    <row r="121" spans="1:7" ht="15.65" customHeight="1" x14ac:dyDescent="0.35">
      <c r="A121" s="109" t="s">
        <v>200</v>
      </c>
      <c r="B121" s="120" t="s">
        <v>908</v>
      </c>
      <c r="C121" s="120" t="s">
        <v>817</v>
      </c>
      <c r="D121" s="120" t="s">
        <v>659</v>
      </c>
      <c r="E121" s="164">
        <v>13</v>
      </c>
      <c r="F121" s="109" t="s">
        <v>200</v>
      </c>
      <c r="G121" s="109" t="s">
        <v>200</v>
      </c>
    </row>
    <row r="122" spans="1:7" ht="15.65" customHeight="1" x14ac:dyDescent="0.35">
      <c r="A122" s="109" t="s">
        <v>200</v>
      </c>
      <c r="B122" s="120" t="s">
        <v>914</v>
      </c>
      <c r="C122" s="120" t="s">
        <v>4334</v>
      </c>
      <c r="D122" s="120" t="s">
        <v>659</v>
      </c>
      <c r="E122" s="164">
        <v>13</v>
      </c>
      <c r="F122" s="109" t="s">
        <v>200</v>
      </c>
      <c r="G122" s="109" t="s">
        <v>200</v>
      </c>
    </row>
    <row r="123" spans="1:7" ht="15.65" customHeight="1" x14ac:dyDescent="0.35">
      <c r="A123" s="109" t="s">
        <v>200</v>
      </c>
      <c r="B123" s="120" t="s">
        <v>917</v>
      </c>
      <c r="C123" s="120" t="s">
        <v>4304</v>
      </c>
      <c r="D123" s="120" t="s">
        <v>4201</v>
      </c>
      <c r="E123" s="164">
        <v>2</v>
      </c>
      <c r="F123" s="109" t="s">
        <v>200</v>
      </c>
      <c r="G123" s="109" t="s">
        <v>200</v>
      </c>
    </row>
    <row r="124" spans="1:7" ht="15.65" customHeight="1" x14ac:dyDescent="0.35">
      <c r="A124" s="109" t="s">
        <v>200</v>
      </c>
      <c r="B124" s="120" t="s">
        <v>924</v>
      </c>
      <c r="C124" s="120" t="s">
        <v>286</v>
      </c>
      <c r="D124" s="120" t="s">
        <v>287</v>
      </c>
      <c r="E124" s="164">
        <v>16</v>
      </c>
      <c r="F124" s="109" t="s">
        <v>200</v>
      </c>
      <c r="G124" s="109" t="s">
        <v>200</v>
      </c>
    </row>
    <row r="125" spans="1:7" ht="15.65" customHeight="1" x14ac:dyDescent="0.35">
      <c r="A125" s="109" t="s">
        <v>200</v>
      </c>
      <c r="B125" s="120" t="s">
        <v>929</v>
      </c>
      <c r="C125" s="120" t="s">
        <v>3882</v>
      </c>
      <c r="D125" s="120" t="s">
        <v>1105</v>
      </c>
      <c r="E125" s="164">
        <v>1</v>
      </c>
      <c r="F125" s="109" t="s">
        <v>200</v>
      </c>
      <c r="G125" s="109" t="s">
        <v>200</v>
      </c>
    </row>
    <row r="126" spans="1:7" ht="15.65" customHeight="1" x14ac:dyDescent="0.35">
      <c r="A126" s="109" t="s">
        <v>200</v>
      </c>
      <c r="B126" s="120" t="s">
        <v>940</v>
      </c>
      <c r="C126" s="120" t="s">
        <v>4293</v>
      </c>
      <c r="D126" s="120" t="s">
        <v>2955</v>
      </c>
      <c r="E126" s="164">
        <v>12</v>
      </c>
      <c r="F126" s="109" t="s">
        <v>200</v>
      </c>
      <c r="G126" s="109" t="s">
        <v>200</v>
      </c>
    </row>
    <row r="127" spans="1:7" ht="15.65" customHeight="1" x14ac:dyDescent="0.35">
      <c r="A127" s="109" t="s">
        <v>200</v>
      </c>
      <c r="B127" s="120" t="s">
        <v>948</v>
      </c>
      <c r="C127" s="120" t="s">
        <v>4335</v>
      </c>
      <c r="D127" s="120" t="s">
        <v>2967</v>
      </c>
      <c r="E127" s="164">
        <v>5</v>
      </c>
      <c r="F127" s="109" t="s">
        <v>200</v>
      </c>
      <c r="G127" s="109" t="s">
        <v>200</v>
      </c>
    </row>
    <row r="128" spans="1:7" ht="15.65" customHeight="1" x14ac:dyDescent="0.35">
      <c r="A128" s="109" t="s">
        <v>200</v>
      </c>
      <c r="B128" s="120" t="s">
        <v>960</v>
      </c>
      <c r="C128" s="120" t="s">
        <v>4282</v>
      </c>
      <c r="D128" s="120" t="s">
        <v>4201</v>
      </c>
      <c r="E128" s="164">
        <v>2</v>
      </c>
      <c r="F128" s="109" t="s">
        <v>200</v>
      </c>
      <c r="G128" s="109" t="s">
        <v>200</v>
      </c>
    </row>
    <row r="129" spans="1:7" ht="15.65" customHeight="1" x14ac:dyDescent="0.35">
      <c r="A129" s="109" t="s">
        <v>200</v>
      </c>
      <c r="B129" s="120" t="s">
        <v>962</v>
      </c>
      <c r="C129" s="120" t="s">
        <v>286</v>
      </c>
      <c r="D129" s="120" t="s">
        <v>287</v>
      </c>
      <c r="E129" s="164">
        <v>16</v>
      </c>
      <c r="F129" s="109" t="s">
        <v>200</v>
      </c>
      <c r="G129" s="109" t="s">
        <v>200</v>
      </c>
    </row>
    <row r="130" spans="1:7" ht="15.65" customHeight="1" x14ac:dyDescent="0.35">
      <c r="A130" s="109" t="s">
        <v>200</v>
      </c>
      <c r="B130" s="120" t="s">
        <v>964</v>
      </c>
      <c r="C130" s="120" t="s">
        <v>286</v>
      </c>
      <c r="D130" s="120" t="s">
        <v>287</v>
      </c>
      <c r="E130" s="164">
        <v>16</v>
      </c>
      <c r="F130" s="109" t="s">
        <v>200</v>
      </c>
      <c r="G130" s="109" t="s">
        <v>200</v>
      </c>
    </row>
    <row r="131" spans="1:7" ht="15.65" customHeight="1" x14ac:dyDescent="0.35">
      <c r="A131" s="109" t="s">
        <v>200</v>
      </c>
      <c r="B131" s="120" t="s">
        <v>966</v>
      </c>
      <c r="C131" s="120" t="s">
        <v>4273</v>
      </c>
      <c r="D131" s="120" t="s">
        <v>659</v>
      </c>
      <c r="E131" s="164">
        <v>13</v>
      </c>
      <c r="F131" s="109" t="s">
        <v>200</v>
      </c>
      <c r="G131" s="109" t="s">
        <v>200</v>
      </c>
    </row>
    <row r="132" spans="1:7" ht="15.65" customHeight="1" x14ac:dyDescent="0.35">
      <c r="A132" s="109" t="s">
        <v>200</v>
      </c>
      <c r="B132" s="120" t="s">
        <v>971</v>
      </c>
      <c r="C132" s="120" t="s">
        <v>4336</v>
      </c>
      <c r="D132" s="120" t="s">
        <v>608</v>
      </c>
      <c r="E132" s="164">
        <v>10</v>
      </c>
      <c r="F132" s="109" t="s">
        <v>200</v>
      </c>
      <c r="G132" s="109" t="s">
        <v>200</v>
      </c>
    </row>
    <row r="133" spans="1:7" ht="15.65" customHeight="1" x14ac:dyDescent="0.35">
      <c r="A133" s="109" t="s">
        <v>200</v>
      </c>
      <c r="B133" s="120" t="s">
        <v>976</v>
      </c>
      <c r="C133" s="120" t="s">
        <v>4337</v>
      </c>
      <c r="D133" s="120" t="s">
        <v>2955</v>
      </c>
      <c r="E133" s="164">
        <v>12</v>
      </c>
      <c r="F133" s="109" t="s">
        <v>200</v>
      </c>
      <c r="G133" s="109" t="s">
        <v>200</v>
      </c>
    </row>
    <row r="134" spans="1:7" ht="15.65" customHeight="1" x14ac:dyDescent="0.35">
      <c r="A134" s="109" t="s">
        <v>200</v>
      </c>
      <c r="B134" s="120" t="s">
        <v>981</v>
      </c>
      <c r="C134" s="120" t="s">
        <v>4338</v>
      </c>
      <c r="D134" s="120" t="s">
        <v>4201</v>
      </c>
      <c r="E134" s="164">
        <v>2</v>
      </c>
      <c r="F134" s="109" t="s">
        <v>200</v>
      </c>
      <c r="G134" s="109" t="s">
        <v>200</v>
      </c>
    </row>
    <row r="135" spans="1:7" ht="15.65" customHeight="1" x14ac:dyDescent="0.35">
      <c r="A135" s="109" t="s">
        <v>200</v>
      </c>
      <c r="B135" s="120" t="s">
        <v>988</v>
      </c>
      <c r="C135" s="120" t="s">
        <v>998</v>
      </c>
      <c r="D135" s="120" t="s">
        <v>999</v>
      </c>
      <c r="E135" s="164">
        <v>4</v>
      </c>
      <c r="F135" s="109" t="s">
        <v>200</v>
      </c>
      <c r="G135" s="109" t="s">
        <v>200</v>
      </c>
    </row>
    <row r="136" spans="1:7" ht="15.65" customHeight="1" x14ac:dyDescent="0.35">
      <c r="A136" s="109" t="s">
        <v>200</v>
      </c>
      <c r="B136" s="120" t="s">
        <v>4339</v>
      </c>
      <c r="C136" s="120" t="s">
        <v>998</v>
      </c>
      <c r="D136" s="120" t="s">
        <v>999</v>
      </c>
      <c r="E136" s="164">
        <v>4</v>
      </c>
      <c r="F136" s="109" t="s">
        <v>200</v>
      </c>
      <c r="G136" s="109" t="s">
        <v>200</v>
      </c>
    </row>
    <row r="137" spans="1:7" ht="15.65" customHeight="1" x14ac:dyDescent="0.35">
      <c r="A137" s="109" t="s">
        <v>200</v>
      </c>
      <c r="B137" s="120" t="s">
        <v>1005</v>
      </c>
      <c r="C137" s="120" t="s">
        <v>998</v>
      </c>
      <c r="D137" s="120" t="s">
        <v>999</v>
      </c>
      <c r="E137" s="164">
        <v>4</v>
      </c>
      <c r="F137" s="109" t="s">
        <v>200</v>
      </c>
      <c r="G137" s="109" t="s">
        <v>200</v>
      </c>
    </row>
    <row r="138" spans="1:7" ht="15.65" customHeight="1" x14ac:dyDescent="0.35">
      <c r="A138" s="109" t="s">
        <v>200</v>
      </c>
      <c r="B138" s="120" t="s">
        <v>1007</v>
      </c>
      <c r="C138" s="120" t="s">
        <v>998</v>
      </c>
      <c r="D138" s="120" t="s">
        <v>999</v>
      </c>
      <c r="E138" s="164">
        <v>4</v>
      </c>
      <c r="F138" s="109" t="s">
        <v>200</v>
      </c>
      <c r="G138" s="109" t="s">
        <v>200</v>
      </c>
    </row>
    <row r="139" spans="1:7" ht="15.65" customHeight="1" x14ac:dyDescent="0.35">
      <c r="A139" s="109" t="s">
        <v>200</v>
      </c>
      <c r="B139" s="120" t="s">
        <v>1009</v>
      </c>
      <c r="C139" s="120" t="s">
        <v>4340</v>
      </c>
      <c r="D139" s="120" t="s">
        <v>999</v>
      </c>
      <c r="E139" s="164">
        <v>4</v>
      </c>
      <c r="F139" s="109" t="s">
        <v>200</v>
      </c>
      <c r="G139" s="109" t="s">
        <v>200</v>
      </c>
    </row>
    <row r="140" spans="1:7" ht="15.65" customHeight="1" x14ac:dyDescent="0.35">
      <c r="A140" s="109" t="s">
        <v>200</v>
      </c>
      <c r="B140" s="120" t="s">
        <v>1020</v>
      </c>
      <c r="C140" s="120" t="s">
        <v>1013</v>
      </c>
      <c r="D140" s="120" t="s">
        <v>999</v>
      </c>
      <c r="E140" s="164">
        <v>4</v>
      </c>
      <c r="F140" s="109" t="s">
        <v>200</v>
      </c>
      <c r="G140" s="109" t="s">
        <v>200</v>
      </c>
    </row>
    <row r="141" spans="1:7" ht="15.65" customHeight="1" x14ac:dyDescent="0.35">
      <c r="A141" s="109" t="s">
        <v>200</v>
      </c>
      <c r="B141" s="120" t="s">
        <v>1022</v>
      </c>
      <c r="C141" s="120" t="s">
        <v>1013</v>
      </c>
      <c r="D141" s="120" t="s">
        <v>999</v>
      </c>
      <c r="E141" s="164">
        <v>4</v>
      </c>
      <c r="F141" s="109" t="s">
        <v>200</v>
      </c>
      <c r="G141" s="109" t="s">
        <v>200</v>
      </c>
    </row>
    <row r="142" spans="1:7" ht="15.65" customHeight="1" x14ac:dyDescent="0.35">
      <c r="A142" s="109" t="s">
        <v>200</v>
      </c>
      <c r="B142" s="120" t="s">
        <v>1026</v>
      </c>
      <c r="C142" s="120" t="s">
        <v>1310</v>
      </c>
      <c r="D142" s="120" t="s">
        <v>1311</v>
      </c>
      <c r="E142" s="164">
        <v>8</v>
      </c>
      <c r="F142" s="109" t="s">
        <v>200</v>
      </c>
      <c r="G142" s="109" t="s">
        <v>200</v>
      </c>
    </row>
    <row r="143" spans="1:7" ht="15.65" customHeight="1" x14ac:dyDescent="0.35">
      <c r="A143" s="109" t="s">
        <v>200</v>
      </c>
      <c r="B143" s="120" t="s">
        <v>1032</v>
      </c>
      <c r="C143" s="120" t="s">
        <v>4341</v>
      </c>
      <c r="D143" s="120" t="s">
        <v>2580</v>
      </c>
      <c r="E143" s="164">
        <v>7</v>
      </c>
      <c r="F143" s="109" t="s">
        <v>200</v>
      </c>
      <c r="G143" s="109" t="s">
        <v>200</v>
      </c>
    </row>
    <row r="144" spans="1:7" ht="15.65" customHeight="1" x14ac:dyDescent="0.35">
      <c r="A144" s="109" t="s">
        <v>200</v>
      </c>
      <c r="B144" s="120" t="s">
        <v>1039</v>
      </c>
      <c r="C144" s="120" t="s">
        <v>4342</v>
      </c>
      <c r="D144" s="120" t="s">
        <v>4295</v>
      </c>
      <c r="E144" s="164">
        <v>15</v>
      </c>
      <c r="F144" s="109" t="s">
        <v>200</v>
      </c>
      <c r="G144" s="109" t="s">
        <v>200</v>
      </c>
    </row>
    <row r="145" spans="1:7" ht="15.65" customHeight="1" x14ac:dyDescent="0.35">
      <c r="A145" s="109" t="s">
        <v>200</v>
      </c>
      <c r="B145" s="120" t="s">
        <v>1044</v>
      </c>
      <c r="C145" s="120" t="s">
        <v>4343</v>
      </c>
      <c r="D145" s="120" t="s">
        <v>2967</v>
      </c>
      <c r="E145" s="164">
        <v>5</v>
      </c>
      <c r="F145" s="109" t="s">
        <v>200</v>
      </c>
      <c r="G145" s="109" t="s">
        <v>200</v>
      </c>
    </row>
    <row r="146" spans="1:7" ht="15.65" customHeight="1" x14ac:dyDescent="0.35">
      <c r="A146" s="109" t="s">
        <v>200</v>
      </c>
      <c r="B146" s="120" t="s">
        <v>1051</v>
      </c>
      <c r="C146" s="120" t="s">
        <v>4344</v>
      </c>
      <c r="D146" s="120" t="s">
        <v>2580</v>
      </c>
      <c r="E146" s="164">
        <v>7</v>
      </c>
      <c r="F146" s="109" t="s">
        <v>200</v>
      </c>
      <c r="G146" s="109" t="s">
        <v>200</v>
      </c>
    </row>
    <row r="147" spans="1:7" ht="15.65" customHeight="1" x14ac:dyDescent="0.35">
      <c r="A147" s="109" t="s">
        <v>200</v>
      </c>
      <c r="B147" s="120" t="s">
        <v>1055</v>
      </c>
      <c r="C147" s="120" t="s">
        <v>4345</v>
      </c>
      <c r="D147" s="120" t="s">
        <v>4211</v>
      </c>
      <c r="E147" s="164">
        <v>9</v>
      </c>
      <c r="F147" s="109" t="s">
        <v>200</v>
      </c>
      <c r="G147" s="109" t="s">
        <v>200</v>
      </c>
    </row>
    <row r="148" spans="1:7" ht="15.65" customHeight="1" x14ac:dyDescent="0.35">
      <c r="A148" s="109" t="s">
        <v>200</v>
      </c>
      <c r="B148" s="120" t="s">
        <v>1065</v>
      </c>
      <c r="C148" s="120" t="s">
        <v>817</v>
      </c>
      <c r="D148" s="120" t="s">
        <v>659</v>
      </c>
      <c r="E148" s="164">
        <v>13</v>
      </c>
      <c r="F148" s="109" t="s">
        <v>200</v>
      </c>
      <c r="G148" s="109" t="s">
        <v>200</v>
      </c>
    </row>
    <row r="149" spans="1:7" ht="15.65" customHeight="1" x14ac:dyDescent="0.35">
      <c r="A149" s="109" t="s">
        <v>200</v>
      </c>
      <c r="B149" s="120" t="s">
        <v>1068</v>
      </c>
      <c r="C149" s="120" t="s">
        <v>4346</v>
      </c>
      <c r="D149" s="120" t="s">
        <v>2967</v>
      </c>
      <c r="E149" s="164">
        <v>5</v>
      </c>
      <c r="F149" s="109" t="s">
        <v>200</v>
      </c>
      <c r="G149" s="109" t="s">
        <v>200</v>
      </c>
    </row>
    <row r="150" spans="1:7" ht="15.65" customHeight="1" x14ac:dyDescent="0.35">
      <c r="A150" s="109" t="s">
        <v>200</v>
      </c>
      <c r="B150" s="120" t="s">
        <v>1071</v>
      </c>
      <c r="C150" s="120" t="s">
        <v>817</v>
      </c>
      <c r="D150" s="120" t="s">
        <v>659</v>
      </c>
      <c r="E150" s="164">
        <v>13</v>
      </c>
      <c r="F150" s="109" t="s">
        <v>200</v>
      </c>
      <c r="G150" s="109" t="s">
        <v>200</v>
      </c>
    </row>
    <row r="151" spans="1:7" ht="15.65" customHeight="1" x14ac:dyDescent="0.35">
      <c r="A151" s="109" t="s">
        <v>200</v>
      </c>
      <c r="B151" s="120" t="s">
        <v>1074</v>
      </c>
      <c r="C151" s="120" t="s">
        <v>4347</v>
      </c>
      <c r="D151" s="120" t="s">
        <v>2580</v>
      </c>
      <c r="E151" s="164">
        <v>7</v>
      </c>
      <c r="F151" s="109" t="s">
        <v>200</v>
      </c>
      <c r="G151" s="109" t="s">
        <v>200</v>
      </c>
    </row>
    <row r="152" spans="1:7" ht="15.65" customHeight="1" x14ac:dyDescent="0.35">
      <c r="A152" s="109" t="s">
        <v>200</v>
      </c>
      <c r="B152" s="120" t="s">
        <v>1080</v>
      </c>
      <c r="C152" s="120" t="s">
        <v>4348</v>
      </c>
      <c r="D152" s="120" t="s">
        <v>4209</v>
      </c>
      <c r="E152" s="164">
        <v>14</v>
      </c>
      <c r="F152" s="109" t="s">
        <v>200</v>
      </c>
      <c r="G152" s="109" t="s">
        <v>200</v>
      </c>
    </row>
    <row r="153" spans="1:7" ht="15.65" customHeight="1" x14ac:dyDescent="0.35">
      <c r="A153" s="109" t="s">
        <v>200</v>
      </c>
      <c r="B153" s="120" t="s">
        <v>1084</v>
      </c>
      <c r="C153" s="120" t="s">
        <v>4349</v>
      </c>
      <c r="D153" s="120" t="s">
        <v>4201</v>
      </c>
      <c r="E153" s="164">
        <v>2</v>
      </c>
      <c r="F153" s="109" t="s">
        <v>200</v>
      </c>
      <c r="G153" s="109" t="s">
        <v>200</v>
      </c>
    </row>
    <row r="154" spans="1:7" ht="15.65" customHeight="1" x14ac:dyDescent="0.35">
      <c r="A154" s="109" t="s">
        <v>200</v>
      </c>
      <c r="B154" s="120" t="s">
        <v>1096</v>
      </c>
      <c r="C154" s="120" t="s">
        <v>4350</v>
      </c>
      <c r="D154" s="120" t="s">
        <v>188</v>
      </c>
      <c r="E154" s="164">
        <v>11</v>
      </c>
      <c r="F154" s="109" t="s">
        <v>200</v>
      </c>
      <c r="G154" s="109" t="s">
        <v>200</v>
      </c>
    </row>
    <row r="155" spans="1:7" ht="15.65" customHeight="1" x14ac:dyDescent="0.35">
      <c r="A155" s="109" t="s">
        <v>200</v>
      </c>
      <c r="B155" s="120" t="s">
        <v>1109</v>
      </c>
      <c r="C155" s="120" t="s">
        <v>1104</v>
      </c>
      <c r="D155" s="120" t="s">
        <v>1105</v>
      </c>
      <c r="E155" s="164">
        <v>1</v>
      </c>
      <c r="F155" s="109" t="s">
        <v>200</v>
      </c>
      <c r="G155" s="109" t="s">
        <v>200</v>
      </c>
    </row>
    <row r="156" spans="1:7" ht="15.65" customHeight="1" x14ac:dyDescent="0.35">
      <c r="A156" s="109" t="s">
        <v>200</v>
      </c>
      <c r="B156" s="120" t="s">
        <v>1111</v>
      </c>
      <c r="C156" s="120" t="s">
        <v>1104</v>
      </c>
      <c r="D156" s="120" t="s">
        <v>1105</v>
      </c>
      <c r="E156" s="164">
        <v>1</v>
      </c>
      <c r="F156" s="109" t="s">
        <v>200</v>
      </c>
      <c r="G156" s="109" t="s">
        <v>200</v>
      </c>
    </row>
    <row r="157" spans="1:7" ht="15.65" customHeight="1" x14ac:dyDescent="0.35">
      <c r="A157" s="109" t="s">
        <v>200</v>
      </c>
      <c r="B157" s="120" t="s">
        <v>1114</v>
      </c>
      <c r="C157" s="120" t="s">
        <v>998</v>
      </c>
      <c r="D157" s="120" t="s">
        <v>999</v>
      </c>
      <c r="E157" s="164">
        <v>4</v>
      </c>
      <c r="F157" s="109" t="s">
        <v>200</v>
      </c>
      <c r="G157" s="109" t="s">
        <v>200</v>
      </c>
    </row>
    <row r="158" spans="1:7" ht="15.65" customHeight="1" x14ac:dyDescent="0.35">
      <c r="A158" s="109" t="s">
        <v>200</v>
      </c>
      <c r="B158" s="120" t="s">
        <v>1121</v>
      </c>
      <c r="C158" s="120" t="s">
        <v>4351</v>
      </c>
      <c r="D158" s="120" t="s">
        <v>608</v>
      </c>
      <c r="E158" s="164">
        <v>10</v>
      </c>
      <c r="F158" s="109" t="s">
        <v>200</v>
      </c>
      <c r="G158" s="109" t="s">
        <v>200</v>
      </c>
    </row>
    <row r="159" spans="1:7" ht="15.65" customHeight="1" x14ac:dyDescent="0.35">
      <c r="A159" s="109" t="s">
        <v>200</v>
      </c>
      <c r="B159" s="120" t="s">
        <v>1129</v>
      </c>
      <c r="C159" s="120" t="s">
        <v>4352</v>
      </c>
      <c r="D159" s="120" t="s">
        <v>4201</v>
      </c>
      <c r="E159" s="164">
        <v>2</v>
      </c>
      <c r="F159" s="109" t="s">
        <v>200</v>
      </c>
      <c r="G159" s="109" t="s">
        <v>200</v>
      </c>
    </row>
    <row r="160" spans="1:7" ht="15.65" customHeight="1" x14ac:dyDescent="0.35">
      <c r="A160" s="109" t="s">
        <v>200</v>
      </c>
      <c r="B160" s="120" t="s">
        <v>1134</v>
      </c>
      <c r="C160" s="120" t="s">
        <v>4353</v>
      </c>
      <c r="D160" s="120" t="s">
        <v>2955</v>
      </c>
      <c r="E160" s="164">
        <v>12</v>
      </c>
      <c r="F160" s="109" t="s">
        <v>200</v>
      </c>
      <c r="G160" s="109" t="s">
        <v>200</v>
      </c>
    </row>
    <row r="161" spans="1:7" ht="15.65" customHeight="1" x14ac:dyDescent="0.35">
      <c r="A161" s="109" t="s">
        <v>200</v>
      </c>
      <c r="B161" s="120" t="s">
        <v>1140</v>
      </c>
      <c r="C161" s="120" t="s">
        <v>817</v>
      </c>
      <c r="D161" s="120" t="s">
        <v>659</v>
      </c>
      <c r="E161" s="164">
        <v>13</v>
      </c>
      <c r="F161" s="109" t="s">
        <v>200</v>
      </c>
      <c r="G161" s="109" t="s">
        <v>200</v>
      </c>
    </row>
    <row r="162" spans="1:7" ht="15.65" customHeight="1" x14ac:dyDescent="0.35">
      <c r="A162" s="109" t="s">
        <v>200</v>
      </c>
      <c r="B162" s="120" t="s">
        <v>1144</v>
      </c>
      <c r="C162" s="120" t="s">
        <v>4354</v>
      </c>
      <c r="D162" s="120" t="s">
        <v>4218</v>
      </c>
      <c r="E162" s="164">
        <v>6</v>
      </c>
      <c r="F162" s="109" t="s">
        <v>200</v>
      </c>
      <c r="G162" s="109" t="s">
        <v>200</v>
      </c>
    </row>
    <row r="163" spans="1:7" ht="15.65" customHeight="1" x14ac:dyDescent="0.35">
      <c r="A163" s="109" t="s">
        <v>200</v>
      </c>
      <c r="B163" s="120" t="s">
        <v>1151</v>
      </c>
      <c r="C163" s="120" t="s">
        <v>4355</v>
      </c>
      <c r="D163" s="120" t="s">
        <v>315</v>
      </c>
      <c r="E163" s="164">
        <v>6</v>
      </c>
      <c r="F163" s="109" t="s">
        <v>200</v>
      </c>
      <c r="G163" s="109" t="s">
        <v>200</v>
      </c>
    </row>
    <row r="164" spans="1:7" ht="15.65" customHeight="1" x14ac:dyDescent="0.35">
      <c r="A164" s="109" t="s">
        <v>200</v>
      </c>
      <c r="B164" s="120" t="s">
        <v>1157</v>
      </c>
      <c r="C164" s="120" t="s">
        <v>4356</v>
      </c>
      <c r="D164" s="120" t="s">
        <v>4357</v>
      </c>
      <c r="E164" s="164">
        <v>15</v>
      </c>
      <c r="F164" s="109" t="s">
        <v>200</v>
      </c>
      <c r="G164" s="109" t="s">
        <v>200</v>
      </c>
    </row>
    <row r="165" spans="1:7" ht="15.65" customHeight="1" x14ac:dyDescent="0.35">
      <c r="A165" s="109" t="s">
        <v>200</v>
      </c>
      <c r="B165" s="120" t="s">
        <v>1162</v>
      </c>
      <c r="C165" s="120" t="s">
        <v>1162</v>
      </c>
      <c r="D165" s="120" t="s">
        <v>4358</v>
      </c>
      <c r="E165" s="164">
        <v>15</v>
      </c>
      <c r="F165" s="109" t="s">
        <v>200</v>
      </c>
      <c r="G165" s="109" t="s">
        <v>200</v>
      </c>
    </row>
    <row r="166" spans="1:7" ht="15.65" customHeight="1" x14ac:dyDescent="0.35">
      <c r="A166" s="109" t="s">
        <v>200</v>
      </c>
      <c r="B166" s="120" t="s">
        <v>1172</v>
      </c>
      <c r="C166" s="120" t="s">
        <v>4359</v>
      </c>
      <c r="D166" s="120" t="s">
        <v>2967</v>
      </c>
      <c r="E166" s="164">
        <v>5</v>
      </c>
      <c r="F166" s="109" t="s">
        <v>200</v>
      </c>
      <c r="G166" s="109" t="s">
        <v>200</v>
      </c>
    </row>
    <row r="167" spans="1:7" ht="15.65" customHeight="1" x14ac:dyDescent="0.35">
      <c r="A167" s="109" t="s">
        <v>200</v>
      </c>
      <c r="B167" s="120" t="s">
        <v>1186</v>
      </c>
      <c r="C167" s="120" t="s">
        <v>624</v>
      </c>
      <c r="D167" s="120" t="s">
        <v>287</v>
      </c>
      <c r="E167" s="164">
        <v>16</v>
      </c>
      <c r="F167" s="109" t="s">
        <v>200</v>
      </c>
      <c r="G167" s="109" t="s">
        <v>200</v>
      </c>
    </row>
    <row r="168" spans="1:7" ht="15.65" customHeight="1" x14ac:dyDescent="0.35">
      <c r="A168" s="109" t="s">
        <v>200</v>
      </c>
      <c r="B168" s="120" t="s">
        <v>1188</v>
      </c>
      <c r="C168" s="120" t="s">
        <v>4342</v>
      </c>
      <c r="D168" s="120" t="s">
        <v>4295</v>
      </c>
      <c r="E168" s="164">
        <v>15</v>
      </c>
      <c r="F168" s="109" t="s">
        <v>200</v>
      </c>
      <c r="G168" s="109" t="s">
        <v>200</v>
      </c>
    </row>
    <row r="169" spans="1:7" ht="15.65" customHeight="1" x14ac:dyDescent="0.35">
      <c r="A169" s="109" t="s">
        <v>200</v>
      </c>
      <c r="B169" s="120" t="s">
        <v>1191</v>
      </c>
      <c r="C169" s="120" t="s">
        <v>4360</v>
      </c>
      <c r="D169" s="120" t="s">
        <v>2967</v>
      </c>
      <c r="E169" s="164">
        <v>5</v>
      </c>
      <c r="F169" s="109" t="s">
        <v>200</v>
      </c>
      <c r="G169" s="109" t="s">
        <v>200</v>
      </c>
    </row>
    <row r="170" spans="1:7" ht="15.65" customHeight="1" x14ac:dyDescent="0.35">
      <c r="A170" s="109" t="s">
        <v>200</v>
      </c>
      <c r="B170" s="120" t="s">
        <v>1203</v>
      </c>
      <c r="C170" s="120" t="s">
        <v>4361</v>
      </c>
      <c r="D170" s="120" t="s">
        <v>4201</v>
      </c>
      <c r="E170" s="164">
        <v>2</v>
      </c>
      <c r="F170" s="109" t="s">
        <v>200</v>
      </c>
      <c r="G170" s="109" t="s">
        <v>200</v>
      </c>
    </row>
    <row r="171" spans="1:7" ht="15.65" customHeight="1" x14ac:dyDescent="0.35">
      <c r="A171" s="109" t="s">
        <v>200</v>
      </c>
      <c r="B171" s="120" t="s">
        <v>1210</v>
      </c>
      <c r="C171" s="120" t="s">
        <v>4362</v>
      </c>
      <c r="D171" s="120" t="s">
        <v>4209</v>
      </c>
      <c r="E171" s="164">
        <v>14</v>
      </c>
      <c r="F171" s="109" t="s">
        <v>200</v>
      </c>
      <c r="G171" s="109" t="s">
        <v>200</v>
      </c>
    </row>
    <row r="172" spans="1:7" ht="15.65" customHeight="1" x14ac:dyDescent="0.35">
      <c r="A172" s="109" t="s">
        <v>200</v>
      </c>
      <c r="B172" s="120" t="s">
        <v>1212</v>
      </c>
      <c r="C172" s="120" t="s">
        <v>4363</v>
      </c>
      <c r="D172" s="120" t="s">
        <v>4201</v>
      </c>
      <c r="E172" s="164">
        <v>2</v>
      </c>
      <c r="F172" s="109" t="s">
        <v>200</v>
      </c>
      <c r="G172" s="109" t="s">
        <v>200</v>
      </c>
    </row>
    <row r="173" spans="1:7" ht="15.65" customHeight="1" x14ac:dyDescent="0.35">
      <c r="A173" s="109" t="s">
        <v>200</v>
      </c>
      <c r="B173" s="120" t="s">
        <v>1220</v>
      </c>
      <c r="C173" s="120" t="s">
        <v>4364</v>
      </c>
      <c r="D173" s="120" t="s">
        <v>999</v>
      </c>
      <c r="E173" s="164">
        <v>4</v>
      </c>
      <c r="F173" s="109" t="s">
        <v>200</v>
      </c>
      <c r="G173" s="109" t="s">
        <v>200</v>
      </c>
    </row>
    <row r="174" spans="1:7" ht="15.65" customHeight="1" x14ac:dyDescent="0.35">
      <c r="A174" s="109" t="s">
        <v>200</v>
      </c>
      <c r="B174" s="120" t="s">
        <v>1235</v>
      </c>
      <c r="C174" s="120" t="s">
        <v>1229</v>
      </c>
      <c r="D174" s="120" t="s">
        <v>608</v>
      </c>
      <c r="E174" s="164">
        <v>10</v>
      </c>
      <c r="F174" s="109" t="s">
        <v>200</v>
      </c>
      <c r="G174" s="109" t="s">
        <v>200</v>
      </c>
    </row>
    <row r="175" spans="1:7" ht="15.65" customHeight="1" x14ac:dyDescent="0.35">
      <c r="A175" s="109" t="s">
        <v>200</v>
      </c>
      <c r="B175" s="120" t="s">
        <v>1237</v>
      </c>
      <c r="C175" s="120" t="s">
        <v>4365</v>
      </c>
      <c r="D175" s="120" t="s">
        <v>2955</v>
      </c>
      <c r="E175" s="164">
        <v>12</v>
      </c>
      <c r="F175" s="109" t="s">
        <v>200</v>
      </c>
      <c r="G175" s="109" t="s">
        <v>200</v>
      </c>
    </row>
    <row r="176" spans="1:7" ht="15.65" customHeight="1" x14ac:dyDescent="0.35">
      <c r="A176" s="109" t="s">
        <v>200</v>
      </c>
      <c r="B176" s="120" t="s">
        <v>1239</v>
      </c>
      <c r="C176" s="120" t="s">
        <v>4366</v>
      </c>
      <c r="D176" s="120" t="s">
        <v>4295</v>
      </c>
      <c r="E176" s="164">
        <v>15</v>
      </c>
      <c r="F176" s="109" t="s">
        <v>200</v>
      </c>
      <c r="G176" s="109" t="s">
        <v>200</v>
      </c>
    </row>
    <row r="177" spans="1:7" ht="15.65" customHeight="1" x14ac:dyDescent="0.35">
      <c r="A177" s="109" t="s">
        <v>200</v>
      </c>
      <c r="B177" s="120" t="s">
        <v>1244</v>
      </c>
      <c r="C177" s="120" t="s">
        <v>4367</v>
      </c>
      <c r="D177" s="120" t="s">
        <v>188</v>
      </c>
      <c r="E177" s="164">
        <v>11</v>
      </c>
      <c r="F177" s="109" t="s">
        <v>200</v>
      </c>
      <c r="G177" s="109" t="s">
        <v>200</v>
      </c>
    </row>
    <row r="178" spans="1:7" ht="15.65" customHeight="1" x14ac:dyDescent="0.35">
      <c r="A178" s="109" t="s">
        <v>200</v>
      </c>
      <c r="B178" s="120" t="s">
        <v>1248</v>
      </c>
      <c r="C178" s="120" t="s">
        <v>4368</v>
      </c>
      <c r="D178" s="120" t="s">
        <v>1311</v>
      </c>
      <c r="E178" s="164">
        <v>8</v>
      </c>
      <c r="F178" s="109" t="s">
        <v>200</v>
      </c>
      <c r="G178" s="109" t="s">
        <v>200</v>
      </c>
    </row>
    <row r="179" spans="1:7" ht="15.65" customHeight="1" x14ac:dyDescent="0.35">
      <c r="A179" s="109" t="s">
        <v>200</v>
      </c>
      <c r="B179" s="120" t="s">
        <v>1254</v>
      </c>
      <c r="C179" s="120" t="s">
        <v>4354</v>
      </c>
      <c r="D179" s="120" t="s">
        <v>4218</v>
      </c>
      <c r="E179" s="164">
        <v>6</v>
      </c>
      <c r="F179" s="109" t="s">
        <v>200</v>
      </c>
      <c r="G179" s="109" t="s">
        <v>200</v>
      </c>
    </row>
    <row r="180" spans="1:7" ht="15.65" customHeight="1" x14ac:dyDescent="0.35">
      <c r="A180" s="109" t="s">
        <v>200</v>
      </c>
      <c r="B180" s="120" t="s">
        <v>1263</v>
      </c>
      <c r="C180" s="120" t="s">
        <v>4320</v>
      </c>
      <c r="D180" s="120" t="s">
        <v>4209</v>
      </c>
      <c r="E180" s="164">
        <v>14</v>
      </c>
      <c r="F180" s="109" t="s">
        <v>200</v>
      </c>
      <c r="G180" s="109" t="s">
        <v>200</v>
      </c>
    </row>
    <row r="181" spans="1:7" ht="15.65" customHeight="1" x14ac:dyDescent="0.35">
      <c r="A181" s="109" t="s">
        <v>200</v>
      </c>
      <c r="B181" s="120" t="s">
        <v>1266</v>
      </c>
      <c r="C181" s="120" t="s">
        <v>4309</v>
      </c>
      <c r="D181" s="120" t="s">
        <v>2955</v>
      </c>
      <c r="E181" s="164">
        <v>12</v>
      </c>
      <c r="F181" s="109" t="s">
        <v>200</v>
      </c>
      <c r="G181" s="109" t="s">
        <v>200</v>
      </c>
    </row>
    <row r="182" spans="1:7" ht="15.65" customHeight="1" x14ac:dyDescent="0.35">
      <c r="A182" s="109" t="s">
        <v>200</v>
      </c>
      <c r="B182" s="120" t="s">
        <v>1277</v>
      </c>
      <c r="C182" s="120" t="s">
        <v>299</v>
      </c>
      <c r="D182" s="120" t="s">
        <v>287</v>
      </c>
      <c r="E182" s="164">
        <v>16</v>
      </c>
      <c r="F182" s="109" t="s">
        <v>200</v>
      </c>
      <c r="G182" s="109" t="s">
        <v>200</v>
      </c>
    </row>
    <row r="183" spans="1:7" ht="15.65" customHeight="1" x14ac:dyDescent="0.35">
      <c r="A183" s="109" t="s">
        <v>200</v>
      </c>
      <c r="B183" s="120" t="s">
        <v>1279</v>
      </c>
      <c r="C183" s="120" t="s">
        <v>299</v>
      </c>
      <c r="D183" s="120" t="s">
        <v>287</v>
      </c>
      <c r="E183" s="164">
        <v>16</v>
      </c>
      <c r="F183" s="109" t="s">
        <v>200</v>
      </c>
      <c r="G183" s="109" t="s">
        <v>200</v>
      </c>
    </row>
    <row r="184" spans="1:7" ht="15.65" customHeight="1" x14ac:dyDescent="0.35">
      <c r="A184" s="109" t="s">
        <v>200</v>
      </c>
      <c r="B184" s="120" t="s">
        <v>1283</v>
      </c>
      <c r="C184" s="120" t="s">
        <v>4369</v>
      </c>
      <c r="D184" s="120" t="s">
        <v>2955</v>
      </c>
      <c r="E184" s="164">
        <v>12</v>
      </c>
      <c r="F184" s="109" t="s">
        <v>200</v>
      </c>
      <c r="G184" s="109" t="s">
        <v>200</v>
      </c>
    </row>
    <row r="185" spans="1:7" ht="15.65" customHeight="1" x14ac:dyDescent="0.35">
      <c r="A185" s="109" t="s">
        <v>200</v>
      </c>
      <c r="B185" s="120" t="s">
        <v>1289</v>
      </c>
      <c r="C185" s="120" t="s">
        <v>4370</v>
      </c>
      <c r="D185" s="120" t="s">
        <v>2955</v>
      </c>
      <c r="E185" s="164">
        <v>12</v>
      </c>
      <c r="F185" s="109" t="s">
        <v>200</v>
      </c>
      <c r="G185" s="109" t="s">
        <v>200</v>
      </c>
    </row>
    <row r="186" spans="1:7" ht="15.65" customHeight="1" x14ac:dyDescent="0.35">
      <c r="A186" s="109" t="s">
        <v>200</v>
      </c>
      <c r="B186" s="120" t="s">
        <v>1293</v>
      </c>
      <c r="C186" s="120" t="s">
        <v>998</v>
      </c>
      <c r="D186" s="120" t="s">
        <v>999</v>
      </c>
      <c r="E186" s="164">
        <v>4</v>
      </c>
      <c r="F186" s="109" t="s">
        <v>200</v>
      </c>
      <c r="G186" s="109" t="s">
        <v>200</v>
      </c>
    </row>
    <row r="187" spans="1:7" ht="15.65" customHeight="1" x14ac:dyDescent="0.35">
      <c r="A187" s="109" t="s">
        <v>200</v>
      </c>
      <c r="B187" s="120" t="s">
        <v>1301</v>
      </c>
      <c r="C187" s="120" t="s">
        <v>4371</v>
      </c>
      <c r="D187" s="120" t="s">
        <v>2955</v>
      </c>
      <c r="E187" s="164">
        <v>12</v>
      </c>
      <c r="F187" s="109" t="s">
        <v>200</v>
      </c>
      <c r="G187" s="109" t="s">
        <v>200</v>
      </c>
    </row>
    <row r="188" spans="1:7" ht="15.65" customHeight="1" x14ac:dyDescent="0.35">
      <c r="A188" s="109" t="s">
        <v>200</v>
      </c>
      <c r="B188" s="120" t="s">
        <v>1315</v>
      </c>
      <c r="C188" s="120" t="s">
        <v>1310</v>
      </c>
      <c r="D188" s="120" t="s">
        <v>1311</v>
      </c>
      <c r="E188" s="164">
        <v>8</v>
      </c>
      <c r="F188" s="109" t="s">
        <v>200</v>
      </c>
      <c r="G188" s="109" t="s">
        <v>200</v>
      </c>
    </row>
    <row r="189" spans="1:7" ht="15.65" customHeight="1" x14ac:dyDescent="0.35">
      <c r="A189" s="109" t="s">
        <v>200</v>
      </c>
      <c r="B189" s="120" t="s">
        <v>1317</v>
      </c>
      <c r="C189" s="120" t="s">
        <v>1310</v>
      </c>
      <c r="D189" s="120" t="s">
        <v>1311</v>
      </c>
      <c r="E189" s="164">
        <v>8</v>
      </c>
      <c r="F189" s="109" t="s">
        <v>200</v>
      </c>
      <c r="G189" s="109" t="s">
        <v>200</v>
      </c>
    </row>
    <row r="190" spans="1:7" ht="15.65" customHeight="1" x14ac:dyDescent="0.35">
      <c r="A190" s="109" t="s">
        <v>200</v>
      </c>
      <c r="B190" s="120" t="s">
        <v>1319</v>
      </c>
      <c r="C190" s="120" t="s">
        <v>4372</v>
      </c>
      <c r="D190" s="120" t="s">
        <v>188</v>
      </c>
      <c r="E190" s="164">
        <v>11</v>
      </c>
      <c r="F190" s="109" t="s">
        <v>200</v>
      </c>
      <c r="G190" s="109" t="s">
        <v>200</v>
      </c>
    </row>
    <row r="191" spans="1:7" ht="15.65" customHeight="1" x14ac:dyDescent="0.35">
      <c r="A191" s="109" t="s">
        <v>200</v>
      </c>
      <c r="B191" s="120" t="s">
        <v>1324</v>
      </c>
      <c r="C191" s="120" t="s">
        <v>4273</v>
      </c>
      <c r="D191" s="120" t="s">
        <v>659</v>
      </c>
      <c r="E191" s="164">
        <v>13</v>
      </c>
      <c r="F191" s="109" t="s">
        <v>200</v>
      </c>
      <c r="G191" s="109" t="s">
        <v>200</v>
      </c>
    </row>
    <row r="192" spans="1:7" ht="15.65" customHeight="1" x14ac:dyDescent="0.35">
      <c r="A192" s="109" t="s">
        <v>200</v>
      </c>
      <c r="B192" s="120" t="s">
        <v>1331</v>
      </c>
      <c r="C192" s="120" t="s">
        <v>286</v>
      </c>
      <c r="D192" s="120" t="s">
        <v>287</v>
      </c>
      <c r="E192" s="164">
        <v>16</v>
      </c>
      <c r="F192" s="109" t="s">
        <v>200</v>
      </c>
      <c r="G192" s="109" t="s">
        <v>200</v>
      </c>
    </row>
    <row r="193" spans="1:7" ht="15.65" customHeight="1" x14ac:dyDescent="0.35">
      <c r="A193" s="109" t="s">
        <v>200</v>
      </c>
      <c r="B193" s="120" t="s">
        <v>1338</v>
      </c>
      <c r="C193" s="120" t="s">
        <v>286</v>
      </c>
      <c r="D193" s="120" t="s">
        <v>287</v>
      </c>
      <c r="E193" s="164">
        <v>16</v>
      </c>
      <c r="F193" s="109" t="s">
        <v>200</v>
      </c>
      <c r="G193" s="109" t="s">
        <v>200</v>
      </c>
    </row>
    <row r="194" spans="1:7" ht="15.65" customHeight="1" x14ac:dyDescent="0.35">
      <c r="A194" s="109" t="s">
        <v>200</v>
      </c>
      <c r="B194" s="120" t="s">
        <v>1342</v>
      </c>
      <c r="C194" s="120" t="s">
        <v>4373</v>
      </c>
      <c r="D194" s="120" t="s">
        <v>4201</v>
      </c>
      <c r="E194" s="164">
        <v>2</v>
      </c>
      <c r="F194" s="109" t="s">
        <v>200</v>
      </c>
      <c r="G194" s="109" t="s">
        <v>200</v>
      </c>
    </row>
    <row r="195" spans="1:7" ht="15.65" customHeight="1" x14ac:dyDescent="0.35">
      <c r="A195" s="109" t="s">
        <v>200</v>
      </c>
      <c r="B195" s="120" t="s">
        <v>1346</v>
      </c>
      <c r="C195" s="120" t="s">
        <v>4309</v>
      </c>
      <c r="D195" s="120" t="s">
        <v>2955</v>
      </c>
      <c r="E195" s="164">
        <v>12</v>
      </c>
      <c r="F195" s="109" t="s">
        <v>200</v>
      </c>
      <c r="G195" s="109" t="s">
        <v>200</v>
      </c>
    </row>
    <row r="196" spans="1:7" ht="15.65" customHeight="1" x14ac:dyDescent="0.35">
      <c r="A196" s="109" t="s">
        <v>200</v>
      </c>
      <c r="B196" s="120" t="s">
        <v>1351</v>
      </c>
      <c r="C196" s="120" t="s">
        <v>4374</v>
      </c>
      <c r="D196" s="120" t="s">
        <v>4303</v>
      </c>
      <c r="E196" s="164">
        <v>15</v>
      </c>
      <c r="F196" s="109" t="s">
        <v>200</v>
      </c>
      <c r="G196" s="109" t="s">
        <v>200</v>
      </c>
    </row>
    <row r="197" spans="1:7" ht="15.65" customHeight="1" x14ac:dyDescent="0.35">
      <c r="A197" s="109" t="s">
        <v>200</v>
      </c>
      <c r="B197" s="120" t="s">
        <v>1360</v>
      </c>
      <c r="C197" s="120" t="s">
        <v>4375</v>
      </c>
      <c r="D197" s="120" t="s">
        <v>4218</v>
      </c>
      <c r="E197" s="164">
        <v>6</v>
      </c>
      <c r="F197" s="109" t="s">
        <v>200</v>
      </c>
      <c r="G197" s="109" t="s">
        <v>200</v>
      </c>
    </row>
    <row r="198" spans="1:7" ht="15.65" customHeight="1" x14ac:dyDescent="0.35">
      <c r="A198" s="109" t="s">
        <v>200</v>
      </c>
      <c r="B198" s="120" t="s">
        <v>1369</v>
      </c>
      <c r="C198" s="120" t="s">
        <v>4376</v>
      </c>
      <c r="D198" s="120" t="s">
        <v>315</v>
      </c>
      <c r="E198" s="164">
        <v>6</v>
      </c>
      <c r="F198" s="109" t="s">
        <v>200</v>
      </c>
      <c r="G198" s="109" t="s">
        <v>200</v>
      </c>
    </row>
    <row r="199" spans="1:7" ht="15.65" customHeight="1" x14ac:dyDescent="0.35">
      <c r="A199" s="109" t="s">
        <v>200</v>
      </c>
      <c r="B199" s="120" t="s">
        <v>1379</v>
      </c>
      <c r="C199" s="120" t="s">
        <v>286</v>
      </c>
      <c r="D199" s="120" t="s">
        <v>287</v>
      </c>
      <c r="E199" s="164">
        <v>16</v>
      </c>
      <c r="F199" s="109" t="s">
        <v>200</v>
      </c>
      <c r="G199" s="109" t="s">
        <v>200</v>
      </c>
    </row>
    <row r="200" spans="1:7" ht="15.65" customHeight="1" x14ac:dyDescent="0.35">
      <c r="A200" s="109" t="s">
        <v>200</v>
      </c>
      <c r="B200" s="120" t="s">
        <v>1416</v>
      </c>
      <c r="C200" s="120" t="s">
        <v>4273</v>
      </c>
      <c r="D200" s="120" t="s">
        <v>659</v>
      </c>
      <c r="E200" s="164">
        <v>13</v>
      </c>
      <c r="F200" s="109" t="s">
        <v>200</v>
      </c>
      <c r="G200" s="109" t="s">
        <v>200</v>
      </c>
    </row>
    <row r="201" spans="1:7" ht="15.65" customHeight="1" x14ac:dyDescent="0.35">
      <c r="A201" s="109" t="s">
        <v>200</v>
      </c>
      <c r="B201" s="120" t="s">
        <v>1425</v>
      </c>
      <c r="C201" s="120" t="s">
        <v>817</v>
      </c>
      <c r="D201" s="120" t="s">
        <v>659</v>
      </c>
      <c r="E201" s="164">
        <v>13</v>
      </c>
      <c r="F201" s="109" t="s">
        <v>200</v>
      </c>
      <c r="G201" s="109" t="s">
        <v>200</v>
      </c>
    </row>
    <row r="202" spans="1:7" ht="15.65" customHeight="1" x14ac:dyDescent="0.35">
      <c r="A202" s="109" t="s">
        <v>200</v>
      </c>
      <c r="B202" s="120" t="s">
        <v>1427</v>
      </c>
      <c r="C202" s="120" t="s">
        <v>817</v>
      </c>
      <c r="D202" s="120" t="s">
        <v>659</v>
      </c>
      <c r="E202" s="164">
        <v>13</v>
      </c>
      <c r="F202" s="109" t="s">
        <v>200</v>
      </c>
      <c r="G202" s="109" t="s">
        <v>200</v>
      </c>
    </row>
    <row r="203" spans="1:7" ht="15.65" customHeight="1" x14ac:dyDescent="0.35">
      <c r="A203" s="109" t="s">
        <v>200</v>
      </c>
      <c r="B203" s="120" t="s">
        <v>1437</v>
      </c>
      <c r="C203" s="120" t="s">
        <v>299</v>
      </c>
      <c r="D203" s="120" t="s">
        <v>287</v>
      </c>
      <c r="E203" s="164">
        <v>16</v>
      </c>
      <c r="F203" s="109" t="s">
        <v>200</v>
      </c>
      <c r="G203" s="109" t="s">
        <v>200</v>
      </c>
    </row>
    <row r="204" spans="1:7" ht="15.65" customHeight="1" x14ac:dyDescent="0.35">
      <c r="A204" s="109" t="s">
        <v>200</v>
      </c>
      <c r="B204" s="120" t="s">
        <v>1439</v>
      </c>
      <c r="C204" s="120" t="s">
        <v>299</v>
      </c>
      <c r="D204" s="120" t="s">
        <v>287</v>
      </c>
      <c r="E204" s="164">
        <v>16</v>
      </c>
      <c r="F204" s="109" t="s">
        <v>200</v>
      </c>
      <c r="G204" s="109" t="s">
        <v>200</v>
      </c>
    </row>
    <row r="205" spans="1:7" ht="15.65" customHeight="1" x14ac:dyDescent="0.35">
      <c r="A205" s="109" t="s">
        <v>200</v>
      </c>
      <c r="B205" s="120" t="s">
        <v>1454</v>
      </c>
      <c r="C205" s="120" t="s">
        <v>817</v>
      </c>
      <c r="D205" s="120" t="s">
        <v>659</v>
      </c>
      <c r="E205" s="164">
        <v>13</v>
      </c>
      <c r="F205" s="109" t="s">
        <v>200</v>
      </c>
      <c r="G205" s="109" t="s">
        <v>200</v>
      </c>
    </row>
    <row r="206" spans="1:7" ht="15.65" customHeight="1" x14ac:dyDescent="0.35">
      <c r="A206" s="109" t="s">
        <v>200</v>
      </c>
      <c r="B206" s="120" t="s">
        <v>1450</v>
      </c>
      <c r="C206" s="120" t="s">
        <v>4377</v>
      </c>
      <c r="D206" s="120" t="s">
        <v>2955</v>
      </c>
      <c r="E206" s="164">
        <v>12</v>
      </c>
      <c r="F206" s="109" t="s">
        <v>200</v>
      </c>
      <c r="G206" s="109" t="s">
        <v>200</v>
      </c>
    </row>
    <row r="207" spans="1:7" ht="15.65" customHeight="1" x14ac:dyDescent="0.35">
      <c r="A207" s="109" t="s">
        <v>200</v>
      </c>
      <c r="B207" s="120" t="s">
        <v>1473</v>
      </c>
      <c r="C207" s="120" t="s">
        <v>4354</v>
      </c>
      <c r="D207" s="120" t="s">
        <v>4218</v>
      </c>
      <c r="E207" s="164">
        <v>6</v>
      </c>
      <c r="F207" s="109" t="s">
        <v>200</v>
      </c>
      <c r="G207" s="109" t="s">
        <v>200</v>
      </c>
    </row>
    <row r="208" spans="1:7" ht="15.65" customHeight="1" x14ac:dyDescent="0.35">
      <c r="A208" s="109" t="s">
        <v>200</v>
      </c>
      <c r="B208" s="120" t="s">
        <v>1479</v>
      </c>
      <c r="C208" s="120" t="s">
        <v>4378</v>
      </c>
      <c r="D208" s="120" t="s">
        <v>4295</v>
      </c>
      <c r="E208" s="164">
        <v>15</v>
      </c>
      <c r="F208" s="109" t="s">
        <v>200</v>
      </c>
      <c r="G208" s="109" t="s">
        <v>200</v>
      </c>
    </row>
    <row r="209" spans="1:7" ht="15.65" customHeight="1" x14ac:dyDescent="0.35">
      <c r="A209" s="109" t="s">
        <v>200</v>
      </c>
      <c r="B209" s="120" t="s">
        <v>1441</v>
      </c>
      <c r="C209" s="120" t="s">
        <v>4281</v>
      </c>
      <c r="D209" s="120" t="s">
        <v>188</v>
      </c>
      <c r="E209" s="164">
        <v>11</v>
      </c>
      <c r="F209" s="109" t="s">
        <v>200</v>
      </c>
      <c r="G209" s="109" t="s">
        <v>200</v>
      </c>
    </row>
    <row r="210" spans="1:7" ht="15.65" customHeight="1" x14ac:dyDescent="0.35">
      <c r="A210" s="109" t="s">
        <v>200</v>
      </c>
      <c r="B210" s="120" t="s">
        <v>1445</v>
      </c>
      <c r="C210" s="120" t="s">
        <v>4379</v>
      </c>
      <c r="D210" s="120" t="s">
        <v>188</v>
      </c>
      <c r="E210" s="164">
        <v>11</v>
      </c>
      <c r="F210" s="109" t="s">
        <v>200</v>
      </c>
      <c r="G210" s="109" t="s">
        <v>200</v>
      </c>
    </row>
    <row r="211" spans="1:7" ht="15.65" customHeight="1" x14ac:dyDescent="0.35">
      <c r="A211" s="109" t="s">
        <v>200</v>
      </c>
      <c r="B211" s="120" t="s">
        <v>1591</v>
      </c>
      <c r="C211" s="120" t="s">
        <v>3375</v>
      </c>
      <c r="D211" s="120" t="s">
        <v>4306</v>
      </c>
      <c r="E211" s="164">
        <v>15</v>
      </c>
      <c r="F211" s="109" t="s">
        <v>200</v>
      </c>
      <c r="G211" s="109" t="s">
        <v>200</v>
      </c>
    </row>
    <row r="212" spans="1:7" ht="15.65" customHeight="1" x14ac:dyDescent="0.35">
      <c r="A212" s="109" t="s">
        <v>200</v>
      </c>
      <c r="B212" s="120" t="s">
        <v>1598</v>
      </c>
      <c r="C212" s="120" t="s">
        <v>817</v>
      </c>
      <c r="D212" s="120" t="s">
        <v>659</v>
      </c>
      <c r="E212" s="164">
        <v>13</v>
      </c>
      <c r="F212" s="109" t="s">
        <v>200</v>
      </c>
      <c r="G212" s="109" t="s">
        <v>200</v>
      </c>
    </row>
    <row r="213" spans="1:7" ht="15.65" customHeight="1" x14ac:dyDescent="0.35">
      <c r="A213" s="109" t="s">
        <v>200</v>
      </c>
      <c r="B213" s="120" t="s">
        <v>1609</v>
      </c>
      <c r="C213" s="120" t="s">
        <v>1602</v>
      </c>
      <c r="D213" s="120" t="s">
        <v>287</v>
      </c>
      <c r="E213" s="164">
        <v>16</v>
      </c>
      <c r="F213" s="109" t="s">
        <v>200</v>
      </c>
      <c r="G213" s="109" t="s">
        <v>200</v>
      </c>
    </row>
    <row r="214" spans="1:7" ht="15.65" customHeight="1" x14ac:dyDescent="0.35">
      <c r="A214" s="109" t="s">
        <v>200</v>
      </c>
      <c r="B214" s="120" t="s">
        <v>1611</v>
      </c>
      <c r="C214" s="120" t="s">
        <v>1602</v>
      </c>
      <c r="D214" s="120" t="s">
        <v>287</v>
      </c>
      <c r="E214" s="164">
        <v>16</v>
      </c>
      <c r="F214" s="109" t="s">
        <v>200</v>
      </c>
      <c r="G214" s="109" t="s">
        <v>200</v>
      </c>
    </row>
    <row r="215" spans="1:7" ht="15.65" customHeight="1" x14ac:dyDescent="0.35">
      <c r="A215" s="109" t="s">
        <v>200</v>
      </c>
      <c r="B215" s="120" t="s">
        <v>1618</v>
      </c>
      <c r="C215" s="120" t="s">
        <v>1614</v>
      </c>
      <c r="D215" s="120" t="s">
        <v>315</v>
      </c>
      <c r="E215" s="164">
        <v>6</v>
      </c>
      <c r="F215" s="109" t="s">
        <v>200</v>
      </c>
      <c r="G215" s="109" t="s">
        <v>200</v>
      </c>
    </row>
    <row r="216" spans="1:7" ht="15.65" customHeight="1" x14ac:dyDescent="0.35">
      <c r="A216" s="109" t="s">
        <v>200</v>
      </c>
      <c r="B216" s="120" t="s">
        <v>1620</v>
      </c>
      <c r="C216" s="120" t="s">
        <v>4380</v>
      </c>
      <c r="D216" s="120" t="s">
        <v>315</v>
      </c>
      <c r="E216" s="164">
        <v>6</v>
      </c>
      <c r="F216" s="109" t="s">
        <v>200</v>
      </c>
      <c r="G216" s="109" t="s">
        <v>200</v>
      </c>
    </row>
    <row r="217" spans="1:7" ht="15.65" customHeight="1" x14ac:dyDescent="0.35">
      <c r="A217" s="109" t="s">
        <v>200</v>
      </c>
      <c r="B217" s="120" t="s">
        <v>1622</v>
      </c>
      <c r="C217" s="120" t="s">
        <v>1614</v>
      </c>
      <c r="D217" s="120" t="s">
        <v>315</v>
      </c>
      <c r="E217" s="164">
        <v>6</v>
      </c>
      <c r="F217" s="109" t="s">
        <v>200</v>
      </c>
      <c r="G217" s="109" t="s">
        <v>200</v>
      </c>
    </row>
    <row r="218" spans="1:7" ht="15.65" customHeight="1" x14ac:dyDescent="0.35">
      <c r="A218" s="109" t="s">
        <v>200</v>
      </c>
      <c r="B218" s="120" t="s">
        <v>1624</v>
      </c>
      <c r="C218" s="120" t="s">
        <v>4380</v>
      </c>
      <c r="D218" s="120" t="s">
        <v>315</v>
      </c>
      <c r="E218" s="164">
        <v>6</v>
      </c>
      <c r="F218" s="109" t="s">
        <v>200</v>
      </c>
      <c r="G218" s="109" t="s">
        <v>200</v>
      </c>
    </row>
    <row r="219" spans="1:7" ht="15.65" customHeight="1" x14ac:dyDescent="0.35">
      <c r="A219" s="109" t="s">
        <v>200</v>
      </c>
      <c r="B219" s="120" t="s">
        <v>1496</v>
      </c>
      <c r="C219" s="120" t="s">
        <v>4381</v>
      </c>
      <c r="D219" s="120" t="s">
        <v>188</v>
      </c>
      <c r="E219" s="164">
        <v>11</v>
      </c>
      <c r="F219" s="109" t="s">
        <v>200</v>
      </c>
      <c r="G219" s="109" t="s">
        <v>200</v>
      </c>
    </row>
    <row r="220" spans="1:7" ht="15.65" customHeight="1" x14ac:dyDescent="0.35">
      <c r="A220" s="109" t="s">
        <v>200</v>
      </c>
      <c r="B220" s="120" t="s">
        <v>1499</v>
      </c>
      <c r="C220" s="120" t="s">
        <v>624</v>
      </c>
      <c r="D220" s="120" t="s">
        <v>287</v>
      </c>
      <c r="E220" s="164">
        <v>16</v>
      </c>
      <c r="F220" s="109" t="s">
        <v>200</v>
      </c>
      <c r="G220" s="109" t="s">
        <v>200</v>
      </c>
    </row>
    <row r="221" spans="1:7" ht="15.65" customHeight="1" x14ac:dyDescent="0.35">
      <c r="A221" s="109" t="s">
        <v>200</v>
      </c>
      <c r="B221" s="120" t="s">
        <v>1502</v>
      </c>
      <c r="C221" s="120" t="s">
        <v>4363</v>
      </c>
      <c r="D221" s="120" t="s">
        <v>4201</v>
      </c>
      <c r="E221" s="164">
        <v>2</v>
      </c>
      <c r="F221" s="109" t="s">
        <v>200</v>
      </c>
      <c r="G221" s="109" t="s">
        <v>200</v>
      </c>
    </row>
    <row r="222" spans="1:7" ht="15.65" customHeight="1" x14ac:dyDescent="0.35">
      <c r="A222" s="109" t="s">
        <v>200</v>
      </c>
      <c r="B222" s="120" t="s">
        <v>1508</v>
      </c>
      <c r="C222" s="120" t="s">
        <v>4382</v>
      </c>
      <c r="D222" s="120" t="s">
        <v>287</v>
      </c>
      <c r="E222" s="164">
        <v>16</v>
      </c>
      <c r="F222" s="109" t="s">
        <v>200</v>
      </c>
      <c r="G222" s="109" t="s">
        <v>200</v>
      </c>
    </row>
    <row r="223" spans="1:7" ht="15.65" customHeight="1" x14ac:dyDescent="0.35">
      <c r="A223" s="109" t="s">
        <v>200</v>
      </c>
      <c r="B223" s="120" t="s">
        <v>1510</v>
      </c>
      <c r="C223" s="120" t="s">
        <v>4383</v>
      </c>
      <c r="D223" s="120" t="s">
        <v>608</v>
      </c>
      <c r="E223" s="164">
        <v>10</v>
      </c>
      <c r="F223" s="109" t="s">
        <v>200</v>
      </c>
      <c r="G223" s="109" t="s">
        <v>200</v>
      </c>
    </row>
    <row r="224" spans="1:7" ht="15.65" customHeight="1" x14ac:dyDescent="0.35">
      <c r="A224" s="109" t="s">
        <v>200</v>
      </c>
      <c r="B224" s="120" t="s">
        <v>1514</v>
      </c>
      <c r="C224" s="120" t="s">
        <v>4384</v>
      </c>
      <c r="D224" s="120" t="s">
        <v>4295</v>
      </c>
      <c r="E224" s="164">
        <v>15</v>
      </c>
      <c r="F224" s="109" t="s">
        <v>200</v>
      </c>
      <c r="G224" s="109" t="s">
        <v>200</v>
      </c>
    </row>
    <row r="225" spans="1:7" ht="15.65" customHeight="1" x14ac:dyDescent="0.35">
      <c r="A225" s="109" t="s">
        <v>200</v>
      </c>
      <c r="B225" s="120" t="s">
        <v>1516</v>
      </c>
      <c r="C225" s="120" t="s">
        <v>1229</v>
      </c>
      <c r="D225" s="120" t="s">
        <v>608</v>
      </c>
      <c r="E225" s="164">
        <v>10</v>
      </c>
      <c r="F225" s="109" t="s">
        <v>200</v>
      </c>
      <c r="G225" s="109" t="s">
        <v>200</v>
      </c>
    </row>
    <row r="226" spans="1:7" ht="15.65" customHeight="1" x14ac:dyDescent="0.35">
      <c r="A226" s="109" t="s">
        <v>200</v>
      </c>
      <c r="B226" s="120" t="s">
        <v>1522</v>
      </c>
      <c r="C226" s="120" t="s">
        <v>624</v>
      </c>
      <c r="D226" s="120" t="s">
        <v>287</v>
      </c>
      <c r="E226" s="164">
        <v>16</v>
      </c>
      <c r="F226" s="109" t="s">
        <v>200</v>
      </c>
      <c r="G226" s="109" t="s">
        <v>200</v>
      </c>
    </row>
    <row r="227" spans="1:7" ht="15.65" customHeight="1" x14ac:dyDescent="0.35">
      <c r="A227" s="109" t="s">
        <v>200</v>
      </c>
      <c r="B227" s="120" t="s">
        <v>1532</v>
      </c>
      <c r="C227" s="120" t="s">
        <v>4335</v>
      </c>
      <c r="D227" s="120" t="s">
        <v>2967</v>
      </c>
      <c r="E227" s="164">
        <v>5</v>
      </c>
      <c r="F227" s="109" t="s">
        <v>200</v>
      </c>
      <c r="G227" s="109" t="s">
        <v>200</v>
      </c>
    </row>
    <row r="228" spans="1:7" ht="15.65" customHeight="1" x14ac:dyDescent="0.35">
      <c r="A228" s="109" t="s">
        <v>200</v>
      </c>
      <c r="B228" s="120" t="s">
        <v>1534</v>
      </c>
      <c r="C228" s="120" t="s">
        <v>4366</v>
      </c>
      <c r="D228" s="120" t="s">
        <v>4295</v>
      </c>
      <c r="E228" s="164">
        <v>15</v>
      </c>
      <c r="F228" s="109" t="s">
        <v>200</v>
      </c>
      <c r="G228" s="109" t="s">
        <v>200</v>
      </c>
    </row>
    <row r="229" spans="1:7" ht="15.65" customHeight="1" x14ac:dyDescent="0.35">
      <c r="A229" s="109" t="s">
        <v>200</v>
      </c>
      <c r="B229" s="120" t="s">
        <v>1536</v>
      </c>
      <c r="C229" s="120" t="s">
        <v>4273</v>
      </c>
      <c r="D229" s="120" t="s">
        <v>659</v>
      </c>
      <c r="E229" s="164">
        <v>13</v>
      </c>
      <c r="F229" s="109" t="s">
        <v>200</v>
      </c>
      <c r="G229" s="109" t="s">
        <v>200</v>
      </c>
    </row>
    <row r="230" spans="1:7" ht="15.65" customHeight="1" x14ac:dyDescent="0.35">
      <c r="A230" s="109" t="s">
        <v>200</v>
      </c>
      <c r="B230" s="120" t="s">
        <v>1579</v>
      </c>
      <c r="C230" s="120" t="s">
        <v>4385</v>
      </c>
      <c r="D230" s="120" t="s">
        <v>3376</v>
      </c>
      <c r="E230" s="164">
        <v>3</v>
      </c>
      <c r="F230" s="109" t="s">
        <v>200</v>
      </c>
      <c r="G230" s="109" t="s">
        <v>200</v>
      </c>
    </row>
    <row r="231" spans="1:7" ht="15.65" customHeight="1" x14ac:dyDescent="0.35">
      <c r="A231" s="109" t="s">
        <v>200</v>
      </c>
      <c r="B231" s="120" t="s">
        <v>1538</v>
      </c>
      <c r="C231" s="120" t="s">
        <v>4273</v>
      </c>
      <c r="D231" s="120" t="s">
        <v>659</v>
      </c>
      <c r="E231" s="164">
        <v>13</v>
      </c>
      <c r="F231" s="109" t="s">
        <v>200</v>
      </c>
      <c r="G231" s="109" t="s">
        <v>200</v>
      </c>
    </row>
    <row r="232" spans="1:7" ht="15.65" customHeight="1" x14ac:dyDescent="0.35">
      <c r="A232" s="109" t="s">
        <v>200</v>
      </c>
      <c r="B232" s="120" t="s">
        <v>1540</v>
      </c>
      <c r="C232" s="120" t="s">
        <v>4381</v>
      </c>
      <c r="D232" s="120" t="s">
        <v>188</v>
      </c>
      <c r="E232" s="164">
        <v>11</v>
      </c>
      <c r="F232" s="109" t="s">
        <v>200</v>
      </c>
      <c r="G232" s="109" t="s">
        <v>200</v>
      </c>
    </row>
    <row r="233" spans="1:7" ht="15.65" customHeight="1" x14ac:dyDescent="0.35">
      <c r="A233" s="109" t="s">
        <v>200</v>
      </c>
      <c r="B233" s="120" t="s">
        <v>1544</v>
      </c>
      <c r="C233" s="120" t="s">
        <v>817</v>
      </c>
      <c r="D233" s="120" t="s">
        <v>659</v>
      </c>
      <c r="E233" s="164">
        <v>13</v>
      </c>
      <c r="F233" s="109" t="s">
        <v>200</v>
      </c>
      <c r="G233" s="109" t="s">
        <v>200</v>
      </c>
    </row>
    <row r="234" spans="1:7" ht="15.65" customHeight="1" x14ac:dyDescent="0.35">
      <c r="A234" s="109" t="s">
        <v>200</v>
      </c>
      <c r="B234" s="120" t="s">
        <v>1546</v>
      </c>
      <c r="C234" s="120" t="s">
        <v>4315</v>
      </c>
      <c r="D234" s="120" t="s">
        <v>1311</v>
      </c>
      <c r="E234" s="164">
        <v>8</v>
      </c>
      <c r="F234" s="109" t="s">
        <v>200</v>
      </c>
      <c r="G234" s="109" t="s">
        <v>200</v>
      </c>
    </row>
    <row r="235" spans="1:7" ht="15.65" customHeight="1" x14ac:dyDescent="0.35">
      <c r="A235" s="109" t="s">
        <v>200</v>
      </c>
      <c r="B235" s="120" t="s">
        <v>1548</v>
      </c>
      <c r="C235" s="120" t="s">
        <v>4273</v>
      </c>
      <c r="D235" s="120" t="s">
        <v>659</v>
      </c>
      <c r="E235" s="164">
        <v>13</v>
      </c>
      <c r="F235" s="109" t="s">
        <v>200</v>
      </c>
      <c r="G235" s="109" t="s">
        <v>200</v>
      </c>
    </row>
    <row r="236" spans="1:7" ht="15.65" customHeight="1" x14ac:dyDescent="0.35">
      <c r="A236" s="109" t="s">
        <v>200</v>
      </c>
      <c r="B236" s="120" t="s">
        <v>1552</v>
      </c>
      <c r="C236" s="120" t="s">
        <v>4386</v>
      </c>
      <c r="D236" s="120" t="s">
        <v>1311</v>
      </c>
      <c r="E236" s="164">
        <v>8</v>
      </c>
      <c r="F236" s="109" t="s">
        <v>200</v>
      </c>
      <c r="G236" s="109" t="s">
        <v>200</v>
      </c>
    </row>
    <row r="237" spans="1:7" ht="15.65" customHeight="1" x14ac:dyDescent="0.35">
      <c r="A237" s="109" t="s">
        <v>200</v>
      </c>
      <c r="B237" s="120" t="s">
        <v>1554</v>
      </c>
      <c r="C237" s="120" t="s">
        <v>4273</v>
      </c>
      <c r="D237" s="120" t="s">
        <v>659</v>
      </c>
      <c r="E237" s="164">
        <v>13</v>
      </c>
      <c r="F237" s="109" t="s">
        <v>200</v>
      </c>
      <c r="G237" s="109" t="s">
        <v>200</v>
      </c>
    </row>
    <row r="238" spans="1:7" ht="15.65" customHeight="1" x14ac:dyDescent="0.35">
      <c r="A238" s="109" t="s">
        <v>200</v>
      </c>
      <c r="B238" s="120" t="s">
        <v>1556</v>
      </c>
      <c r="C238" s="120" t="s">
        <v>4273</v>
      </c>
      <c r="D238" s="120" t="s">
        <v>659</v>
      </c>
      <c r="E238" s="164">
        <v>13</v>
      </c>
      <c r="F238" s="109" t="s">
        <v>200</v>
      </c>
      <c r="G238" s="109" t="s">
        <v>200</v>
      </c>
    </row>
    <row r="239" spans="1:7" ht="15.65" customHeight="1" x14ac:dyDescent="0.35">
      <c r="A239" s="109" t="s">
        <v>200</v>
      </c>
      <c r="B239" s="120" t="s">
        <v>1558</v>
      </c>
      <c r="C239" s="120" t="s">
        <v>4273</v>
      </c>
      <c r="D239" s="120" t="s">
        <v>659</v>
      </c>
      <c r="E239" s="164">
        <v>13</v>
      </c>
      <c r="F239" s="109" t="s">
        <v>200</v>
      </c>
      <c r="G239" s="109" t="s">
        <v>200</v>
      </c>
    </row>
    <row r="240" spans="1:7" ht="15.65" customHeight="1" x14ac:dyDescent="0.35">
      <c r="A240" s="109" t="s">
        <v>200</v>
      </c>
      <c r="B240" s="120" t="s">
        <v>1560</v>
      </c>
      <c r="C240" s="120" t="s">
        <v>4387</v>
      </c>
      <c r="D240" s="120" t="s">
        <v>4218</v>
      </c>
      <c r="E240" s="164">
        <v>6</v>
      </c>
      <c r="F240" s="109" t="s">
        <v>200</v>
      </c>
      <c r="G240" s="109" t="s">
        <v>200</v>
      </c>
    </row>
    <row r="241" spans="1:7" ht="15.65" customHeight="1" x14ac:dyDescent="0.35">
      <c r="A241" s="109" t="s">
        <v>200</v>
      </c>
      <c r="B241" s="120" t="s">
        <v>1562</v>
      </c>
      <c r="C241" s="120" t="s">
        <v>4273</v>
      </c>
      <c r="D241" s="120" t="s">
        <v>659</v>
      </c>
      <c r="E241" s="164">
        <v>13</v>
      </c>
      <c r="F241" s="109" t="s">
        <v>200</v>
      </c>
      <c r="G241" s="109" t="s">
        <v>200</v>
      </c>
    </row>
    <row r="242" spans="1:7" ht="15.65" customHeight="1" x14ac:dyDescent="0.35">
      <c r="A242" s="109" t="s">
        <v>200</v>
      </c>
      <c r="B242" s="120" t="s">
        <v>1564</v>
      </c>
      <c r="C242" s="120" t="s">
        <v>4273</v>
      </c>
      <c r="D242" s="120" t="s">
        <v>659</v>
      </c>
      <c r="E242" s="164">
        <v>13</v>
      </c>
      <c r="F242" s="109" t="s">
        <v>200</v>
      </c>
      <c r="G242" s="109" t="s">
        <v>200</v>
      </c>
    </row>
    <row r="243" spans="1:7" ht="15.65" customHeight="1" x14ac:dyDescent="0.35">
      <c r="A243" s="109" t="s">
        <v>200</v>
      </c>
      <c r="B243" s="120" t="s">
        <v>1567</v>
      </c>
      <c r="C243" s="120" t="s">
        <v>4388</v>
      </c>
      <c r="D243" s="120" t="s">
        <v>4402</v>
      </c>
      <c r="E243" s="164">
        <v>15</v>
      </c>
      <c r="F243" s="109" t="s">
        <v>200</v>
      </c>
      <c r="G243" s="109" t="s">
        <v>200</v>
      </c>
    </row>
    <row r="244" spans="1:7" ht="15.65" customHeight="1" x14ac:dyDescent="0.35">
      <c r="A244" s="109" t="s">
        <v>200</v>
      </c>
      <c r="B244" s="120" t="s">
        <v>1569</v>
      </c>
      <c r="C244" s="120" t="s">
        <v>4389</v>
      </c>
      <c r="D244" s="120" t="s">
        <v>4303</v>
      </c>
      <c r="E244" s="164">
        <v>15</v>
      </c>
      <c r="F244" s="109" t="s">
        <v>200</v>
      </c>
      <c r="G244" s="109" t="s">
        <v>200</v>
      </c>
    </row>
    <row r="245" spans="1:7" ht="15.65" customHeight="1" x14ac:dyDescent="0.35">
      <c r="A245" s="109" t="s">
        <v>200</v>
      </c>
      <c r="B245" s="120" t="s">
        <v>1571</v>
      </c>
      <c r="C245" s="120" t="s">
        <v>4333</v>
      </c>
      <c r="D245" s="120" t="s">
        <v>1891</v>
      </c>
      <c r="E245" s="164">
        <v>6</v>
      </c>
      <c r="F245" s="109" t="s">
        <v>200</v>
      </c>
      <c r="G245" s="109" t="s">
        <v>200</v>
      </c>
    </row>
    <row r="246" spans="1:7" ht="15.65" customHeight="1" x14ac:dyDescent="0.35">
      <c r="A246" s="109" t="s">
        <v>200</v>
      </c>
      <c r="B246" s="120" t="s">
        <v>1573</v>
      </c>
      <c r="C246" s="120" t="s">
        <v>4273</v>
      </c>
      <c r="D246" s="120" t="s">
        <v>659</v>
      </c>
      <c r="E246" s="164">
        <v>13</v>
      </c>
      <c r="F246" s="109" t="s">
        <v>200</v>
      </c>
      <c r="G246" s="109" t="s">
        <v>200</v>
      </c>
    </row>
    <row r="247" spans="1:7" ht="15.65" customHeight="1" x14ac:dyDescent="0.35">
      <c r="A247" s="109" t="s">
        <v>200</v>
      </c>
      <c r="B247" s="120" t="s">
        <v>1575</v>
      </c>
      <c r="C247" s="120" t="s">
        <v>4390</v>
      </c>
      <c r="D247" s="120" t="s">
        <v>2967</v>
      </c>
      <c r="E247" s="164">
        <v>5</v>
      </c>
      <c r="F247" s="109" t="s">
        <v>200</v>
      </c>
      <c r="G247" s="109" t="s">
        <v>200</v>
      </c>
    </row>
    <row r="248" spans="1:7" ht="15.65" customHeight="1" x14ac:dyDescent="0.35">
      <c r="A248" s="109" t="s">
        <v>200</v>
      </c>
      <c r="B248" s="120" t="s">
        <v>2144</v>
      </c>
      <c r="C248" s="120" t="s">
        <v>4391</v>
      </c>
      <c r="D248" s="120" t="s">
        <v>287</v>
      </c>
      <c r="E248" s="164">
        <v>16</v>
      </c>
      <c r="F248" s="109" t="s">
        <v>200</v>
      </c>
      <c r="G248" s="109" t="s">
        <v>200</v>
      </c>
    </row>
    <row r="249" spans="1:7" ht="15.65" customHeight="1" x14ac:dyDescent="0.35">
      <c r="A249" s="109" t="s">
        <v>200</v>
      </c>
      <c r="B249" s="120" t="s">
        <v>2152</v>
      </c>
      <c r="C249" s="120" t="s">
        <v>4392</v>
      </c>
      <c r="D249" s="120" t="s">
        <v>2955</v>
      </c>
      <c r="E249" s="164">
        <v>12</v>
      </c>
      <c r="F249" s="109" t="s">
        <v>200</v>
      </c>
      <c r="G249" s="109" t="s">
        <v>200</v>
      </c>
    </row>
    <row r="250" spans="1:7" ht="15.65" customHeight="1" x14ac:dyDescent="0.35">
      <c r="A250" s="109" t="s">
        <v>200</v>
      </c>
      <c r="B250" s="120" t="s">
        <v>2158</v>
      </c>
      <c r="C250" s="120" t="s">
        <v>4393</v>
      </c>
      <c r="D250" s="120" t="s">
        <v>287</v>
      </c>
      <c r="E250" s="164">
        <v>16</v>
      </c>
      <c r="F250" s="109" t="s">
        <v>200</v>
      </c>
      <c r="G250" s="109" t="s">
        <v>200</v>
      </c>
    </row>
    <row r="251" spans="1:7" ht="15.65" customHeight="1" x14ac:dyDescent="0.35">
      <c r="A251" s="109" t="s">
        <v>200</v>
      </c>
      <c r="B251" s="120" t="s">
        <v>2163</v>
      </c>
      <c r="C251" s="120" t="s">
        <v>4394</v>
      </c>
      <c r="D251" s="120" t="s">
        <v>4209</v>
      </c>
      <c r="E251" s="164">
        <v>14</v>
      </c>
      <c r="F251" s="109" t="s">
        <v>200</v>
      </c>
      <c r="G251" s="109" t="s">
        <v>200</v>
      </c>
    </row>
    <row r="252" spans="1:7" ht="15.65" customHeight="1" x14ac:dyDescent="0.35">
      <c r="A252" s="109" t="s">
        <v>200</v>
      </c>
      <c r="B252" s="120" t="s">
        <v>2171</v>
      </c>
      <c r="C252" s="120" t="s">
        <v>4395</v>
      </c>
      <c r="D252" s="120" t="s">
        <v>2580</v>
      </c>
      <c r="E252" s="164">
        <v>7</v>
      </c>
      <c r="F252" s="109" t="s">
        <v>200</v>
      </c>
      <c r="G252" s="109" t="s">
        <v>200</v>
      </c>
    </row>
    <row r="253" spans="1:7" ht="15.65" customHeight="1" x14ac:dyDescent="0.35">
      <c r="A253" s="109" t="s">
        <v>200</v>
      </c>
      <c r="B253" s="120" t="s">
        <v>2179</v>
      </c>
      <c r="C253" s="120" t="s">
        <v>4396</v>
      </c>
      <c r="D253" s="120" t="s">
        <v>2955</v>
      </c>
      <c r="E253" s="164">
        <v>12</v>
      </c>
      <c r="F253" s="109" t="s">
        <v>200</v>
      </c>
      <c r="G253" s="109" t="s">
        <v>200</v>
      </c>
    </row>
    <row r="254" spans="1:7" ht="15.65" customHeight="1" x14ac:dyDescent="0.35">
      <c r="A254" s="109" t="s">
        <v>200</v>
      </c>
      <c r="B254" s="120" t="s">
        <v>2185</v>
      </c>
      <c r="C254" s="120" t="s">
        <v>4397</v>
      </c>
      <c r="D254" s="120" t="s">
        <v>4280</v>
      </c>
      <c r="E254" s="164">
        <v>15</v>
      </c>
      <c r="F254" s="109" t="s">
        <v>200</v>
      </c>
      <c r="G254" s="109" t="s">
        <v>200</v>
      </c>
    </row>
    <row r="255" spans="1:7" ht="15.65" customHeight="1" x14ac:dyDescent="0.35">
      <c r="A255" s="109" t="s">
        <v>200</v>
      </c>
      <c r="B255" s="120" t="s">
        <v>2191</v>
      </c>
      <c r="C255" s="120" t="s">
        <v>4398</v>
      </c>
      <c r="D255" s="120" t="s">
        <v>4290</v>
      </c>
      <c r="E255" s="164">
        <v>15</v>
      </c>
      <c r="F255" s="109" t="s">
        <v>200</v>
      </c>
      <c r="G255" s="109" t="s">
        <v>200</v>
      </c>
    </row>
    <row r="256" spans="1:7" ht="15.65" customHeight="1" x14ac:dyDescent="0.35">
      <c r="A256" s="109" t="s">
        <v>200</v>
      </c>
      <c r="B256" s="120" t="s">
        <v>2202</v>
      </c>
      <c r="C256" s="120" t="s">
        <v>4399</v>
      </c>
      <c r="D256" s="120" t="s">
        <v>4209</v>
      </c>
      <c r="E256" s="164">
        <v>14</v>
      </c>
      <c r="F256" s="109" t="s">
        <v>200</v>
      </c>
      <c r="G256" s="109" t="s">
        <v>200</v>
      </c>
    </row>
    <row r="257" spans="1:7" ht="15.65" customHeight="1" x14ac:dyDescent="0.35">
      <c r="A257" s="109" t="s">
        <v>200</v>
      </c>
      <c r="B257" s="120" t="s">
        <v>2220</v>
      </c>
      <c r="C257" s="120" t="s">
        <v>4400</v>
      </c>
      <c r="D257" s="120" t="s">
        <v>2955</v>
      </c>
      <c r="E257" s="164">
        <v>12</v>
      </c>
      <c r="F257" s="109" t="s">
        <v>200</v>
      </c>
      <c r="G257" s="109" t="s">
        <v>200</v>
      </c>
    </row>
    <row r="258" spans="1:7" ht="15.65" customHeight="1" x14ac:dyDescent="0.35">
      <c r="A258" s="109" t="s">
        <v>200</v>
      </c>
      <c r="B258" s="120" t="s">
        <v>2226</v>
      </c>
      <c r="C258" s="120" t="s">
        <v>4401</v>
      </c>
      <c r="D258" s="120" t="s">
        <v>287</v>
      </c>
      <c r="E258" s="164">
        <v>16</v>
      </c>
      <c r="F258" s="109" t="s">
        <v>200</v>
      </c>
      <c r="G258" s="109" t="s">
        <v>200</v>
      </c>
    </row>
    <row r="259" spans="1:7" ht="15.65" customHeight="1" x14ac:dyDescent="0.35">
      <c r="A259" s="109" t="s">
        <v>200</v>
      </c>
      <c r="B259" s="120" t="s">
        <v>2232</v>
      </c>
      <c r="C259" s="120" t="s">
        <v>2964</v>
      </c>
      <c r="D259" s="120" t="s">
        <v>4402</v>
      </c>
      <c r="E259" s="164">
        <v>15</v>
      </c>
      <c r="F259" s="109" t="s">
        <v>200</v>
      </c>
      <c r="G259" s="109" t="s">
        <v>200</v>
      </c>
    </row>
    <row r="260" spans="1:7" ht="15.65" customHeight="1" x14ac:dyDescent="0.35">
      <c r="A260" s="109" t="s">
        <v>200</v>
      </c>
      <c r="B260" s="120" t="s">
        <v>2239</v>
      </c>
      <c r="C260" s="120" t="s">
        <v>4403</v>
      </c>
      <c r="D260" s="120" t="s">
        <v>999</v>
      </c>
      <c r="E260" s="164">
        <v>4</v>
      </c>
      <c r="F260" s="109" t="s">
        <v>200</v>
      </c>
      <c r="G260" s="109" t="s">
        <v>200</v>
      </c>
    </row>
    <row r="261" spans="1:7" ht="15.65" customHeight="1" x14ac:dyDescent="0.35">
      <c r="A261" s="109" t="s">
        <v>200</v>
      </c>
      <c r="B261" s="120" t="s">
        <v>2247</v>
      </c>
      <c r="C261" s="120" t="s">
        <v>4404</v>
      </c>
      <c r="D261" s="120" t="s">
        <v>4357</v>
      </c>
      <c r="E261" s="164">
        <v>15</v>
      </c>
      <c r="F261" s="109" t="s">
        <v>200</v>
      </c>
      <c r="G261" s="109" t="s">
        <v>200</v>
      </c>
    </row>
    <row r="262" spans="1:7" ht="15.65" customHeight="1" x14ac:dyDescent="0.35">
      <c r="A262" s="109" t="s">
        <v>200</v>
      </c>
      <c r="B262" s="120" t="s">
        <v>2254</v>
      </c>
      <c r="C262" s="120" t="s">
        <v>4405</v>
      </c>
      <c r="D262" s="120" t="s">
        <v>4209</v>
      </c>
      <c r="E262" s="164">
        <v>14</v>
      </c>
      <c r="F262" s="109" t="s">
        <v>200</v>
      </c>
      <c r="G262" s="109" t="s">
        <v>200</v>
      </c>
    </row>
    <row r="263" spans="1:7" ht="15.65" customHeight="1" x14ac:dyDescent="0.35">
      <c r="A263" s="109" t="s">
        <v>200</v>
      </c>
      <c r="B263" s="120" t="s">
        <v>2259</v>
      </c>
      <c r="C263" s="120" t="s">
        <v>2964</v>
      </c>
      <c r="D263" s="120" t="s">
        <v>2580</v>
      </c>
      <c r="E263" s="164">
        <v>7</v>
      </c>
      <c r="F263" s="109" t="s">
        <v>200</v>
      </c>
      <c r="G263" s="109" t="s">
        <v>200</v>
      </c>
    </row>
    <row r="264" spans="1:7" ht="15.65" customHeight="1" x14ac:dyDescent="0.35">
      <c r="A264" s="109" t="s">
        <v>200</v>
      </c>
      <c r="B264" s="120" t="s">
        <v>2267</v>
      </c>
      <c r="C264" s="120" t="s">
        <v>624</v>
      </c>
      <c r="D264" s="120" t="s">
        <v>287</v>
      </c>
      <c r="E264" s="164">
        <v>16</v>
      </c>
      <c r="F264" s="109" t="s">
        <v>200</v>
      </c>
      <c r="G264" s="109" t="s">
        <v>200</v>
      </c>
    </row>
    <row r="265" spans="1:7" ht="15.65" customHeight="1" x14ac:dyDescent="0.35">
      <c r="A265" s="109" t="s">
        <v>200</v>
      </c>
      <c r="B265" s="120" t="s">
        <v>2275</v>
      </c>
      <c r="C265" s="120" t="s">
        <v>4406</v>
      </c>
      <c r="D265" s="120" t="s">
        <v>4290</v>
      </c>
      <c r="E265" s="164">
        <v>15</v>
      </c>
      <c r="F265" s="109" t="s">
        <v>200</v>
      </c>
      <c r="G265" s="109" t="s">
        <v>200</v>
      </c>
    </row>
    <row r="266" spans="1:7" ht="15.65" customHeight="1" x14ac:dyDescent="0.35">
      <c r="A266" s="109" t="s">
        <v>200</v>
      </c>
      <c r="B266" s="120" t="s">
        <v>2283</v>
      </c>
      <c r="C266" s="120" t="s">
        <v>4407</v>
      </c>
      <c r="D266" s="120" t="s">
        <v>4209</v>
      </c>
      <c r="E266" s="164">
        <v>14</v>
      </c>
      <c r="F266" s="109" t="s">
        <v>200</v>
      </c>
      <c r="G266" s="109" t="s">
        <v>200</v>
      </c>
    </row>
    <row r="267" spans="1:7" ht="15.65" customHeight="1" x14ac:dyDescent="0.35">
      <c r="A267" s="109" t="s">
        <v>200</v>
      </c>
      <c r="B267" s="120" t="s">
        <v>2289</v>
      </c>
      <c r="C267" s="120" t="s">
        <v>1602</v>
      </c>
      <c r="D267" s="120" t="s">
        <v>287</v>
      </c>
      <c r="E267" s="164">
        <v>16</v>
      </c>
      <c r="F267" s="109" t="s">
        <v>200</v>
      </c>
      <c r="G267" s="109" t="s">
        <v>200</v>
      </c>
    </row>
    <row r="268" spans="1:7" ht="15.65" customHeight="1" x14ac:dyDescent="0.35">
      <c r="A268" s="109" t="s">
        <v>200</v>
      </c>
      <c r="B268" s="120" t="s">
        <v>2294</v>
      </c>
      <c r="C268" s="120" t="s">
        <v>4408</v>
      </c>
      <c r="D268" s="120" t="s">
        <v>2967</v>
      </c>
      <c r="E268" s="164">
        <v>5</v>
      </c>
      <c r="F268" s="109" t="s">
        <v>200</v>
      </c>
      <c r="G268" s="109" t="s">
        <v>200</v>
      </c>
    </row>
    <row r="269" spans="1:7" ht="15.65" customHeight="1" x14ac:dyDescent="0.35">
      <c r="A269" s="109" t="s">
        <v>200</v>
      </c>
      <c r="B269" s="120" t="s">
        <v>2300</v>
      </c>
      <c r="C269" s="120" t="s">
        <v>3882</v>
      </c>
      <c r="D269" s="120" t="s">
        <v>1105</v>
      </c>
      <c r="E269" s="164">
        <v>1</v>
      </c>
      <c r="F269" s="109" t="s">
        <v>200</v>
      </c>
      <c r="G269" s="109" t="s">
        <v>200</v>
      </c>
    </row>
    <row r="270" spans="1:7" ht="15.65" customHeight="1" x14ac:dyDescent="0.35">
      <c r="A270" s="109" t="s">
        <v>200</v>
      </c>
      <c r="B270" s="120" t="s">
        <v>2306</v>
      </c>
      <c r="C270" s="120" t="s">
        <v>4409</v>
      </c>
      <c r="D270" s="120" t="s">
        <v>659</v>
      </c>
      <c r="E270" s="164">
        <v>13</v>
      </c>
      <c r="F270" s="109" t="s">
        <v>200</v>
      </c>
      <c r="G270" s="109" t="s">
        <v>200</v>
      </c>
    </row>
    <row r="271" spans="1:7" ht="15.65" customHeight="1" x14ac:dyDescent="0.35">
      <c r="A271" s="109" t="s">
        <v>200</v>
      </c>
      <c r="B271" s="120" t="s">
        <v>2311</v>
      </c>
      <c r="C271" s="120" t="s">
        <v>4410</v>
      </c>
      <c r="D271" s="120" t="s">
        <v>287</v>
      </c>
      <c r="E271" s="164">
        <v>16</v>
      </c>
      <c r="F271" s="109" t="s">
        <v>200</v>
      </c>
      <c r="G271" s="109" t="s">
        <v>200</v>
      </c>
    </row>
    <row r="272" spans="1:7" ht="15.65" customHeight="1" x14ac:dyDescent="0.35">
      <c r="A272" s="109" t="s">
        <v>200</v>
      </c>
      <c r="B272" s="120" t="s">
        <v>2317</v>
      </c>
      <c r="C272" s="120" t="s">
        <v>4396</v>
      </c>
      <c r="D272" s="120" t="s">
        <v>2955</v>
      </c>
      <c r="E272" s="164">
        <v>12</v>
      </c>
      <c r="F272" s="109" t="s">
        <v>200</v>
      </c>
      <c r="G272" s="109" t="s">
        <v>200</v>
      </c>
    </row>
    <row r="273" spans="1:7" ht="15.65" customHeight="1" x14ac:dyDescent="0.35">
      <c r="A273" s="109" t="s">
        <v>200</v>
      </c>
      <c r="B273" s="120" t="s">
        <v>2322</v>
      </c>
      <c r="C273" s="120" t="s">
        <v>4411</v>
      </c>
      <c r="D273" s="120" t="s">
        <v>4357</v>
      </c>
      <c r="E273" s="164">
        <v>15</v>
      </c>
      <c r="F273" s="109" t="s">
        <v>200</v>
      </c>
      <c r="G273" s="109" t="s">
        <v>200</v>
      </c>
    </row>
    <row r="274" spans="1:7" ht="15.65" customHeight="1" x14ac:dyDescent="0.35">
      <c r="A274" s="109" t="s">
        <v>200</v>
      </c>
      <c r="B274" s="120" t="s">
        <v>2332</v>
      </c>
      <c r="C274" s="120" t="s">
        <v>1890</v>
      </c>
      <c r="D274" s="120" t="s">
        <v>1891</v>
      </c>
      <c r="E274" s="164">
        <v>6</v>
      </c>
      <c r="F274" s="109" t="s">
        <v>200</v>
      </c>
      <c r="G274" s="109" t="s">
        <v>200</v>
      </c>
    </row>
    <row r="275" spans="1:7" ht="15.65" customHeight="1" x14ac:dyDescent="0.35">
      <c r="A275" s="109" t="s">
        <v>200</v>
      </c>
      <c r="B275" s="120" t="s">
        <v>2335</v>
      </c>
      <c r="C275" s="120" t="s">
        <v>1890</v>
      </c>
      <c r="D275" s="120" t="s">
        <v>1891</v>
      </c>
      <c r="E275" s="164">
        <v>6</v>
      </c>
      <c r="F275" s="109" t="s">
        <v>200</v>
      </c>
      <c r="G275" s="109" t="s">
        <v>200</v>
      </c>
    </row>
    <row r="276" spans="1:7" ht="15.65" customHeight="1" x14ac:dyDescent="0.35">
      <c r="A276" s="109" t="s">
        <v>200</v>
      </c>
      <c r="B276" s="120" t="s">
        <v>2337</v>
      </c>
      <c r="C276" s="120" t="s">
        <v>4412</v>
      </c>
      <c r="D276" s="120" t="s">
        <v>4209</v>
      </c>
      <c r="E276" s="164">
        <v>14</v>
      </c>
      <c r="F276" s="109" t="s">
        <v>200</v>
      </c>
      <c r="G276" s="109" t="s">
        <v>200</v>
      </c>
    </row>
    <row r="277" spans="1:7" ht="15.65" customHeight="1" x14ac:dyDescent="0.35">
      <c r="A277" s="109" t="s">
        <v>200</v>
      </c>
      <c r="B277" s="120" t="s">
        <v>2349</v>
      </c>
      <c r="C277" s="120" t="s">
        <v>4411</v>
      </c>
      <c r="D277" s="120" t="s">
        <v>4357</v>
      </c>
      <c r="E277" s="164">
        <v>15</v>
      </c>
      <c r="F277" s="109" t="s">
        <v>200</v>
      </c>
      <c r="G277" s="109" t="s">
        <v>200</v>
      </c>
    </row>
    <row r="278" spans="1:7" ht="15.65" customHeight="1" x14ac:dyDescent="0.35">
      <c r="A278" s="109" t="s">
        <v>200</v>
      </c>
      <c r="B278" s="120" t="s">
        <v>2366</v>
      </c>
      <c r="C278" s="120" t="s">
        <v>4366</v>
      </c>
      <c r="D278" s="120" t="s">
        <v>4295</v>
      </c>
      <c r="E278" s="164">
        <v>15</v>
      </c>
      <c r="F278" s="109" t="s">
        <v>200</v>
      </c>
      <c r="G278" s="109" t="s">
        <v>200</v>
      </c>
    </row>
    <row r="279" spans="1:7" ht="15.65" customHeight="1" x14ac:dyDescent="0.35">
      <c r="A279" s="109" t="s">
        <v>200</v>
      </c>
      <c r="B279" s="120" t="s">
        <v>2373</v>
      </c>
      <c r="C279" s="120" t="s">
        <v>4413</v>
      </c>
      <c r="D279" s="120" t="s">
        <v>188</v>
      </c>
      <c r="E279" s="164">
        <v>11</v>
      </c>
      <c r="F279" s="109" t="s">
        <v>200</v>
      </c>
      <c r="G279" s="109" t="s">
        <v>200</v>
      </c>
    </row>
    <row r="280" spans="1:7" ht="15.65" customHeight="1" x14ac:dyDescent="0.35">
      <c r="A280" s="109" t="s">
        <v>200</v>
      </c>
      <c r="B280" s="120" t="s">
        <v>2378</v>
      </c>
      <c r="C280" s="120" t="s">
        <v>4413</v>
      </c>
      <c r="D280" s="120" t="s">
        <v>188</v>
      </c>
      <c r="E280" s="164">
        <v>11</v>
      </c>
      <c r="F280" s="109" t="s">
        <v>200</v>
      </c>
      <c r="G280" s="109" t="s">
        <v>200</v>
      </c>
    </row>
    <row r="281" spans="1:7" ht="15.65" customHeight="1" x14ac:dyDescent="0.35">
      <c r="A281" s="109" t="s">
        <v>200</v>
      </c>
      <c r="B281" s="120" t="s">
        <v>2381</v>
      </c>
      <c r="C281" s="120" t="s">
        <v>4414</v>
      </c>
      <c r="D281" s="120" t="s">
        <v>4280</v>
      </c>
      <c r="E281" s="164">
        <v>15</v>
      </c>
      <c r="F281" s="109" t="s">
        <v>200</v>
      </c>
      <c r="G281" s="109" t="s">
        <v>200</v>
      </c>
    </row>
    <row r="282" spans="1:7" ht="15.65" customHeight="1" x14ac:dyDescent="0.35">
      <c r="A282" s="109" t="s">
        <v>200</v>
      </c>
      <c r="B282" s="120" t="s">
        <v>2387</v>
      </c>
      <c r="C282" s="120" t="s">
        <v>4415</v>
      </c>
      <c r="D282" s="120" t="s">
        <v>4402</v>
      </c>
      <c r="E282" s="164">
        <v>15</v>
      </c>
      <c r="F282" s="109" t="s">
        <v>200</v>
      </c>
      <c r="G282" s="109" t="s">
        <v>200</v>
      </c>
    </row>
    <row r="283" spans="1:7" ht="15.65" customHeight="1" x14ac:dyDescent="0.35">
      <c r="A283" s="109" t="s">
        <v>200</v>
      </c>
      <c r="B283" s="120" t="s">
        <v>2392</v>
      </c>
      <c r="C283" s="120" t="s">
        <v>4391</v>
      </c>
      <c r="D283" s="120" t="s">
        <v>287</v>
      </c>
      <c r="E283" s="164">
        <v>16</v>
      </c>
      <c r="F283" s="109" t="s">
        <v>200</v>
      </c>
      <c r="G283" s="109" t="s">
        <v>200</v>
      </c>
    </row>
    <row r="284" spans="1:7" ht="15.65" customHeight="1" x14ac:dyDescent="0.35">
      <c r="A284" s="109" t="s">
        <v>200</v>
      </c>
      <c r="B284" s="120" t="s">
        <v>2404</v>
      </c>
      <c r="C284" s="120" t="s">
        <v>2399</v>
      </c>
      <c r="D284" s="120" t="s">
        <v>188</v>
      </c>
      <c r="E284" s="164">
        <v>11</v>
      </c>
      <c r="F284" s="109" t="s">
        <v>200</v>
      </c>
      <c r="G284" s="109" t="s">
        <v>200</v>
      </c>
    </row>
    <row r="285" spans="1:7" ht="15.65" customHeight="1" x14ac:dyDescent="0.35">
      <c r="A285" s="109" t="s">
        <v>200</v>
      </c>
      <c r="B285" s="120" t="s">
        <v>2406</v>
      </c>
      <c r="C285" s="120" t="s">
        <v>4416</v>
      </c>
      <c r="D285" s="120" t="s">
        <v>188</v>
      </c>
      <c r="E285" s="164">
        <v>11</v>
      </c>
      <c r="F285" s="109" t="s">
        <v>200</v>
      </c>
      <c r="G285" s="109" t="s">
        <v>200</v>
      </c>
    </row>
    <row r="286" spans="1:7" ht="15.65" customHeight="1" x14ac:dyDescent="0.35">
      <c r="A286" s="109" t="s">
        <v>200</v>
      </c>
      <c r="B286" s="120" t="s">
        <v>2408</v>
      </c>
      <c r="C286" s="120" t="s">
        <v>4309</v>
      </c>
      <c r="D286" s="120" t="s">
        <v>2955</v>
      </c>
      <c r="E286" s="164">
        <v>12</v>
      </c>
      <c r="F286" s="109" t="s">
        <v>200</v>
      </c>
      <c r="G286" s="109" t="s">
        <v>200</v>
      </c>
    </row>
    <row r="287" spans="1:7" ht="15.65" customHeight="1" x14ac:dyDescent="0.35">
      <c r="A287" s="109" t="s">
        <v>200</v>
      </c>
      <c r="B287" s="120" t="s">
        <v>2413</v>
      </c>
      <c r="C287" s="120" t="s">
        <v>4417</v>
      </c>
      <c r="D287" s="120" t="s">
        <v>4280</v>
      </c>
      <c r="E287" s="164">
        <v>15</v>
      </c>
      <c r="F287" s="109" t="s">
        <v>200</v>
      </c>
      <c r="G287" s="109" t="s">
        <v>200</v>
      </c>
    </row>
    <row r="288" spans="1:7" ht="15.65" customHeight="1" x14ac:dyDescent="0.35">
      <c r="A288" s="109" t="s">
        <v>200</v>
      </c>
      <c r="B288" s="120" t="s">
        <v>2419</v>
      </c>
      <c r="C288" s="120" t="s">
        <v>4273</v>
      </c>
      <c r="D288" s="120" t="s">
        <v>659</v>
      </c>
      <c r="E288" s="164">
        <v>13</v>
      </c>
      <c r="F288" s="109" t="s">
        <v>200</v>
      </c>
      <c r="G288" s="109" t="s">
        <v>200</v>
      </c>
    </row>
    <row r="289" spans="1:7" ht="15.65" customHeight="1" x14ac:dyDescent="0.35">
      <c r="A289" s="109" t="s">
        <v>200</v>
      </c>
      <c r="B289" s="120" t="s">
        <v>2424</v>
      </c>
      <c r="C289" s="120" t="s">
        <v>4273</v>
      </c>
      <c r="D289" s="120" t="s">
        <v>659</v>
      </c>
      <c r="E289" s="164">
        <v>13</v>
      </c>
      <c r="F289" s="109" t="s">
        <v>200</v>
      </c>
      <c r="G289" s="109" t="s">
        <v>200</v>
      </c>
    </row>
    <row r="290" spans="1:7" ht="15.65" customHeight="1" x14ac:dyDescent="0.35">
      <c r="A290" s="109" t="s">
        <v>200</v>
      </c>
      <c r="B290" s="120" t="s">
        <v>2431</v>
      </c>
      <c r="C290" s="120" t="s">
        <v>2431</v>
      </c>
      <c r="D290" s="120" t="s">
        <v>287</v>
      </c>
      <c r="E290" s="164">
        <v>16</v>
      </c>
      <c r="F290" s="109" t="s">
        <v>200</v>
      </c>
      <c r="G290" s="109" t="s">
        <v>200</v>
      </c>
    </row>
    <row r="291" spans="1:7" ht="15.65" customHeight="1" x14ac:dyDescent="0.35">
      <c r="A291" s="109" t="s">
        <v>200</v>
      </c>
      <c r="B291" s="120" t="s">
        <v>2445</v>
      </c>
      <c r="C291" s="120" t="s">
        <v>4418</v>
      </c>
      <c r="D291" s="120" t="s">
        <v>188</v>
      </c>
      <c r="E291" s="164">
        <v>11</v>
      </c>
      <c r="F291" s="109" t="s">
        <v>200</v>
      </c>
      <c r="G291" s="109" t="s">
        <v>200</v>
      </c>
    </row>
    <row r="292" spans="1:7" ht="15.65" customHeight="1" x14ac:dyDescent="0.35">
      <c r="A292" s="109" t="s">
        <v>200</v>
      </c>
      <c r="B292" s="120" t="s">
        <v>2452</v>
      </c>
      <c r="C292" s="120" t="s">
        <v>4412</v>
      </c>
      <c r="D292" s="120" t="s">
        <v>4209</v>
      </c>
      <c r="E292" s="164">
        <v>14</v>
      </c>
      <c r="F292" s="109" t="s">
        <v>200</v>
      </c>
      <c r="G292" s="109" t="s">
        <v>200</v>
      </c>
    </row>
    <row r="293" spans="1:7" ht="15.65" customHeight="1" x14ac:dyDescent="0.35">
      <c r="A293" s="109" t="s">
        <v>200</v>
      </c>
      <c r="B293" s="120" t="s">
        <v>2457</v>
      </c>
      <c r="C293" s="120" t="s">
        <v>4412</v>
      </c>
      <c r="D293" s="120" t="s">
        <v>4209</v>
      </c>
      <c r="E293" s="164">
        <v>14</v>
      </c>
      <c r="F293" s="109" t="s">
        <v>200</v>
      </c>
      <c r="G293" s="109" t="s">
        <v>200</v>
      </c>
    </row>
    <row r="294" spans="1:7" ht="15.65" customHeight="1" x14ac:dyDescent="0.35">
      <c r="A294" s="109" t="s">
        <v>200</v>
      </c>
      <c r="B294" s="120" t="s">
        <v>2461</v>
      </c>
      <c r="C294" s="120" t="s">
        <v>4273</v>
      </c>
      <c r="D294" s="120" t="s">
        <v>659</v>
      </c>
      <c r="E294" s="164">
        <v>13</v>
      </c>
      <c r="F294" s="109" t="s">
        <v>200</v>
      </c>
      <c r="G294" s="109" t="s">
        <v>200</v>
      </c>
    </row>
    <row r="295" spans="1:7" ht="15.65" customHeight="1" x14ac:dyDescent="0.35">
      <c r="A295" s="109" t="s">
        <v>200</v>
      </c>
      <c r="B295" s="120" t="s">
        <v>2470</v>
      </c>
      <c r="C295" s="120" t="s">
        <v>2470</v>
      </c>
      <c r="D295" s="120" t="s">
        <v>2580</v>
      </c>
      <c r="E295" s="164">
        <v>7</v>
      </c>
      <c r="F295" s="109" t="s">
        <v>200</v>
      </c>
      <c r="G295" s="109" t="s">
        <v>200</v>
      </c>
    </row>
    <row r="296" spans="1:7" ht="15.65" customHeight="1" x14ac:dyDescent="0.35">
      <c r="A296" s="109" t="s">
        <v>200</v>
      </c>
      <c r="B296" s="120" t="s">
        <v>2475</v>
      </c>
      <c r="C296" s="120" t="s">
        <v>4300</v>
      </c>
      <c r="D296" s="120" t="s">
        <v>2955</v>
      </c>
      <c r="E296" s="164">
        <v>12</v>
      </c>
      <c r="F296" s="109" t="s">
        <v>200</v>
      </c>
      <c r="G296" s="109" t="s">
        <v>200</v>
      </c>
    </row>
    <row r="297" spans="1:7" ht="15.65" customHeight="1" x14ac:dyDescent="0.35">
      <c r="A297" s="109" t="s">
        <v>200</v>
      </c>
      <c r="B297" s="120" t="s">
        <v>2480</v>
      </c>
      <c r="C297" s="120" t="s">
        <v>4419</v>
      </c>
      <c r="D297" s="120" t="s">
        <v>1891</v>
      </c>
      <c r="E297" s="164">
        <v>6</v>
      </c>
      <c r="F297" s="109" t="s">
        <v>200</v>
      </c>
      <c r="G297" s="109" t="s">
        <v>200</v>
      </c>
    </row>
    <row r="298" spans="1:7" ht="15.65" customHeight="1" x14ac:dyDescent="0.35">
      <c r="A298" s="109" t="s">
        <v>200</v>
      </c>
      <c r="B298" s="120" t="s">
        <v>2485</v>
      </c>
      <c r="C298" s="120" t="s">
        <v>4274</v>
      </c>
      <c r="D298" s="120" t="s">
        <v>1891</v>
      </c>
      <c r="E298" s="164">
        <v>6</v>
      </c>
      <c r="F298" s="109" t="s">
        <v>200</v>
      </c>
      <c r="G298" s="109" t="s">
        <v>200</v>
      </c>
    </row>
    <row r="299" spans="1:7" ht="15.65" customHeight="1" x14ac:dyDescent="0.35">
      <c r="A299" s="109" t="s">
        <v>200</v>
      </c>
      <c r="B299" s="120" t="s">
        <v>2491</v>
      </c>
      <c r="C299" s="120" t="s">
        <v>4397</v>
      </c>
      <c r="D299" s="120" t="s">
        <v>4280</v>
      </c>
      <c r="E299" s="164">
        <v>15</v>
      </c>
      <c r="F299" s="109" t="s">
        <v>200</v>
      </c>
      <c r="G299" s="109" t="s">
        <v>200</v>
      </c>
    </row>
    <row r="300" spans="1:7" ht="15.65" customHeight="1" x14ac:dyDescent="0.35">
      <c r="A300" s="109" t="s">
        <v>200</v>
      </c>
      <c r="B300" s="120" t="s">
        <v>2496</v>
      </c>
      <c r="C300" s="120" t="s">
        <v>4420</v>
      </c>
      <c r="D300" s="120" t="s">
        <v>287</v>
      </c>
      <c r="E300" s="164">
        <v>16</v>
      </c>
      <c r="F300" s="109" t="s">
        <v>200</v>
      </c>
      <c r="G300" s="109" t="s">
        <v>200</v>
      </c>
    </row>
    <row r="301" spans="1:7" ht="15.65" customHeight="1" x14ac:dyDescent="0.35">
      <c r="A301" s="109" t="s">
        <v>200</v>
      </c>
      <c r="B301" s="120" t="s">
        <v>2506</v>
      </c>
      <c r="C301" s="120" t="s">
        <v>2506</v>
      </c>
      <c r="D301" s="120" t="s">
        <v>4280</v>
      </c>
      <c r="E301" s="164">
        <v>15</v>
      </c>
      <c r="F301" s="109" t="s">
        <v>200</v>
      </c>
      <c r="G301" s="109" t="s">
        <v>200</v>
      </c>
    </row>
    <row r="302" spans="1:7" ht="15.65" customHeight="1" x14ac:dyDescent="0.35">
      <c r="A302" s="109" t="s">
        <v>200</v>
      </c>
      <c r="B302" s="120" t="s">
        <v>2519</v>
      </c>
      <c r="C302" s="120" t="s">
        <v>4406</v>
      </c>
      <c r="D302" s="120" t="s">
        <v>4290</v>
      </c>
      <c r="E302" s="164">
        <v>15</v>
      </c>
      <c r="F302" s="109" t="s">
        <v>200</v>
      </c>
      <c r="G302" s="109" t="s">
        <v>200</v>
      </c>
    </row>
    <row r="303" spans="1:7" ht="15.65" customHeight="1" x14ac:dyDescent="0.35">
      <c r="A303" s="109" t="s">
        <v>200</v>
      </c>
      <c r="B303" s="120" t="s">
        <v>2524</v>
      </c>
      <c r="C303" s="120" t="s">
        <v>624</v>
      </c>
      <c r="D303" s="120" t="s">
        <v>287</v>
      </c>
      <c r="E303" s="164">
        <v>16</v>
      </c>
      <c r="F303" s="109" t="s">
        <v>200</v>
      </c>
      <c r="G303" s="109" t="s">
        <v>200</v>
      </c>
    </row>
    <row r="304" spans="1:7" ht="15.65" customHeight="1" x14ac:dyDescent="0.35">
      <c r="A304" s="109" t="s">
        <v>200</v>
      </c>
      <c r="B304" s="120" t="s">
        <v>2530</v>
      </c>
      <c r="C304" s="120" t="s">
        <v>4421</v>
      </c>
      <c r="D304" s="120" t="s">
        <v>4306</v>
      </c>
      <c r="E304" s="164">
        <v>15</v>
      </c>
      <c r="F304" s="109" t="s">
        <v>200</v>
      </c>
      <c r="G304" s="109" t="s">
        <v>200</v>
      </c>
    </row>
    <row r="305" spans="1:7" ht="15.65" customHeight="1" x14ac:dyDescent="0.35">
      <c r="A305" s="109" t="s">
        <v>200</v>
      </c>
      <c r="B305" s="120" t="s">
        <v>2535</v>
      </c>
      <c r="C305" s="120" t="s">
        <v>4377</v>
      </c>
      <c r="D305" s="120" t="s">
        <v>2955</v>
      </c>
      <c r="E305" s="164">
        <v>12</v>
      </c>
      <c r="F305" s="109" t="s">
        <v>200</v>
      </c>
      <c r="G305" s="109" t="s">
        <v>200</v>
      </c>
    </row>
    <row r="306" spans="1:7" ht="15.65" customHeight="1" x14ac:dyDescent="0.35">
      <c r="A306" s="109" t="s">
        <v>200</v>
      </c>
      <c r="B306" s="120" t="s">
        <v>2542</v>
      </c>
      <c r="C306" s="120" t="s">
        <v>624</v>
      </c>
      <c r="D306" s="120" t="s">
        <v>287</v>
      </c>
      <c r="E306" s="164">
        <v>16</v>
      </c>
      <c r="F306" s="109" t="s">
        <v>200</v>
      </c>
      <c r="G306" s="109" t="s">
        <v>200</v>
      </c>
    </row>
    <row r="307" spans="1:7" ht="15.65" customHeight="1" x14ac:dyDescent="0.35">
      <c r="A307" s="109" t="s">
        <v>200</v>
      </c>
      <c r="B307" s="120" t="s">
        <v>2551</v>
      </c>
      <c r="C307" s="120" t="s">
        <v>4271</v>
      </c>
      <c r="D307" s="120" t="s">
        <v>2955</v>
      </c>
      <c r="E307" s="164">
        <v>12</v>
      </c>
      <c r="F307" s="109" t="s">
        <v>200</v>
      </c>
      <c r="G307" s="109" t="s">
        <v>200</v>
      </c>
    </row>
    <row r="308" spans="1:7" ht="15.65" customHeight="1" x14ac:dyDescent="0.35">
      <c r="A308" s="109" t="s">
        <v>200</v>
      </c>
      <c r="B308" s="120" t="s">
        <v>2557</v>
      </c>
      <c r="C308" s="120" t="s">
        <v>4366</v>
      </c>
      <c r="D308" s="120" t="s">
        <v>4295</v>
      </c>
      <c r="E308" s="164">
        <v>15</v>
      </c>
      <c r="F308" s="109" t="s">
        <v>200</v>
      </c>
      <c r="G308" s="109" t="s">
        <v>200</v>
      </c>
    </row>
    <row r="309" spans="1:7" ht="15.65" customHeight="1" x14ac:dyDescent="0.35">
      <c r="A309" s="109" t="s">
        <v>200</v>
      </c>
      <c r="B309" s="120" t="s">
        <v>2562</v>
      </c>
      <c r="C309" s="120" t="s">
        <v>817</v>
      </c>
      <c r="D309" s="120" t="s">
        <v>659</v>
      </c>
      <c r="E309" s="164">
        <v>13</v>
      </c>
      <c r="F309" s="109" t="s">
        <v>200</v>
      </c>
      <c r="G309" s="109" t="s">
        <v>200</v>
      </c>
    </row>
    <row r="310" spans="1:7" ht="15.65" customHeight="1" x14ac:dyDescent="0.35">
      <c r="A310" s="109" t="s">
        <v>200</v>
      </c>
      <c r="B310" s="120" t="s">
        <v>2568</v>
      </c>
      <c r="C310" s="120" t="s">
        <v>4422</v>
      </c>
      <c r="D310" s="120" t="s">
        <v>2580</v>
      </c>
      <c r="E310" s="164">
        <v>7</v>
      </c>
      <c r="F310" s="109" t="s">
        <v>200</v>
      </c>
      <c r="G310" s="109" t="s">
        <v>200</v>
      </c>
    </row>
    <row r="311" spans="1:7" ht="15.65" customHeight="1" x14ac:dyDescent="0.35">
      <c r="A311" s="109" t="s">
        <v>200</v>
      </c>
      <c r="B311" s="120" t="s">
        <v>2574</v>
      </c>
      <c r="C311" s="120" t="s">
        <v>4284</v>
      </c>
      <c r="D311" s="120" t="s">
        <v>315</v>
      </c>
      <c r="E311" s="164">
        <v>6</v>
      </c>
      <c r="F311" s="109" t="s">
        <v>200</v>
      </c>
      <c r="G311" s="109" t="s">
        <v>200</v>
      </c>
    </row>
    <row r="312" spans="1:7" ht="15.65" customHeight="1" x14ac:dyDescent="0.35">
      <c r="A312" s="109" t="s">
        <v>200</v>
      </c>
      <c r="B312" s="120" t="s">
        <v>2587</v>
      </c>
      <c r="C312" s="120" t="s">
        <v>2579</v>
      </c>
      <c r="D312" s="120" t="s">
        <v>2580</v>
      </c>
      <c r="E312" s="164">
        <v>7</v>
      </c>
      <c r="F312" s="109" t="s">
        <v>200</v>
      </c>
      <c r="G312" s="109" t="s">
        <v>200</v>
      </c>
    </row>
    <row r="313" spans="1:7" ht="15.65" customHeight="1" x14ac:dyDescent="0.35">
      <c r="A313" s="109" t="s">
        <v>200</v>
      </c>
      <c r="B313" s="120" t="s">
        <v>2589</v>
      </c>
      <c r="C313" s="120" t="s">
        <v>2579</v>
      </c>
      <c r="D313" s="120" t="s">
        <v>2580</v>
      </c>
      <c r="E313" s="164">
        <v>7</v>
      </c>
      <c r="F313" s="109" t="s">
        <v>200</v>
      </c>
      <c r="G313" s="109" t="s">
        <v>200</v>
      </c>
    </row>
    <row r="314" spans="1:7" ht="15.65" customHeight="1" x14ac:dyDescent="0.35">
      <c r="A314" s="109" t="s">
        <v>200</v>
      </c>
      <c r="B314" s="120" t="s">
        <v>2591</v>
      </c>
      <c r="C314" s="120" t="s">
        <v>4423</v>
      </c>
      <c r="D314" s="120" t="s">
        <v>4201</v>
      </c>
      <c r="E314" s="164">
        <v>2</v>
      </c>
      <c r="F314" s="109" t="s">
        <v>200</v>
      </c>
      <c r="G314" s="109" t="s">
        <v>200</v>
      </c>
    </row>
    <row r="315" spans="1:7" ht="15.65" customHeight="1" x14ac:dyDescent="0.35">
      <c r="A315" s="109" t="s">
        <v>200</v>
      </c>
      <c r="B315" s="120" t="s">
        <v>2597</v>
      </c>
      <c r="C315" s="120" t="s">
        <v>4424</v>
      </c>
      <c r="D315" s="120" t="s">
        <v>2955</v>
      </c>
      <c r="E315" s="164">
        <v>12</v>
      </c>
      <c r="F315" s="109" t="s">
        <v>200</v>
      </c>
      <c r="G315" s="109" t="s">
        <v>200</v>
      </c>
    </row>
    <row r="316" spans="1:7" ht="15.65" customHeight="1" x14ac:dyDescent="0.35">
      <c r="A316" s="109" t="s">
        <v>200</v>
      </c>
      <c r="B316" s="120" t="s">
        <v>2606</v>
      </c>
      <c r="C316" s="120" t="s">
        <v>4425</v>
      </c>
      <c r="D316" s="120" t="s">
        <v>2955</v>
      </c>
      <c r="E316" s="164">
        <v>12</v>
      </c>
      <c r="F316" s="109" t="s">
        <v>200</v>
      </c>
      <c r="G316" s="109" t="s">
        <v>200</v>
      </c>
    </row>
    <row r="317" spans="1:7" ht="15.65" customHeight="1" x14ac:dyDescent="0.35">
      <c r="A317" s="109" t="s">
        <v>200</v>
      </c>
      <c r="B317" s="120" t="s">
        <v>2612</v>
      </c>
      <c r="C317" s="120" t="s">
        <v>2579</v>
      </c>
      <c r="D317" s="120" t="s">
        <v>2580</v>
      </c>
      <c r="E317" s="164">
        <v>7</v>
      </c>
      <c r="F317" s="109" t="s">
        <v>200</v>
      </c>
      <c r="G317" s="109" t="s">
        <v>200</v>
      </c>
    </row>
    <row r="318" spans="1:7" ht="15.65" customHeight="1" x14ac:dyDescent="0.35">
      <c r="A318" s="109" t="s">
        <v>200</v>
      </c>
      <c r="B318" s="120" t="s">
        <v>2618</v>
      </c>
      <c r="C318" s="120" t="s">
        <v>4273</v>
      </c>
      <c r="D318" s="120" t="s">
        <v>659</v>
      </c>
      <c r="E318" s="164">
        <v>13</v>
      </c>
      <c r="F318" s="109" t="s">
        <v>200</v>
      </c>
      <c r="G318" s="109" t="s">
        <v>200</v>
      </c>
    </row>
    <row r="319" spans="1:7" ht="15.65" customHeight="1" x14ac:dyDescent="0.35">
      <c r="A319" s="109" t="s">
        <v>200</v>
      </c>
      <c r="B319" s="120" t="s">
        <v>2630</v>
      </c>
      <c r="C319" s="120" t="s">
        <v>2630</v>
      </c>
      <c r="D319" s="120" t="s">
        <v>999</v>
      </c>
      <c r="E319" s="164">
        <v>4</v>
      </c>
      <c r="F319" s="109" t="s">
        <v>200</v>
      </c>
      <c r="G319" s="109" t="s">
        <v>200</v>
      </c>
    </row>
    <row r="320" spans="1:7" ht="15.65" customHeight="1" x14ac:dyDescent="0.35">
      <c r="A320" s="109" t="s">
        <v>200</v>
      </c>
      <c r="B320" s="120" t="s">
        <v>2632</v>
      </c>
      <c r="C320" s="120" t="s">
        <v>4426</v>
      </c>
      <c r="D320" s="120" t="s">
        <v>4209</v>
      </c>
      <c r="E320" s="164">
        <v>14</v>
      </c>
      <c r="F320" s="109" t="s">
        <v>200</v>
      </c>
      <c r="G320" s="109" t="s">
        <v>200</v>
      </c>
    </row>
    <row r="321" spans="1:7" ht="15.65" customHeight="1" x14ac:dyDescent="0.35">
      <c r="A321" s="109" t="s">
        <v>200</v>
      </c>
      <c r="B321" s="120" t="s">
        <v>2635</v>
      </c>
      <c r="C321" s="120" t="s">
        <v>2635</v>
      </c>
      <c r="D321" s="120" t="s">
        <v>2580</v>
      </c>
      <c r="E321" s="164">
        <v>7</v>
      </c>
      <c r="F321" s="109" t="s">
        <v>200</v>
      </c>
      <c r="G321" s="109" t="s">
        <v>200</v>
      </c>
    </row>
    <row r="322" spans="1:7" ht="15.65" customHeight="1" x14ac:dyDescent="0.35">
      <c r="A322" s="109" t="s">
        <v>200</v>
      </c>
      <c r="B322" s="120" t="s">
        <v>2637</v>
      </c>
      <c r="C322" s="120" t="s">
        <v>2637</v>
      </c>
      <c r="D322" s="120" t="s">
        <v>2967</v>
      </c>
      <c r="E322" s="164">
        <v>5</v>
      </c>
      <c r="F322" s="109" t="s">
        <v>200</v>
      </c>
      <c r="G322" s="109" t="s">
        <v>200</v>
      </c>
    </row>
    <row r="323" spans="1:7" ht="15.65" customHeight="1" x14ac:dyDescent="0.35">
      <c r="A323" s="109" t="s">
        <v>200</v>
      </c>
      <c r="B323" s="120" t="s">
        <v>2639</v>
      </c>
      <c r="C323" s="120" t="s">
        <v>4427</v>
      </c>
      <c r="D323" s="120" t="s">
        <v>4201</v>
      </c>
      <c r="E323" s="164">
        <v>2</v>
      </c>
      <c r="F323" s="109" t="s">
        <v>200</v>
      </c>
      <c r="G323" s="109" t="s">
        <v>200</v>
      </c>
    </row>
    <row r="324" spans="1:7" ht="15.65" customHeight="1" x14ac:dyDescent="0.35">
      <c r="A324" s="109" t="s">
        <v>200</v>
      </c>
      <c r="B324" s="120" t="s">
        <v>2647</v>
      </c>
      <c r="C324" s="120" t="s">
        <v>4428</v>
      </c>
      <c r="D324" s="120" t="s">
        <v>287</v>
      </c>
      <c r="E324" s="164">
        <v>16</v>
      </c>
      <c r="F324" s="109" t="s">
        <v>200</v>
      </c>
      <c r="G324" s="109" t="s">
        <v>200</v>
      </c>
    </row>
    <row r="325" spans="1:7" ht="15.65" customHeight="1" x14ac:dyDescent="0.35">
      <c r="A325" s="109" t="s">
        <v>200</v>
      </c>
      <c r="B325" s="120" t="s">
        <v>2653</v>
      </c>
      <c r="C325" s="120" t="s">
        <v>4331</v>
      </c>
      <c r="D325" s="120" t="s">
        <v>3376</v>
      </c>
      <c r="E325" s="164">
        <v>3</v>
      </c>
      <c r="F325" s="109" t="s">
        <v>200</v>
      </c>
      <c r="G325" s="109" t="s">
        <v>200</v>
      </c>
    </row>
    <row r="326" spans="1:7" ht="15.65" customHeight="1" x14ac:dyDescent="0.35">
      <c r="A326" s="109" t="s">
        <v>200</v>
      </c>
      <c r="B326" s="120" t="s">
        <v>2659</v>
      </c>
      <c r="C326" s="120" t="s">
        <v>4429</v>
      </c>
      <c r="D326" s="120" t="s">
        <v>1311</v>
      </c>
      <c r="E326" s="164">
        <v>8</v>
      </c>
      <c r="F326" s="109" t="s">
        <v>200</v>
      </c>
      <c r="G326" s="109" t="s">
        <v>200</v>
      </c>
    </row>
    <row r="327" spans="1:7" ht="15.65" customHeight="1" x14ac:dyDescent="0.35">
      <c r="A327" s="109" t="s">
        <v>200</v>
      </c>
      <c r="B327" s="120" t="s">
        <v>2669</v>
      </c>
      <c r="C327" s="120" t="s">
        <v>4366</v>
      </c>
      <c r="D327" s="120" t="s">
        <v>4295</v>
      </c>
      <c r="E327" s="164">
        <v>15</v>
      </c>
      <c r="F327" s="109" t="s">
        <v>200</v>
      </c>
      <c r="G327" s="109" t="s">
        <v>200</v>
      </c>
    </row>
    <row r="328" spans="1:7" ht="15.65" customHeight="1" x14ac:dyDescent="0.35">
      <c r="A328" s="109" t="s">
        <v>200</v>
      </c>
      <c r="B328" s="120" t="s">
        <v>2675</v>
      </c>
      <c r="C328" s="120" t="s">
        <v>4430</v>
      </c>
      <c r="D328" s="120" t="s">
        <v>4209</v>
      </c>
      <c r="E328" s="164">
        <v>14</v>
      </c>
      <c r="F328" s="109" t="s">
        <v>200</v>
      </c>
      <c r="G328" s="109" t="s">
        <v>200</v>
      </c>
    </row>
    <row r="329" spans="1:7" ht="15.65" customHeight="1" x14ac:dyDescent="0.35">
      <c r="A329" s="109" t="s">
        <v>200</v>
      </c>
      <c r="B329" s="120" t="s">
        <v>2683</v>
      </c>
      <c r="C329" s="120" t="s">
        <v>4391</v>
      </c>
      <c r="D329" s="120" t="s">
        <v>287</v>
      </c>
      <c r="E329" s="164">
        <v>16</v>
      </c>
      <c r="F329" s="109" t="s">
        <v>200</v>
      </c>
      <c r="G329" s="109" t="s">
        <v>200</v>
      </c>
    </row>
    <row r="330" spans="1:7" ht="15.65" customHeight="1" x14ac:dyDescent="0.35">
      <c r="A330" s="109" t="s">
        <v>200</v>
      </c>
      <c r="B330" s="120" t="s">
        <v>2689</v>
      </c>
      <c r="C330" s="120" t="s">
        <v>4431</v>
      </c>
      <c r="D330" s="120" t="s">
        <v>2955</v>
      </c>
      <c r="E330" s="164">
        <v>12</v>
      </c>
      <c r="F330" s="109" t="s">
        <v>200</v>
      </c>
      <c r="G330" s="109" t="s">
        <v>200</v>
      </c>
    </row>
    <row r="331" spans="1:7" ht="15.65" customHeight="1" x14ac:dyDescent="0.35">
      <c r="A331" s="109" t="s">
        <v>200</v>
      </c>
      <c r="B331" s="120" t="s">
        <v>2699</v>
      </c>
      <c r="C331" s="120" t="s">
        <v>2699</v>
      </c>
      <c r="D331" s="120" t="s">
        <v>2967</v>
      </c>
      <c r="E331" s="164">
        <v>5</v>
      </c>
      <c r="F331" s="109" t="s">
        <v>200</v>
      </c>
      <c r="G331" s="109" t="s">
        <v>200</v>
      </c>
    </row>
    <row r="332" spans="1:7" ht="15.65" customHeight="1" x14ac:dyDescent="0.35">
      <c r="A332" s="109" t="s">
        <v>200</v>
      </c>
      <c r="B332" s="120" t="s">
        <v>2701</v>
      </c>
      <c r="C332" s="120" t="s">
        <v>3366</v>
      </c>
      <c r="D332" s="120" t="s">
        <v>1311</v>
      </c>
      <c r="E332" s="164">
        <v>8</v>
      </c>
      <c r="F332" s="109" t="s">
        <v>200</v>
      </c>
      <c r="G332" s="109" t="s">
        <v>200</v>
      </c>
    </row>
    <row r="333" spans="1:7" ht="15.65" customHeight="1" x14ac:dyDescent="0.35">
      <c r="A333" s="109" t="s">
        <v>200</v>
      </c>
      <c r="B333" s="120" t="s">
        <v>2703</v>
      </c>
      <c r="C333" s="120" t="s">
        <v>4273</v>
      </c>
      <c r="D333" s="120" t="s">
        <v>659</v>
      </c>
      <c r="E333" s="164">
        <v>13</v>
      </c>
      <c r="F333" s="109" t="s">
        <v>200</v>
      </c>
      <c r="G333" s="109" t="s">
        <v>200</v>
      </c>
    </row>
    <row r="334" spans="1:7" ht="15.65" customHeight="1" x14ac:dyDescent="0.35">
      <c r="A334" s="109" t="s">
        <v>200</v>
      </c>
      <c r="B334" s="120" t="s">
        <v>2711</v>
      </c>
      <c r="C334" s="120" t="s">
        <v>4348</v>
      </c>
      <c r="D334" s="120" t="s">
        <v>4209</v>
      </c>
      <c r="E334" s="164">
        <v>14</v>
      </c>
      <c r="F334" s="109" t="s">
        <v>200</v>
      </c>
      <c r="G334" s="109" t="s">
        <v>200</v>
      </c>
    </row>
    <row r="335" spans="1:7" ht="15.65" customHeight="1" x14ac:dyDescent="0.35">
      <c r="A335" s="109" t="s">
        <v>200</v>
      </c>
      <c r="B335" s="120" t="s">
        <v>2715</v>
      </c>
      <c r="C335" s="120" t="s">
        <v>4432</v>
      </c>
      <c r="D335" s="120" t="s">
        <v>1105</v>
      </c>
      <c r="E335" s="164">
        <v>1</v>
      </c>
      <c r="F335" s="109" t="s">
        <v>200</v>
      </c>
      <c r="G335" s="109" t="s">
        <v>200</v>
      </c>
    </row>
    <row r="336" spans="1:7" ht="15.65" customHeight="1" x14ac:dyDescent="0.35">
      <c r="A336" s="109" t="s">
        <v>200</v>
      </c>
      <c r="B336" s="120" t="s">
        <v>2719</v>
      </c>
      <c r="C336" s="120" t="s">
        <v>4433</v>
      </c>
      <c r="D336" s="120" t="s">
        <v>2955</v>
      </c>
      <c r="E336" s="164">
        <v>12</v>
      </c>
      <c r="F336" s="109" t="s">
        <v>200</v>
      </c>
      <c r="G336" s="109" t="s">
        <v>200</v>
      </c>
    </row>
    <row r="337" spans="1:7" ht="15.65" customHeight="1" x14ac:dyDescent="0.35">
      <c r="A337" s="109" t="s">
        <v>200</v>
      </c>
      <c r="B337" s="120" t="s">
        <v>2726</v>
      </c>
      <c r="C337" s="120" t="s">
        <v>4434</v>
      </c>
      <c r="D337" s="120" t="s">
        <v>4295</v>
      </c>
      <c r="E337" s="164">
        <v>15</v>
      </c>
      <c r="F337" s="109" t="s">
        <v>200</v>
      </c>
      <c r="G337" s="109" t="s">
        <v>200</v>
      </c>
    </row>
    <row r="338" spans="1:7" ht="15.65" customHeight="1" x14ac:dyDescent="0.35">
      <c r="A338" s="109" t="s">
        <v>200</v>
      </c>
      <c r="B338" s="120" t="s">
        <v>2733</v>
      </c>
      <c r="C338" s="120" t="s">
        <v>4435</v>
      </c>
      <c r="D338" s="120" t="s">
        <v>4280</v>
      </c>
      <c r="E338" s="164">
        <v>15</v>
      </c>
      <c r="F338" s="109" t="s">
        <v>200</v>
      </c>
      <c r="G338" s="109" t="s">
        <v>200</v>
      </c>
    </row>
    <row r="339" spans="1:7" ht="15.65" customHeight="1" x14ac:dyDescent="0.35">
      <c r="A339" s="109" t="s">
        <v>200</v>
      </c>
      <c r="B339" s="120" t="s">
        <v>2740</v>
      </c>
      <c r="C339" s="120" t="s">
        <v>3366</v>
      </c>
      <c r="D339" s="120" t="s">
        <v>1311</v>
      </c>
      <c r="E339" s="164">
        <v>8</v>
      </c>
      <c r="F339" s="109" t="s">
        <v>200</v>
      </c>
      <c r="G339" s="109" t="s">
        <v>200</v>
      </c>
    </row>
    <row r="340" spans="1:7" ht="15.65" customHeight="1" x14ac:dyDescent="0.35">
      <c r="A340" s="109" t="s">
        <v>200</v>
      </c>
      <c r="B340" s="120" t="s">
        <v>2753</v>
      </c>
      <c r="C340" s="120" t="s">
        <v>4436</v>
      </c>
      <c r="D340" s="120" t="s">
        <v>2955</v>
      </c>
      <c r="E340" s="164">
        <v>12</v>
      </c>
      <c r="F340" s="109" t="s">
        <v>200</v>
      </c>
      <c r="G340" s="109" t="s">
        <v>200</v>
      </c>
    </row>
    <row r="341" spans="1:7" ht="15.65" customHeight="1" x14ac:dyDescent="0.35">
      <c r="A341" s="109" t="s">
        <v>200</v>
      </c>
      <c r="B341" s="120" t="s">
        <v>2757</v>
      </c>
      <c r="C341" s="120" t="s">
        <v>624</v>
      </c>
      <c r="D341" s="120" t="s">
        <v>287</v>
      </c>
      <c r="E341" s="164">
        <v>16</v>
      </c>
      <c r="F341" s="109" t="s">
        <v>200</v>
      </c>
      <c r="G341" s="109" t="s">
        <v>200</v>
      </c>
    </row>
    <row r="342" spans="1:7" ht="15.65" customHeight="1" x14ac:dyDescent="0.35">
      <c r="A342" s="109" t="s">
        <v>200</v>
      </c>
      <c r="B342" s="120" t="s">
        <v>2768</v>
      </c>
      <c r="C342" s="120" t="s">
        <v>2768</v>
      </c>
      <c r="D342" s="120" t="s">
        <v>287</v>
      </c>
      <c r="E342" s="164">
        <v>16</v>
      </c>
      <c r="F342" s="109" t="s">
        <v>200</v>
      </c>
      <c r="G342" s="109" t="s">
        <v>200</v>
      </c>
    </row>
    <row r="343" spans="1:7" ht="15.65" customHeight="1" x14ac:dyDescent="0.35">
      <c r="A343" s="109" t="s">
        <v>200</v>
      </c>
      <c r="B343" s="120" t="s">
        <v>2796</v>
      </c>
      <c r="C343" s="120" t="s">
        <v>4273</v>
      </c>
      <c r="D343" s="120" t="s">
        <v>659</v>
      </c>
      <c r="E343" s="164">
        <v>13</v>
      </c>
      <c r="F343" s="109" t="s">
        <v>200</v>
      </c>
      <c r="G343" s="109" t="s">
        <v>200</v>
      </c>
    </row>
    <row r="344" spans="1:7" ht="15.65" customHeight="1" x14ac:dyDescent="0.35">
      <c r="A344" s="109" t="s">
        <v>200</v>
      </c>
      <c r="B344" s="120" t="s">
        <v>2802</v>
      </c>
      <c r="C344" s="120" t="s">
        <v>4437</v>
      </c>
      <c r="D344" s="120" t="s">
        <v>1891</v>
      </c>
      <c r="E344" s="164">
        <v>6</v>
      </c>
      <c r="F344" s="109" t="s">
        <v>200</v>
      </c>
      <c r="G344" s="109" t="s">
        <v>200</v>
      </c>
    </row>
    <row r="345" spans="1:7" ht="15.65" customHeight="1" x14ac:dyDescent="0.35">
      <c r="A345" s="109" t="s">
        <v>200</v>
      </c>
      <c r="B345" s="120" t="s">
        <v>2812</v>
      </c>
      <c r="C345" s="120" t="s">
        <v>4438</v>
      </c>
      <c r="D345" s="120" t="s">
        <v>2955</v>
      </c>
      <c r="E345" s="164">
        <v>12</v>
      </c>
      <c r="F345" s="109" t="s">
        <v>200</v>
      </c>
      <c r="G345" s="109" t="s">
        <v>200</v>
      </c>
    </row>
    <row r="346" spans="1:7" ht="15.65" customHeight="1" x14ac:dyDescent="0.35">
      <c r="A346" s="109" t="s">
        <v>200</v>
      </c>
      <c r="B346" s="120" t="s">
        <v>2822</v>
      </c>
      <c r="C346" s="120" t="s">
        <v>4279</v>
      </c>
      <c r="D346" s="120" t="s">
        <v>4280</v>
      </c>
      <c r="E346" s="164">
        <v>15</v>
      </c>
      <c r="F346" s="109" t="s">
        <v>200</v>
      </c>
      <c r="G346" s="109" t="s">
        <v>200</v>
      </c>
    </row>
    <row r="347" spans="1:7" ht="15.65" customHeight="1" x14ac:dyDescent="0.35">
      <c r="A347" s="109" t="s">
        <v>200</v>
      </c>
      <c r="B347" s="120" t="s">
        <v>2829</v>
      </c>
      <c r="C347" s="120" t="s">
        <v>4439</v>
      </c>
      <c r="D347" s="120" t="s">
        <v>999</v>
      </c>
      <c r="E347" s="164">
        <v>4</v>
      </c>
      <c r="F347" s="109" t="s">
        <v>200</v>
      </c>
      <c r="G347" s="109" t="s">
        <v>200</v>
      </c>
    </row>
    <row r="348" spans="1:7" ht="15.65" customHeight="1" x14ac:dyDescent="0.35">
      <c r="A348" s="109" t="s">
        <v>200</v>
      </c>
      <c r="B348" s="120" t="s">
        <v>2834</v>
      </c>
      <c r="C348" s="120" t="s">
        <v>4440</v>
      </c>
      <c r="D348" s="120" t="s">
        <v>4201</v>
      </c>
      <c r="E348" s="164">
        <v>2</v>
      </c>
      <c r="F348" s="109" t="s">
        <v>200</v>
      </c>
      <c r="G348" s="109" t="s">
        <v>200</v>
      </c>
    </row>
    <row r="349" spans="1:7" ht="15.65" customHeight="1" x14ac:dyDescent="0.35">
      <c r="A349" s="109" t="s">
        <v>200</v>
      </c>
      <c r="B349" s="120" t="s">
        <v>2839</v>
      </c>
      <c r="C349" s="120" t="s">
        <v>2839</v>
      </c>
      <c r="D349" s="120" t="s">
        <v>2580</v>
      </c>
      <c r="E349" s="164">
        <v>7</v>
      </c>
      <c r="F349" s="109" t="s">
        <v>200</v>
      </c>
      <c r="G349" s="109" t="s">
        <v>200</v>
      </c>
    </row>
    <row r="350" spans="1:7" ht="15.65" customHeight="1" x14ac:dyDescent="0.35">
      <c r="A350" s="109" t="s">
        <v>200</v>
      </c>
      <c r="B350" s="120" t="s">
        <v>2844</v>
      </c>
      <c r="C350" s="120" t="s">
        <v>4441</v>
      </c>
      <c r="D350" s="120" t="s">
        <v>287</v>
      </c>
      <c r="E350" s="164">
        <v>16</v>
      </c>
      <c r="F350" s="109" t="s">
        <v>200</v>
      </c>
      <c r="G350" s="109" t="s">
        <v>200</v>
      </c>
    </row>
    <row r="351" spans="1:7" ht="15.65" customHeight="1" x14ac:dyDescent="0.35">
      <c r="A351" s="109" t="s">
        <v>200</v>
      </c>
      <c r="B351" s="120" t="s">
        <v>2850</v>
      </c>
      <c r="C351" s="120" t="s">
        <v>4336</v>
      </c>
      <c r="D351" s="120" t="s">
        <v>608</v>
      </c>
      <c r="E351" s="164">
        <v>10</v>
      </c>
      <c r="F351" s="109" t="s">
        <v>200</v>
      </c>
      <c r="G351" s="109" t="s">
        <v>200</v>
      </c>
    </row>
    <row r="352" spans="1:7" ht="15.65" customHeight="1" x14ac:dyDescent="0.35">
      <c r="A352" s="109" t="s">
        <v>200</v>
      </c>
      <c r="B352" s="120" t="s">
        <v>2579</v>
      </c>
      <c r="C352" s="120" t="s">
        <v>2579</v>
      </c>
      <c r="D352" s="120" t="s">
        <v>2580</v>
      </c>
      <c r="E352" s="164">
        <v>7</v>
      </c>
      <c r="F352" s="109" t="s">
        <v>200</v>
      </c>
      <c r="G352" s="109" t="s">
        <v>200</v>
      </c>
    </row>
    <row r="353" spans="1:7" ht="15.65" customHeight="1" x14ac:dyDescent="0.35">
      <c r="A353" s="109" t="s">
        <v>200</v>
      </c>
      <c r="B353" s="120" t="s">
        <v>2861</v>
      </c>
      <c r="C353" s="120" t="s">
        <v>4442</v>
      </c>
      <c r="D353" s="120" t="s">
        <v>2955</v>
      </c>
      <c r="E353" s="164">
        <v>12</v>
      </c>
      <c r="F353" s="109" t="s">
        <v>200</v>
      </c>
      <c r="G353" s="109" t="s">
        <v>200</v>
      </c>
    </row>
    <row r="354" spans="1:7" ht="15.65" customHeight="1" x14ac:dyDescent="0.35">
      <c r="A354" s="109" t="s">
        <v>200</v>
      </c>
      <c r="B354" s="120" t="s">
        <v>2887</v>
      </c>
      <c r="C354" s="120" t="s">
        <v>4443</v>
      </c>
      <c r="D354" s="120" t="s">
        <v>2580</v>
      </c>
      <c r="E354" s="164">
        <v>7</v>
      </c>
      <c r="F354" s="109" t="s">
        <v>200</v>
      </c>
      <c r="G354" s="109" t="s">
        <v>200</v>
      </c>
    </row>
    <row r="355" spans="1:7" ht="15.65" customHeight="1" x14ac:dyDescent="0.35">
      <c r="A355" s="109" t="s">
        <v>200</v>
      </c>
      <c r="B355" s="120" t="s">
        <v>2892</v>
      </c>
      <c r="C355" s="120" t="s">
        <v>4444</v>
      </c>
      <c r="D355" s="120" t="s">
        <v>999</v>
      </c>
      <c r="E355" s="164">
        <v>4</v>
      </c>
      <c r="F355" s="109" t="s">
        <v>200</v>
      </c>
      <c r="G355" s="109" t="s">
        <v>200</v>
      </c>
    </row>
    <row r="356" spans="1:7" ht="15.65" customHeight="1" x14ac:dyDescent="0.35">
      <c r="A356" s="109" t="s">
        <v>200</v>
      </c>
      <c r="B356" s="120" t="s">
        <v>2900</v>
      </c>
      <c r="C356" s="120" t="s">
        <v>4445</v>
      </c>
      <c r="D356" s="120" t="s">
        <v>315</v>
      </c>
      <c r="E356" s="164">
        <v>6</v>
      </c>
      <c r="F356" s="109" t="s">
        <v>200</v>
      </c>
      <c r="G356" s="109" t="s">
        <v>200</v>
      </c>
    </row>
    <row r="357" spans="1:7" ht="15.65" customHeight="1" x14ac:dyDescent="0.35">
      <c r="A357" s="109" t="s">
        <v>200</v>
      </c>
      <c r="B357" s="120" t="s">
        <v>2906</v>
      </c>
      <c r="C357" s="120" t="s">
        <v>4446</v>
      </c>
      <c r="D357" s="120" t="s">
        <v>4280</v>
      </c>
      <c r="E357" s="164">
        <v>15</v>
      </c>
      <c r="F357" s="109" t="s">
        <v>200</v>
      </c>
      <c r="G357" s="109" t="s">
        <v>200</v>
      </c>
    </row>
    <row r="358" spans="1:7" ht="15.65" customHeight="1" x14ac:dyDescent="0.35">
      <c r="A358" s="109" t="s">
        <v>200</v>
      </c>
      <c r="B358" s="120" t="s">
        <v>2911</v>
      </c>
      <c r="C358" s="120" t="s">
        <v>4420</v>
      </c>
      <c r="D358" s="120" t="s">
        <v>287</v>
      </c>
      <c r="E358" s="164">
        <v>16</v>
      </c>
      <c r="F358" s="109" t="s">
        <v>200</v>
      </c>
      <c r="G358" s="109" t="s">
        <v>200</v>
      </c>
    </row>
    <row r="359" spans="1:7" ht="15.65" customHeight="1" x14ac:dyDescent="0.35">
      <c r="A359" s="109" t="s">
        <v>200</v>
      </c>
      <c r="B359" s="120" t="s">
        <v>2922</v>
      </c>
      <c r="C359" s="120" t="s">
        <v>4447</v>
      </c>
      <c r="D359" s="120" t="s">
        <v>2955</v>
      </c>
      <c r="E359" s="164">
        <v>12</v>
      </c>
      <c r="F359" s="109" t="s">
        <v>200</v>
      </c>
      <c r="G359" s="109" t="s">
        <v>200</v>
      </c>
    </row>
    <row r="360" spans="1:7" ht="15.65" customHeight="1" x14ac:dyDescent="0.35">
      <c r="A360" s="109" t="s">
        <v>200</v>
      </c>
      <c r="B360" s="120" t="s">
        <v>2927</v>
      </c>
      <c r="C360" s="120" t="s">
        <v>4348</v>
      </c>
      <c r="D360" s="120" t="s">
        <v>4209</v>
      </c>
      <c r="E360" s="164">
        <v>14</v>
      </c>
      <c r="F360" s="109" t="s">
        <v>200</v>
      </c>
      <c r="G360" s="109" t="s">
        <v>200</v>
      </c>
    </row>
    <row r="361" spans="1:7" ht="15.65" customHeight="1" x14ac:dyDescent="0.35">
      <c r="A361" s="109" t="s">
        <v>200</v>
      </c>
      <c r="B361" s="120" t="s">
        <v>2783</v>
      </c>
      <c r="C361" s="120" t="s">
        <v>1310</v>
      </c>
      <c r="D361" s="120" t="s">
        <v>1311</v>
      </c>
      <c r="E361" s="164">
        <v>8</v>
      </c>
      <c r="F361" s="109" t="s">
        <v>200</v>
      </c>
      <c r="G361" s="109" t="s">
        <v>200</v>
      </c>
    </row>
    <row r="362" spans="1:7" ht="15.65" customHeight="1" x14ac:dyDescent="0.35">
      <c r="A362" s="109" t="s">
        <v>200</v>
      </c>
      <c r="B362" s="120" t="s">
        <v>2791</v>
      </c>
      <c r="C362" s="120" t="s">
        <v>286</v>
      </c>
      <c r="D362" s="120" t="s">
        <v>287</v>
      </c>
      <c r="E362" s="164">
        <v>16</v>
      </c>
      <c r="F362" s="109" t="s">
        <v>200</v>
      </c>
      <c r="G362" s="109" t="s">
        <v>200</v>
      </c>
    </row>
    <row r="363" spans="1:7" ht="15.65" customHeight="1" x14ac:dyDescent="0.35">
      <c r="A363" s="109" t="s">
        <v>200</v>
      </c>
      <c r="B363" s="120" t="s">
        <v>2794</v>
      </c>
      <c r="C363" s="120" t="s">
        <v>286</v>
      </c>
      <c r="D363" s="120" t="s">
        <v>287</v>
      </c>
      <c r="E363" s="164">
        <v>16</v>
      </c>
      <c r="F363" s="109" t="s">
        <v>200</v>
      </c>
      <c r="G363" s="109" t="s">
        <v>200</v>
      </c>
    </row>
    <row r="364" spans="1:7" ht="15.65" customHeight="1" x14ac:dyDescent="0.35">
      <c r="A364" s="109" t="s">
        <v>200</v>
      </c>
      <c r="B364" s="120" t="s">
        <v>2868</v>
      </c>
      <c r="C364" s="120" t="s">
        <v>4448</v>
      </c>
      <c r="D364" s="120" t="s">
        <v>4209</v>
      </c>
      <c r="E364" s="164">
        <v>14</v>
      </c>
      <c r="F364" s="109" t="s">
        <v>200</v>
      </c>
      <c r="G364" s="109" t="s">
        <v>200</v>
      </c>
    </row>
    <row r="365" spans="1:7" ht="15.65" customHeight="1" x14ac:dyDescent="0.35">
      <c r="A365" s="109" t="s">
        <v>200</v>
      </c>
      <c r="B365" s="120" t="s">
        <v>2874</v>
      </c>
      <c r="C365" s="120" t="s">
        <v>4449</v>
      </c>
      <c r="D365" s="120" t="s">
        <v>287</v>
      </c>
      <c r="E365" s="164">
        <v>16</v>
      </c>
      <c r="F365" s="109" t="s">
        <v>200</v>
      </c>
      <c r="G365" s="109" t="s">
        <v>200</v>
      </c>
    </row>
    <row r="366" spans="1:7" ht="15.65" customHeight="1" x14ac:dyDescent="0.35">
      <c r="A366" s="109" t="s">
        <v>200</v>
      </c>
      <c r="B366" s="120" t="s">
        <v>2879</v>
      </c>
      <c r="C366" s="120" t="s">
        <v>4287</v>
      </c>
      <c r="D366" s="120" t="s">
        <v>608</v>
      </c>
      <c r="E366" s="164">
        <v>10</v>
      </c>
      <c r="F366" s="109" t="s">
        <v>200</v>
      </c>
      <c r="G366" s="109" t="s">
        <v>200</v>
      </c>
    </row>
    <row r="367" spans="1:7" ht="15.65" customHeight="1" x14ac:dyDescent="0.35">
      <c r="A367" s="109" t="s">
        <v>200</v>
      </c>
      <c r="B367" s="120" t="s">
        <v>2883</v>
      </c>
      <c r="C367" s="120" t="s">
        <v>286</v>
      </c>
      <c r="D367" s="120" t="s">
        <v>287</v>
      </c>
      <c r="E367" s="164">
        <v>16</v>
      </c>
      <c r="F367" s="109" t="s">
        <v>200</v>
      </c>
      <c r="G367" s="109" t="s">
        <v>200</v>
      </c>
    </row>
    <row r="368" spans="1:7" ht="15.65" customHeight="1" x14ac:dyDescent="0.35">
      <c r="A368" s="109" t="s">
        <v>200</v>
      </c>
      <c r="B368" s="120" t="s">
        <v>2896</v>
      </c>
      <c r="C368" s="120" t="s">
        <v>4450</v>
      </c>
      <c r="D368" s="120" t="s">
        <v>287</v>
      </c>
      <c r="E368" s="164">
        <v>16</v>
      </c>
      <c r="F368" s="109" t="s">
        <v>200</v>
      </c>
      <c r="G368" s="109" t="s">
        <v>200</v>
      </c>
    </row>
    <row r="369" spans="1:7" ht="15.65" customHeight="1" x14ac:dyDescent="0.35">
      <c r="A369" s="109" t="s">
        <v>200</v>
      </c>
      <c r="B369" s="120" t="s">
        <v>2933</v>
      </c>
      <c r="C369" s="120" t="s">
        <v>4273</v>
      </c>
      <c r="D369" s="120" t="s">
        <v>659</v>
      </c>
      <c r="E369" s="164">
        <v>13</v>
      </c>
      <c r="F369" s="109" t="s">
        <v>200</v>
      </c>
      <c r="G369" s="109" t="s">
        <v>200</v>
      </c>
    </row>
    <row r="370" spans="1:7" ht="15.65" customHeight="1" x14ac:dyDescent="0.35">
      <c r="A370" s="109" t="s">
        <v>200</v>
      </c>
      <c r="B370" s="120" t="s">
        <v>2941</v>
      </c>
      <c r="C370" s="120" t="s">
        <v>4273</v>
      </c>
      <c r="D370" s="120" t="s">
        <v>659</v>
      </c>
      <c r="E370" s="164">
        <v>13</v>
      </c>
      <c r="F370" s="109" t="s">
        <v>200</v>
      </c>
      <c r="G370" s="109" t="s">
        <v>200</v>
      </c>
    </row>
    <row r="371" spans="1:7" ht="15.65" customHeight="1" x14ac:dyDescent="0.35">
      <c r="A371" s="109" t="s">
        <v>200</v>
      </c>
      <c r="B371" s="120" t="s">
        <v>2952</v>
      </c>
      <c r="C371" s="120" t="s">
        <v>4451</v>
      </c>
      <c r="D371" s="120" t="s">
        <v>2967</v>
      </c>
      <c r="E371" s="164">
        <v>5</v>
      </c>
      <c r="F371" s="109" t="s">
        <v>200</v>
      </c>
      <c r="G371" s="109" t="s">
        <v>200</v>
      </c>
    </row>
    <row r="372" spans="1:7" ht="15.65" customHeight="1" x14ac:dyDescent="0.35">
      <c r="A372" s="109" t="s">
        <v>200</v>
      </c>
      <c r="B372" s="120" t="s">
        <v>2960</v>
      </c>
      <c r="C372" s="120" t="s">
        <v>4422</v>
      </c>
      <c r="D372" s="120" t="s">
        <v>2580</v>
      </c>
      <c r="E372" s="164">
        <v>7</v>
      </c>
      <c r="F372" s="109" t="s">
        <v>200</v>
      </c>
      <c r="G372" s="109" t="s">
        <v>200</v>
      </c>
    </row>
    <row r="373" spans="1:7" ht="15.65" customHeight="1" x14ac:dyDescent="0.35">
      <c r="A373" s="109" t="s">
        <v>200</v>
      </c>
      <c r="B373" s="120" t="s">
        <v>2962</v>
      </c>
      <c r="C373" s="120" t="s">
        <v>2962</v>
      </c>
      <c r="D373" s="120" t="s">
        <v>2580</v>
      </c>
      <c r="E373" s="164">
        <v>7</v>
      </c>
      <c r="F373" s="109" t="s">
        <v>200</v>
      </c>
      <c r="G373" s="109" t="s">
        <v>200</v>
      </c>
    </row>
    <row r="374" spans="1:7" ht="15.65" customHeight="1" x14ac:dyDescent="0.35">
      <c r="A374" s="109" t="s">
        <v>200</v>
      </c>
      <c r="B374" s="120" t="s">
        <v>2964</v>
      </c>
      <c r="C374" s="120" t="s">
        <v>2964</v>
      </c>
      <c r="D374" s="120" t="s">
        <v>2580</v>
      </c>
      <c r="E374" s="164">
        <v>7</v>
      </c>
      <c r="F374" s="109" t="s">
        <v>200</v>
      </c>
      <c r="G374" s="109" t="s">
        <v>200</v>
      </c>
    </row>
    <row r="375" spans="1:7" ht="15.65" customHeight="1" x14ac:dyDescent="0.35">
      <c r="A375" s="109" t="s">
        <v>200</v>
      </c>
      <c r="B375" s="120" t="s">
        <v>2971</v>
      </c>
      <c r="C375" s="120" t="s">
        <v>2971</v>
      </c>
      <c r="D375" s="120" t="s">
        <v>287</v>
      </c>
      <c r="E375" s="164">
        <v>16</v>
      </c>
      <c r="F375" s="109" t="s">
        <v>200</v>
      </c>
      <c r="G375" s="109" t="s">
        <v>200</v>
      </c>
    </row>
    <row r="376" spans="1:7" ht="15.65" customHeight="1" x14ac:dyDescent="0.35">
      <c r="A376" s="109" t="s">
        <v>200</v>
      </c>
      <c r="B376" s="120" t="s">
        <v>2976</v>
      </c>
      <c r="C376" s="120" t="s">
        <v>4452</v>
      </c>
      <c r="D376" s="120" t="s">
        <v>2955</v>
      </c>
      <c r="E376" s="164">
        <v>12</v>
      </c>
      <c r="F376" s="109" t="s">
        <v>200</v>
      </c>
      <c r="G376" s="109" t="s">
        <v>200</v>
      </c>
    </row>
    <row r="377" spans="1:7" ht="15.65" customHeight="1" x14ac:dyDescent="0.35">
      <c r="A377" s="109" t="s">
        <v>200</v>
      </c>
      <c r="B377" s="120" t="s">
        <v>2989</v>
      </c>
      <c r="C377" s="120" t="s">
        <v>4453</v>
      </c>
      <c r="D377" s="120" t="s">
        <v>3376</v>
      </c>
      <c r="E377" s="164">
        <v>3</v>
      </c>
      <c r="F377" s="109" t="s">
        <v>200</v>
      </c>
      <c r="G377" s="109" t="s">
        <v>200</v>
      </c>
    </row>
    <row r="378" spans="1:7" ht="15.65" customHeight="1" x14ac:dyDescent="0.35">
      <c r="A378" s="109" t="s">
        <v>200</v>
      </c>
      <c r="B378" s="120" t="s">
        <v>2994</v>
      </c>
      <c r="C378" s="120" t="s">
        <v>4454</v>
      </c>
      <c r="D378" s="120" t="s">
        <v>2955</v>
      </c>
      <c r="E378" s="164">
        <v>12</v>
      </c>
      <c r="F378" s="109" t="s">
        <v>200</v>
      </c>
      <c r="G378" s="109" t="s">
        <v>200</v>
      </c>
    </row>
    <row r="379" spans="1:7" ht="15.65" customHeight="1" x14ac:dyDescent="0.35">
      <c r="A379" s="109" t="s">
        <v>200</v>
      </c>
      <c r="B379" s="120" t="s">
        <v>3001</v>
      </c>
      <c r="C379" s="120" t="s">
        <v>4455</v>
      </c>
      <c r="D379" s="120" t="s">
        <v>2955</v>
      </c>
      <c r="E379" s="164">
        <v>12</v>
      </c>
      <c r="F379" s="109" t="s">
        <v>200</v>
      </c>
      <c r="G379" s="109" t="s">
        <v>200</v>
      </c>
    </row>
    <row r="380" spans="1:7" ht="15.65" customHeight="1" x14ac:dyDescent="0.35">
      <c r="A380" s="109" t="s">
        <v>200</v>
      </c>
      <c r="B380" s="120" t="s">
        <v>3005</v>
      </c>
      <c r="C380" s="120" t="s">
        <v>4273</v>
      </c>
      <c r="D380" s="120" t="s">
        <v>659</v>
      </c>
      <c r="E380" s="164">
        <v>13</v>
      </c>
      <c r="F380" s="109" t="s">
        <v>200</v>
      </c>
      <c r="G380" s="109" t="s">
        <v>200</v>
      </c>
    </row>
    <row r="381" spans="1:7" ht="15.65" customHeight="1" x14ac:dyDescent="0.35">
      <c r="A381" s="109" t="s">
        <v>200</v>
      </c>
      <c r="B381" s="120" t="s">
        <v>3012</v>
      </c>
      <c r="C381" s="120" t="s">
        <v>4313</v>
      </c>
      <c r="D381" s="120" t="s">
        <v>2955</v>
      </c>
      <c r="E381" s="164">
        <v>12</v>
      </c>
      <c r="F381" s="109" t="s">
        <v>200</v>
      </c>
      <c r="G381" s="109" t="s">
        <v>200</v>
      </c>
    </row>
    <row r="382" spans="1:7" ht="15.65" customHeight="1" x14ac:dyDescent="0.35">
      <c r="A382" s="109" t="s">
        <v>200</v>
      </c>
      <c r="B382" s="120" t="s">
        <v>3022</v>
      </c>
      <c r="C382" s="120" t="s">
        <v>3022</v>
      </c>
      <c r="D382" s="120" t="s">
        <v>4201</v>
      </c>
      <c r="E382" s="164">
        <v>2</v>
      </c>
      <c r="F382" s="109" t="s">
        <v>200</v>
      </c>
      <c r="G382" s="109" t="s">
        <v>200</v>
      </c>
    </row>
    <row r="383" spans="1:7" ht="15.65" customHeight="1" x14ac:dyDescent="0.35">
      <c r="A383" s="109" t="s">
        <v>200</v>
      </c>
      <c r="B383" s="120" t="s">
        <v>3025</v>
      </c>
      <c r="C383" s="120" t="s">
        <v>4360</v>
      </c>
      <c r="D383" s="120" t="s">
        <v>2967</v>
      </c>
      <c r="E383" s="164">
        <v>5</v>
      </c>
      <c r="F383" s="109" t="s">
        <v>200</v>
      </c>
      <c r="G383" s="109" t="s">
        <v>200</v>
      </c>
    </row>
    <row r="384" spans="1:7" ht="15.65" customHeight="1" x14ac:dyDescent="0.35">
      <c r="A384" s="109" t="s">
        <v>200</v>
      </c>
      <c r="B384" s="120" t="s">
        <v>3032</v>
      </c>
      <c r="C384" s="120" t="s">
        <v>2962</v>
      </c>
      <c r="D384" s="120" t="s">
        <v>2580</v>
      </c>
      <c r="E384" s="164">
        <v>7</v>
      </c>
      <c r="F384" s="109" t="s">
        <v>200</v>
      </c>
      <c r="G384" s="109" t="s">
        <v>200</v>
      </c>
    </row>
    <row r="385" spans="1:7" ht="15.65" customHeight="1" x14ac:dyDescent="0.35">
      <c r="A385" s="109" t="s">
        <v>200</v>
      </c>
      <c r="B385" s="120" t="s">
        <v>3037</v>
      </c>
      <c r="C385" s="120" t="s">
        <v>4273</v>
      </c>
      <c r="D385" s="120" t="s">
        <v>659</v>
      </c>
      <c r="E385" s="164">
        <v>13</v>
      </c>
      <c r="F385" s="109" t="s">
        <v>200</v>
      </c>
      <c r="G385" s="109" t="s">
        <v>200</v>
      </c>
    </row>
    <row r="386" spans="1:7" ht="15.65" customHeight="1" x14ac:dyDescent="0.35">
      <c r="A386" s="109" t="s">
        <v>200</v>
      </c>
      <c r="B386" s="120" t="s">
        <v>3053</v>
      </c>
      <c r="C386" s="120" t="s">
        <v>4456</v>
      </c>
      <c r="D386" s="120" t="s">
        <v>4358</v>
      </c>
      <c r="E386" s="164">
        <v>15</v>
      </c>
      <c r="F386" s="109" t="s">
        <v>200</v>
      </c>
      <c r="G386" s="109" t="s">
        <v>200</v>
      </c>
    </row>
    <row r="387" spans="1:7" ht="15.65" customHeight="1" x14ac:dyDescent="0.35">
      <c r="A387" s="109" t="s">
        <v>200</v>
      </c>
      <c r="B387" s="120" t="s">
        <v>3068</v>
      </c>
      <c r="C387" s="120" t="s">
        <v>3068</v>
      </c>
      <c r="D387" s="120" t="s">
        <v>4211</v>
      </c>
      <c r="E387" s="164">
        <v>9</v>
      </c>
      <c r="F387" s="109" t="s">
        <v>200</v>
      </c>
      <c r="G387" s="109" t="s">
        <v>200</v>
      </c>
    </row>
    <row r="388" spans="1:7" ht="15.65" customHeight="1" x14ac:dyDescent="0.35">
      <c r="A388" s="109" t="s">
        <v>200</v>
      </c>
      <c r="B388" s="120" t="s">
        <v>3469</v>
      </c>
      <c r="C388" s="120" t="s">
        <v>4351</v>
      </c>
      <c r="D388" s="120" t="s">
        <v>608</v>
      </c>
      <c r="E388" s="164">
        <v>10</v>
      </c>
      <c r="F388" s="109" t="s">
        <v>200</v>
      </c>
      <c r="G388" s="109" t="s">
        <v>200</v>
      </c>
    </row>
    <row r="389" spans="1:7" ht="15.65" customHeight="1" x14ac:dyDescent="0.35">
      <c r="A389" s="109" t="s">
        <v>200</v>
      </c>
      <c r="B389" s="120" t="s">
        <v>3283</v>
      </c>
      <c r="C389" s="120" t="s">
        <v>4385</v>
      </c>
      <c r="D389" s="120" t="s">
        <v>3376</v>
      </c>
      <c r="E389" s="164">
        <v>3</v>
      </c>
      <c r="F389" s="109" t="s">
        <v>200</v>
      </c>
      <c r="G389" s="109" t="s">
        <v>200</v>
      </c>
    </row>
    <row r="390" spans="1:7" ht="15.65" customHeight="1" x14ac:dyDescent="0.35">
      <c r="A390" s="109" t="s">
        <v>200</v>
      </c>
      <c r="B390" s="120" t="s">
        <v>3291</v>
      </c>
      <c r="C390" s="120" t="s">
        <v>4457</v>
      </c>
      <c r="D390" s="120" t="s">
        <v>659</v>
      </c>
      <c r="E390" s="164">
        <v>13</v>
      </c>
      <c r="F390" s="109" t="s">
        <v>200</v>
      </c>
      <c r="G390" s="109" t="s">
        <v>200</v>
      </c>
    </row>
    <row r="391" spans="1:7" ht="15.65" customHeight="1" x14ac:dyDescent="0.35">
      <c r="A391" s="109" t="s">
        <v>200</v>
      </c>
      <c r="B391" s="120" t="s">
        <v>3299</v>
      </c>
      <c r="C391" s="120" t="s">
        <v>4360</v>
      </c>
      <c r="D391" s="120" t="s">
        <v>2967</v>
      </c>
      <c r="E391" s="164">
        <v>5</v>
      </c>
      <c r="F391" s="109" t="s">
        <v>200</v>
      </c>
      <c r="G391" s="109" t="s">
        <v>200</v>
      </c>
    </row>
    <row r="392" spans="1:7" ht="15.65" customHeight="1" x14ac:dyDescent="0.35">
      <c r="A392" s="109" t="s">
        <v>200</v>
      </c>
      <c r="B392" s="120" t="s">
        <v>3307</v>
      </c>
      <c r="C392" s="120" t="s">
        <v>4458</v>
      </c>
      <c r="D392" s="120" t="s">
        <v>2955</v>
      </c>
      <c r="E392" s="164">
        <v>12</v>
      </c>
      <c r="F392" s="109" t="s">
        <v>200</v>
      </c>
      <c r="G392" s="109" t="s">
        <v>200</v>
      </c>
    </row>
    <row r="393" spans="1:7" ht="15.65" customHeight="1" x14ac:dyDescent="0.35">
      <c r="A393" s="109" t="s">
        <v>200</v>
      </c>
      <c r="B393" s="120" t="s">
        <v>3454</v>
      </c>
      <c r="C393" s="120" t="s">
        <v>4271</v>
      </c>
      <c r="D393" s="120" t="s">
        <v>2955</v>
      </c>
      <c r="E393" s="164">
        <v>12</v>
      </c>
      <c r="F393" s="109" t="s">
        <v>200</v>
      </c>
      <c r="G393" s="109" t="s">
        <v>200</v>
      </c>
    </row>
    <row r="394" spans="1:7" ht="15.65" customHeight="1" x14ac:dyDescent="0.35">
      <c r="A394" s="109" t="s">
        <v>200</v>
      </c>
      <c r="B394" s="120" t="s">
        <v>3481</v>
      </c>
      <c r="C394" s="120" t="s">
        <v>4459</v>
      </c>
      <c r="D394" s="120" t="s">
        <v>2580</v>
      </c>
      <c r="E394" s="164">
        <v>7</v>
      </c>
      <c r="F394" s="109" t="s">
        <v>200</v>
      </c>
      <c r="G394" s="109" t="s">
        <v>200</v>
      </c>
    </row>
    <row r="395" spans="1:7" ht="15.65" customHeight="1" x14ac:dyDescent="0.35">
      <c r="A395" s="109" t="s">
        <v>200</v>
      </c>
      <c r="B395" s="120" t="s">
        <v>3491</v>
      </c>
      <c r="C395" s="120" t="s">
        <v>4460</v>
      </c>
      <c r="D395" s="120" t="s">
        <v>315</v>
      </c>
      <c r="E395" s="164">
        <v>6</v>
      </c>
      <c r="F395" s="109" t="s">
        <v>200</v>
      </c>
      <c r="G395" s="109" t="s">
        <v>200</v>
      </c>
    </row>
    <row r="396" spans="1:7" ht="15.65" customHeight="1" x14ac:dyDescent="0.35">
      <c r="A396" s="109" t="s">
        <v>200</v>
      </c>
      <c r="B396" s="120" t="s">
        <v>3493</v>
      </c>
      <c r="C396" s="120" t="s">
        <v>3485</v>
      </c>
      <c r="D396" s="120" t="s">
        <v>315</v>
      </c>
      <c r="E396" s="164">
        <v>6</v>
      </c>
      <c r="F396" s="109" t="s">
        <v>200</v>
      </c>
      <c r="G396" s="109" t="s">
        <v>200</v>
      </c>
    </row>
    <row r="397" spans="1:7" ht="15.65" customHeight="1" x14ac:dyDescent="0.35">
      <c r="A397" s="109" t="s">
        <v>200</v>
      </c>
      <c r="B397" s="120" t="s">
        <v>4461</v>
      </c>
      <c r="C397" s="120" t="s">
        <v>3882</v>
      </c>
      <c r="D397" s="120" t="s">
        <v>1105</v>
      </c>
      <c r="E397" s="164">
        <v>1</v>
      </c>
      <c r="F397" s="109" t="s">
        <v>200</v>
      </c>
      <c r="G397" s="109" t="s">
        <v>200</v>
      </c>
    </row>
    <row r="398" spans="1:7" ht="15.65" customHeight="1" x14ac:dyDescent="0.35">
      <c r="A398" s="109" t="s">
        <v>200</v>
      </c>
      <c r="B398" s="120" t="s">
        <v>4462</v>
      </c>
      <c r="C398" s="120" t="s">
        <v>3366</v>
      </c>
      <c r="D398" s="120" t="s">
        <v>1311</v>
      </c>
      <c r="E398" s="164">
        <v>8</v>
      </c>
      <c r="F398" s="109" t="s">
        <v>200</v>
      </c>
      <c r="G398" s="109" t="s">
        <v>200</v>
      </c>
    </row>
    <row r="399" spans="1:7" ht="15.65" customHeight="1" x14ac:dyDescent="0.35">
      <c r="A399" s="109" t="s">
        <v>200</v>
      </c>
      <c r="B399" s="120" t="s">
        <v>4463</v>
      </c>
      <c r="C399" s="120" t="s">
        <v>3366</v>
      </c>
      <c r="D399" s="120" t="s">
        <v>1311</v>
      </c>
      <c r="E399" s="164">
        <v>8</v>
      </c>
      <c r="F399" s="109" t="s">
        <v>200</v>
      </c>
      <c r="G399" s="109" t="s">
        <v>200</v>
      </c>
    </row>
    <row r="400" spans="1:7" ht="15.65" customHeight="1" x14ac:dyDescent="0.35">
      <c r="A400" s="109" t="s">
        <v>200</v>
      </c>
      <c r="B400" s="120" t="s">
        <v>3607</v>
      </c>
      <c r="C400" s="120" t="s">
        <v>4464</v>
      </c>
      <c r="D400" s="120" t="s">
        <v>4201</v>
      </c>
      <c r="E400" s="164">
        <v>2</v>
      </c>
      <c r="F400" s="109" t="s">
        <v>200</v>
      </c>
      <c r="G400" s="109" t="s">
        <v>200</v>
      </c>
    </row>
    <row r="401" spans="1:7" ht="15.65" customHeight="1" x14ac:dyDescent="0.35">
      <c r="A401" s="109" t="s">
        <v>200</v>
      </c>
      <c r="B401" s="120" t="s">
        <v>3315</v>
      </c>
      <c r="C401" s="120" t="s">
        <v>4458</v>
      </c>
      <c r="D401" s="120" t="s">
        <v>2955</v>
      </c>
      <c r="E401" s="164">
        <v>12</v>
      </c>
      <c r="F401" s="109" t="s">
        <v>200</v>
      </c>
      <c r="G401" s="109" t="s">
        <v>200</v>
      </c>
    </row>
    <row r="402" spans="1:7" ht="15.65" customHeight="1" x14ac:dyDescent="0.35">
      <c r="A402" s="109" t="s">
        <v>200</v>
      </c>
      <c r="B402" s="120" t="s">
        <v>3324</v>
      </c>
      <c r="C402" s="120" t="s">
        <v>4465</v>
      </c>
      <c r="D402" s="120" t="s">
        <v>2967</v>
      </c>
      <c r="E402" s="164">
        <v>5</v>
      </c>
      <c r="F402" s="109" t="s">
        <v>200</v>
      </c>
      <c r="G402" s="109" t="s">
        <v>200</v>
      </c>
    </row>
    <row r="403" spans="1:7" ht="15.65" customHeight="1" x14ac:dyDescent="0.35">
      <c r="A403" s="109" t="s">
        <v>200</v>
      </c>
      <c r="B403" s="120" t="s">
        <v>3331</v>
      </c>
      <c r="C403" s="120" t="s">
        <v>624</v>
      </c>
      <c r="D403" s="120" t="s">
        <v>287</v>
      </c>
      <c r="E403" s="164">
        <v>16</v>
      </c>
      <c r="F403" s="109" t="s">
        <v>200</v>
      </c>
      <c r="G403" s="109" t="s">
        <v>200</v>
      </c>
    </row>
    <row r="404" spans="1:7" ht="15.65" customHeight="1" x14ac:dyDescent="0.35">
      <c r="A404" s="109" t="s">
        <v>200</v>
      </c>
      <c r="B404" s="120" t="s">
        <v>3344</v>
      </c>
      <c r="C404" s="120" t="s">
        <v>4450</v>
      </c>
      <c r="D404" s="120" t="s">
        <v>287</v>
      </c>
      <c r="E404" s="164">
        <v>16</v>
      </c>
      <c r="F404" s="109" t="s">
        <v>200</v>
      </c>
      <c r="G404" s="109" t="s">
        <v>200</v>
      </c>
    </row>
    <row r="405" spans="1:7" ht="15.65" customHeight="1" x14ac:dyDescent="0.35">
      <c r="A405" s="109" t="s">
        <v>200</v>
      </c>
      <c r="B405" s="120" t="s">
        <v>3338</v>
      </c>
      <c r="C405" s="120" t="s">
        <v>3882</v>
      </c>
      <c r="D405" s="120" t="s">
        <v>1105</v>
      </c>
      <c r="E405" s="164">
        <v>1</v>
      </c>
      <c r="F405" s="109" t="s">
        <v>200</v>
      </c>
      <c r="G405" s="109" t="s">
        <v>200</v>
      </c>
    </row>
    <row r="406" spans="1:7" ht="15.65" customHeight="1" x14ac:dyDescent="0.35">
      <c r="A406" s="109" t="s">
        <v>200</v>
      </c>
      <c r="B406" s="120" t="s">
        <v>3350</v>
      </c>
      <c r="C406" s="120" t="s">
        <v>4466</v>
      </c>
      <c r="D406" s="120" t="s">
        <v>3376</v>
      </c>
      <c r="E406" s="164">
        <v>3</v>
      </c>
      <c r="F406" s="109" t="s">
        <v>200</v>
      </c>
      <c r="G406" s="109" t="s">
        <v>200</v>
      </c>
    </row>
    <row r="407" spans="1:7" ht="15.65" customHeight="1" x14ac:dyDescent="0.35">
      <c r="A407" s="109" t="s">
        <v>200</v>
      </c>
      <c r="B407" s="120" t="s">
        <v>3354</v>
      </c>
      <c r="C407" s="120" t="s">
        <v>4467</v>
      </c>
      <c r="D407" s="120" t="s">
        <v>608</v>
      </c>
      <c r="E407" s="164">
        <v>10</v>
      </c>
      <c r="F407" s="109" t="s">
        <v>200</v>
      </c>
      <c r="G407" s="109" t="s">
        <v>200</v>
      </c>
    </row>
    <row r="408" spans="1:7" ht="15.65" customHeight="1" x14ac:dyDescent="0.35">
      <c r="A408" s="109" t="s">
        <v>200</v>
      </c>
      <c r="B408" s="120" t="s">
        <v>3360</v>
      </c>
      <c r="C408" s="120" t="s">
        <v>4468</v>
      </c>
      <c r="D408" s="120" t="s">
        <v>999</v>
      </c>
      <c r="E408" s="164">
        <v>4</v>
      </c>
      <c r="F408" s="109" t="s">
        <v>200</v>
      </c>
      <c r="G408" s="109" t="s">
        <v>200</v>
      </c>
    </row>
    <row r="409" spans="1:7" ht="15.65" customHeight="1" x14ac:dyDescent="0.35">
      <c r="A409" s="109" t="s">
        <v>200</v>
      </c>
      <c r="B409" s="120" t="s">
        <v>3371</v>
      </c>
      <c r="C409" s="120" t="s">
        <v>3366</v>
      </c>
      <c r="D409" s="120" t="s">
        <v>1311</v>
      </c>
      <c r="E409" s="164">
        <v>8</v>
      </c>
      <c r="F409" s="109" t="s">
        <v>200</v>
      </c>
      <c r="G409" s="109" t="s">
        <v>200</v>
      </c>
    </row>
    <row r="410" spans="1:7" ht="15.65" customHeight="1" x14ac:dyDescent="0.35">
      <c r="A410" s="109" t="s">
        <v>200</v>
      </c>
      <c r="B410" s="120" t="s">
        <v>3373</v>
      </c>
      <c r="C410" s="120" t="s">
        <v>3366</v>
      </c>
      <c r="D410" s="120" t="s">
        <v>1311</v>
      </c>
      <c r="E410" s="164">
        <v>8</v>
      </c>
      <c r="F410" s="109" t="s">
        <v>200</v>
      </c>
      <c r="G410" s="109" t="s">
        <v>200</v>
      </c>
    </row>
    <row r="411" spans="1:7" ht="15.65" customHeight="1" x14ac:dyDescent="0.35">
      <c r="A411" s="109" t="s">
        <v>200</v>
      </c>
      <c r="B411" s="120" t="s">
        <v>3382</v>
      </c>
      <c r="C411" s="120" t="s">
        <v>3375</v>
      </c>
      <c r="D411" s="120" t="s">
        <v>3376</v>
      </c>
      <c r="E411" s="164">
        <v>3</v>
      </c>
      <c r="F411" s="109" t="s">
        <v>200</v>
      </c>
      <c r="G411" s="109" t="s">
        <v>200</v>
      </c>
    </row>
    <row r="412" spans="1:7" ht="15.65" customHeight="1" x14ac:dyDescent="0.35">
      <c r="A412" s="109" t="s">
        <v>200</v>
      </c>
      <c r="B412" s="120" t="s">
        <v>3384</v>
      </c>
      <c r="C412" s="120" t="s">
        <v>4469</v>
      </c>
      <c r="D412" s="120" t="s">
        <v>3376</v>
      </c>
      <c r="E412" s="164">
        <v>3</v>
      </c>
      <c r="F412" s="109" t="s">
        <v>200</v>
      </c>
      <c r="G412" s="109" t="s">
        <v>200</v>
      </c>
    </row>
    <row r="413" spans="1:7" ht="15.65" customHeight="1" x14ac:dyDescent="0.35">
      <c r="A413" s="109" t="s">
        <v>200</v>
      </c>
      <c r="B413" s="120" t="s">
        <v>3391</v>
      </c>
      <c r="C413" s="120" t="s">
        <v>4470</v>
      </c>
      <c r="D413" s="120" t="s">
        <v>999</v>
      </c>
      <c r="E413" s="164">
        <v>4</v>
      </c>
      <c r="F413" s="109" t="s">
        <v>200</v>
      </c>
      <c r="G413" s="109" t="s">
        <v>200</v>
      </c>
    </row>
    <row r="414" spans="1:7" ht="15.65" customHeight="1" x14ac:dyDescent="0.35">
      <c r="A414" s="109" t="s">
        <v>200</v>
      </c>
      <c r="B414" s="120" t="s">
        <v>3122</v>
      </c>
      <c r="C414" s="120" t="s">
        <v>4277</v>
      </c>
      <c r="D414" s="120" t="s">
        <v>188</v>
      </c>
      <c r="E414" s="164">
        <v>11</v>
      </c>
      <c r="F414" s="109" t="s">
        <v>200</v>
      </c>
      <c r="G414" s="109" t="s">
        <v>200</v>
      </c>
    </row>
    <row r="415" spans="1:7" ht="15.65" customHeight="1" x14ac:dyDescent="0.35">
      <c r="A415" s="109" t="s">
        <v>200</v>
      </c>
      <c r="B415" s="120" t="s">
        <v>3386</v>
      </c>
      <c r="C415" s="120" t="s">
        <v>624</v>
      </c>
      <c r="D415" s="120" t="s">
        <v>287</v>
      </c>
      <c r="E415" s="164">
        <v>16</v>
      </c>
      <c r="F415" s="109" t="s">
        <v>200</v>
      </c>
      <c r="G415" s="109" t="s">
        <v>200</v>
      </c>
    </row>
    <row r="416" spans="1:7" ht="15.65" customHeight="1" x14ac:dyDescent="0.35">
      <c r="A416" s="109" t="s">
        <v>200</v>
      </c>
      <c r="B416" s="120" t="s">
        <v>3412</v>
      </c>
      <c r="C416" s="120" t="s">
        <v>4471</v>
      </c>
      <c r="D416" s="120" t="s">
        <v>4201</v>
      </c>
      <c r="E416" s="164">
        <v>2</v>
      </c>
      <c r="F416" s="109" t="s">
        <v>200</v>
      </c>
      <c r="G416" s="109" t="s">
        <v>200</v>
      </c>
    </row>
    <row r="417" spans="1:7" ht="15.65" customHeight="1" x14ac:dyDescent="0.35">
      <c r="A417" s="109" t="s">
        <v>200</v>
      </c>
      <c r="B417" s="120" t="s">
        <v>3418</v>
      </c>
      <c r="C417" s="120" t="s">
        <v>4472</v>
      </c>
      <c r="D417" s="120" t="s">
        <v>287</v>
      </c>
      <c r="E417" s="164">
        <v>16</v>
      </c>
      <c r="F417" s="109" t="s">
        <v>200</v>
      </c>
      <c r="G417" s="109" t="s">
        <v>200</v>
      </c>
    </row>
    <row r="418" spans="1:7" ht="15.65" customHeight="1" x14ac:dyDescent="0.35">
      <c r="A418" s="109" t="s">
        <v>200</v>
      </c>
      <c r="B418" s="120" t="s">
        <v>3423</v>
      </c>
      <c r="C418" s="120" t="s">
        <v>4473</v>
      </c>
      <c r="D418" s="120" t="s">
        <v>287</v>
      </c>
      <c r="E418" s="164">
        <v>16</v>
      </c>
      <c r="F418" s="109" t="s">
        <v>200</v>
      </c>
      <c r="G418" s="109" t="s">
        <v>200</v>
      </c>
    </row>
    <row r="419" spans="1:7" ht="15.65" customHeight="1" x14ac:dyDescent="0.35">
      <c r="A419" s="109" t="s">
        <v>200</v>
      </c>
      <c r="B419" s="120" t="s">
        <v>3428</v>
      </c>
      <c r="C419" s="120" t="s">
        <v>4474</v>
      </c>
      <c r="D419" s="120" t="s">
        <v>999</v>
      </c>
      <c r="E419" s="164">
        <v>4</v>
      </c>
      <c r="F419" s="109" t="s">
        <v>200</v>
      </c>
      <c r="G419" s="109" t="s">
        <v>200</v>
      </c>
    </row>
    <row r="420" spans="1:7" ht="15.65" customHeight="1" x14ac:dyDescent="0.35">
      <c r="A420" s="109" t="s">
        <v>200</v>
      </c>
      <c r="B420" s="120" t="s">
        <v>3434</v>
      </c>
      <c r="C420" s="120" t="s">
        <v>4475</v>
      </c>
      <c r="D420" s="120" t="s">
        <v>315</v>
      </c>
      <c r="E420" s="164">
        <v>6</v>
      </c>
      <c r="F420" s="109" t="s">
        <v>200</v>
      </c>
      <c r="G420" s="109" t="s">
        <v>200</v>
      </c>
    </row>
    <row r="421" spans="1:7" ht="15.4" customHeight="1" x14ac:dyDescent="0.35">
      <c r="A421" s="109" t="s">
        <v>200</v>
      </c>
      <c r="B421" s="120" t="s">
        <v>3437</v>
      </c>
      <c r="C421" s="120" t="s">
        <v>286</v>
      </c>
      <c r="D421" s="120" t="s">
        <v>287</v>
      </c>
      <c r="E421" s="164">
        <v>16</v>
      </c>
      <c r="F421" s="109" t="s">
        <v>200</v>
      </c>
      <c r="G421" s="109" t="s">
        <v>200</v>
      </c>
    </row>
    <row r="422" spans="1:7" ht="15.4" customHeight="1" x14ac:dyDescent="0.35">
      <c r="A422" s="109" t="s">
        <v>200</v>
      </c>
      <c r="B422" s="120" t="s">
        <v>3441</v>
      </c>
      <c r="C422" s="120" t="s">
        <v>4476</v>
      </c>
      <c r="D422" s="120" t="s">
        <v>2580</v>
      </c>
      <c r="E422" s="164">
        <v>7</v>
      </c>
      <c r="F422" s="109" t="s">
        <v>200</v>
      </c>
      <c r="G422" s="109" t="s">
        <v>200</v>
      </c>
    </row>
    <row r="423" spans="1:7" ht="15.4" customHeight="1" x14ac:dyDescent="0.35">
      <c r="A423" s="109" t="s">
        <v>200</v>
      </c>
      <c r="B423" s="120" t="s">
        <v>3446</v>
      </c>
      <c r="C423" s="120" t="s">
        <v>3882</v>
      </c>
      <c r="D423" s="120" t="s">
        <v>1105</v>
      </c>
      <c r="E423" s="164">
        <v>1</v>
      </c>
      <c r="F423" s="109" t="s">
        <v>200</v>
      </c>
      <c r="G423" s="109" t="s">
        <v>200</v>
      </c>
    </row>
    <row r="424" spans="1:7" ht="15.4" customHeight="1" x14ac:dyDescent="0.35">
      <c r="A424" s="109" t="s">
        <v>200</v>
      </c>
      <c r="B424" s="120" t="s">
        <v>3465</v>
      </c>
      <c r="C424" s="120" t="s">
        <v>4477</v>
      </c>
      <c r="D424" s="120" t="s">
        <v>2967</v>
      </c>
      <c r="E424" s="164">
        <v>5</v>
      </c>
      <c r="F424" s="109" t="s">
        <v>200</v>
      </c>
      <c r="G424" s="109" t="s">
        <v>200</v>
      </c>
    </row>
    <row r="425" spans="1:7" ht="15.65" customHeight="1" x14ac:dyDescent="0.35">
      <c r="A425" s="109" t="s">
        <v>200</v>
      </c>
      <c r="B425" s="120" t="s">
        <v>3474</v>
      </c>
      <c r="C425" s="120" t="s">
        <v>4478</v>
      </c>
      <c r="D425" s="120" t="s">
        <v>2580</v>
      </c>
      <c r="E425" s="164">
        <v>7</v>
      </c>
      <c r="F425" s="109" t="s">
        <v>200</v>
      </c>
      <c r="G425" s="109" t="s">
        <v>200</v>
      </c>
    </row>
    <row r="426" spans="1:7" ht="15.65" customHeight="1" x14ac:dyDescent="0.35">
      <c r="A426" s="109" t="s">
        <v>200</v>
      </c>
      <c r="B426" s="120" t="s">
        <v>3495</v>
      </c>
      <c r="C426" s="120" t="s">
        <v>4479</v>
      </c>
      <c r="D426" s="120" t="s">
        <v>2955</v>
      </c>
      <c r="E426" s="164">
        <v>12</v>
      </c>
      <c r="F426" s="109" t="s">
        <v>200</v>
      </c>
      <c r="G426" s="109" t="s">
        <v>200</v>
      </c>
    </row>
    <row r="427" spans="1:7" ht="15.65" customHeight="1" x14ac:dyDescent="0.35">
      <c r="A427" s="109" t="s">
        <v>200</v>
      </c>
      <c r="B427" s="120" t="s">
        <v>3503</v>
      </c>
      <c r="C427" s="120" t="s">
        <v>4336</v>
      </c>
      <c r="D427" s="120" t="s">
        <v>608</v>
      </c>
      <c r="E427" s="164">
        <v>10</v>
      </c>
      <c r="F427" s="109" t="s">
        <v>200</v>
      </c>
      <c r="G427" s="109" t="s">
        <v>200</v>
      </c>
    </row>
    <row r="428" spans="1:7" ht="15.65" customHeight="1" x14ac:dyDescent="0.35">
      <c r="A428" s="109" t="s">
        <v>200</v>
      </c>
      <c r="B428" s="120" t="s">
        <v>3508</v>
      </c>
      <c r="C428" s="120" t="s">
        <v>4480</v>
      </c>
      <c r="D428" s="120" t="s">
        <v>4201</v>
      </c>
      <c r="E428" s="164">
        <v>2</v>
      </c>
      <c r="F428" s="109" t="s">
        <v>200</v>
      </c>
      <c r="G428" s="109" t="s">
        <v>200</v>
      </c>
    </row>
    <row r="429" spans="1:7" ht="15.65" customHeight="1" x14ac:dyDescent="0.35">
      <c r="A429" s="109" t="s">
        <v>200</v>
      </c>
      <c r="B429" s="120" t="s">
        <v>3530</v>
      </c>
      <c r="C429" s="120" t="s">
        <v>4481</v>
      </c>
      <c r="D429" s="120" t="s">
        <v>4201</v>
      </c>
      <c r="E429" s="164">
        <v>2</v>
      </c>
      <c r="F429" s="109" t="s">
        <v>200</v>
      </c>
      <c r="G429" s="109" t="s">
        <v>200</v>
      </c>
    </row>
    <row r="430" spans="1:7" ht="15.65" customHeight="1" x14ac:dyDescent="0.35">
      <c r="A430" s="109" t="s">
        <v>200</v>
      </c>
      <c r="B430" s="120" t="s">
        <v>3532</v>
      </c>
      <c r="C430" s="120" t="s">
        <v>4482</v>
      </c>
      <c r="D430" s="120" t="s">
        <v>659</v>
      </c>
      <c r="E430" s="164">
        <v>13</v>
      </c>
      <c r="F430" s="109" t="s">
        <v>200</v>
      </c>
      <c r="G430" s="109" t="s">
        <v>200</v>
      </c>
    </row>
    <row r="431" spans="1:7" ht="15.65" customHeight="1" x14ac:dyDescent="0.35">
      <c r="A431" s="109" t="s">
        <v>200</v>
      </c>
      <c r="B431" s="120" t="s">
        <v>3535</v>
      </c>
      <c r="C431" s="120" t="s">
        <v>4483</v>
      </c>
      <c r="D431" s="120" t="s">
        <v>2967</v>
      </c>
      <c r="E431" s="164">
        <v>5</v>
      </c>
      <c r="F431" s="109" t="s">
        <v>200</v>
      </c>
      <c r="G431" s="109" t="s">
        <v>200</v>
      </c>
    </row>
    <row r="432" spans="1:7" ht="15.65" customHeight="1" x14ac:dyDescent="0.35">
      <c r="A432" s="109" t="s">
        <v>200</v>
      </c>
      <c r="B432" s="120" t="s">
        <v>3538</v>
      </c>
      <c r="C432" s="120" t="s">
        <v>4484</v>
      </c>
      <c r="D432" s="120" t="s">
        <v>287</v>
      </c>
      <c r="E432" s="164">
        <v>16</v>
      </c>
      <c r="F432" s="109" t="s">
        <v>200</v>
      </c>
      <c r="G432" s="109" t="s">
        <v>200</v>
      </c>
    </row>
    <row r="433" spans="1:7" ht="15.65" customHeight="1" x14ac:dyDescent="0.35">
      <c r="A433" s="109" t="s">
        <v>200</v>
      </c>
      <c r="B433" s="120" t="s">
        <v>3541</v>
      </c>
      <c r="C433" s="120" t="s">
        <v>4482</v>
      </c>
      <c r="D433" s="120" t="s">
        <v>659</v>
      </c>
      <c r="E433" s="164">
        <v>13</v>
      </c>
      <c r="F433" s="109" t="s">
        <v>200</v>
      </c>
      <c r="G433" s="109" t="s">
        <v>200</v>
      </c>
    </row>
    <row r="434" spans="1:7" ht="15.65" customHeight="1" x14ac:dyDescent="0.35">
      <c r="A434" s="109" t="s">
        <v>200</v>
      </c>
      <c r="B434" s="120" t="s">
        <v>3544</v>
      </c>
      <c r="C434" s="120" t="s">
        <v>4406</v>
      </c>
      <c r="D434" s="120" t="s">
        <v>4290</v>
      </c>
      <c r="E434" s="164">
        <v>15</v>
      </c>
      <c r="F434" s="109" t="s">
        <v>200</v>
      </c>
      <c r="G434" s="109" t="s">
        <v>200</v>
      </c>
    </row>
    <row r="435" spans="1:7" ht="15.65" customHeight="1" x14ac:dyDescent="0.35">
      <c r="A435" s="109" t="s">
        <v>200</v>
      </c>
      <c r="B435" s="120" t="s">
        <v>3547</v>
      </c>
      <c r="C435" s="120" t="s">
        <v>4277</v>
      </c>
      <c r="D435" s="120" t="s">
        <v>188</v>
      </c>
      <c r="E435" s="164">
        <v>11</v>
      </c>
      <c r="F435" s="109" t="s">
        <v>200</v>
      </c>
      <c r="G435" s="109" t="s">
        <v>200</v>
      </c>
    </row>
    <row r="436" spans="1:7" ht="15.65" customHeight="1" x14ac:dyDescent="0.35">
      <c r="A436" s="109" t="s">
        <v>200</v>
      </c>
      <c r="B436" s="120" t="s">
        <v>3570</v>
      </c>
      <c r="C436" s="120" t="s">
        <v>4485</v>
      </c>
      <c r="D436" s="120" t="s">
        <v>659</v>
      </c>
      <c r="E436" s="164">
        <v>13</v>
      </c>
      <c r="F436" s="109" t="s">
        <v>200</v>
      </c>
      <c r="G436" s="109" t="s">
        <v>200</v>
      </c>
    </row>
    <row r="437" spans="1:7" ht="15.65" customHeight="1" x14ac:dyDescent="0.35">
      <c r="A437" s="109" t="s">
        <v>200</v>
      </c>
      <c r="B437" s="120" t="s">
        <v>3579</v>
      </c>
      <c r="C437" s="120" t="s">
        <v>3882</v>
      </c>
      <c r="D437" s="120" t="s">
        <v>1105</v>
      </c>
      <c r="E437" s="164">
        <v>1</v>
      </c>
      <c r="F437" s="109" t="s">
        <v>200</v>
      </c>
      <c r="G437" s="109" t="s">
        <v>200</v>
      </c>
    </row>
    <row r="438" spans="1:7" ht="15.65" customHeight="1" x14ac:dyDescent="0.35">
      <c r="A438" s="109" t="s">
        <v>200</v>
      </c>
      <c r="B438" s="120" t="s">
        <v>3588</v>
      </c>
      <c r="C438" s="120" t="s">
        <v>3366</v>
      </c>
      <c r="D438" s="120" t="s">
        <v>1311</v>
      </c>
      <c r="E438" s="164">
        <v>8</v>
      </c>
      <c r="F438" s="109" t="s">
        <v>200</v>
      </c>
      <c r="G438" s="109" t="s">
        <v>200</v>
      </c>
    </row>
    <row r="439" spans="1:7" ht="15.65" customHeight="1" x14ac:dyDescent="0.35">
      <c r="A439" s="109" t="s">
        <v>200</v>
      </c>
      <c r="B439" s="120" t="s">
        <v>3555</v>
      </c>
      <c r="C439" s="120" t="s">
        <v>3882</v>
      </c>
      <c r="D439" s="120" t="s">
        <v>1105</v>
      </c>
      <c r="E439" s="164">
        <v>1</v>
      </c>
      <c r="F439" s="109" t="s">
        <v>200</v>
      </c>
      <c r="G439" s="109" t="s">
        <v>200</v>
      </c>
    </row>
    <row r="440" spans="1:7" ht="15.65" customHeight="1" x14ac:dyDescent="0.35">
      <c r="A440" s="109" t="s">
        <v>200</v>
      </c>
      <c r="B440" s="120" t="s">
        <v>3564</v>
      </c>
      <c r="C440" s="120" t="s">
        <v>4385</v>
      </c>
      <c r="D440" s="120" t="s">
        <v>3376</v>
      </c>
      <c r="E440" s="164">
        <v>3</v>
      </c>
      <c r="F440" s="109" t="s">
        <v>200</v>
      </c>
      <c r="G440" s="109" t="s">
        <v>200</v>
      </c>
    </row>
    <row r="441" spans="1:7" ht="15.65" customHeight="1" x14ac:dyDescent="0.35">
      <c r="A441" s="109" t="s">
        <v>200</v>
      </c>
      <c r="B441" s="120" t="s">
        <v>3591</v>
      </c>
      <c r="C441" s="120" t="s">
        <v>4486</v>
      </c>
      <c r="D441" s="120" t="s">
        <v>2967</v>
      </c>
      <c r="E441" s="164">
        <v>5</v>
      </c>
      <c r="F441" s="109" t="s">
        <v>200</v>
      </c>
      <c r="G441" s="109" t="s">
        <v>200</v>
      </c>
    </row>
    <row r="442" spans="1:7" ht="15.65" customHeight="1" x14ac:dyDescent="0.35">
      <c r="A442" s="109" t="s">
        <v>200</v>
      </c>
      <c r="B442" s="120" t="s">
        <v>4487</v>
      </c>
      <c r="C442" s="120" t="s">
        <v>998</v>
      </c>
      <c r="D442" s="120" t="s">
        <v>999</v>
      </c>
      <c r="E442" s="164">
        <v>4</v>
      </c>
      <c r="F442" s="109" t="s">
        <v>200</v>
      </c>
      <c r="G442" s="109" t="s">
        <v>200</v>
      </c>
    </row>
    <row r="443" spans="1:7" ht="15.65" customHeight="1" x14ac:dyDescent="0.35">
      <c r="A443" s="109" t="s">
        <v>200</v>
      </c>
      <c r="B443" s="120" t="s">
        <v>3596</v>
      </c>
      <c r="C443" s="120" t="s">
        <v>4488</v>
      </c>
      <c r="D443" s="120" t="s">
        <v>4211</v>
      </c>
      <c r="E443" s="164">
        <v>9</v>
      </c>
      <c r="F443" s="109" t="s">
        <v>200</v>
      </c>
      <c r="G443" s="109" t="s">
        <v>200</v>
      </c>
    </row>
    <row r="444" spans="1:7" ht="15.65" customHeight="1" x14ac:dyDescent="0.35">
      <c r="A444" s="109" t="s">
        <v>200</v>
      </c>
      <c r="B444" s="120" t="s">
        <v>4489</v>
      </c>
      <c r="C444" s="120" t="s">
        <v>4421</v>
      </c>
      <c r="D444" s="120" t="s">
        <v>4306</v>
      </c>
      <c r="E444" s="164">
        <v>15</v>
      </c>
      <c r="F444" s="109" t="s">
        <v>200</v>
      </c>
      <c r="G444" s="109" t="s">
        <v>200</v>
      </c>
    </row>
    <row r="445" spans="1:7" ht="15.65" customHeight="1" x14ac:dyDescent="0.35">
      <c r="A445" s="109" t="s">
        <v>200</v>
      </c>
      <c r="B445" s="120" t="s">
        <v>3614</v>
      </c>
      <c r="C445" s="120" t="s">
        <v>4419</v>
      </c>
      <c r="D445" s="120" t="s">
        <v>2967</v>
      </c>
      <c r="E445" s="164">
        <v>5</v>
      </c>
      <c r="F445" s="109" t="s">
        <v>200</v>
      </c>
      <c r="G445" s="109" t="s">
        <v>200</v>
      </c>
    </row>
    <row r="446" spans="1:7" ht="15.65" customHeight="1" x14ac:dyDescent="0.35">
      <c r="A446" s="109" t="s">
        <v>200</v>
      </c>
      <c r="B446" s="120" t="s">
        <v>3619</v>
      </c>
      <c r="C446" s="120" t="s">
        <v>4360</v>
      </c>
      <c r="D446" s="120" t="s">
        <v>2967</v>
      </c>
      <c r="E446" s="164">
        <v>5</v>
      </c>
      <c r="F446" s="109" t="s">
        <v>200</v>
      </c>
      <c r="G446" s="109" t="s">
        <v>200</v>
      </c>
    </row>
    <row r="447" spans="1:7" ht="15.65" customHeight="1" x14ac:dyDescent="0.35">
      <c r="A447" s="109" t="s">
        <v>200</v>
      </c>
      <c r="B447" s="120" t="s">
        <v>3625</v>
      </c>
      <c r="C447" s="120" t="s">
        <v>4490</v>
      </c>
      <c r="D447" s="120" t="s">
        <v>2955</v>
      </c>
      <c r="E447" s="164">
        <v>12</v>
      </c>
      <c r="F447" s="109" t="s">
        <v>200</v>
      </c>
      <c r="G447" s="109" t="s">
        <v>200</v>
      </c>
    </row>
    <row r="448" spans="1:7" ht="15.65" customHeight="1" x14ac:dyDescent="0.35">
      <c r="A448" s="109" t="s">
        <v>200</v>
      </c>
      <c r="B448" s="120" t="s">
        <v>3630</v>
      </c>
      <c r="C448" s="120" t="s">
        <v>4491</v>
      </c>
      <c r="D448" s="120" t="s">
        <v>2967</v>
      </c>
      <c r="E448" s="164">
        <v>5</v>
      </c>
      <c r="F448" s="109" t="s">
        <v>200</v>
      </c>
      <c r="G448" s="109" t="s">
        <v>200</v>
      </c>
    </row>
    <row r="449" spans="1:7" ht="15.65" customHeight="1" x14ac:dyDescent="0.35">
      <c r="A449" s="109" t="s">
        <v>200</v>
      </c>
      <c r="B449" s="120" t="s">
        <v>4492</v>
      </c>
      <c r="C449" s="120" t="s">
        <v>4493</v>
      </c>
      <c r="D449" s="120" t="s">
        <v>608</v>
      </c>
      <c r="E449" s="164">
        <v>10</v>
      </c>
      <c r="F449" s="109" t="s">
        <v>200</v>
      </c>
      <c r="G449" s="109" t="s">
        <v>200</v>
      </c>
    </row>
    <row r="450" spans="1:7" ht="15.65" customHeight="1" x14ac:dyDescent="0.35">
      <c r="A450" s="109" t="s">
        <v>200</v>
      </c>
      <c r="B450" s="120" t="s">
        <v>4494</v>
      </c>
      <c r="C450" s="120" t="s">
        <v>4495</v>
      </c>
      <c r="D450" s="120" t="s">
        <v>4209</v>
      </c>
      <c r="E450" s="164">
        <v>14</v>
      </c>
      <c r="F450" s="109" t="s">
        <v>200</v>
      </c>
      <c r="G450" s="109" t="s">
        <v>200</v>
      </c>
    </row>
    <row r="451" spans="1:7" ht="15.65" customHeight="1" x14ac:dyDescent="0.35">
      <c r="A451" s="109" t="s">
        <v>200</v>
      </c>
      <c r="B451" s="120" t="s">
        <v>3639</v>
      </c>
      <c r="C451" s="120" t="s">
        <v>4496</v>
      </c>
      <c r="D451" s="120" t="s">
        <v>287</v>
      </c>
      <c r="E451" s="164">
        <v>16</v>
      </c>
      <c r="F451" s="109" t="s">
        <v>200</v>
      </c>
      <c r="G451" s="109" t="s">
        <v>200</v>
      </c>
    </row>
    <row r="452" spans="1:7" ht="15.65" customHeight="1" x14ac:dyDescent="0.35">
      <c r="A452" s="109" t="s">
        <v>200</v>
      </c>
      <c r="B452" s="120" t="s">
        <v>3643</v>
      </c>
      <c r="C452" s="120" t="s">
        <v>4497</v>
      </c>
      <c r="D452" s="120" t="s">
        <v>287</v>
      </c>
      <c r="E452" s="164">
        <v>16</v>
      </c>
      <c r="F452" s="109" t="s">
        <v>200</v>
      </c>
      <c r="G452" s="109" t="s">
        <v>200</v>
      </c>
    </row>
    <row r="453" spans="1:7" ht="15.65" customHeight="1" x14ac:dyDescent="0.35">
      <c r="A453" s="109" t="s">
        <v>200</v>
      </c>
      <c r="B453" s="120" t="s">
        <v>3645</v>
      </c>
      <c r="C453" s="120" t="s">
        <v>4498</v>
      </c>
      <c r="D453" s="120" t="s">
        <v>2955</v>
      </c>
      <c r="E453" s="164">
        <v>12</v>
      </c>
      <c r="F453" s="109" t="s">
        <v>200</v>
      </c>
      <c r="G453" s="109" t="s">
        <v>200</v>
      </c>
    </row>
    <row r="454" spans="1:7" ht="15.65" customHeight="1" x14ac:dyDescent="0.35">
      <c r="A454" s="109" t="s">
        <v>200</v>
      </c>
      <c r="B454" s="120" t="s">
        <v>3647</v>
      </c>
      <c r="C454" s="120" t="s">
        <v>4474</v>
      </c>
      <c r="D454" s="120" t="s">
        <v>999</v>
      </c>
      <c r="E454" s="164">
        <v>4</v>
      </c>
      <c r="F454" s="109" t="s">
        <v>200</v>
      </c>
      <c r="G454" s="109" t="s">
        <v>200</v>
      </c>
    </row>
    <row r="455" spans="1:7" ht="15.65" customHeight="1" x14ac:dyDescent="0.35">
      <c r="A455" s="109" t="s">
        <v>200</v>
      </c>
      <c r="B455" s="120" t="s">
        <v>3656</v>
      </c>
      <c r="C455" s="120" t="s">
        <v>4499</v>
      </c>
      <c r="D455" s="120" t="s">
        <v>287</v>
      </c>
      <c r="E455" s="164">
        <v>16</v>
      </c>
      <c r="F455" s="109" t="s">
        <v>200</v>
      </c>
      <c r="G455" s="109" t="s">
        <v>200</v>
      </c>
    </row>
    <row r="456" spans="1:7" ht="15.65" customHeight="1" x14ac:dyDescent="0.35">
      <c r="A456" s="109" t="s">
        <v>200</v>
      </c>
      <c r="B456" s="120" t="s">
        <v>4500</v>
      </c>
      <c r="C456" s="120" t="s">
        <v>4501</v>
      </c>
      <c r="D456" s="120" t="s">
        <v>4201</v>
      </c>
      <c r="E456" s="164">
        <v>15</v>
      </c>
      <c r="F456" s="109" t="s">
        <v>200</v>
      </c>
      <c r="G456" s="109" t="s">
        <v>200</v>
      </c>
    </row>
    <row r="457" spans="1:7" ht="15.65" customHeight="1" x14ac:dyDescent="0.35">
      <c r="A457" s="109" t="s">
        <v>200</v>
      </c>
      <c r="B457" s="120" t="s">
        <v>3665</v>
      </c>
      <c r="C457" s="120" t="s">
        <v>4502</v>
      </c>
      <c r="D457" s="120" t="s">
        <v>2967</v>
      </c>
      <c r="E457" s="164">
        <v>5</v>
      </c>
      <c r="F457" s="109" t="s">
        <v>200</v>
      </c>
      <c r="G457" s="109" t="s">
        <v>200</v>
      </c>
    </row>
    <row r="458" spans="1:7" ht="15.65" customHeight="1" x14ac:dyDescent="0.35">
      <c r="A458" s="109" t="s">
        <v>200</v>
      </c>
      <c r="B458" s="120" t="s">
        <v>3671</v>
      </c>
      <c r="C458" s="120" t="s">
        <v>3794</v>
      </c>
      <c r="D458" s="120" t="s">
        <v>1311</v>
      </c>
      <c r="E458" s="164">
        <v>8</v>
      </c>
      <c r="F458" s="109" t="s">
        <v>200</v>
      </c>
      <c r="G458" s="109" t="s">
        <v>200</v>
      </c>
    </row>
    <row r="459" spans="1:7" ht="15.65" customHeight="1" x14ac:dyDescent="0.35">
      <c r="A459" s="109" t="s">
        <v>200</v>
      </c>
      <c r="B459" s="120" t="s">
        <v>3680</v>
      </c>
      <c r="C459" s="120" t="s">
        <v>4478</v>
      </c>
      <c r="D459" s="120" t="s">
        <v>2580</v>
      </c>
      <c r="E459" s="164">
        <v>7</v>
      </c>
      <c r="F459" s="109" t="s">
        <v>200</v>
      </c>
      <c r="G459" s="109" t="s">
        <v>200</v>
      </c>
    </row>
    <row r="460" spans="1:7" ht="15.65" customHeight="1" x14ac:dyDescent="0.35">
      <c r="A460" s="109" t="s">
        <v>200</v>
      </c>
      <c r="B460" s="120" t="s">
        <v>4503</v>
      </c>
      <c r="C460" s="120" t="s">
        <v>4385</v>
      </c>
      <c r="D460" s="120" t="s">
        <v>3376</v>
      </c>
      <c r="E460" s="164">
        <v>3</v>
      </c>
      <c r="F460" s="109" t="s">
        <v>200</v>
      </c>
      <c r="G460" s="109" t="s">
        <v>200</v>
      </c>
    </row>
    <row r="461" spans="1:7" ht="15.65" customHeight="1" x14ac:dyDescent="0.35">
      <c r="A461" s="109" t="s">
        <v>200</v>
      </c>
      <c r="B461" s="120" t="s">
        <v>3696</v>
      </c>
      <c r="C461" s="120" t="s">
        <v>4486</v>
      </c>
      <c r="D461" s="120" t="s">
        <v>2967</v>
      </c>
      <c r="E461" s="164">
        <v>5</v>
      </c>
      <c r="F461" s="109" t="s">
        <v>200</v>
      </c>
      <c r="G461" s="109" t="s">
        <v>200</v>
      </c>
    </row>
    <row r="462" spans="1:7" ht="15.65" customHeight="1" x14ac:dyDescent="0.35">
      <c r="A462" s="109" t="s">
        <v>200</v>
      </c>
      <c r="B462" s="120" t="s">
        <v>3701</v>
      </c>
      <c r="C462" s="120" t="s">
        <v>4504</v>
      </c>
      <c r="D462" s="120" t="s">
        <v>315</v>
      </c>
      <c r="E462" s="164">
        <v>6</v>
      </c>
      <c r="F462" s="109" t="s">
        <v>200</v>
      </c>
      <c r="G462" s="109" t="s">
        <v>200</v>
      </c>
    </row>
    <row r="463" spans="1:7" ht="15.65" customHeight="1" x14ac:dyDescent="0.35">
      <c r="A463" s="109" t="s">
        <v>200</v>
      </c>
      <c r="B463" s="120" t="s">
        <v>3706</v>
      </c>
      <c r="C463" s="120" t="s">
        <v>4360</v>
      </c>
      <c r="D463" s="120" t="s">
        <v>2967</v>
      </c>
      <c r="E463" s="164">
        <v>5</v>
      </c>
      <c r="F463" s="109" t="s">
        <v>200</v>
      </c>
      <c r="G463" s="109" t="s">
        <v>200</v>
      </c>
    </row>
    <row r="464" spans="1:7" ht="15.65" customHeight="1" x14ac:dyDescent="0.35">
      <c r="A464" s="109" t="s">
        <v>200</v>
      </c>
      <c r="B464" s="120" t="s">
        <v>3634</v>
      </c>
      <c r="C464" s="120" t="s">
        <v>4493</v>
      </c>
      <c r="D464" s="120" t="s">
        <v>608</v>
      </c>
      <c r="E464" s="164">
        <v>10</v>
      </c>
      <c r="F464" s="109" t="s">
        <v>200</v>
      </c>
      <c r="G464" s="109" t="s">
        <v>200</v>
      </c>
    </row>
    <row r="465" spans="1:7" ht="15.65" customHeight="1" x14ac:dyDescent="0.35">
      <c r="A465" s="109" t="s">
        <v>200</v>
      </c>
      <c r="B465" s="120" t="s">
        <v>3718</v>
      </c>
      <c r="C465" s="120" t="s">
        <v>3718</v>
      </c>
      <c r="D465" s="120" t="s">
        <v>4209</v>
      </c>
      <c r="E465" s="164">
        <v>14</v>
      </c>
      <c r="F465" s="109" t="s">
        <v>200</v>
      </c>
      <c r="G465" s="109" t="s">
        <v>200</v>
      </c>
    </row>
    <row r="466" spans="1:7" ht="15.65" customHeight="1" x14ac:dyDescent="0.35">
      <c r="A466" s="109" t="s">
        <v>200</v>
      </c>
      <c r="B466" s="120" t="s">
        <v>3722</v>
      </c>
      <c r="C466" s="120" t="s">
        <v>4360</v>
      </c>
      <c r="D466" s="120" t="s">
        <v>2967</v>
      </c>
      <c r="E466" s="164">
        <v>5</v>
      </c>
      <c r="F466" s="109" t="s">
        <v>200</v>
      </c>
      <c r="G466" s="109" t="s">
        <v>200</v>
      </c>
    </row>
    <row r="467" spans="1:7" ht="15.65" customHeight="1" x14ac:dyDescent="0.35">
      <c r="A467" s="109" t="s">
        <v>200</v>
      </c>
      <c r="B467" s="120" t="s">
        <v>3729</v>
      </c>
      <c r="C467" s="120" t="s">
        <v>4493</v>
      </c>
      <c r="D467" s="120" t="s">
        <v>608</v>
      </c>
      <c r="E467" s="164">
        <v>10</v>
      </c>
      <c r="F467" s="109" t="s">
        <v>200</v>
      </c>
      <c r="G467" s="109" t="s">
        <v>200</v>
      </c>
    </row>
    <row r="468" spans="1:7" ht="15.65" customHeight="1" x14ac:dyDescent="0.35">
      <c r="A468" s="109" t="s">
        <v>200</v>
      </c>
      <c r="B468" s="120" t="s">
        <v>3735</v>
      </c>
      <c r="C468" s="120" t="s">
        <v>4501</v>
      </c>
      <c r="D468" s="120" t="s">
        <v>4201</v>
      </c>
      <c r="E468" s="164">
        <v>2</v>
      </c>
      <c r="F468" s="109" t="s">
        <v>200</v>
      </c>
      <c r="G468" s="109" t="s">
        <v>200</v>
      </c>
    </row>
    <row r="469" spans="1:7" ht="15.65" customHeight="1" x14ac:dyDescent="0.35">
      <c r="A469" s="109" t="s">
        <v>200</v>
      </c>
      <c r="B469" s="120" t="s">
        <v>3747</v>
      </c>
      <c r="C469" s="120" t="s">
        <v>4505</v>
      </c>
      <c r="D469" s="120" t="s">
        <v>3376</v>
      </c>
      <c r="E469" s="164">
        <v>3</v>
      </c>
      <c r="F469" s="109" t="s">
        <v>200</v>
      </c>
      <c r="G469" s="109" t="s">
        <v>200</v>
      </c>
    </row>
    <row r="470" spans="1:7" ht="15.65" customHeight="1" x14ac:dyDescent="0.35">
      <c r="A470" s="109" t="s">
        <v>200</v>
      </c>
      <c r="B470" s="120" t="s">
        <v>3755</v>
      </c>
      <c r="C470" s="120" t="s">
        <v>4506</v>
      </c>
      <c r="D470" s="120" t="s">
        <v>4218</v>
      </c>
      <c r="E470" s="164">
        <v>6</v>
      </c>
      <c r="F470" s="109" t="s">
        <v>200</v>
      </c>
      <c r="G470" s="109" t="s">
        <v>200</v>
      </c>
    </row>
    <row r="471" spans="1:7" ht="15.65" customHeight="1" x14ac:dyDescent="0.35">
      <c r="A471" s="109" t="s">
        <v>200</v>
      </c>
      <c r="B471" s="120" t="s">
        <v>3761</v>
      </c>
      <c r="C471" s="120" t="s">
        <v>286</v>
      </c>
      <c r="D471" s="120" t="s">
        <v>287</v>
      </c>
      <c r="E471" s="164">
        <v>16</v>
      </c>
      <c r="F471" s="109" t="s">
        <v>200</v>
      </c>
      <c r="G471" s="109" t="s">
        <v>200</v>
      </c>
    </row>
    <row r="472" spans="1:7" ht="15.65" customHeight="1" x14ac:dyDescent="0.35">
      <c r="A472" s="109" t="s">
        <v>200</v>
      </c>
      <c r="B472" s="120" t="s">
        <v>3768</v>
      </c>
      <c r="C472" s="120" t="s">
        <v>4478</v>
      </c>
      <c r="D472" s="120" t="s">
        <v>2580</v>
      </c>
      <c r="E472" s="164">
        <v>7</v>
      </c>
      <c r="F472" s="109" t="s">
        <v>200</v>
      </c>
      <c r="G472" s="109" t="s">
        <v>200</v>
      </c>
    </row>
    <row r="473" spans="1:7" ht="15.65" customHeight="1" x14ac:dyDescent="0.35">
      <c r="A473" s="109" t="s">
        <v>200</v>
      </c>
      <c r="B473" s="120" t="s">
        <v>3774</v>
      </c>
      <c r="C473" s="120" t="s">
        <v>4413</v>
      </c>
      <c r="D473" s="120" t="s">
        <v>188</v>
      </c>
      <c r="E473" s="164">
        <v>11</v>
      </c>
      <c r="F473" s="109" t="s">
        <v>200</v>
      </c>
      <c r="G473" s="109" t="s">
        <v>200</v>
      </c>
    </row>
    <row r="474" spans="1:7" ht="15.65" customHeight="1" x14ac:dyDescent="0.35">
      <c r="A474" s="109" t="s">
        <v>200</v>
      </c>
      <c r="B474" s="120" t="s">
        <v>3781</v>
      </c>
      <c r="C474" s="120" t="s">
        <v>4308</v>
      </c>
      <c r="D474" s="120" t="s">
        <v>4201</v>
      </c>
      <c r="E474" s="164">
        <v>2</v>
      </c>
      <c r="F474" s="109" t="s">
        <v>200</v>
      </c>
      <c r="G474" s="109" t="s">
        <v>200</v>
      </c>
    </row>
    <row r="475" spans="1:7" ht="15.65" customHeight="1" x14ac:dyDescent="0.35">
      <c r="A475" s="109" t="s">
        <v>200</v>
      </c>
      <c r="B475" s="120" t="s">
        <v>3794</v>
      </c>
      <c r="C475" s="120" t="s">
        <v>3366</v>
      </c>
      <c r="D475" s="120" t="s">
        <v>1311</v>
      </c>
      <c r="E475" s="164">
        <v>8</v>
      </c>
      <c r="F475" s="109" t="s">
        <v>200</v>
      </c>
      <c r="G475" s="109" t="s">
        <v>200</v>
      </c>
    </row>
    <row r="476" spans="1:7" ht="15.65" customHeight="1" x14ac:dyDescent="0.35">
      <c r="A476" s="109" t="s">
        <v>200</v>
      </c>
      <c r="B476" s="120" t="s">
        <v>3808</v>
      </c>
      <c r="C476" s="120" t="s">
        <v>4507</v>
      </c>
      <c r="D476" s="120" t="s">
        <v>3376</v>
      </c>
      <c r="E476" s="164">
        <v>3</v>
      </c>
      <c r="F476" s="109" t="s">
        <v>200</v>
      </c>
      <c r="G476" s="109" t="s">
        <v>200</v>
      </c>
    </row>
    <row r="477" spans="1:7" ht="15.65" customHeight="1" x14ac:dyDescent="0.35">
      <c r="A477" s="109" t="s">
        <v>200</v>
      </c>
      <c r="B477" s="120" t="s">
        <v>3523</v>
      </c>
      <c r="C477" s="120" t="s">
        <v>4331</v>
      </c>
      <c r="D477" s="120" t="s">
        <v>3376</v>
      </c>
      <c r="E477" s="164">
        <v>3</v>
      </c>
      <c r="F477" s="109" t="s">
        <v>200</v>
      </c>
      <c r="G477" s="109" t="s">
        <v>200</v>
      </c>
    </row>
    <row r="478" spans="1:7" ht="15.65" customHeight="1" x14ac:dyDescent="0.35">
      <c r="A478" s="109" t="s">
        <v>200</v>
      </c>
      <c r="B478" s="120" t="s">
        <v>3811</v>
      </c>
      <c r="C478" s="120" t="s">
        <v>4508</v>
      </c>
      <c r="D478" s="120" t="s">
        <v>2580</v>
      </c>
      <c r="E478" s="164">
        <v>7</v>
      </c>
      <c r="F478" s="109" t="s">
        <v>200</v>
      </c>
      <c r="G478" s="109" t="s">
        <v>200</v>
      </c>
    </row>
    <row r="479" spans="1:7" ht="15.65" customHeight="1" x14ac:dyDescent="0.35">
      <c r="A479" s="109" t="s">
        <v>200</v>
      </c>
      <c r="B479" s="120" t="s">
        <v>3818</v>
      </c>
      <c r="C479" s="120" t="s">
        <v>3818</v>
      </c>
      <c r="D479" s="120" t="s">
        <v>2955</v>
      </c>
      <c r="E479" s="164">
        <v>12</v>
      </c>
      <c r="F479" s="109" t="s">
        <v>200</v>
      </c>
      <c r="G479" s="109" t="s">
        <v>200</v>
      </c>
    </row>
    <row r="480" spans="1:7" ht="15.65" customHeight="1" x14ac:dyDescent="0.35">
      <c r="A480" s="109" t="s">
        <v>200</v>
      </c>
      <c r="B480" s="120" t="s">
        <v>3822</v>
      </c>
      <c r="C480" s="120" t="s">
        <v>4509</v>
      </c>
      <c r="D480" s="120" t="s">
        <v>315</v>
      </c>
      <c r="E480" s="164">
        <v>6</v>
      </c>
      <c r="F480" s="109" t="s">
        <v>200</v>
      </c>
      <c r="G480" s="109" t="s">
        <v>200</v>
      </c>
    </row>
    <row r="481" spans="1:7" ht="15.65" customHeight="1" x14ac:dyDescent="0.35">
      <c r="A481" s="109" t="s">
        <v>200</v>
      </c>
      <c r="B481" s="120" t="s">
        <v>3826</v>
      </c>
      <c r="C481" s="120" t="s">
        <v>4510</v>
      </c>
      <c r="D481" s="120" t="s">
        <v>608</v>
      </c>
      <c r="E481" s="164">
        <v>10</v>
      </c>
      <c r="F481" s="109" t="s">
        <v>200</v>
      </c>
      <c r="G481" s="109" t="s">
        <v>200</v>
      </c>
    </row>
    <row r="482" spans="1:7" ht="15.65" customHeight="1" x14ac:dyDescent="0.35">
      <c r="A482" s="109" t="s">
        <v>200</v>
      </c>
      <c r="B482" s="120" t="s">
        <v>3832</v>
      </c>
      <c r="C482" s="120" t="s">
        <v>4511</v>
      </c>
      <c r="D482" s="120" t="s">
        <v>2580</v>
      </c>
      <c r="E482" s="164">
        <v>7</v>
      </c>
      <c r="F482" s="109" t="s">
        <v>200</v>
      </c>
      <c r="G482" s="109" t="s">
        <v>200</v>
      </c>
    </row>
    <row r="483" spans="1:7" ht="15.65" customHeight="1" x14ac:dyDescent="0.35">
      <c r="A483" s="109" t="s">
        <v>200</v>
      </c>
      <c r="B483" s="120" t="s">
        <v>3838</v>
      </c>
      <c r="C483" s="120" t="s">
        <v>4512</v>
      </c>
      <c r="D483" s="120" t="s">
        <v>287</v>
      </c>
      <c r="E483" s="164">
        <v>16</v>
      </c>
      <c r="F483" s="109" t="s">
        <v>200</v>
      </c>
      <c r="G483" s="109" t="s">
        <v>200</v>
      </c>
    </row>
    <row r="484" spans="1:7" ht="15.65" customHeight="1" x14ac:dyDescent="0.35">
      <c r="A484" s="109" t="s">
        <v>200</v>
      </c>
      <c r="B484" s="120" t="s">
        <v>3844</v>
      </c>
      <c r="C484" s="120" t="s">
        <v>4513</v>
      </c>
      <c r="D484" s="120" t="s">
        <v>4201</v>
      </c>
      <c r="E484" s="164">
        <v>2</v>
      </c>
      <c r="F484" s="109" t="s">
        <v>200</v>
      </c>
      <c r="G484" s="109" t="s">
        <v>200</v>
      </c>
    </row>
    <row r="485" spans="1:7" ht="15.65" customHeight="1" x14ac:dyDescent="0.35">
      <c r="A485" s="109" t="s">
        <v>200</v>
      </c>
      <c r="B485" s="120" t="s">
        <v>3850</v>
      </c>
      <c r="C485" s="120" t="s">
        <v>4360</v>
      </c>
      <c r="D485" s="120" t="s">
        <v>2967</v>
      </c>
      <c r="E485" s="164">
        <v>5</v>
      </c>
      <c r="F485" s="109" t="s">
        <v>200</v>
      </c>
      <c r="G485" s="109" t="s">
        <v>200</v>
      </c>
    </row>
    <row r="486" spans="1:7" ht="15.65" customHeight="1" x14ac:dyDescent="0.35">
      <c r="A486" s="109" t="s">
        <v>200</v>
      </c>
      <c r="B486" s="120" t="s">
        <v>3856</v>
      </c>
      <c r="C486" s="120" t="s">
        <v>4273</v>
      </c>
      <c r="D486" s="120" t="s">
        <v>659</v>
      </c>
      <c r="E486" s="164">
        <v>13</v>
      </c>
      <c r="F486" s="109" t="s">
        <v>200</v>
      </c>
      <c r="G486" s="109" t="s">
        <v>200</v>
      </c>
    </row>
    <row r="487" spans="1:7" ht="15.65" customHeight="1" x14ac:dyDescent="0.35">
      <c r="A487" s="109" t="s">
        <v>200</v>
      </c>
      <c r="B487" s="120" t="s">
        <v>4514</v>
      </c>
      <c r="C487" s="120" t="s">
        <v>4515</v>
      </c>
      <c r="D487" s="120" t="s">
        <v>2580</v>
      </c>
      <c r="E487" s="164">
        <v>7</v>
      </c>
      <c r="F487" s="109" t="s">
        <v>200</v>
      </c>
      <c r="G487" s="109" t="s">
        <v>200</v>
      </c>
    </row>
    <row r="488" spans="1:7" ht="15.65" customHeight="1" x14ac:dyDescent="0.35">
      <c r="A488" s="109" t="s">
        <v>200</v>
      </c>
      <c r="B488" s="120" t="s">
        <v>4516</v>
      </c>
      <c r="C488" s="120" t="s">
        <v>4517</v>
      </c>
      <c r="D488" s="120" t="s">
        <v>1311</v>
      </c>
      <c r="E488" s="164">
        <v>8</v>
      </c>
      <c r="F488" s="109" t="s">
        <v>200</v>
      </c>
      <c r="G488" s="109" t="s">
        <v>200</v>
      </c>
    </row>
    <row r="489" spans="1:7" ht="15.65" customHeight="1" x14ac:dyDescent="0.35">
      <c r="A489" s="109" t="s">
        <v>200</v>
      </c>
      <c r="B489" s="120" t="s">
        <v>3514</v>
      </c>
      <c r="C489" s="120" t="s">
        <v>4331</v>
      </c>
      <c r="D489" s="120" t="s">
        <v>3376</v>
      </c>
      <c r="E489" s="164">
        <v>3</v>
      </c>
      <c r="F489" s="109" t="s">
        <v>200</v>
      </c>
      <c r="G489" s="109" t="s">
        <v>200</v>
      </c>
    </row>
    <row r="490" spans="1:7" ht="15.65" customHeight="1" x14ac:dyDescent="0.35">
      <c r="A490" s="109" t="s">
        <v>200</v>
      </c>
      <c r="B490" s="120" t="s">
        <v>3601</v>
      </c>
      <c r="C490" s="120" t="s">
        <v>4296</v>
      </c>
      <c r="D490" s="120" t="s">
        <v>188</v>
      </c>
      <c r="E490" s="164">
        <v>11</v>
      </c>
      <c r="F490" s="109" t="s">
        <v>200</v>
      </c>
      <c r="G490" s="109" t="s">
        <v>200</v>
      </c>
    </row>
    <row r="491" spans="1:7" ht="15.65" customHeight="1" x14ac:dyDescent="0.35">
      <c r="A491" s="109" t="s">
        <v>200</v>
      </c>
      <c r="B491" s="120" t="s">
        <v>4518</v>
      </c>
      <c r="C491" s="120" t="s">
        <v>3366</v>
      </c>
      <c r="D491" s="120" t="s">
        <v>1311</v>
      </c>
      <c r="E491" s="164">
        <v>8</v>
      </c>
      <c r="F491" s="109" t="s">
        <v>200</v>
      </c>
      <c r="G491" s="109" t="s">
        <v>200</v>
      </c>
    </row>
    <row r="492" spans="1:7" ht="15.65" customHeight="1" x14ac:dyDescent="0.35">
      <c r="A492" s="109" t="s">
        <v>200</v>
      </c>
      <c r="B492" s="120" t="s">
        <v>4519</v>
      </c>
      <c r="C492" s="158" t="s">
        <v>4520</v>
      </c>
      <c r="D492" s="120" t="s">
        <v>3376</v>
      </c>
      <c r="E492" s="164">
        <v>3</v>
      </c>
      <c r="F492" s="109" t="s">
        <v>200</v>
      </c>
      <c r="G492" s="109" t="s">
        <v>200</v>
      </c>
    </row>
    <row r="493" spans="1:7" ht="15.65" customHeight="1" x14ac:dyDescent="0.35">
      <c r="A493" s="109" t="s">
        <v>200</v>
      </c>
      <c r="B493" s="120" t="s">
        <v>4521</v>
      </c>
      <c r="C493" s="120" t="s">
        <v>4522</v>
      </c>
      <c r="D493" s="120" t="s">
        <v>999</v>
      </c>
      <c r="E493" s="164">
        <v>4</v>
      </c>
      <c r="F493" s="109" t="s">
        <v>200</v>
      </c>
      <c r="G493" s="109" t="s">
        <v>200</v>
      </c>
    </row>
    <row r="494" spans="1:7" ht="15.65" customHeight="1" x14ac:dyDescent="0.35">
      <c r="A494" s="109" t="s">
        <v>200</v>
      </c>
      <c r="B494" s="120" t="s">
        <v>3977</v>
      </c>
      <c r="C494" s="120" t="s">
        <v>4308</v>
      </c>
      <c r="D494" s="120" t="s">
        <v>4201</v>
      </c>
      <c r="E494" s="164">
        <v>2</v>
      </c>
      <c r="F494" s="109" t="s">
        <v>200</v>
      </c>
      <c r="G494" s="109" t="s">
        <v>200</v>
      </c>
    </row>
    <row r="495" spans="1:7" ht="15.65" customHeight="1" x14ac:dyDescent="0.35">
      <c r="A495" s="109" t="s">
        <v>200</v>
      </c>
      <c r="B495" s="120" t="s">
        <v>3984</v>
      </c>
      <c r="C495" s="120" t="s">
        <v>4349</v>
      </c>
      <c r="D495" s="120" t="s">
        <v>4201</v>
      </c>
      <c r="E495" s="164">
        <v>2</v>
      </c>
      <c r="F495" s="109" t="s">
        <v>200</v>
      </c>
      <c r="G495" s="109" t="s">
        <v>200</v>
      </c>
    </row>
    <row r="496" spans="1:7" ht="15.65" customHeight="1" x14ac:dyDescent="0.35">
      <c r="A496" s="109" t="s">
        <v>200</v>
      </c>
      <c r="B496" s="120" t="s">
        <v>3989</v>
      </c>
      <c r="C496" s="120" t="s">
        <v>4308</v>
      </c>
      <c r="D496" s="120" t="s">
        <v>4201</v>
      </c>
      <c r="E496" s="164">
        <v>2</v>
      </c>
      <c r="F496" s="109" t="s">
        <v>200</v>
      </c>
      <c r="G496" s="109" t="s">
        <v>200</v>
      </c>
    </row>
    <row r="497" spans="1:7" ht="15.65" customHeight="1" x14ac:dyDescent="0.35">
      <c r="A497" s="109" t="s">
        <v>200</v>
      </c>
      <c r="B497" s="120" t="s">
        <v>3991</v>
      </c>
      <c r="C497" s="120" t="s">
        <v>3366</v>
      </c>
      <c r="D497" s="120" t="s">
        <v>1311</v>
      </c>
      <c r="E497" s="164">
        <v>8</v>
      </c>
      <c r="F497" s="109" t="s">
        <v>200</v>
      </c>
      <c r="G497" s="109" t="s">
        <v>200</v>
      </c>
    </row>
    <row r="498" spans="1:7" ht="15.65" customHeight="1" x14ac:dyDescent="0.35">
      <c r="A498" s="109" t="s">
        <v>200</v>
      </c>
      <c r="B498" s="120" t="s">
        <v>3997</v>
      </c>
      <c r="C498" s="120" t="s">
        <v>2399</v>
      </c>
      <c r="D498" s="120" t="s">
        <v>188</v>
      </c>
      <c r="E498" s="164">
        <v>11</v>
      </c>
      <c r="F498" s="109" t="s">
        <v>200</v>
      </c>
      <c r="G498" s="109" t="s">
        <v>200</v>
      </c>
    </row>
    <row r="499" spans="1:7" ht="15.65" customHeight="1" x14ac:dyDescent="0.35">
      <c r="A499" s="109" t="s">
        <v>200</v>
      </c>
      <c r="B499" s="120" t="s">
        <v>4004</v>
      </c>
      <c r="C499" s="120" t="s">
        <v>4523</v>
      </c>
      <c r="D499" s="120" t="s">
        <v>2955</v>
      </c>
      <c r="E499" s="164">
        <v>12</v>
      </c>
      <c r="F499" s="109" t="s">
        <v>200</v>
      </c>
      <c r="G499" s="109" t="s">
        <v>200</v>
      </c>
    </row>
    <row r="500" spans="1:7" ht="15.65" customHeight="1" x14ac:dyDescent="0.35">
      <c r="A500" s="109" t="s">
        <v>200</v>
      </c>
      <c r="B500" s="120" t="s">
        <v>4012</v>
      </c>
      <c r="C500" s="120" t="s">
        <v>4012</v>
      </c>
      <c r="D500" s="120" t="s">
        <v>4211</v>
      </c>
      <c r="E500" s="164">
        <v>9</v>
      </c>
      <c r="F500" s="109" t="s">
        <v>200</v>
      </c>
      <c r="G500" s="159" t="s">
        <v>200</v>
      </c>
    </row>
    <row r="501" spans="1:7" ht="15.65" customHeight="1" x14ac:dyDescent="0.35">
      <c r="A501" s="109" t="s">
        <v>200</v>
      </c>
      <c r="B501" s="120" t="s">
        <v>4014</v>
      </c>
      <c r="C501" s="120" t="s">
        <v>4273</v>
      </c>
      <c r="D501" s="120" t="s">
        <v>659</v>
      </c>
      <c r="E501" s="164">
        <v>13</v>
      </c>
      <c r="F501" s="109" t="s">
        <v>200</v>
      </c>
      <c r="G501" s="109" t="s">
        <v>200</v>
      </c>
    </row>
    <row r="502" spans="1:7" ht="15.65" customHeight="1" x14ac:dyDescent="0.35">
      <c r="A502" s="109" t="s">
        <v>200</v>
      </c>
      <c r="B502" s="120" t="s">
        <v>4017</v>
      </c>
      <c r="C502" s="120" t="s">
        <v>4273</v>
      </c>
      <c r="D502" s="120" t="s">
        <v>659</v>
      </c>
      <c r="E502" s="164">
        <v>13</v>
      </c>
      <c r="F502" s="109" t="s">
        <v>200</v>
      </c>
      <c r="G502" s="109" t="s">
        <v>200</v>
      </c>
    </row>
    <row r="503" spans="1:7" ht="15.65" customHeight="1" x14ac:dyDescent="0.35">
      <c r="A503" s="109" t="s">
        <v>200</v>
      </c>
      <c r="B503" s="120" t="s">
        <v>4022</v>
      </c>
      <c r="C503" s="120" t="s">
        <v>4379</v>
      </c>
      <c r="D503" s="120" t="s">
        <v>188</v>
      </c>
      <c r="E503" s="164">
        <v>11</v>
      </c>
      <c r="F503" s="109" t="s">
        <v>200</v>
      </c>
      <c r="G503" s="109" t="s">
        <v>200</v>
      </c>
    </row>
    <row r="504" spans="1:7" ht="15.65" customHeight="1" x14ac:dyDescent="0.35">
      <c r="A504" s="109" t="s">
        <v>200</v>
      </c>
      <c r="B504" s="4" t="s">
        <v>4027</v>
      </c>
      <c r="C504" s="120" t="s">
        <v>4286</v>
      </c>
      <c r="D504" s="120" t="s">
        <v>2580</v>
      </c>
      <c r="E504" s="164">
        <v>7</v>
      </c>
      <c r="F504" s="109" t="s">
        <v>200</v>
      </c>
      <c r="G504" s="109" t="s">
        <v>200</v>
      </c>
    </row>
    <row r="505" spans="1:7" ht="15.65" customHeight="1" x14ac:dyDescent="0.35">
      <c r="A505" s="109" t="s">
        <v>200</v>
      </c>
      <c r="B505" s="120" t="s">
        <v>4029</v>
      </c>
      <c r="C505" s="120" t="s">
        <v>4271</v>
      </c>
      <c r="D505" s="120" t="s">
        <v>2955</v>
      </c>
      <c r="E505" s="164">
        <v>12</v>
      </c>
      <c r="F505" s="109" t="s">
        <v>200</v>
      </c>
      <c r="G505" s="109" t="s">
        <v>200</v>
      </c>
    </row>
    <row r="506" spans="1:7" ht="15.65" customHeight="1" x14ac:dyDescent="0.35">
      <c r="A506" s="109" t="s">
        <v>200</v>
      </c>
      <c r="B506" s="120" t="s">
        <v>4037</v>
      </c>
      <c r="C506" s="120" t="s">
        <v>4493</v>
      </c>
      <c r="D506" s="120" t="s">
        <v>608</v>
      </c>
      <c r="E506" s="164">
        <v>10</v>
      </c>
      <c r="F506" s="109" t="s">
        <v>200</v>
      </c>
      <c r="G506" s="109" t="s">
        <v>200</v>
      </c>
    </row>
    <row r="507" spans="1:7" ht="15.65" customHeight="1" x14ac:dyDescent="0.35">
      <c r="A507" s="109" t="s">
        <v>200</v>
      </c>
      <c r="B507" s="120" t="s">
        <v>4043</v>
      </c>
      <c r="C507" s="120" t="s">
        <v>4524</v>
      </c>
      <c r="D507" s="120" t="s">
        <v>2580</v>
      </c>
      <c r="E507" s="164">
        <v>7</v>
      </c>
      <c r="F507" s="109" t="s">
        <v>200</v>
      </c>
      <c r="G507" s="159" t="s">
        <v>200</v>
      </c>
    </row>
    <row r="508" spans="1:7" ht="15.65" customHeight="1" x14ac:dyDescent="0.35">
      <c r="A508" s="109" t="s">
        <v>200</v>
      </c>
      <c r="B508" s="4" t="s">
        <v>4052</v>
      </c>
      <c r="C508" s="120" t="s">
        <v>4525</v>
      </c>
      <c r="D508" s="120" t="s">
        <v>1891</v>
      </c>
      <c r="E508" s="164">
        <v>6</v>
      </c>
      <c r="F508" s="109" t="s">
        <v>200</v>
      </c>
      <c r="G508" s="109" t="s">
        <v>200</v>
      </c>
    </row>
    <row r="509" spans="1:7" ht="15.65" customHeight="1" x14ac:dyDescent="0.35">
      <c r="A509" s="109" t="s">
        <v>200</v>
      </c>
      <c r="B509" s="120" t="s">
        <v>4054</v>
      </c>
      <c r="C509" s="120" t="s">
        <v>4308</v>
      </c>
      <c r="D509" s="120" t="s">
        <v>4201</v>
      </c>
      <c r="E509" s="164">
        <v>2</v>
      </c>
      <c r="F509" s="109" t="s">
        <v>200</v>
      </c>
      <c r="G509" s="109" t="s">
        <v>200</v>
      </c>
    </row>
    <row r="510" spans="1:7" ht="15.65" customHeight="1" x14ac:dyDescent="0.35">
      <c r="A510" s="109" t="s">
        <v>200</v>
      </c>
      <c r="B510" s="160" t="s">
        <v>4056</v>
      </c>
      <c r="C510" s="120" t="s">
        <v>3882</v>
      </c>
      <c r="D510" s="120" t="s">
        <v>1105</v>
      </c>
      <c r="E510" s="164">
        <v>1</v>
      </c>
      <c r="F510" s="109" t="s">
        <v>200</v>
      </c>
      <c r="G510" s="109" t="s">
        <v>200</v>
      </c>
    </row>
    <row r="511" spans="1:7" ht="15.65" customHeight="1" x14ac:dyDescent="0.35">
      <c r="A511" s="109" t="s">
        <v>200</v>
      </c>
      <c r="B511" s="4" t="s">
        <v>4061</v>
      </c>
      <c r="C511" s="120" t="s">
        <v>4380</v>
      </c>
      <c r="D511" s="120" t="s">
        <v>315</v>
      </c>
      <c r="E511" s="164">
        <v>6</v>
      </c>
      <c r="F511" s="109" t="s">
        <v>200</v>
      </c>
      <c r="G511" s="109" t="s">
        <v>200</v>
      </c>
    </row>
    <row r="512" spans="1:7" ht="15.65" customHeight="1" x14ac:dyDescent="0.35">
      <c r="A512" s="109" t="s">
        <v>200</v>
      </c>
      <c r="B512" s="120" t="s">
        <v>4063</v>
      </c>
      <c r="C512" s="120" t="s">
        <v>4526</v>
      </c>
      <c r="D512" s="120" t="s">
        <v>188</v>
      </c>
      <c r="E512" s="164">
        <v>11</v>
      </c>
      <c r="F512" s="109" t="s">
        <v>200</v>
      </c>
      <c r="G512" s="109" t="s">
        <v>200</v>
      </c>
    </row>
    <row r="513" spans="1:7" ht="15.65" customHeight="1" x14ac:dyDescent="0.35">
      <c r="A513" s="109" t="s">
        <v>200</v>
      </c>
      <c r="B513" s="120" t="s">
        <v>4068</v>
      </c>
      <c r="C513" s="120" t="s">
        <v>4380</v>
      </c>
      <c r="D513" s="120" t="s">
        <v>315</v>
      </c>
      <c r="E513" s="164">
        <v>6</v>
      </c>
      <c r="F513" s="109" t="s">
        <v>200</v>
      </c>
      <c r="G513" s="109" t="s">
        <v>200</v>
      </c>
    </row>
    <row r="514" spans="1:7" ht="15.65" customHeight="1" x14ac:dyDescent="0.35">
      <c r="A514" s="109" t="s">
        <v>200</v>
      </c>
      <c r="B514" s="120" t="s">
        <v>4073</v>
      </c>
      <c r="C514" s="120" t="s">
        <v>4355</v>
      </c>
      <c r="D514" s="120" t="s">
        <v>4218</v>
      </c>
      <c r="E514" s="164">
        <v>6</v>
      </c>
      <c r="F514" s="109" t="s">
        <v>200</v>
      </c>
      <c r="G514" s="109" t="s">
        <v>200</v>
      </c>
    </row>
    <row r="515" spans="1:7" ht="15.65" customHeight="1" x14ac:dyDescent="0.35">
      <c r="A515" s="109" t="s">
        <v>200</v>
      </c>
      <c r="B515" s="120" t="s">
        <v>4075</v>
      </c>
      <c r="C515" s="120" t="s">
        <v>4355</v>
      </c>
      <c r="D515" s="120" t="s">
        <v>4218</v>
      </c>
      <c r="E515" s="164">
        <v>6</v>
      </c>
      <c r="F515" s="109" t="s">
        <v>200</v>
      </c>
      <c r="G515" s="109" t="s">
        <v>200</v>
      </c>
    </row>
    <row r="516" spans="1:7" ht="15.65" customHeight="1" x14ac:dyDescent="0.35">
      <c r="A516" s="109" t="s">
        <v>200</v>
      </c>
      <c r="B516" s="120" t="s">
        <v>4077</v>
      </c>
      <c r="C516" s="120" t="s">
        <v>4355</v>
      </c>
      <c r="D516" s="120" t="s">
        <v>4218</v>
      </c>
      <c r="E516" s="164">
        <v>6</v>
      </c>
      <c r="F516" s="109" t="s">
        <v>200</v>
      </c>
      <c r="G516" s="109" t="s">
        <v>200</v>
      </c>
    </row>
    <row r="517" spans="1:7" ht="15.65" customHeight="1" x14ac:dyDescent="0.35">
      <c r="A517" s="109" t="s">
        <v>200</v>
      </c>
      <c r="B517" s="120" t="s">
        <v>4093</v>
      </c>
      <c r="C517" s="120" t="s">
        <v>4379</v>
      </c>
      <c r="D517" s="120" t="s">
        <v>188</v>
      </c>
      <c r="E517" s="164">
        <v>11</v>
      </c>
      <c r="F517" s="109" t="s">
        <v>200</v>
      </c>
      <c r="G517" s="109" t="s">
        <v>200</v>
      </c>
    </row>
    <row r="518" spans="1:7" ht="15.65" customHeight="1" x14ac:dyDescent="0.35">
      <c r="A518" s="109" t="s">
        <v>200</v>
      </c>
      <c r="B518" s="120" t="s">
        <v>4095</v>
      </c>
      <c r="C518" s="120" t="s">
        <v>4273</v>
      </c>
      <c r="D518" s="120" t="s">
        <v>659</v>
      </c>
      <c r="E518" s="164">
        <v>13</v>
      </c>
      <c r="F518" s="109" t="s">
        <v>200</v>
      </c>
      <c r="G518" s="109" t="s">
        <v>200</v>
      </c>
    </row>
    <row r="519" spans="1:7" ht="15.65" customHeight="1" x14ac:dyDescent="0.35">
      <c r="A519" s="109" t="s">
        <v>200</v>
      </c>
      <c r="B519" s="120" t="s">
        <v>4097</v>
      </c>
      <c r="C519" s="120" t="s">
        <v>4527</v>
      </c>
      <c r="D519" s="120" t="s">
        <v>188</v>
      </c>
      <c r="E519" s="164">
        <v>11</v>
      </c>
      <c r="F519" s="109" t="s">
        <v>200</v>
      </c>
      <c r="G519" s="109" t="s">
        <v>200</v>
      </c>
    </row>
    <row r="520" spans="1:7" ht="15.65" customHeight="1" x14ac:dyDescent="0.35">
      <c r="A520" s="109" t="s">
        <v>200</v>
      </c>
      <c r="B520" s="4" t="s">
        <v>4099</v>
      </c>
      <c r="C520" s="120" t="s">
        <v>4528</v>
      </c>
      <c r="D520" s="120" t="s">
        <v>188</v>
      </c>
      <c r="E520" s="164">
        <v>11</v>
      </c>
      <c r="F520" s="109" t="s">
        <v>200</v>
      </c>
      <c r="G520" s="109" t="s">
        <v>200</v>
      </c>
    </row>
    <row r="521" spans="1:7" ht="15.65" customHeight="1" x14ac:dyDescent="0.35">
      <c r="A521" s="109" t="s">
        <v>200</v>
      </c>
      <c r="B521" s="120" t="s">
        <v>4101</v>
      </c>
      <c r="C521" s="120" t="s">
        <v>4308</v>
      </c>
      <c r="D521" s="120" t="s">
        <v>4201</v>
      </c>
      <c r="E521" s="164">
        <v>2</v>
      </c>
      <c r="F521" s="109" t="s">
        <v>200</v>
      </c>
      <c r="G521" s="109" t="s">
        <v>200</v>
      </c>
    </row>
    <row r="522" spans="1:7" ht="15.65" customHeight="1" x14ac:dyDescent="0.35">
      <c r="A522" s="109" t="s">
        <v>200</v>
      </c>
      <c r="B522" s="4" t="s">
        <v>4103</v>
      </c>
      <c r="C522" s="120" t="s">
        <v>4308</v>
      </c>
      <c r="D522" s="120" t="s">
        <v>4201</v>
      </c>
      <c r="E522" s="164">
        <v>2</v>
      </c>
      <c r="F522" s="109" t="s">
        <v>200</v>
      </c>
      <c r="G522" s="109" t="s">
        <v>200</v>
      </c>
    </row>
    <row r="523" spans="1:7" ht="15.65" customHeight="1" x14ac:dyDescent="0.35">
      <c r="A523" s="109" t="s">
        <v>200</v>
      </c>
      <c r="B523" s="120" t="s">
        <v>4105</v>
      </c>
      <c r="C523" s="120" t="s">
        <v>4529</v>
      </c>
      <c r="D523" s="120" t="s">
        <v>659</v>
      </c>
      <c r="E523" s="164">
        <v>13</v>
      </c>
      <c r="F523" s="109" t="s">
        <v>200</v>
      </c>
      <c r="G523" s="109" t="s">
        <v>200</v>
      </c>
    </row>
    <row r="524" spans="1:7" ht="15.65" customHeight="1" x14ac:dyDescent="0.35">
      <c r="A524" s="109" t="s">
        <v>200</v>
      </c>
      <c r="B524" s="4" t="s">
        <v>4107</v>
      </c>
      <c r="C524" s="120" t="s">
        <v>4530</v>
      </c>
      <c r="D524" s="120" t="s">
        <v>287</v>
      </c>
      <c r="E524" s="164">
        <v>16</v>
      </c>
      <c r="F524" s="109" t="s">
        <v>200</v>
      </c>
      <c r="G524" s="109" t="s">
        <v>200</v>
      </c>
    </row>
    <row r="525" spans="1:7" ht="15.65" customHeight="1" x14ac:dyDescent="0.35">
      <c r="A525" s="109" t="s">
        <v>200</v>
      </c>
      <c r="B525" s="120" t="s">
        <v>4112</v>
      </c>
      <c r="C525" s="120" t="s">
        <v>4531</v>
      </c>
      <c r="D525" s="120" t="s">
        <v>659</v>
      </c>
      <c r="E525" s="164">
        <v>13</v>
      </c>
      <c r="F525" s="109" t="s">
        <v>200</v>
      </c>
      <c r="G525" s="109" t="s">
        <v>200</v>
      </c>
    </row>
    <row r="526" spans="1:7" ht="15.65" customHeight="1" x14ac:dyDescent="0.35">
      <c r="A526" s="109" t="s">
        <v>200</v>
      </c>
      <c r="B526" s="120" t="s">
        <v>4114</v>
      </c>
      <c r="C526" s="120" t="s">
        <v>4349</v>
      </c>
      <c r="D526" s="120" t="s">
        <v>4201</v>
      </c>
      <c r="E526" s="164">
        <v>2</v>
      </c>
      <c r="F526" s="109" t="s">
        <v>200</v>
      </c>
      <c r="G526" s="109" t="s">
        <v>200</v>
      </c>
    </row>
    <row r="527" spans="1:7" ht="15.65" customHeight="1" x14ac:dyDescent="0.35">
      <c r="A527" s="109" t="s">
        <v>200</v>
      </c>
      <c r="B527" s="120" t="s">
        <v>4121</v>
      </c>
      <c r="C527" s="120" t="s">
        <v>4349</v>
      </c>
      <c r="D527" s="120" t="s">
        <v>4201</v>
      </c>
      <c r="E527" s="164">
        <v>2</v>
      </c>
      <c r="F527" s="109" t="s">
        <v>200</v>
      </c>
      <c r="G527" s="109" t="s">
        <v>200</v>
      </c>
    </row>
    <row r="528" spans="1:7" ht="15.65" customHeight="1" x14ac:dyDescent="0.35">
      <c r="A528" s="109" t="s">
        <v>200</v>
      </c>
      <c r="B528" s="4" t="s">
        <v>4126</v>
      </c>
      <c r="C528" s="120" t="s">
        <v>4532</v>
      </c>
      <c r="D528" s="120" t="s">
        <v>2955</v>
      </c>
      <c r="E528" s="164">
        <v>12</v>
      </c>
      <c r="F528" s="109" t="s">
        <v>200</v>
      </c>
      <c r="G528" s="109" t="s">
        <v>200</v>
      </c>
    </row>
    <row r="529" spans="1:7" ht="15.65" customHeight="1" x14ac:dyDescent="0.35">
      <c r="A529" s="109" t="s">
        <v>200</v>
      </c>
      <c r="B529" s="120" t="s">
        <v>4132</v>
      </c>
      <c r="C529" s="120" t="s">
        <v>4277</v>
      </c>
      <c r="D529" s="120" t="s">
        <v>188</v>
      </c>
      <c r="E529" s="164">
        <v>11</v>
      </c>
      <c r="F529" s="109" t="s">
        <v>200</v>
      </c>
      <c r="G529" s="109" t="s">
        <v>200</v>
      </c>
    </row>
    <row r="530" spans="1:7" ht="15.65" customHeight="1" x14ac:dyDescent="0.35">
      <c r="A530" s="109" t="s">
        <v>200</v>
      </c>
      <c r="B530" s="120" t="s">
        <v>4139</v>
      </c>
      <c r="C530" s="120" t="s">
        <v>4301</v>
      </c>
      <c r="D530" s="120" t="s">
        <v>1891</v>
      </c>
      <c r="E530" s="164">
        <v>6</v>
      </c>
      <c r="F530" s="109" t="s">
        <v>200</v>
      </c>
      <c r="G530" s="109" t="s">
        <v>200</v>
      </c>
    </row>
    <row r="531" spans="1:7" ht="15.65" customHeight="1" x14ac:dyDescent="0.35">
      <c r="A531" s="109" t="s">
        <v>200</v>
      </c>
      <c r="B531" s="120" t="s">
        <v>4141</v>
      </c>
      <c r="C531" s="120" t="s">
        <v>4355</v>
      </c>
      <c r="D531" s="120" t="s">
        <v>4218</v>
      </c>
      <c r="E531" s="164">
        <v>6</v>
      </c>
      <c r="F531" s="109" t="s">
        <v>200</v>
      </c>
      <c r="G531" s="109" t="s">
        <v>200</v>
      </c>
    </row>
    <row r="532" spans="1:7" ht="15.65" customHeight="1" x14ac:dyDescent="0.35">
      <c r="A532" s="109" t="s">
        <v>200</v>
      </c>
      <c r="B532" s="120" t="s">
        <v>4143</v>
      </c>
      <c r="C532" s="120" t="s">
        <v>4533</v>
      </c>
      <c r="D532" s="120" t="s">
        <v>287</v>
      </c>
      <c r="E532" s="164">
        <v>16</v>
      </c>
      <c r="F532" s="109" t="s">
        <v>200</v>
      </c>
      <c r="G532" s="109" t="s">
        <v>200</v>
      </c>
    </row>
    <row r="533" spans="1:7" ht="15.65" customHeight="1" x14ac:dyDescent="0.35">
      <c r="A533" s="109" t="s">
        <v>200</v>
      </c>
      <c r="B533" s="120" t="s">
        <v>4145</v>
      </c>
      <c r="C533" s="120" t="s">
        <v>4331</v>
      </c>
      <c r="D533" s="120" t="s">
        <v>3376</v>
      </c>
      <c r="E533" s="164">
        <v>3</v>
      </c>
      <c r="F533" s="109" t="s">
        <v>200</v>
      </c>
      <c r="G533" s="109" t="s">
        <v>200</v>
      </c>
    </row>
    <row r="534" spans="1:7" ht="15.65" customHeight="1" x14ac:dyDescent="0.35">
      <c r="A534" s="109" t="s">
        <v>200</v>
      </c>
      <c r="B534" s="120" t="s">
        <v>4150</v>
      </c>
      <c r="C534" s="120" t="s">
        <v>4331</v>
      </c>
      <c r="D534" s="120" t="s">
        <v>3376</v>
      </c>
      <c r="E534" s="164">
        <v>3</v>
      </c>
      <c r="F534" s="109" t="s">
        <v>200</v>
      </c>
      <c r="G534" s="109" t="s">
        <v>200</v>
      </c>
    </row>
    <row r="535" spans="1:7" ht="15.65" customHeight="1" x14ac:dyDescent="0.35">
      <c r="A535" s="109" t="s">
        <v>200</v>
      </c>
      <c r="B535" s="4" t="s">
        <v>4154</v>
      </c>
      <c r="C535" s="120" t="s">
        <v>4308</v>
      </c>
      <c r="D535" s="120" t="s">
        <v>4201</v>
      </c>
      <c r="E535" s="164">
        <v>2</v>
      </c>
      <c r="F535" s="109" t="s">
        <v>200</v>
      </c>
      <c r="G535" s="109" t="s">
        <v>200</v>
      </c>
    </row>
    <row r="536" spans="1:7" ht="15.65" customHeight="1" x14ac:dyDescent="0.35">
      <c r="A536" s="109" t="s">
        <v>200</v>
      </c>
      <c r="B536" s="120" t="s">
        <v>4157</v>
      </c>
      <c r="C536" s="120" t="s">
        <v>4534</v>
      </c>
      <c r="D536" s="120" t="s">
        <v>287</v>
      </c>
      <c r="E536" s="164">
        <v>16</v>
      </c>
      <c r="F536" s="109" t="s">
        <v>200</v>
      </c>
      <c r="G536" s="109" t="s">
        <v>200</v>
      </c>
    </row>
    <row r="537" spans="1:7" ht="15.65" customHeight="1" x14ac:dyDescent="0.35">
      <c r="A537" s="109" t="s">
        <v>200</v>
      </c>
      <c r="B537" s="4" t="s">
        <v>4160</v>
      </c>
      <c r="C537" s="120" t="s">
        <v>4525</v>
      </c>
      <c r="D537" s="120" t="s">
        <v>1891</v>
      </c>
      <c r="E537" s="164">
        <v>6</v>
      </c>
      <c r="F537" s="109" t="s">
        <v>200</v>
      </c>
      <c r="G537" s="109" t="s">
        <v>200</v>
      </c>
    </row>
    <row r="538" spans="1:7" ht="15.65" customHeight="1" x14ac:dyDescent="0.35">
      <c r="A538" s="109" t="s">
        <v>200</v>
      </c>
      <c r="B538" s="120" t="s">
        <v>4162</v>
      </c>
      <c r="C538" s="120" t="s">
        <v>4012</v>
      </c>
      <c r="D538" s="120" t="s">
        <v>4211</v>
      </c>
      <c r="E538" s="164">
        <v>9</v>
      </c>
      <c r="F538" s="109" t="s">
        <v>200</v>
      </c>
      <c r="G538" s="109" t="s">
        <v>200</v>
      </c>
    </row>
    <row r="539" spans="1:7" ht="15.65" customHeight="1" x14ac:dyDescent="0.35">
      <c r="A539" s="109" t="s">
        <v>200</v>
      </c>
      <c r="B539" s="120" t="s">
        <v>4164</v>
      </c>
      <c r="C539" s="120" t="s">
        <v>4360</v>
      </c>
      <c r="D539" s="120" t="s">
        <v>2967</v>
      </c>
      <c r="E539" s="164">
        <v>5</v>
      </c>
      <c r="F539" s="109" t="s">
        <v>200</v>
      </c>
      <c r="G539" s="109" t="s">
        <v>200</v>
      </c>
    </row>
    <row r="540" spans="1:7" ht="15.65" customHeight="1" x14ac:dyDescent="0.35">
      <c r="A540" s="109" t="s">
        <v>200</v>
      </c>
      <c r="B540" s="120" t="s">
        <v>4168</v>
      </c>
      <c r="C540" s="120" t="s">
        <v>4535</v>
      </c>
      <c r="D540" s="120" t="s">
        <v>4218</v>
      </c>
      <c r="E540" s="164">
        <v>6</v>
      </c>
      <c r="F540" s="109" t="s">
        <v>200</v>
      </c>
      <c r="G540" s="109" t="s">
        <v>200</v>
      </c>
    </row>
    <row r="541" spans="1:7" ht="15.65" customHeight="1" x14ac:dyDescent="0.35">
      <c r="A541" s="109" t="s">
        <v>200</v>
      </c>
      <c r="B541" s="120" t="s">
        <v>4170</v>
      </c>
      <c r="C541" s="120" t="s">
        <v>4354</v>
      </c>
      <c r="D541" s="120" t="s">
        <v>4218</v>
      </c>
      <c r="E541" s="164">
        <v>6</v>
      </c>
      <c r="F541" s="109" t="s">
        <v>200</v>
      </c>
      <c r="G541" s="109" t="s">
        <v>200</v>
      </c>
    </row>
    <row r="542" spans="1:7" ht="15.65" customHeight="1" x14ac:dyDescent="0.35">
      <c r="A542" s="109" t="s">
        <v>200</v>
      </c>
      <c r="B542" s="120" t="s">
        <v>4172</v>
      </c>
      <c r="C542" s="120" t="s">
        <v>4354</v>
      </c>
      <c r="D542" s="120" t="s">
        <v>4218</v>
      </c>
      <c r="E542" s="164">
        <v>6</v>
      </c>
      <c r="F542" s="109" t="s">
        <v>200</v>
      </c>
      <c r="G542" s="109" t="s">
        <v>200</v>
      </c>
    </row>
    <row r="543" spans="1:7" ht="15.65" customHeight="1" x14ac:dyDescent="0.35">
      <c r="A543" s="109" t="s">
        <v>200</v>
      </c>
      <c r="B543" s="120" t="s">
        <v>4175</v>
      </c>
      <c r="C543" s="120" t="s">
        <v>4536</v>
      </c>
      <c r="D543" s="120" t="s">
        <v>2580</v>
      </c>
      <c r="E543" s="164">
        <v>7</v>
      </c>
      <c r="F543" s="109" t="s">
        <v>200</v>
      </c>
      <c r="G543" s="109" t="s">
        <v>200</v>
      </c>
    </row>
    <row r="544" spans="1:7" ht="15.65" customHeight="1" x14ac:dyDescent="0.35">
      <c r="A544" s="109" t="s">
        <v>200</v>
      </c>
      <c r="B544" s="120" t="s">
        <v>4177</v>
      </c>
      <c r="C544" s="120" t="s">
        <v>4537</v>
      </c>
      <c r="D544" s="120" t="s">
        <v>287</v>
      </c>
      <c r="E544" s="164">
        <v>16</v>
      </c>
      <c r="F544" s="109" t="s">
        <v>200</v>
      </c>
      <c r="G544" s="109" t="s">
        <v>200</v>
      </c>
    </row>
    <row r="545" spans="1:7" ht="15.65" customHeight="1" x14ac:dyDescent="0.35">
      <c r="A545" s="109" t="s">
        <v>200</v>
      </c>
      <c r="B545" s="4" t="s">
        <v>4179</v>
      </c>
      <c r="C545" s="120" t="s">
        <v>286</v>
      </c>
      <c r="D545" s="120" t="s">
        <v>287</v>
      </c>
      <c r="E545" s="164">
        <v>16</v>
      </c>
      <c r="F545" s="109" t="s">
        <v>200</v>
      </c>
      <c r="G545" s="109" t="s">
        <v>200</v>
      </c>
    </row>
    <row r="546" spans="1:7" ht="15.65" customHeight="1" x14ac:dyDescent="0.35">
      <c r="A546" s="109" t="s">
        <v>200</v>
      </c>
      <c r="B546" s="120" t="s">
        <v>4182</v>
      </c>
      <c r="C546" s="120" t="s">
        <v>4538</v>
      </c>
      <c r="D546" s="120" t="s">
        <v>4402</v>
      </c>
      <c r="E546" s="164">
        <v>15</v>
      </c>
      <c r="F546" s="109" t="s">
        <v>200</v>
      </c>
      <c r="G546" s="109" t="s">
        <v>200</v>
      </c>
    </row>
    <row r="547" spans="1:7" ht="15.65" customHeight="1" x14ac:dyDescent="0.35">
      <c r="A547" s="109" t="s">
        <v>200</v>
      </c>
      <c r="B547" s="4" t="s">
        <v>4185</v>
      </c>
      <c r="C547" s="120" t="s">
        <v>4539</v>
      </c>
      <c r="D547" s="120" t="s">
        <v>2955</v>
      </c>
      <c r="E547" s="164">
        <v>12</v>
      </c>
      <c r="F547" s="109" t="s">
        <v>200</v>
      </c>
      <c r="G547" s="109" t="s">
        <v>200</v>
      </c>
    </row>
    <row r="548" spans="1:7" ht="15.65" customHeight="1" x14ac:dyDescent="0.35">
      <c r="A548" s="109" t="s">
        <v>200</v>
      </c>
      <c r="B548" s="120" t="s">
        <v>4190</v>
      </c>
      <c r="C548" s="120" t="s">
        <v>4540</v>
      </c>
      <c r="D548" s="120" t="s">
        <v>4295</v>
      </c>
      <c r="E548" s="164">
        <v>15</v>
      </c>
      <c r="F548" s="109" t="s">
        <v>200</v>
      </c>
      <c r="G548" s="109" t="s">
        <v>200</v>
      </c>
    </row>
    <row r="549" spans="1:7" ht="15.65" customHeight="1" x14ac:dyDescent="0.35">
      <c r="A549" s="109" t="s">
        <v>200</v>
      </c>
      <c r="B549" s="120" t="s">
        <v>4192</v>
      </c>
      <c r="C549" s="120" t="s">
        <v>4541</v>
      </c>
      <c r="D549" s="120" t="s">
        <v>999</v>
      </c>
      <c r="E549" s="164">
        <v>4</v>
      </c>
      <c r="F549" s="109" t="s">
        <v>200</v>
      </c>
      <c r="G549" s="109" t="s">
        <v>200</v>
      </c>
    </row>
    <row r="550" spans="1:7" ht="15.65" customHeight="1" x14ac:dyDescent="0.35">
      <c r="A550" s="109" t="s">
        <v>200</v>
      </c>
      <c r="B550" s="120" t="s">
        <v>4194</v>
      </c>
      <c r="C550" s="120" t="s">
        <v>4542</v>
      </c>
      <c r="D550" s="120" t="s">
        <v>315</v>
      </c>
      <c r="E550" s="164">
        <v>6</v>
      </c>
      <c r="F550" s="109" t="s">
        <v>200</v>
      </c>
      <c r="G550" s="109" t="s">
        <v>200</v>
      </c>
    </row>
    <row r="551" spans="1:7" ht="15.65" customHeight="1" x14ac:dyDescent="0.35">
      <c r="A551" s="109" t="s">
        <v>200</v>
      </c>
      <c r="B551" s="120" t="s">
        <v>3071</v>
      </c>
      <c r="C551" s="120" t="s">
        <v>4543</v>
      </c>
      <c r="D551" s="120" t="s">
        <v>2580</v>
      </c>
      <c r="E551" s="164">
        <v>7</v>
      </c>
      <c r="F551" s="109" t="s">
        <v>200</v>
      </c>
      <c r="G551" s="109" t="s">
        <v>200</v>
      </c>
    </row>
    <row r="552" spans="1:7" ht="15.65" customHeight="1" x14ac:dyDescent="0.35">
      <c r="A552" s="109" t="s">
        <v>200</v>
      </c>
      <c r="B552" s="120" t="s">
        <v>3077</v>
      </c>
      <c r="C552" s="120" t="s">
        <v>4405</v>
      </c>
      <c r="D552" s="120" t="s">
        <v>4209</v>
      </c>
      <c r="E552" s="164">
        <v>14</v>
      </c>
      <c r="F552" s="109" t="s">
        <v>200</v>
      </c>
      <c r="G552" s="109" t="s">
        <v>200</v>
      </c>
    </row>
    <row r="553" spans="1:7" ht="15.65" customHeight="1" x14ac:dyDescent="0.35">
      <c r="A553" s="109" t="s">
        <v>200</v>
      </c>
      <c r="B553" s="120" t="s">
        <v>3082</v>
      </c>
      <c r="C553" s="120" t="s">
        <v>3082</v>
      </c>
      <c r="D553" s="120" t="s">
        <v>4402</v>
      </c>
      <c r="E553" s="164">
        <v>15</v>
      </c>
      <c r="F553" s="109" t="s">
        <v>200</v>
      </c>
      <c r="G553" s="109" t="s">
        <v>200</v>
      </c>
    </row>
    <row r="554" spans="1:7" ht="15.65" customHeight="1" x14ac:dyDescent="0.35">
      <c r="A554" s="109" t="s">
        <v>200</v>
      </c>
      <c r="B554" s="120" t="s">
        <v>3093</v>
      </c>
      <c r="C554" s="120" t="s">
        <v>4544</v>
      </c>
      <c r="D554" s="120" t="s">
        <v>659</v>
      </c>
      <c r="E554" s="164">
        <v>13</v>
      </c>
      <c r="F554" s="109" t="s">
        <v>200</v>
      </c>
      <c r="G554" s="109" t="s">
        <v>200</v>
      </c>
    </row>
    <row r="555" spans="1:7" ht="15.65" customHeight="1" x14ac:dyDescent="0.35">
      <c r="A555" s="109" t="s">
        <v>200</v>
      </c>
      <c r="B555" s="120" t="s">
        <v>3100</v>
      </c>
      <c r="C555" s="120" t="s">
        <v>4370</v>
      </c>
      <c r="D555" s="120" t="s">
        <v>659</v>
      </c>
      <c r="E555" s="164">
        <v>13</v>
      </c>
      <c r="F555" s="109" t="s">
        <v>200</v>
      </c>
      <c r="G555" s="109" t="s">
        <v>200</v>
      </c>
    </row>
    <row r="556" spans="1:7" ht="15.65" customHeight="1" x14ac:dyDescent="0.35">
      <c r="A556" s="109" t="s">
        <v>200</v>
      </c>
      <c r="B556" s="120" t="s">
        <v>3104</v>
      </c>
      <c r="C556" s="120" t="s">
        <v>4450</v>
      </c>
      <c r="D556" s="120" t="s">
        <v>287</v>
      </c>
      <c r="E556" s="164">
        <v>16</v>
      </c>
      <c r="F556" s="109" t="s">
        <v>200</v>
      </c>
      <c r="G556" s="109" t="s">
        <v>200</v>
      </c>
    </row>
    <row r="557" spans="1:7" ht="15.65" customHeight="1" x14ac:dyDescent="0.35">
      <c r="A557" s="109" t="s">
        <v>200</v>
      </c>
      <c r="B557" s="120" t="s">
        <v>3116</v>
      </c>
      <c r="C557" s="120" t="s">
        <v>4273</v>
      </c>
      <c r="D557" s="120" t="s">
        <v>659</v>
      </c>
      <c r="E557" s="164">
        <v>13</v>
      </c>
      <c r="F557" s="109" t="s">
        <v>200</v>
      </c>
      <c r="G557" s="109" t="s">
        <v>200</v>
      </c>
    </row>
    <row r="558" spans="1:7" ht="15.65" customHeight="1" x14ac:dyDescent="0.35">
      <c r="B558" s="120" t="s">
        <v>3129</v>
      </c>
      <c r="C558" s="120" t="s">
        <v>4355</v>
      </c>
      <c r="D558" s="120" t="s">
        <v>315</v>
      </c>
      <c r="E558" s="164">
        <v>6</v>
      </c>
    </row>
    <row r="559" spans="1:7" ht="15.65" customHeight="1" x14ac:dyDescent="0.35">
      <c r="B559" s="154" t="s">
        <v>3133</v>
      </c>
      <c r="C559" s="120" t="s">
        <v>4391</v>
      </c>
      <c r="D559" s="120" t="s">
        <v>287</v>
      </c>
      <c r="E559" s="164">
        <v>16</v>
      </c>
    </row>
    <row r="560" spans="1:7" ht="15.65" customHeight="1" x14ac:dyDescent="0.35">
      <c r="B560" s="120" t="s">
        <v>3137</v>
      </c>
      <c r="C560" s="120" t="s">
        <v>4545</v>
      </c>
      <c r="D560" s="120" t="s">
        <v>659</v>
      </c>
      <c r="E560" s="164">
        <v>13</v>
      </c>
    </row>
    <row r="561" spans="2:5" ht="15.65" customHeight="1" x14ac:dyDescent="0.35">
      <c r="B561" s="120" t="s">
        <v>3143</v>
      </c>
      <c r="C561" s="120" t="s">
        <v>4458</v>
      </c>
      <c r="D561" s="120" t="s">
        <v>2955</v>
      </c>
      <c r="E561" s="164">
        <v>12</v>
      </c>
    </row>
    <row r="562" spans="2:5" ht="15.65" customHeight="1" x14ac:dyDescent="0.35">
      <c r="B562" s="120" t="s">
        <v>3148</v>
      </c>
      <c r="C562" s="120" t="s">
        <v>4320</v>
      </c>
      <c r="D562" s="120" t="s">
        <v>4209</v>
      </c>
      <c r="E562" s="164">
        <v>14</v>
      </c>
    </row>
    <row r="563" spans="2:5" ht="15.65" customHeight="1" x14ac:dyDescent="0.35">
      <c r="B563" s="120" t="s">
        <v>3163</v>
      </c>
      <c r="C563" s="120" t="s">
        <v>3157</v>
      </c>
      <c r="D563" s="120" t="s">
        <v>2967</v>
      </c>
      <c r="E563" s="164">
        <v>5</v>
      </c>
    </row>
    <row r="564" spans="2:5" ht="15.65" customHeight="1" x14ac:dyDescent="0.35">
      <c r="B564" s="120" t="s">
        <v>3165</v>
      </c>
      <c r="C564" s="120" t="s">
        <v>4465</v>
      </c>
      <c r="D564" s="120" t="s">
        <v>2967</v>
      </c>
      <c r="E564" s="164">
        <v>5</v>
      </c>
    </row>
    <row r="565" spans="2:5" ht="15.65" customHeight="1" x14ac:dyDescent="0.35">
      <c r="B565" s="120" t="s">
        <v>3167</v>
      </c>
      <c r="C565" s="120" t="s">
        <v>4465</v>
      </c>
      <c r="D565" s="120" t="s">
        <v>2967</v>
      </c>
      <c r="E565" s="164">
        <v>5</v>
      </c>
    </row>
    <row r="566" spans="2:5" ht="15.65" customHeight="1" x14ac:dyDescent="0.35">
      <c r="B566" s="120" t="s">
        <v>3169</v>
      </c>
      <c r="C566" s="120" t="s">
        <v>4546</v>
      </c>
      <c r="D566" s="120" t="s">
        <v>2967</v>
      </c>
      <c r="E566" s="164">
        <v>5</v>
      </c>
    </row>
    <row r="567" spans="2:5" ht="15.65" customHeight="1" x14ac:dyDescent="0.35">
      <c r="B567" s="120" t="s">
        <v>3172</v>
      </c>
      <c r="C567" s="120" t="s">
        <v>4320</v>
      </c>
      <c r="D567" s="120" t="s">
        <v>4209</v>
      </c>
      <c r="E567" s="164">
        <v>14</v>
      </c>
    </row>
    <row r="568" spans="2:5" ht="15.65" customHeight="1" x14ac:dyDescent="0.35">
      <c r="B568" s="120" t="s">
        <v>3174</v>
      </c>
      <c r="C568" s="120" t="s">
        <v>4547</v>
      </c>
      <c r="D568" s="120" t="s">
        <v>287</v>
      </c>
      <c r="E568" s="164">
        <v>16</v>
      </c>
    </row>
    <row r="569" spans="2:5" ht="15.65" customHeight="1" x14ac:dyDescent="0.35">
      <c r="B569" s="120" t="s">
        <v>3180</v>
      </c>
      <c r="C569" s="120" t="s">
        <v>4548</v>
      </c>
      <c r="D569" s="120" t="s">
        <v>2580</v>
      </c>
      <c r="E569" s="164">
        <v>7</v>
      </c>
    </row>
    <row r="570" spans="2:5" ht="15.65" customHeight="1" x14ac:dyDescent="0.35">
      <c r="B570" s="120" t="s">
        <v>4549</v>
      </c>
      <c r="C570" s="120" t="s">
        <v>4273</v>
      </c>
      <c r="D570" s="120" t="s">
        <v>659</v>
      </c>
      <c r="E570" s="164">
        <v>13</v>
      </c>
    </row>
    <row r="571" spans="2:5" ht="15.65" customHeight="1" x14ac:dyDescent="0.35">
      <c r="B571" s="154" t="s">
        <v>3192</v>
      </c>
      <c r="C571" s="120" t="s">
        <v>4550</v>
      </c>
      <c r="D571" s="120" t="s">
        <v>1311</v>
      </c>
      <c r="E571" s="164">
        <v>8</v>
      </c>
    </row>
    <row r="572" spans="2:5" ht="15.65" customHeight="1" x14ac:dyDescent="0.35">
      <c r="B572" s="120" t="s">
        <v>3198</v>
      </c>
      <c r="C572" s="120" t="s">
        <v>4551</v>
      </c>
      <c r="D572" s="120" t="s">
        <v>659</v>
      </c>
      <c r="E572" s="164">
        <v>13</v>
      </c>
    </row>
    <row r="573" spans="2:5" ht="15.65" customHeight="1" x14ac:dyDescent="0.35">
      <c r="B573" s="120" t="s">
        <v>3209</v>
      </c>
      <c r="C573" s="120" t="s">
        <v>4552</v>
      </c>
      <c r="D573" s="120" t="s">
        <v>287</v>
      </c>
      <c r="E573" s="164">
        <v>16</v>
      </c>
    </row>
    <row r="574" spans="2:5" ht="15.65" customHeight="1" x14ac:dyDescent="0.35">
      <c r="B574" s="120" t="s">
        <v>3214</v>
      </c>
      <c r="C574" s="120" t="s">
        <v>4553</v>
      </c>
      <c r="D574" s="120" t="s">
        <v>2955</v>
      </c>
      <c r="E574" s="164">
        <v>12</v>
      </c>
    </row>
    <row r="575" spans="2:5" ht="15.65" customHeight="1" x14ac:dyDescent="0.35">
      <c r="B575" s="120" t="s">
        <v>3220</v>
      </c>
      <c r="C575" s="120" t="s">
        <v>4554</v>
      </c>
      <c r="D575" s="120" t="s">
        <v>4280</v>
      </c>
      <c r="E575" s="164">
        <v>15</v>
      </c>
    </row>
    <row r="576" spans="2:5" ht="15.65" customHeight="1" x14ac:dyDescent="0.35">
      <c r="B576" s="120" t="s">
        <v>3225</v>
      </c>
      <c r="C576" s="120" t="s">
        <v>4406</v>
      </c>
      <c r="D576" s="120" t="s">
        <v>4290</v>
      </c>
      <c r="E576" s="164">
        <v>15</v>
      </c>
    </row>
    <row r="577" spans="2:5" ht="15.65" customHeight="1" x14ac:dyDescent="0.35">
      <c r="B577" s="120" t="s">
        <v>3229</v>
      </c>
      <c r="C577" s="120" t="s">
        <v>4456</v>
      </c>
      <c r="D577" s="120" t="s">
        <v>4358</v>
      </c>
      <c r="E577" s="164">
        <v>15</v>
      </c>
    </row>
    <row r="578" spans="2:5" ht="15.65" customHeight="1" x14ac:dyDescent="0.35">
      <c r="B578" s="120" t="s">
        <v>3231</v>
      </c>
      <c r="C578" s="120" t="s">
        <v>4555</v>
      </c>
      <c r="D578" s="120" t="s">
        <v>4209</v>
      </c>
      <c r="E578" s="164">
        <v>14</v>
      </c>
    </row>
    <row r="579" spans="2:5" ht="15.65" customHeight="1" x14ac:dyDescent="0.35">
      <c r="B579" s="120" t="s">
        <v>3236</v>
      </c>
      <c r="C579" s="120" t="s">
        <v>4420</v>
      </c>
      <c r="D579" s="120" t="s">
        <v>287</v>
      </c>
      <c r="E579" s="164">
        <v>16</v>
      </c>
    </row>
    <row r="580" spans="2:5" ht="15.65" customHeight="1" x14ac:dyDescent="0.35">
      <c r="B580" s="120" t="s">
        <v>2020</v>
      </c>
      <c r="C580" s="120" t="s">
        <v>4331</v>
      </c>
      <c r="D580" s="120" t="s">
        <v>3376</v>
      </c>
      <c r="E580" s="164">
        <v>3</v>
      </c>
    </row>
    <row r="581" spans="2:5" ht="15.65" customHeight="1" x14ac:dyDescent="0.35">
      <c r="B581" s="120" t="s">
        <v>3244</v>
      </c>
      <c r="C581" s="120" t="s">
        <v>4370</v>
      </c>
      <c r="D581" s="120" t="s">
        <v>2955</v>
      </c>
      <c r="E581" s="164">
        <v>12</v>
      </c>
    </row>
    <row r="582" spans="2:5" ht="15.65" customHeight="1" x14ac:dyDescent="0.35">
      <c r="B582" s="120" t="s">
        <v>3250</v>
      </c>
      <c r="C582" s="120" t="s">
        <v>4273</v>
      </c>
      <c r="D582" s="120" t="s">
        <v>659</v>
      </c>
      <c r="E582" s="164">
        <v>13</v>
      </c>
    </row>
    <row r="583" spans="2:5" ht="15.65" customHeight="1" x14ac:dyDescent="0.35">
      <c r="B583" s="120" t="s">
        <v>3255</v>
      </c>
      <c r="C583" s="120" t="s">
        <v>4556</v>
      </c>
      <c r="D583" s="120" t="s">
        <v>4557</v>
      </c>
      <c r="E583" s="164">
        <v>15</v>
      </c>
    </row>
    <row r="584" spans="2:5" ht="15.65" customHeight="1" x14ac:dyDescent="0.35">
      <c r="B584" s="120" t="s">
        <v>3270</v>
      </c>
      <c r="C584" s="120" t="s">
        <v>4558</v>
      </c>
      <c r="D584" s="120" t="s">
        <v>2955</v>
      </c>
      <c r="E584" s="164">
        <v>12</v>
      </c>
    </row>
    <row r="585" spans="2:5" ht="15.65" customHeight="1" x14ac:dyDescent="0.35">
      <c r="B585" s="120" t="s">
        <v>1631</v>
      </c>
      <c r="C585" s="120" t="s">
        <v>4387</v>
      </c>
      <c r="D585" s="120" t="s">
        <v>4218</v>
      </c>
      <c r="E585" s="164">
        <v>6</v>
      </c>
    </row>
    <row r="586" spans="2:5" ht="15.65" customHeight="1" x14ac:dyDescent="0.35">
      <c r="B586" s="120" t="s">
        <v>1640</v>
      </c>
      <c r="C586" s="120" t="s">
        <v>4381</v>
      </c>
      <c r="D586" s="120" t="s">
        <v>188</v>
      </c>
      <c r="E586" s="164">
        <v>11</v>
      </c>
    </row>
    <row r="587" spans="2:5" ht="15.65" customHeight="1" x14ac:dyDescent="0.35">
      <c r="B587" s="120" t="s">
        <v>1643</v>
      </c>
      <c r="C587" s="120" t="s">
        <v>4381</v>
      </c>
      <c r="D587" s="120" t="s">
        <v>188</v>
      </c>
      <c r="E587" s="164">
        <v>11</v>
      </c>
    </row>
    <row r="588" spans="2:5" ht="15.65" customHeight="1" x14ac:dyDescent="0.35">
      <c r="B588" s="120" t="s">
        <v>1647</v>
      </c>
      <c r="C588" s="120" t="s">
        <v>4381</v>
      </c>
      <c r="D588" s="120" t="s">
        <v>188</v>
      </c>
      <c r="E588" s="164">
        <v>11</v>
      </c>
    </row>
    <row r="589" spans="2:5" ht="15.65" customHeight="1" x14ac:dyDescent="0.35">
      <c r="B589" s="120" t="s">
        <v>1652</v>
      </c>
      <c r="C589" s="120" t="s">
        <v>4381</v>
      </c>
      <c r="D589" s="120" t="s">
        <v>188</v>
      </c>
      <c r="E589" s="164">
        <v>11</v>
      </c>
    </row>
    <row r="590" spans="2:5" ht="15.65" customHeight="1" x14ac:dyDescent="0.35">
      <c r="B590" s="120" t="s">
        <v>1661</v>
      </c>
      <c r="C590" s="120" t="s">
        <v>4559</v>
      </c>
      <c r="D590" s="120" t="s">
        <v>188</v>
      </c>
      <c r="E590" s="164">
        <v>11</v>
      </c>
    </row>
    <row r="591" spans="2:5" ht="15.65" customHeight="1" x14ac:dyDescent="0.35">
      <c r="B591" s="120" t="s">
        <v>1668</v>
      </c>
      <c r="C591" s="120" t="s">
        <v>4315</v>
      </c>
      <c r="D591" s="120" t="s">
        <v>1311</v>
      </c>
      <c r="E591" s="164">
        <v>8</v>
      </c>
    </row>
    <row r="592" spans="2:5" ht="15.65" customHeight="1" x14ac:dyDescent="0.35">
      <c r="B592" s="120" t="s">
        <v>1676</v>
      </c>
      <c r="C592" s="120" t="s">
        <v>4300</v>
      </c>
      <c r="D592" s="120" t="s">
        <v>659</v>
      </c>
      <c r="E592" s="164">
        <v>13</v>
      </c>
    </row>
    <row r="593" spans="2:5" ht="15.65" customHeight="1" x14ac:dyDescent="0.35">
      <c r="B593" s="120" t="s">
        <v>1683</v>
      </c>
      <c r="C593" s="120" t="s">
        <v>4499</v>
      </c>
      <c r="D593" s="120" t="s">
        <v>287</v>
      </c>
      <c r="E593" s="164">
        <v>16</v>
      </c>
    </row>
    <row r="594" spans="2:5" ht="15.65" customHeight="1" x14ac:dyDescent="0.35">
      <c r="B594" s="120" t="s">
        <v>1689</v>
      </c>
      <c r="C594" s="120" t="s">
        <v>4560</v>
      </c>
      <c r="D594" s="120" t="s">
        <v>188</v>
      </c>
      <c r="E594" s="164">
        <v>11</v>
      </c>
    </row>
    <row r="595" spans="2:5" ht="15.65" customHeight="1" x14ac:dyDescent="0.35">
      <c r="B595" s="120" t="s">
        <v>1697</v>
      </c>
      <c r="C595" s="120" t="s">
        <v>4561</v>
      </c>
      <c r="D595" s="120" t="s">
        <v>659</v>
      </c>
      <c r="E595" s="164">
        <v>13</v>
      </c>
    </row>
    <row r="596" spans="2:5" ht="15.65" customHeight="1" x14ac:dyDescent="0.35">
      <c r="B596" s="120" t="s">
        <v>1702</v>
      </c>
      <c r="C596" s="120" t="s">
        <v>4562</v>
      </c>
      <c r="D596" s="120" t="s">
        <v>287</v>
      </c>
      <c r="E596" s="164">
        <v>16</v>
      </c>
    </row>
    <row r="597" spans="2:5" ht="15.65" customHeight="1" x14ac:dyDescent="0.35">
      <c r="B597" s="120" t="s">
        <v>1710</v>
      </c>
      <c r="C597" s="120" t="s">
        <v>4562</v>
      </c>
      <c r="D597" s="120" t="s">
        <v>287</v>
      </c>
      <c r="E597" s="164">
        <v>16</v>
      </c>
    </row>
    <row r="598" spans="2:5" ht="15.65" customHeight="1" x14ac:dyDescent="0.35">
      <c r="B598" s="120" t="s">
        <v>1713</v>
      </c>
      <c r="C598" s="120" t="s">
        <v>4270</v>
      </c>
      <c r="D598" s="120" t="s">
        <v>2580</v>
      </c>
      <c r="E598" s="164">
        <v>7</v>
      </c>
    </row>
    <row r="599" spans="2:5" ht="15.65" customHeight="1" x14ac:dyDescent="0.35">
      <c r="B599" s="120" t="s">
        <v>1719</v>
      </c>
      <c r="C599" s="120" t="s">
        <v>4355</v>
      </c>
      <c r="D599" s="120" t="s">
        <v>315</v>
      </c>
      <c r="E599" s="164">
        <v>6</v>
      </c>
    </row>
    <row r="600" spans="2:5" ht="15.65" customHeight="1" x14ac:dyDescent="0.35">
      <c r="B600" s="120" t="s">
        <v>1719</v>
      </c>
      <c r="C600" s="120" t="s">
        <v>4355</v>
      </c>
      <c r="D600" s="120" t="s">
        <v>315</v>
      </c>
      <c r="E600" s="164">
        <v>6</v>
      </c>
    </row>
    <row r="601" spans="2:5" ht="15.65" customHeight="1" x14ac:dyDescent="0.35">
      <c r="B601" s="120" t="s">
        <v>1726</v>
      </c>
      <c r="C601" s="120" t="s">
        <v>4360</v>
      </c>
      <c r="D601" s="120" t="s">
        <v>2967</v>
      </c>
      <c r="E601" s="164">
        <v>5</v>
      </c>
    </row>
    <row r="602" spans="2:5" ht="15.65" customHeight="1" x14ac:dyDescent="0.35">
      <c r="B602" s="120" t="s">
        <v>1732</v>
      </c>
      <c r="C602" s="120" t="s">
        <v>624</v>
      </c>
      <c r="D602" s="120" t="s">
        <v>287</v>
      </c>
      <c r="E602" s="164">
        <v>16</v>
      </c>
    </row>
    <row r="603" spans="2:5" ht="15.65" customHeight="1" x14ac:dyDescent="0.35">
      <c r="B603" s="120" t="s">
        <v>1737</v>
      </c>
      <c r="C603" s="120" t="s">
        <v>4472</v>
      </c>
      <c r="D603" s="120" t="s">
        <v>287</v>
      </c>
      <c r="E603" s="164">
        <v>16</v>
      </c>
    </row>
    <row r="604" spans="2:5" ht="15.65" customHeight="1" x14ac:dyDescent="0.35">
      <c r="B604" s="120" t="s">
        <v>1743</v>
      </c>
      <c r="C604" s="120" t="s">
        <v>1104</v>
      </c>
      <c r="D604" s="120" t="s">
        <v>659</v>
      </c>
      <c r="E604" s="164">
        <v>13</v>
      </c>
    </row>
    <row r="605" spans="2:5" ht="15.65" customHeight="1" x14ac:dyDescent="0.35">
      <c r="B605" s="120" t="s">
        <v>1747</v>
      </c>
      <c r="C605" s="120" t="s">
        <v>4421</v>
      </c>
      <c r="D605" s="120" t="s">
        <v>4306</v>
      </c>
      <c r="E605" s="164">
        <v>15</v>
      </c>
    </row>
    <row r="606" spans="2:5" ht="15.65" customHeight="1" x14ac:dyDescent="0.35">
      <c r="B606" s="120" t="s">
        <v>1757</v>
      </c>
      <c r="C606" s="120" t="s">
        <v>4282</v>
      </c>
      <c r="D606" s="120" t="s">
        <v>4201</v>
      </c>
      <c r="E606" s="164">
        <v>2</v>
      </c>
    </row>
    <row r="607" spans="2:5" ht="15.65" customHeight="1" x14ac:dyDescent="0.35">
      <c r="B607" s="120" t="s">
        <v>1765</v>
      </c>
      <c r="C607" s="120" t="s">
        <v>4282</v>
      </c>
      <c r="D607" s="120" t="s">
        <v>4201</v>
      </c>
      <c r="E607" s="164">
        <v>2</v>
      </c>
    </row>
    <row r="608" spans="2:5" ht="15.65" customHeight="1" x14ac:dyDescent="0.35">
      <c r="B608" s="120" t="s">
        <v>1757</v>
      </c>
      <c r="C608" s="120" t="s">
        <v>4282</v>
      </c>
      <c r="D608" s="120" t="s">
        <v>659</v>
      </c>
      <c r="E608" s="164">
        <v>13</v>
      </c>
    </row>
    <row r="609" spans="2:5" ht="15.65" customHeight="1" x14ac:dyDescent="0.35">
      <c r="B609" s="120" t="s">
        <v>1771</v>
      </c>
      <c r="C609" s="120" t="s">
        <v>4273</v>
      </c>
      <c r="D609" s="120" t="s">
        <v>659</v>
      </c>
      <c r="E609" s="164">
        <v>13</v>
      </c>
    </row>
    <row r="610" spans="2:5" ht="15.65" customHeight="1" x14ac:dyDescent="0.35">
      <c r="B610" s="120" t="s">
        <v>1776</v>
      </c>
      <c r="C610" s="120" t="s">
        <v>624</v>
      </c>
      <c r="D610" s="120" t="s">
        <v>287</v>
      </c>
      <c r="E610" s="164">
        <v>16</v>
      </c>
    </row>
    <row r="611" spans="2:5" ht="15.65" customHeight="1" x14ac:dyDescent="0.35">
      <c r="B611" s="120" t="s">
        <v>1781</v>
      </c>
      <c r="C611" s="120" t="s">
        <v>4307</v>
      </c>
      <c r="D611" s="120" t="s">
        <v>1311</v>
      </c>
      <c r="E611" s="164">
        <v>8</v>
      </c>
    </row>
    <row r="612" spans="2:5" ht="15.65" customHeight="1" x14ac:dyDescent="0.35">
      <c r="B612" s="120" t="s">
        <v>1789</v>
      </c>
      <c r="C612" s="120" t="s">
        <v>4563</v>
      </c>
      <c r="D612" s="120" t="s">
        <v>287</v>
      </c>
      <c r="E612" s="164">
        <v>16</v>
      </c>
    </row>
    <row r="613" spans="2:5" ht="15.65" customHeight="1" x14ac:dyDescent="0.35">
      <c r="B613" s="120" t="s">
        <v>1796</v>
      </c>
      <c r="C613" s="120" t="s">
        <v>4563</v>
      </c>
      <c r="D613" s="120" t="s">
        <v>287</v>
      </c>
      <c r="E613" s="164">
        <v>16</v>
      </c>
    </row>
    <row r="614" spans="2:5" ht="15.65" customHeight="1" x14ac:dyDescent="0.35">
      <c r="B614" s="120" t="s">
        <v>1798</v>
      </c>
      <c r="C614" s="120" t="s">
        <v>4563</v>
      </c>
      <c r="D614" s="120" t="s">
        <v>287</v>
      </c>
      <c r="E614" s="164">
        <v>16</v>
      </c>
    </row>
    <row r="615" spans="2:5" ht="15.65" customHeight="1" x14ac:dyDescent="0.35">
      <c r="B615" s="120" t="s">
        <v>1800</v>
      </c>
      <c r="C615" s="120" t="s">
        <v>817</v>
      </c>
      <c r="D615" s="120" t="s">
        <v>659</v>
      </c>
      <c r="E615" s="164">
        <v>13</v>
      </c>
    </row>
    <row r="616" spans="2:5" ht="15.65" customHeight="1" x14ac:dyDescent="0.35">
      <c r="B616" s="120" t="s">
        <v>1803</v>
      </c>
      <c r="C616" s="120" t="s">
        <v>4277</v>
      </c>
      <c r="D616" s="120" t="s">
        <v>188</v>
      </c>
      <c r="E616" s="164">
        <v>11</v>
      </c>
    </row>
    <row r="617" spans="2:5" ht="15.65" customHeight="1" x14ac:dyDescent="0.35">
      <c r="B617" s="120" t="s">
        <v>1810</v>
      </c>
      <c r="C617" s="120" t="s">
        <v>4277</v>
      </c>
      <c r="D617" s="120" t="s">
        <v>188</v>
      </c>
      <c r="E617" s="164">
        <v>11</v>
      </c>
    </row>
    <row r="618" spans="2:5" ht="15.65" customHeight="1" x14ac:dyDescent="0.35">
      <c r="B618" s="120" t="s">
        <v>1813</v>
      </c>
      <c r="C618" s="120" t="s">
        <v>4531</v>
      </c>
      <c r="D618" s="120" t="s">
        <v>659</v>
      </c>
      <c r="E618" s="164">
        <v>13</v>
      </c>
    </row>
    <row r="619" spans="2:5" ht="15.65" customHeight="1" x14ac:dyDescent="0.35">
      <c r="B619" s="120" t="s">
        <v>1819</v>
      </c>
      <c r="C619" s="120" t="s">
        <v>4541</v>
      </c>
      <c r="D619" s="120" t="s">
        <v>999</v>
      </c>
      <c r="E619" s="164">
        <v>4</v>
      </c>
    </row>
    <row r="620" spans="2:5" ht="15.65" customHeight="1" x14ac:dyDescent="0.35">
      <c r="B620" s="120" t="s">
        <v>1825</v>
      </c>
      <c r="C620" s="120" t="s">
        <v>4534</v>
      </c>
      <c r="D620" s="120" t="s">
        <v>287</v>
      </c>
      <c r="E620" s="164">
        <v>16</v>
      </c>
    </row>
    <row r="621" spans="2:5" ht="15.65" customHeight="1" x14ac:dyDescent="0.35">
      <c r="B621" s="120" t="s">
        <v>1830</v>
      </c>
      <c r="C621" s="120" t="s">
        <v>4273</v>
      </c>
      <c r="D621" s="120" t="s">
        <v>659</v>
      </c>
      <c r="E621" s="164">
        <v>13</v>
      </c>
    </row>
    <row r="622" spans="2:5" ht="15.65" customHeight="1" x14ac:dyDescent="0.35">
      <c r="B622" s="120" t="s">
        <v>1834</v>
      </c>
      <c r="C622" s="120" t="s">
        <v>4438</v>
      </c>
      <c r="D622" s="120" t="s">
        <v>2955</v>
      </c>
      <c r="E622" s="164">
        <v>12</v>
      </c>
    </row>
    <row r="623" spans="2:5" ht="15.65" customHeight="1" x14ac:dyDescent="0.35">
      <c r="B623" s="120" t="s">
        <v>1845</v>
      </c>
      <c r="C623" s="120" t="s">
        <v>4421</v>
      </c>
      <c r="D623" s="120" t="s">
        <v>4306</v>
      </c>
      <c r="E623" s="164">
        <v>15</v>
      </c>
    </row>
    <row r="624" spans="2:5" ht="15.65" customHeight="1" x14ac:dyDescent="0.35">
      <c r="B624" s="120" t="s">
        <v>1854</v>
      </c>
      <c r="C624" s="120" t="s">
        <v>4481</v>
      </c>
      <c r="D624" s="120" t="s">
        <v>4201</v>
      </c>
      <c r="E624" s="164">
        <v>2</v>
      </c>
    </row>
    <row r="625" spans="2:5" ht="15.65" customHeight="1" x14ac:dyDescent="0.35">
      <c r="B625" s="120" t="s">
        <v>1859</v>
      </c>
      <c r="C625" s="120" t="s">
        <v>4308</v>
      </c>
      <c r="D625" s="120" t="s">
        <v>4201</v>
      </c>
      <c r="E625" s="164">
        <v>2</v>
      </c>
    </row>
    <row r="626" spans="2:5" ht="15.65" customHeight="1" x14ac:dyDescent="0.35">
      <c r="B626" s="120" t="s">
        <v>1866</v>
      </c>
      <c r="C626" s="120" t="s">
        <v>3366</v>
      </c>
      <c r="D626" s="120" t="s">
        <v>1311</v>
      </c>
      <c r="E626" s="164">
        <v>8</v>
      </c>
    </row>
    <row r="627" spans="2:5" ht="15.65" customHeight="1" x14ac:dyDescent="0.35">
      <c r="B627" s="120" t="s">
        <v>1877</v>
      </c>
      <c r="C627" s="120" t="s">
        <v>4564</v>
      </c>
      <c r="D627" s="120" t="s">
        <v>4357</v>
      </c>
      <c r="E627" s="164">
        <v>15</v>
      </c>
    </row>
    <row r="628" spans="2:5" ht="15.65" customHeight="1" x14ac:dyDescent="0.35">
      <c r="B628" s="120" t="s">
        <v>1883</v>
      </c>
      <c r="C628" s="120" t="s">
        <v>4472</v>
      </c>
      <c r="D628" s="120" t="s">
        <v>188</v>
      </c>
      <c r="E628" s="164">
        <v>11</v>
      </c>
    </row>
    <row r="629" spans="2:5" ht="15.65" customHeight="1" x14ac:dyDescent="0.35">
      <c r="B629" s="120" t="s">
        <v>4565</v>
      </c>
      <c r="C629" s="120" t="s">
        <v>1890</v>
      </c>
      <c r="D629" s="120" t="s">
        <v>1891</v>
      </c>
      <c r="E629" s="164">
        <v>6</v>
      </c>
    </row>
    <row r="630" spans="2:5" ht="15.65" customHeight="1" x14ac:dyDescent="0.35">
      <c r="B630" s="120" t="s">
        <v>1416</v>
      </c>
      <c r="C630" s="120" t="s">
        <v>4273</v>
      </c>
      <c r="D630" s="120" t="s">
        <v>659</v>
      </c>
      <c r="E630" s="164">
        <v>13</v>
      </c>
    </row>
    <row r="631" spans="2:5" ht="15.65" customHeight="1" x14ac:dyDescent="0.35">
      <c r="B631" s="120" t="s">
        <v>1934</v>
      </c>
      <c r="C631" s="120" t="s">
        <v>4273</v>
      </c>
      <c r="D631" s="120" t="s">
        <v>659</v>
      </c>
      <c r="E631" s="164">
        <v>13</v>
      </c>
    </row>
    <row r="632" spans="2:5" ht="15.65" customHeight="1" x14ac:dyDescent="0.35">
      <c r="B632" s="120" t="s">
        <v>1925</v>
      </c>
      <c r="C632" s="120" t="s">
        <v>817</v>
      </c>
      <c r="D632" s="120" t="s">
        <v>659</v>
      </c>
      <c r="E632" s="164">
        <v>13</v>
      </c>
    </row>
    <row r="633" spans="2:5" ht="15.65" customHeight="1" x14ac:dyDescent="0.35">
      <c r="B633" s="120" t="s">
        <v>1909</v>
      </c>
      <c r="C633" s="120" t="s">
        <v>4313</v>
      </c>
      <c r="D633" s="120" t="s">
        <v>2955</v>
      </c>
      <c r="E633" s="164">
        <v>12</v>
      </c>
    </row>
    <row r="634" spans="2:5" ht="15.65" customHeight="1" x14ac:dyDescent="0.35">
      <c r="B634" s="120" t="s">
        <v>1902</v>
      </c>
      <c r="C634" s="120" t="s">
        <v>624</v>
      </c>
      <c r="D634" s="120" t="s">
        <v>287</v>
      </c>
      <c r="E634" s="164">
        <v>16</v>
      </c>
    </row>
    <row r="635" spans="2:5" ht="15.65" customHeight="1" x14ac:dyDescent="0.35">
      <c r="B635" s="120" t="s">
        <v>1928</v>
      </c>
      <c r="C635" s="120" t="s">
        <v>1487</v>
      </c>
      <c r="D635" s="120" t="s">
        <v>287</v>
      </c>
      <c r="E635" s="164">
        <v>16</v>
      </c>
    </row>
    <row r="636" spans="2:5" ht="15.65" customHeight="1" x14ac:dyDescent="0.35">
      <c r="B636" s="120" t="s">
        <v>1931</v>
      </c>
      <c r="C636" s="120" t="s">
        <v>4273</v>
      </c>
      <c r="D636" s="120" t="s">
        <v>659</v>
      </c>
      <c r="E636" s="164">
        <v>13</v>
      </c>
    </row>
    <row r="637" spans="2:5" ht="15.65" customHeight="1" x14ac:dyDescent="0.35">
      <c r="B637" s="120" t="s">
        <v>1942</v>
      </c>
      <c r="C637" s="120" t="s">
        <v>4355</v>
      </c>
      <c r="D637" s="120" t="s">
        <v>315</v>
      </c>
      <c r="E637" s="164">
        <v>6</v>
      </c>
    </row>
    <row r="638" spans="2:5" ht="15.65" customHeight="1" x14ac:dyDescent="0.35">
      <c r="B638" s="120" t="s">
        <v>1948</v>
      </c>
      <c r="C638" s="120" t="s">
        <v>624</v>
      </c>
      <c r="D638" s="120" t="s">
        <v>287</v>
      </c>
      <c r="E638" s="164">
        <v>16</v>
      </c>
    </row>
    <row r="639" spans="2:5" ht="15.65" customHeight="1" x14ac:dyDescent="0.35">
      <c r="B639" s="4" t="s">
        <v>1916</v>
      </c>
      <c r="C639" s="120" t="s">
        <v>4315</v>
      </c>
      <c r="D639" s="120" t="s">
        <v>1311</v>
      </c>
      <c r="E639" s="164">
        <v>8</v>
      </c>
    </row>
    <row r="640" spans="2:5" ht="15.65" customHeight="1" x14ac:dyDescent="0.35">
      <c r="B640" s="120" t="s">
        <v>1945</v>
      </c>
      <c r="C640" s="120" t="s">
        <v>4366</v>
      </c>
      <c r="D640" s="120" t="s">
        <v>4295</v>
      </c>
      <c r="E640" s="164">
        <v>16</v>
      </c>
    </row>
    <row r="641" spans="2:5" ht="15.65" customHeight="1" x14ac:dyDescent="0.35">
      <c r="B641" s="120" t="s">
        <v>1968</v>
      </c>
      <c r="C641" s="120" t="s">
        <v>4566</v>
      </c>
      <c r="D641" s="120" t="s">
        <v>4295</v>
      </c>
      <c r="E641" s="164">
        <v>16</v>
      </c>
    </row>
    <row r="642" spans="2:5" ht="15.65" customHeight="1" x14ac:dyDescent="0.35">
      <c r="B642" s="120" t="s">
        <v>1972</v>
      </c>
      <c r="C642" s="120" t="s">
        <v>4366</v>
      </c>
      <c r="D642" s="120" t="s">
        <v>4295</v>
      </c>
      <c r="E642" s="164">
        <v>16</v>
      </c>
    </row>
    <row r="643" spans="2:5" ht="15.65" customHeight="1" x14ac:dyDescent="0.35">
      <c r="B643" s="120" t="s">
        <v>1977</v>
      </c>
      <c r="C643" s="120" t="s">
        <v>4347</v>
      </c>
      <c r="D643" s="120" t="s">
        <v>2580</v>
      </c>
      <c r="E643" s="164">
        <v>7</v>
      </c>
    </row>
    <row r="644" spans="2:5" ht="15.65" customHeight="1" x14ac:dyDescent="0.35">
      <c r="B644" s="120" t="s">
        <v>3864</v>
      </c>
      <c r="C644" s="120" t="s">
        <v>2962</v>
      </c>
      <c r="D644" s="120" t="s">
        <v>2580</v>
      </c>
      <c r="E644" s="164">
        <v>7</v>
      </c>
    </row>
    <row r="645" spans="2:5" ht="15.65" customHeight="1" x14ac:dyDescent="0.35">
      <c r="B645" s="120" t="s">
        <v>3871</v>
      </c>
      <c r="C645" s="120" t="s">
        <v>4506</v>
      </c>
      <c r="D645" s="120" t="s">
        <v>4218</v>
      </c>
      <c r="E645" s="164">
        <v>6</v>
      </c>
    </row>
    <row r="646" spans="2:5" ht="15.65" customHeight="1" x14ac:dyDescent="0.35">
      <c r="B646" s="4" t="s">
        <v>1981</v>
      </c>
      <c r="C646" s="120" t="s">
        <v>4511</v>
      </c>
      <c r="D646" s="120" t="s">
        <v>2580</v>
      </c>
      <c r="E646" s="164">
        <v>7</v>
      </c>
    </row>
    <row r="647" spans="2:5" ht="15.65" customHeight="1" x14ac:dyDescent="0.35">
      <c r="B647" s="120" t="s">
        <v>1991</v>
      </c>
      <c r="C647" s="120" t="s">
        <v>4478</v>
      </c>
      <c r="D647" s="120" t="s">
        <v>2580</v>
      </c>
      <c r="E647" s="164">
        <v>7</v>
      </c>
    </row>
    <row r="648" spans="2:5" ht="15.65" customHeight="1" x14ac:dyDescent="0.35">
      <c r="B648" s="4" t="s">
        <v>2027</v>
      </c>
      <c r="C648" s="120" t="s">
        <v>4485</v>
      </c>
      <c r="D648" s="120" t="s">
        <v>659</v>
      </c>
      <c r="E648" s="164">
        <v>13</v>
      </c>
    </row>
    <row r="649" spans="2:5" ht="15.65" customHeight="1" x14ac:dyDescent="0.35">
      <c r="B649" s="120" t="s">
        <v>4567</v>
      </c>
      <c r="C649" s="120" t="s">
        <v>4308</v>
      </c>
      <c r="D649" s="120" t="s">
        <v>4201</v>
      </c>
      <c r="E649" s="164">
        <v>2</v>
      </c>
    </row>
    <row r="650" spans="2:5" ht="15.65" customHeight="1" x14ac:dyDescent="0.35">
      <c r="B650" s="120" t="s">
        <v>2037</v>
      </c>
      <c r="C650" s="120" t="s">
        <v>4387</v>
      </c>
      <c r="D650" s="120" t="s">
        <v>4218</v>
      </c>
      <c r="E650" s="164">
        <v>6</v>
      </c>
    </row>
    <row r="651" spans="2:5" ht="15.65" customHeight="1" x14ac:dyDescent="0.35">
      <c r="B651" s="120" t="s">
        <v>2043</v>
      </c>
      <c r="C651" s="120" t="s">
        <v>658</v>
      </c>
      <c r="D651" s="120" t="s">
        <v>659</v>
      </c>
      <c r="E651" s="164">
        <v>13</v>
      </c>
    </row>
    <row r="652" spans="2:5" ht="15.65" customHeight="1" x14ac:dyDescent="0.35">
      <c r="B652" s="120" t="s">
        <v>2099</v>
      </c>
      <c r="C652" s="120" t="s">
        <v>4568</v>
      </c>
      <c r="D652" s="120" t="s">
        <v>2955</v>
      </c>
      <c r="E652" s="164">
        <v>12</v>
      </c>
    </row>
    <row r="653" spans="2:5" ht="15.65" customHeight="1" x14ac:dyDescent="0.35">
      <c r="B653" s="4" t="s">
        <v>2060</v>
      </c>
      <c r="C653" s="120" t="s">
        <v>4282</v>
      </c>
      <c r="D653" s="120" t="s">
        <v>4201</v>
      </c>
      <c r="E653" s="164">
        <v>2</v>
      </c>
    </row>
    <row r="654" spans="2:5" ht="15.65" customHeight="1" x14ac:dyDescent="0.35">
      <c r="B654" s="120" t="s">
        <v>2065</v>
      </c>
      <c r="C654" s="120" t="s">
        <v>4282</v>
      </c>
      <c r="D654" s="120" t="s">
        <v>4201</v>
      </c>
      <c r="E654" s="164">
        <v>2</v>
      </c>
    </row>
    <row r="655" spans="2:5" ht="15.65" customHeight="1" x14ac:dyDescent="0.35">
      <c r="B655" s="120" t="s">
        <v>2071</v>
      </c>
      <c r="C655" s="120" t="s">
        <v>4308</v>
      </c>
      <c r="D655" s="120" t="s">
        <v>4201</v>
      </c>
      <c r="E655" s="164">
        <v>2</v>
      </c>
    </row>
    <row r="656" spans="2:5" ht="15.65" customHeight="1" x14ac:dyDescent="0.35">
      <c r="B656" s="4" t="s">
        <v>2076</v>
      </c>
      <c r="C656" s="120" t="s">
        <v>4418</v>
      </c>
      <c r="D656" s="120" t="s">
        <v>188</v>
      </c>
      <c r="E656" s="164">
        <v>11</v>
      </c>
    </row>
    <row r="657" spans="2:5" ht="15.65" customHeight="1" x14ac:dyDescent="0.35">
      <c r="B657" s="120" t="s">
        <v>2079</v>
      </c>
      <c r="C657" s="120" t="s">
        <v>4273</v>
      </c>
      <c r="D657" s="120" t="s">
        <v>659</v>
      </c>
      <c r="E657" s="164">
        <v>13</v>
      </c>
    </row>
    <row r="658" spans="2:5" ht="15.65" customHeight="1" x14ac:dyDescent="0.35">
      <c r="B658" s="4" t="s">
        <v>2114</v>
      </c>
      <c r="C658" s="120" t="s">
        <v>4308</v>
      </c>
      <c r="D658" s="120" t="s">
        <v>4201</v>
      </c>
      <c r="E658" s="164">
        <v>2</v>
      </c>
    </row>
    <row r="659" spans="2:5" ht="15.65" customHeight="1" x14ac:dyDescent="0.35">
      <c r="B659" s="120" t="s">
        <v>2118</v>
      </c>
      <c r="C659" s="120" t="s">
        <v>4272</v>
      </c>
      <c r="D659" s="120" t="s">
        <v>188</v>
      </c>
      <c r="E659" s="164">
        <v>11</v>
      </c>
    </row>
    <row r="660" spans="2:5" ht="15.65" customHeight="1" x14ac:dyDescent="0.35">
      <c r="B660" s="120" t="s">
        <v>2122</v>
      </c>
      <c r="C660" s="120" t="s">
        <v>4366</v>
      </c>
      <c r="D660" s="120" t="s">
        <v>4295</v>
      </c>
      <c r="E660" s="164">
        <v>16</v>
      </c>
    </row>
    <row r="661" spans="2:5" ht="15.65" customHeight="1" x14ac:dyDescent="0.35">
      <c r="B661" s="120" t="s">
        <v>2125</v>
      </c>
      <c r="C661" s="120" t="s">
        <v>4371</v>
      </c>
      <c r="D661" s="120" t="s">
        <v>4402</v>
      </c>
      <c r="E661" s="164">
        <v>15</v>
      </c>
    </row>
    <row r="662" spans="2:5" ht="15.65" customHeight="1" x14ac:dyDescent="0.35">
      <c r="B662" s="120" t="s">
        <v>2129</v>
      </c>
      <c r="C662" s="120" t="s">
        <v>4478</v>
      </c>
      <c r="D662" s="120" t="s">
        <v>4290</v>
      </c>
      <c r="E662" s="164">
        <v>15</v>
      </c>
    </row>
    <row r="663" spans="2:5" ht="15.65" customHeight="1" x14ac:dyDescent="0.35">
      <c r="B663" s="120" t="s">
        <v>2082</v>
      </c>
      <c r="C663" s="120" t="s">
        <v>4478</v>
      </c>
      <c r="D663" s="120" t="s">
        <v>2580</v>
      </c>
      <c r="E663" s="164">
        <v>7</v>
      </c>
    </row>
    <row r="664" spans="2:5" ht="15.65" customHeight="1" x14ac:dyDescent="0.35">
      <c r="B664" s="120" t="s">
        <v>3873</v>
      </c>
      <c r="C664" s="120" t="s">
        <v>624</v>
      </c>
      <c r="D664" s="120" t="s">
        <v>287</v>
      </c>
      <c r="E664" s="164">
        <v>16</v>
      </c>
    </row>
    <row r="665" spans="2:5" ht="15.65" customHeight="1" x14ac:dyDescent="0.35">
      <c r="B665" s="120" t="s">
        <v>3878</v>
      </c>
      <c r="C665" s="120" t="s">
        <v>4569</v>
      </c>
      <c r="D665" s="120" t="s">
        <v>4201</v>
      </c>
      <c r="E665" s="164">
        <v>2</v>
      </c>
    </row>
    <row r="666" spans="2:5" ht="15.65" customHeight="1" x14ac:dyDescent="0.35">
      <c r="B666" s="120" t="s">
        <v>3889</v>
      </c>
      <c r="C666" s="120" t="s">
        <v>3882</v>
      </c>
      <c r="D666" s="120" t="s">
        <v>1105</v>
      </c>
      <c r="E666" s="164">
        <v>1</v>
      </c>
    </row>
    <row r="667" spans="2:5" ht="15.65" customHeight="1" x14ac:dyDescent="0.35">
      <c r="B667" s="120" t="s">
        <v>3891</v>
      </c>
      <c r="C667" s="120" t="s">
        <v>3882</v>
      </c>
      <c r="D667" s="120" t="s">
        <v>1105</v>
      </c>
      <c r="E667" s="164">
        <v>1</v>
      </c>
    </row>
    <row r="668" spans="2:5" ht="15.65" customHeight="1" x14ac:dyDescent="0.35">
      <c r="B668" s="120" t="s">
        <v>3893</v>
      </c>
      <c r="C668" s="120" t="s">
        <v>286</v>
      </c>
      <c r="D668" s="120" t="s">
        <v>287</v>
      </c>
      <c r="E668" s="164">
        <v>16</v>
      </c>
    </row>
    <row r="669" spans="2:5" ht="15.65" customHeight="1" x14ac:dyDescent="0.35">
      <c r="B669" s="120" t="s">
        <v>3896</v>
      </c>
      <c r="C669" s="120" t="s">
        <v>286</v>
      </c>
      <c r="D669" s="120" t="s">
        <v>287</v>
      </c>
      <c r="E669" s="164">
        <v>16</v>
      </c>
    </row>
    <row r="670" spans="2:5" ht="15.65" customHeight="1" x14ac:dyDescent="0.35">
      <c r="B670" s="120" t="s">
        <v>3899</v>
      </c>
      <c r="C670" s="120" t="s">
        <v>4563</v>
      </c>
      <c r="D670" s="120" t="s">
        <v>287</v>
      </c>
      <c r="E670" s="164">
        <v>16</v>
      </c>
    </row>
    <row r="671" spans="2:5" ht="15.65" customHeight="1" x14ac:dyDescent="0.35">
      <c r="B671" s="120" t="s">
        <v>3901</v>
      </c>
      <c r="C671" s="120" t="s">
        <v>4320</v>
      </c>
      <c r="D671" s="120" t="s">
        <v>4209</v>
      </c>
      <c r="E671" s="164">
        <v>14</v>
      </c>
    </row>
    <row r="672" spans="2:5" ht="15.65" customHeight="1" x14ac:dyDescent="0.35">
      <c r="B672" s="120" t="s">
        <v>3903</v>
      </c>
      <c r="C672" s="120" t="s">
        <v>4413</v>
      </c>
      <c r="D672" s="120" t="s">
        <v>188</v>
      </c>
      <c r="E672" s="164">
        <v>11</v>
      </c>
    </row>
    <row r="673" spans="2:5" ht="15.65" customHeight="1" x14ac:dyDescent="0.35">
      <c r="B673" s="120" t="s">
        <v>3908</v>
      </c>
      <c r="C673" s="120" t="s">
        <v>4273</v>
      </c>
      <c r="D673" s="120" t="s">
        <v>659</v>
      </c>
      <c r="E673" s="164">
        <v>13</v>
      </c>
    </row>
    <row r="674" spans="2:5" ht="15.65" customHeight="1" x14ac:dyDescent="0.35">
      <c r="B674" s="120" t="s">
        <v>3915</v>
      </c>
      <c r="C674" s="120" t="s">
        <v>3366</v>
      </c>
      <c r="D674" s="120" t="s">
        <v>1311</v>
      </c>
      <c r="E674" s="164">
        <v>8</v>
      </c>
    </row>
    <row r="675" spans="2:5" ht="15.65" customHeight="1" x14ac:dyDescent="0.35">
      <c r="B675" s="120" t="s">
        <v>3918</v>
      </c>
      <c r="C675" s="120" t="s">
        <v>4450</v>
      </c>
      <c r="D675" s="120" t="s">
        <v>287</v>
      </c>
      <c r="E675" s="164">
        <v>16</v>
      </c>
    </row>
    <row r="676" spans="2:5" ht="15.65" customHeight="1" x14ac:dyDescent="0.35">
      <c r="B676" s="120" t="s">
        <v>3924</v>
      </c>
      <c r="C676" s="120" t="s">
        <v>4273</v>
      </c>
      <c r="D676" s="120" t="s">
        <v>659</v>
      </c>
      <c r="E676" s="164">
        <v>13</v>
      </c>
    </row>
    <row r="677" spans="2:5" ht="15.65" customHeight="1" x14ac:dyDescent="0.35">
      <c r="B677" s="120" t="s">
        <v>3929</v>
      </c>
      <c r="C677" s="120" t="s">
        <v>4282</v>
      </c>
      <c r="D677" s="120" t="s">
        <v>4201</v>
      </c>
      <c r="E677" s="164">
        <v>2</v>
      </c>
    </row>
    <row r="678" spans="2:5" ht="15.65" customHeight="1" x14ac:dyDescent="0.35">
      <c r="B678" s="120" t="s">
        <v>3934</v>
      </c>
      <c r="C678" s="120" t="s">
        <v>4570</v>
      </c>
      <c r="D678" s="120" t="s">
        <v>287</v>
      </c>
      <c r="E678" s="164">
        <v>16</v>
      </c>
    </row>
    <row r="679" spans="2:5" ht="15.65" customHeight="1" x14ac:dyDescent="0.35">
      <c r="B679" s="120" t="s">
        <v>3941</v>
      </c>
      <c r="C679" s="120" t="s">
        <v>4300</v>
      </c>
      <c r="D679" s="120" t="s">
        <v>2955</v>
      </c>
      <c r="E679" s="164">
        <v>12</v>
      </c>
    </row>
    <row r="680" spans="2:5" ht="15.65" customHeight="1" x14ac:dyDescent="0.35">
      <c r="B680" s="120" t="s">
        <v>3949</v>
      </c>
      <c r="C680" s="120" t="s">
        <v>4273</v>
      </c>
      <c r="D680" s="120" t="s">
        <v>659</v>
      </c>
      <c r="E680" s="164">
        <v>13</v>
      </c>
    </row>
    <row r="681" spans="2:5" ht="15.65" customHeight="1" x14ac:dyDescent="0.35">
      <c r="B681" s="120" t="s">
        <v>3953</v>
      </c>
      <c r="C681" s="120" t="s">
        <v>624</v>
      </c>
      <c r="D681" s="120" t="s">
        <v>287</v>
      </c>
      <c r="E681" s="164">
        <v>16</v>
      </c>
    </row>
    <row r="682" spans="2:5" ht="15.65" customHeight="1" x14ac:dyDescent="0.35">
      <c r="B682" s="120" t="s">
        <v>3957</v>
      </c>
      <c r="C682" s="120" t="s">
        <v>4571</v>
      </c>
      <c r="D682" s="120" t="s">
        <v>287</v>
      </c>
      <c r="E682" s="164">
        <v>16</v>
      </c>
    </row>
    <row r="683" spans="2:5" ht="15.65" customHeight="1" x14ac:dyDescent="0.35">
      <c r="B683" s="120" t="s">
        <v>3961</v>
      </c>
      <c r="C683" s="120" t="s">
        <v>4274</v>
      </c>
      <c r="D683" s="120" t="s">
        <v>315</v>
      </c>
      <c r="E683" s="164">
        <v>6</v>
      </c>
    </row>
    <row r="684" spans="2:5" ht="15.65" customHeight="1" x14ac:dyDescent="0.35">
      <c r="B684" s="120" t="s">
        <v>3968</v>
      </c>
      <c r="C684" s="120" t="s">
        <v>4572</v>
      </c>
      <c r="D684" s="120" t="s">
        <v>2967</v>
      </c>
      <c r="E684" s="164">
        <v>5</v>
      </c>
    </row>
    <row r="685" spans="2:5" ht="15.65" customHeight="1" x14ac:dyDescent="0.35">
      <c r="B685" s="120" t="s">
        <v>2132</v>
      </c>
      <c r="C685" s="120" t="s">
        <v>4573</v>
      </c>
      <c r="D685" s="120" t="s">
        <v>287</v>
      </c>
      <c r="E685" s="164">
        <v>16</v>
      </c>
    </row>
    <row r="686" spans="2:5" ht="15.65" customHeight="1" x14ac:dyDescent="0.35">
      <c r="B686" s="120" t="s">
        <v>2138</v>
      </c>
      <c r="C686" s="120" t="s">
        <v>4574</v>
      </c>
      <c r="D686" s="120" t="s">
        <v>287</v>
      </c>
      <c r="E686" s="164">
        <v>16</v>
      </c>
    </row>
    <row r="687" spans="2:5" ht="15.65" customHeight="1" x14ac:dyDescent="0.35">
      <c r="B687" s="120" t="s">
        <v>1897</v>
      </c>
      <c r="C687" s="120" t="s">
        <v>4575</v>
      </c>
      <c r="D687" s="120" t="s">
        <v>4303</v>
      </c>
      <c r="E687" s="164">
        <v>15</v>
      </c>
    </row>
    <row r="688" spans="2:5" ht="15.65" customHeight="1" x14ac:dyDescent="0.35">
      <c r="B688" s="120"/>
      <c r="C688" s="120"/>
      <c r="D688" s="120"/>
      <c r="E688" s="164"/>
    </row>
    <row r="689" spans="2:5" ht="15.65" customHeight="1" x14ac:dyDescent="0.35">
      <c r="B689" s="120"/>
      <c r="C689" s="120"/>
      <c r="D689" s="120"/>
      <c r="E689" s="164"/>
    </row>
    <row r="690" spans="2:5" ht="15.65" customHeight="1" x14ac:dyDescent="0.35">
      <c r="B690" s="120"/>
      <c r="C690" s="120"/>
      <c r="D690" s="120"/>
      <c r="E690" s="164"/>
    </row>
    <row r="691" spans="2:5" ht="15.65" customHeight="1" x14ac:dyDescent="0.35">
      <c r="B691" s="120"/>
      <c r="C691" s="120"/>
      <c r="D691" s="120"/>
      <c r="E691" s="164"/>
    </row>
    <row r="692" spans="2:5" ht="15.65" customHeight="1" x14ac:dyDescent="0.35">
      <c r="B692" s="120"/>
      <c r="C692" s="120"/>
      <c r="D692" s="120"/>
      <c r="E692" s="164"/>
    </row>
  </sheetData>
  <autoFilter ref="B6:E687" xr:uid="{00000000-0001-0000-0500-000000000000}"/>
  <mergeCells count="1">
    <mergeCell ref="B4:D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F66AD-139F-41E7-8CE4-3F67FF0F17F7}">
  <sheetPr codeName="Sheet9">
    <tabColor theme="5" tint="0.39997558519241921"/>
  </sheetPr>
  <dimension ref="A1:F647"/>
  <sheetViews>
    <sheetView zoomScaleNormal="100" workbookViewId="0"/>
  </sheetViews>
  <sheetFormatPr baseColWidth="10" defaultColWidth="8.75" defaultRowHeight="15.65" customHeight="1" x14ac:dyDescent="0.35"/>
  <cols>
    <col min="1" max="1" width="8.75" style="1"/>
    <col min="2" max="2" width="10.83203125" style="1" customWidth="1"/>
    <col min="3" max="3" width="33" style="1" customWidth="1"/>
    <col min="4" max="4" width="74.83203125" style="1" customWidth="1"/>
    <col min="5" max="5" width="89.25" style="74" bestFit="1" customWidth="1"/>
    <col min="6" max="6" width="12.25" style="1" customWidth="1"/>
    <col min="7" max="7" width="18.75" style="1" customWidth="1"/>
    <col min="8" max="16384" width="8.75" style="1"/>
  </cols>
  <sheetData>
    <row r="1" spans="1:6" ht="15.65" customHeight="1" x14ac:dyDescent="0.35">
      <c r="A1" s="109" t="s">
        <v>200</v>
      </c>
      <c r="B1" s="109" t="s">
        <v>200</v>
      </c>
      <c r="C1" s="109" t="s">
        <v>200</v>
      </c>
      <c r="D1" s="109" t="s">
        <v>200</v>
      </c>
      <c r="E1" s="175" t="s">
        <v>200</v>
      </c>
      <c r="F1" s="109" t="s">
        <v>200</v>
      </c>
    </row>
    <row r="2" spans="1:6" ht="25.9" customHeight="1" x14ac:dyDescent="0.7">
      <c r="A2" s="109" t="s">
        <v>200</v>
      </c>
      <c r="B2" s="235" t="s">
        <v>4576</v>
      </c>
      <c r="C2" s="235"/>
      <c r="D2" s="235"/>
      <c r="E2" s="175" t="s">
        <v>200</v>
      </c>
      <c r="F2" s="109" t="s">
        <v>200</v>
      </c>
    </row>
    <row r="3" spans="1:6" ht="15.65" customHeight="1" x14ac:dyDescent="0.35">
      <c r="A3" s="109" t="s">
        <v>200</v>
      </c>
      <c r="B3" s="109" t="s">
        <v>200</v>
      </c>
      <c r="C3" s="109" t="s">
        <v>200</v>
      </c>
      <c r="D3" s="109" t="s">
        <v>200</v>
      </c>
      <c r="E3" s="175" t="s">
        <v>200</v>
      </c>
      <c r="F3" s="109" t="s">
        <v>200</v>
      </c>
    </row>
    <row r="4" spans="1:6" ht="82.5" customHeight="1" x14ac:dyDescent="0.35">
      <c r="A4" s="109" t="s">
        <v>200</v>
      </c>
      <c r="B4" s="234" t="s">
        <v>5690</v>
      </c>
      <c r="C4" s="234"/>
      <c r="D4" s="234"/>
      <c r="E4" s="176" t="s">
        <v>200</v>
      </c>
      <c r="F4" s="109" t="s">
        <v>200</v>
      </c>
    </row>
    <row r="5" spans="1:6" ht="15.65" customHeight="1" x14ac:dyDescent="0.35">
      <c r="A5" s="109" t="s">
        <v>200</v>
      </c>
      <c r="B5" s="109" t="s">
        <v>200</v>
      </c>
      <c r="C5" s="109" t="s">
        <v>200</v>
      </c>
      <c r="D5" s="109" t="s">
        <v>200</v>
      </c>
      <c r="E5" s="175" t="s">
        <v>200</v>
      </c>
      <c r="F5" s="109" t="s">
        <v>200</v>
      </c>
    </row>
    <row r="6" spans="1:6" ht="21" customHeight="1" x14ac:dyDescent="0.35">
      <c r="A6" s="109" t="s">
        <v>200</v>
      </c>
      <c r="B6" s="157" t="s">
        <v>4577</v>
      </c>
      <c r="C6" s="157" t="s">
        <v>5682</v>
      </c>
      <c r="D6" s="157" t="s">
        <v>5683</v>
      </c>
      <c r="E6" s="157" t="s">
        <v>5684</v>
      </c>
      <c r="F6" s="109" t="s">
        <v>200</v>
      </c>
    </row>
    <row r="7" spans="1:6" ht="15.65" customHeight="1" x14ac:dyDescent="0.35">
      <c r="A7" s="109" t="s">
        <v>200</v>
      </c>
      <c r="B7" s="177">
        <v>1005</v>
      </c>
      <c r="C7" s="177" t="s">
        <v>763</v>
      </c>
      <c r="D7" s="177" t="s">
        <v>764</v>
      </c>
      <c r="E7" s="178" t="s">
        <v>4578</v>
      </c>
      <c r="F7" s="109" t="s">
        <v>200</v>
      </c>
    </row>
    <row r="8" spans="1:6" ht="15.65" customHeight="1" x14ac:dyDescent="0.35">
      <c r="A8" s="109" t="s">
        <v>200</v>
      </c>
      <c r="B8" s="177">
        <v>1010</v>
      </c>
      <c r="C8" s="177" t="s">
        <v>763</v>
      </c>
      <c r="D8" s="177" t="s">
        <v>4579</v>
      </c>
      <c r="E8" s="178" t="s">
        <v>4578</v>
      </c>
      <c r="F8" s="109" t="s">
        <v>200</v>
      </c>
    </row>
    <row r="9" spans="1:6" ht="15.65" customHeight="1" x14ac:dyDescent="0.35">
      <c r="A9" s="109" t="s">
        <v>200</v>
      </c>
      <c r="B9" s="177">
        <v>1015</v>
      </c>
      <c r="C9" s="177" t="s">
        <v>763</v>
      </c>
      <c r="D9" s="177" t="s">
        <v>1592</v>
      </c>
      <c r="E9" s="178" t="s">
        <v>4580</v>
      </c>
      <c r="F9" s="109" t="s">
        <v>200</v>
      </c>
    </row>
    <row r="10" spans="1:6" ht="15.65" customHeight="1" x14ac:dyDescent="0.35">
      <c r="A10" s="109" t="s">
        <v>200</v>
      </c>
      <c r="B10" s="177">
        <v>1020</v>
      </c>
      <c r="C10" s="177" t="s">
        <v>763</v>
      </c>
      <c r="D10" s="177" t="s">
        <v>3515</v>
      </c>
      <c r="E10" s="178" t="s">
        <v>4580</v>
      </c>
      <c r="F10" s="109" t="s">
        <v>200</v>
      </c>
    </row>
    <row r="11" spans="1:6" ht="15.65" customHeight="1" x14ac:dyDescent="0.35">
      <c r="A11" s="109" t="s">
        <v>200</v>
      </c>
      <c r="B11" s="177">
        <v>1025</v>
      </c>
      <c r="C11" s="177" t="s">
        <v>763</v>
      </c>
      <c r="D11" s="177" t="s">
        <v>2021</v>
      </c>
      <c r="E11" s="178" t="s">
        <v>4580</v>
      </c>
      <c r="F11" s="109" t="s">
        <v>200</v>
      </c>
    </row>
    <row r="12" spans="1:6" ht="15.65" customHeight="1" x14ac:dyDescent="0.35">
      <c r="A12" s="109" t="s">
        <v>200</v>
      </c>
      <c r="B12" s="177">
        <v>1030</v>
      </c>
      <c r="C12" s="177" t="s">
        <v>763</v>
      </c>
      <c r="D12" s="177" t="s">
        <v>4581</v>
      </c>
      <c r="E12" s="178" t="s">
        <v>4580</v>
      </c>
      <c r="F12" s="109" t="s">
        <v>200</v>
      </c>
    </row>
    <row r="13" spans="1:6" ht="15.65" customHeight="1" x14ac:dyDescent="0.35">
      <c r="A13" s="109" t="s">
        <v>200</v>
      </c>
      <c r="B13" s="177">
        <v>1040</v>
      </c>
      <c r="C13" s="177" t="s">
        <v>763</v>
      </c>
      <c r="D13" s="177" t="s">
        <v>4582</v>
      </c>
      <c r="E13" s="178" t="s">
        <v>4583</v>
      </c>
      <c r="F13" s="109" t="s">
        <v>200</v>
      </c>
    </row>
    <row r="14" spans="1:6" ht="15.65" customHeight="1" x14ac:dyDescent="0.35">
      <c r="A14" s="109" t="s">
        <v>200</v>
      </c>
      <c r="B14" s="177">
        <v>1045</v>
      </c>
      <c r="C14" s="177" t="s">
        <v>763</v>
      </c>
      <c r="D14" s="177" t="s">
        <v>4584</v>
      </c>
      <c r="E14" s="178" t="s">
        <v>4583</v>
      </c>
      <c r="F14" s="109" t="s">
        <v>200</v>
      </c>
    </row>
    <row r="15" spans="1:6" ht="15.65" customHeight="1" x14ac:dyDescent="0.35">
      <c r="A15" s="109" t="s">
        <v>200</v>
      </c>
      <c r="B15" s="177">
        <v>1055</v>
      </c>
      <c r="C15" s="177" t="s">
        <v>763</v>
      </c>
      <c r="D15" s="177" t="s">
        <v>1580</v>
      </c>
      <c r="E15" s="178" t="s">
        <v>1580</v>
      </c>
      <c r="F15" s="109" t="s">
        <v>200</v>
      </c>
    </row>
    <row r="16" spans="1:6" ht="15.65" customHeight="1" x14ac:dyDescent="0.35">
      <c r="A16" s="109" t="s">
        <v>200</v>
      </c>
      <c r="B16" s="177">
        <v>1070</v>
      </c>
      <c r="C16" s="177" t="s">
        <v>763</v>
      </c>
      <c r="D16" s="177" t="s">
        <v>4585</v>
      </c>
      <c r="E16" s="178" t="s">
        <v>4583</v>
      </c>
      <c r="F16" s="109" t="s">
        <v>200</v>
      </c>
    </row>
    <row r="17" spans="1:6" ht="15.65" customHeight="1" x14ac:dyDescent="0.35">
      <c r="A17" s="109" t="s">
        <v>200</v>
      </c>
      <c r="B17" s="177">
        <v>1075</v>
      </c>
      <c r="C17" s="177" t="s">
        <v>763</v>
      </c>
      <c r="D17" s="177" t="s">
        <v>4586</v>
      </c>
      <c r="E17" s="178" t="s">
        <v>4583</v>
      </c>
      <c r="F17" s="109" t="s">
        <v>200</v>
      </c>
    </row>
    <row r="18" spans="1:6" ht="15.65" customHeight="1" x14ac:dyDescent="0.35">
      <c r="A18" s="109" t="s">
        <v>200</v>
      </c>
      <c r="B18" s="177">
        <v>1080</v>
      </c>
      <c r="C18" s="177" t="s">
        <v>763</v>
      </c>
      <c r="D18" s="177" t="s">
        <v>1949</v>
      </c>
      <c r="E18" s="178" t="s">
        <v>4583</v>
      </c>
      <c r="F18" s="109" t="s">
        <v>200</v>
      </c>
    </row>
    <row r="19" spans="1:6" ht="15.65" customHeight="1" x14ac:dyDescent="0.35">
      <c r="A19" s="109" t="s">
        <v>200</v>
      </c>
      <c r="B19" s="177">
        <v>1090</v>
      </c>
      <c r="C19" s="177" t="s">
        <v>763</v>
      </c>
      <c r="D19" s="177" t="s">
        <v>1603</v>
      </c>
      <c r="E19" s="178" t="s">
        <v>4583</v>
      </c>
      <c r="F19" s="109" t="s">
        <v>200</v>
      </c>
    </row>
    <row r="20" spans="1:6" ht="15.65" customHeight="1" x14ac:dyDescent="0.35">
      <c r="A20" s="109" t="s">
        <v>200</v>
      </c>
      <c r="B20" s="177">
        <v>1095</v>
      </c>
      <c r="C20" s="177" t="s">
        <v>763</v>
      </c>
      <c r="D20" s="177" t="s">
        <v>2186</v>
      </c>
      <c r="E20" s="178" t="s">
        <v>4583</v>
      </c>
      <c r="F20" s="109" t="s">
        <v>200</v>
      </c>
    </row>
    <row r="21" spans="1:6" ht="15.65" customHeight="1" x14ac:dyDescent="0.35">
      <c r="A21" s="109" t="s">
        <v>200</v>
      </c>
      <c r="B21" s="120">
        <v>1105</v>
      </c>
      <c r="C21" s="120" t="s">
        <v>4587</v>
      </c>
      <c r="D21" s="120" t="s">
        <v>4588</v>
      </c>
      <c r="E21" s="176" t="s">
        <v>4588</v>
      </c>
      <c r="F21" s="109" t="s">
        <v>200</v>
      </c>
    </row>
    <row r="22" spans="1:6" ht="15.65" customHeight="1" x14ac:dyDescent="0.35">
      <c r="A22" s="109" t="s">
        <v>200</v>
      </c>
      <c r="B22" s="120">
        <v>1110</v>
      </c>
      <c r="C22" s="120" t="s">
        <v>4587</v>
      </c>
      <c r="D22" s="120" t="s">
        <v>4589</v>
      </c>
      <c r="E22" s="176" t="s">
        <v>4589</v>
      </c>
      <c r="F22" s="109" t="s">
        <v>200</v>
      </c>
    </row>
    <row r="23" spans="1:6" ht="15.65" customHeight="1" x14ac:dyDescent="0.35">
      <c r="A23" s="109" t="s">
        <v>200</v>
      </c>
      <c r="B23" s="120">
        <v>1115</v>
      </c>
      <c r="C23" s="120" t="s">
        <v>4587</v>
      </c>
      <c r="D23" s="120" t="s">
        <v>4590</v>
      </c>
      <c r="E23" s="176" t="s">
        <v>4590</v>
      </c>
      <c r="F23" s="109" t="s">
        <v>200</v>
      </c>
    </row>
    <row r="24" spans="1:6" ht="15.65" customHeight="1" x14ac:dyDescent="0.35">
      <c r="A24" s="109" t="s">
        <v>200</v>
      </c>
      <c r="B24" s="120">
        <v>1120</v>
      </c>
      <c r="C24" s="120" t="s">
        <v>4587</v>
      </c>
      <c r="D24" s="120" t="s">
        <v>4591</v>
      </c>
      <c r="E24" s="176" t="s">
        <v>4591</v>
      </c>
      <c r="F24" s="109" t="s">
        <v>200</v>
      </c>
    </row>
    <row r="25" spans="1:6" ht="15.65" customHeight="1" x14ac:dyDescent="0.35">
      <c r="A25" s="109" t="s">
        <v>200</v>
      </c>
      <c r="B25" s="120">
        <v>1125</v>
      </c>
      <c r="C25" s="120" t="s">
        <v>4587</v>
      </c>
      <c r="D25" s="120" t="s">
        <v>4592</v>
      </c>
      <c r="E25" s="176" t="s">
        <v>4592</v>
      </c>
      <c r="F25" s="109" t="s">
        <v>200</v>
      </c>
    </row>
    <row r="26" spans="1:6" ht="15.65" customHeight="1" x14ac:dyDescent="0.35">
      <c r="A26" s="109" t="s">
        <v>200</v>
      </c>
      <c r="B26" s="120">
        <v>1127</v>
      </c>
      <c r="C26" s="120" t="s">
        <v>4587</v>
      </c>
      <c r="D26" s="120" t="s">
        <v>4593</v>
      </c>
      <c r="E26" s="176" t="s">
        <v>4593</v>
      </c>
      <c r="F26" s="109" t="s">
        <v>200</v>
      </c>
    </row>
    <row r="27" spans="1:6" ht="15.65" customHeight="1" x14ac:dyDescent="0.35">
      <c r="A27" s="109" t="s">
        <v>200</v>
      </c>
      <c r="B27" s="120">
        <v>1130</v>
      </c>
      <c r="C27" s="120" t="s">
        <v>4587</v>
      </c>
      <c r="D27" s="120" t="s">
        <v>4594</v>
      </c>
      <c r="E27" s="176" t="s">
        <v>4594</v>
      </c>
      <c r="F27" s="109" t="s">
        <v>200</v>
      </c>
    </row>
    <row r="28" spans="1:6" ht="15.65" customHeight="1" x14ac:dyDescent="0.35">
      <c r="A28" s="109" t="s">
        <v>200</v>
      </c>
      <c r="B28" s="120">
        <v>1135</v>
      </c>
      <c r="C28" s="120" t="s">
        <v>4587</v>
      </c>
      <c r="D28" s="120" t="s">
        <v>4595</v>
      </c>
      <c r="E28" s="176" t="s">
        <v>4595</v>
      </c>
      <c r="F28" s="109" t="s">
        <v>200</v>
      </c>
    </row>
    <row r="29" spans="1:6" ht="15.65" customHeight="1" x14ac:dyDescent="0.35">
      <c r="A29" s="109" t="s">
        <v>200</v>
      </c>
      <c r="B29" s="120">
        <v>1140</v>
      </c>
      <c r="C29" s="120" t="s">
        <v>4587</v>
      </c>
      <c r="D29" s="120" t="s">
        <v>4596</v>
      </c>
      <c r="E29" s="176" t="s">
        <v>4596</v>
      </c>
      <c r="F29" s="109" t="s">
        <v>200</v>
      </c>
    </row>
    <row r="30" spans="1:6" ht="15.65" customHeight="1" x14ac:dyDescent="0.35">
      <c r="A30" s="109" t="s">
        <v>200</v>
      </c>
      <c r="B30" s="120">
        <v>1145</v>
      </c>
      <c r="C30" s="120" t="s">
        <v>4587</v>
      </c>
      <c r="D30" s="120" t="s">
        <v>4597</v>
      </c>
      <c r="E30" s="176" t="s">
        <v>4597</v>
      </c>
      <c r="F30" s="109" t="s">
        <v>200</v>
      </c>
    </row>
    <row r="31" spans="1:6" ht="15.65" customHeight="1" x14ac:dyDescent="0.35">
      <c r="A31" s="109" t="s">
        <v>200</v>
      </c>
      <c r="B31" s="120">
        <v>1190</v>
      </c>
      <c r="C31" s="120" t="s">
        <v>4587</v>
      </c>
      <c r="D31" s="120" t="s">
        <v>4598</v>
      </c>
      <c r="E31" s="176" t="s">
        <v>4598</v>
      </c>
      <c r="F31" s="109" t="s">
        <v>200</v>
      </c>
    </row>
    <row r="32" spans="1:6" ht="15.65" customHeight="1" x14ac:dyDescent="0.35">
      <c r="A32" s="109" t="s">
        <v>200</v>
      </c>
      <c r="B32" s="120">
        <v>1195</v>
      </c>
      <c r="C32" s="120" t="s">
        <v>4587</v>
      </c>
      <c r="D32" s="120" t="s">
        <v>4599</v>
      </c>
      <c r="E32" s="176" t="s">
        <v>4599</v>
      </c>
      <c r="F32" s="109" t="s">
        <v>200</v>
      </c>
    </row>
    <row r="33" spans="1:6" ht="15.65" customHeight="1" x14ac:dyDescent="0.35">
      <c r="A33" s="109" t="s">
        <v>200</v>
      </c>
      <c r="B33" s="120">
        <v>1210</v>
      </c>
      <c r="C33" s="120" t="s">
        <v>580</v>
      </c>
      <c r="D33" s="120" t="s">
        <v>4600</v>
      </c>
      <c r="E33" s="176" t="s">
        <v>4600</v>
      </c>
      <c r="F33" s="109" t="s">
        <v>200</v>
      </c>
    </row>
    <row r="34" spans="1:6" ht="15.65" customHeight="1" x14ac:dyDescent="0.35">
      <c r="A34" s="109" t="s">
        <v>200</v>
      </c>
      <c r="B34" s="120">
        <v>1220</v>
      </c>
      <c r="C34" s="120" t="s">
        <v>580</v>
      </c>
      <c r="D34" s="120" t="s">
        <v>4601</v>
      </c>
      <c r="E34" s="176" t="s">
        <v>4601</v>
      </c>
      <c r="F34" s="109" t="s">
        <v>200</v>
      </c>
    </row>
    <row r="35" spans="1:6" ht="15.65" customHeight="1" x14ac:dyDescent="0.35">
      <c r="A35" s="109" t="s">
        <v>200</v>
      </c>
      <c r="B35" s="120">
        <v>1230</v>
      </c>
      <c r="C35" s="120" t="s">
        <v>580</v>
      </c>
      <c r="D35" s="120" t="s">
        <v>3170</v>
      </c>
      <c r="E35" s="176" t="s">
        <v>3170</v>
      </c>
      <c r="F35" s="109" t="s">
        <v>200</v>
      </c>
    </row>
    <row r="36" spans="1:6" ht="15.65" customHeight="1" x14ac:dyDescent="0.35">
      <c r="A36" s="109" t="s">
        <v>200</v>
      </c>
      <c r="B36" s="120">
        <v>1240</v>
      </c>
      <c r="C36" s="120" t="s">
        <v>580</v>
      </c>
      <c r="D36" s="120" t="s">
        <v>581</v>
      </c>
      <c r="E36" s="176" t="s">
        <v>581</v>
      </c>
      <c r="F36" s="109" t="s">
        <v>200</v>
      </c>
    </row>
    <row r="37" spans="1:6" ht="15.65" customHeight="1" x14ac:dyDescent="0.35">
      <c r="A37" s="109" t="s">
        <v>200</v>
      </c>
      <c r="B37" s="120">
        <v>1250</v>
      </c>
      <c r="C37" s="120" t="s">
        <v>580</v>
      </c>
      <c r="D37" s="120" t="s">
        <v>4602</v>
      </c>
      <c r="E37" s="176" t="s">
        <v>4602</v>
      </c>
      <c r="F37" s="109" t="s">
        <v>200</v>
      </c>
    </row>
    <row r="38" spans="1:6" ht="15.65" customHeight="1" x14ac:dyDescent="0.35">
      <c r="A38" s="109" t="s">
        <v>200</v>
      </c>
      <c r="B38" s="120">
        <v>1260</v>
      </c>
      <c r="C38" s="120" t="s">
        <v>580</v>
      </c>
      <c r="D38" s="120" t="s">
        <v>4603</v>
      </c>
      <c r="E38" s="176" t="s">
        <v>4603</v>
      </c>
      <c r="F38" s="109" t="s">
        <v>200</v>
      </c>
    </row>
    <row r="39" spans="1:6" ht="15.65" customHeight="1" x14ac:dyDescent="0.35">
      <c r="A39" s="109" t="s">
        <v>200</v>
      </c>
      <c r="B39" s="120">
        <v>1265</v>
      </c>
      <c r="C39" s="120" t="s">
        <v>580</v>
      </c>
      <c r="D39" s="120" t="s">
        <v>4604</v>
      </c>
      <c r="E39" s="176" t="s">
        <v>4604</v>
      </c>
      <c r="F39" s="109" t="s">
        <v>200</v>
      </c>
    </row>
    <row r="40" spans="1:6" ht="15.65" customHeight="1" x14ac:dyDescent="0.35">
      <c r="A40" s="109" t="s">
        <v>200</v>
      </c>
      <c r="B40" s="120">
        <v>1270</v>
      </c>
      <c r="C40" s="120" t="s">
        <v>580</v>
      </c>
      <c r="D40" s="120" t="s">
        <v>609</v>
      </c>
      <c r="E40" s="176" t="s">
        <v>609</v>
      </c>
      <c r="F40" s="109" t="s">
        <v>200</v>
      </c>
    </row>
    <row r="41" spans="1:6" ht="15.65" customHeight="1" x14ac:dyDescent="0.35">
      <c r="A41" s="109" t="s">
        <v>200</v>
      </c>
      <c r="B41" s="120">
        <v>1280</v>
      </c>
      <c r="C41" s="120" t="s">
        <v>580</v>
      </c>
      <c r="D41" s="120" t="s">
        <v>4605</v>
      </c>
      <c r="E41" s="176" t="s">
        <v>4605</v>
      </c>
      <c r="F41" s="109" t="s">
        <v>200</v>
      </c>
    </row>
    <row r="42" spans="1:6" ht="15.65" customHeight="1" x14ac:dyDescent="0.35">
      <c r="A42" s="109" t="s">
        <v>200</v>
      </c>
      <c r="B42" s="120">
        <v>1285</v>
      </c>
      <c r="C42" s="120" t="s">
        <v>580</v>
      </c>
      <c r="D42" s="120" t="s">
        <v>4606</v>
      </c>
      <c r="E42" s="176" t="s">
        <v>4606</v>
      </c>
      <c r="F42" s="109" t="s">
        <v>200</v>
      </c>
    </row>
    <row r="43" spans="1:6" ht="15.65" customHeight="1" x14ac:dyDescent="0.35">
      <c r="A43" s="109" t="s">
        <v>200</v>
      </c>
      <c r="B43" s="120">
        <v>1287</v>
      </c>
      <c r="C43" s="120" t="s">
        <v>580</v>
      </c>
      <c r="D43" s="120" t="s">
        <v>4607</v>
      </c>
      <c r="E43" s="176" t="s">
        <v>4607</v>
      </c>
      <c r="F43" s="109" t="s">
        <v>200</v>
      </c>
    </row>
    <row r="44" spans="1:6" ht="15.65" customHeight="1" x14ac:dyDescent="0.35">
      <c r="A44" s="109" t="s">
        <v>200</v>
      </c>
      <c r="B44" s="120">
        <v>1290</v>
      </c>
      <c r="C44" s="120" t="s">
        <v>580</v>
      </c>
      <c r="D44" s="120" t="s">
        <v>4608</v>
      </c>
      <c r="E44" s="176" t="s">
        <v>4608</v>
      </c>
      <c r="F44" s="109" t="s">
        <v>200</v>
      </c>
    </row>
    <row r="45" spans="1:6" ht="15.65" customHeight="1" x14ac:dyDescent="0.35">
      <c r="A45" s="109" t="s">
        <v>200</v>
      </c>
      <c r="B45" s="177">
        <v>1305</v>
      </c>
      <c r="C45" s="177" t="s">
        <v>189</v>
      </c>
      <c r="D45" s="177" t="s">
        <v>740</v>
      </c>
      <c r="E45" s="178" t="s">
        <v>4609</v>
      </c>
      <c r="F45" s="109" t="s">
        <v>200</v>
      </c>
    </row>
    <row r="46" spans="1:6" ht="15.65" customHeight="1" x14ac:dyDescent="0.35">
      <c r="A46" s="109" t="s">
        <v>200</v>
      </c>
      <c r="B46" s="177">
        <v>1310</v>
      </c>
      <c r="C46" s="177" t="s">
        <v>189</v>
      </c>
      <c r="D46" s="177" t="s">
        <v>807</v>
      </c>
      <c r="E46" s="178" t="s">
        <v>4609</v>
      </c>
      <c r="F46" s="109" t="s">
        <v>200</v>
      </c>
    </row>
    <row r="47" spans="1:6" ht="15.65" customHeight="1" x14ac:dyDescent="0.35">
      <c r="A47" s="109" t="s">
        <v>200</v>
      </c>
      <c r="B47" s="177">
        <v>1315</v>
      </c>
      <c r="C47" s="177" t="s">
        <v>189</v>
      </c>
      <c r="D47" s="177" t="s">
        <v>255</v>
      </c>
      <c r="E47" s="178" t="s">
        <v>4610</v>
      </c>
      <c r="F47" s="109" t="s">
        <v>200</v>
      </c>
    </row>
    <row r="48" spans="1:6" ht="15.65" customHeight="1" x14ac:dyDescent="0.35">
      <c r="A48" s="109" t="s">
        <v>200</v>
      </c>
      <c r="B48" s="177">
        <v>1320</v>
      </c>
      <c r="C48" s="177" t="s">
        <v>189</v>
      </c>
      <c r="D48" s="177" t="s">
        <v>733</v>
      </c>
      <c r="E48" s="178" t="s">
        <v>4610</v>
      </c>
      <c r="F48" s="109" t="s">
        <v>200</v>
      </c>
    </row>
    <row r="49" spans="1:6" ht="15.65" customHeight="1" x14ac:dyDescent="0.35">
      <c r="A49" s="109" t="s">
        <v>200</v>
      </c>
      <c r="B49" s="177">
        <v>1325</v>
      </c>
      <c r="C49" s="177" t="s">
        <v>189</v>
      </c>
      <c r="D49" s="177" t="s">
        <v>190</v>
      </c>
      <c r="E49" s="178" t="s">
        <v>4611</v>
      </c>
      <c r="F49" s="109" t="s">
        <v>200</v>
      </c>
    </row>
    <row r="50" spans="1:6" ht="15.65" customHeight="1" x14ac:dyDescent="0.35">
      <c r="A50" s="109" t="s">
        <v>200</v>
      </c>
      <c r="B50" s="177">
        <v>1330</v>
      </c>
      <c r="C50" s="177" t="s">
        <v>189</v>
      </c>
      <c r="D50" s="177" t="s">
        <v>1249</v>
      </c>
      <c r="E50" s="178" t="s">
        <v>4612</v>
      </c>
      <c r="F50" s="109" t="s">
        <v>200</v>
      </c>
    </row>
    <row r="51" spans="1:6" ht="15.65" customHeight="1" x14ac:dyDescent="0.35">
      <c r="A51" s="109" t="s">
        <v>200</v>
      </c>
      <c r="B51" s="177">
        <v>1336</v>
      </c>
      <c r="C51" s="177" t="s">
        <v>189</v>
      </c>
      <c r="D51" s="177" t="s">
        <v>4613</v>
      </c>
      <c r="E51" s="177" t="s">
        <v>4614</v>
      </c>
      <c r="F51" s="109" t="s">
        <v>200</v>
      </c>
    </row>
    <row r="52" spans="1:6" ht="15.65" customHeight="1" x14ac:dyDescent="0.35">
      <c r="A52" s="109" t="s">
        <v>200</v>
      </c>
      <c r="B52" s="177">
        <v>1337</v>
      </c>
      <c r="C52" s="177" t="s">
        <v>189</v>
      </c>
      <c r="D52" s="177" t="s">
        <v>4615</v>
      </c>
      <c r="E52" s="177" t="s">
        <v>4614</v>
      </c>
      <c r="F52" s="109" t="s">
        <v>200</v>
      </c>
    </row>
    <row r="53" spans="1:6" ht="15.65" customHeight="1" x14ac:dyDescent="0.35">
      <c r="A53" s="109" t="s">
        <v>200</v>
      </c>
      <c r="B53" s="177">
        <v>1338</v>
      </c>
      <c r="C53" s="177" t="s">
        <v>189</v>
      </c>
      <c r="D53" s="177" t="s">
        <v>4616</v>
      </c>
      <c r="E53" s="177" t="s">
        <v>4614</v>
      </c>
      <c r="F53" s="109" t="s">
        <v>200</v>
      </c>
    </row>
    <row r="54" spans="1:6" ht="15.65" customHeight="1" x14ac:dyDescent="0.35">
      <c r="A54" s="109" t="s">
        <v>200</v>
      </c>
      <c r="B54" s="177">
        <v>1340</v>
      </c>
      <c r="C54" s="177" t="s">
        <v>189</v>
      </c>
      <c r="D54" s="177" t="s">
        <v>1221</v>
      </c>
      <c r="E54" s="177" t="s">
        <v>4614</v>
      </c>
      <c r="F54" s="109" t="s">
        <v>200</v>
      </c>
    </row>
    <row r="55" spans="1:6" ht="15.65" customHeight="1" x14ac:dyDescent="0.35">
      <c r="A55" s="109" t="s">
        <v>200</v>
      </c>
      <c r="B55" s="177">
        <v>1345</v>
      </c>
      <c r="C55" s="177" t="s">
        <v>189</v>
      </c>
      <c r="D55" s="177" t="s">
        <v>1056</v>
      </c>
      <c r="E55" s="178" t="s">
        <v>4617</v>
      </c>
      <c r="F55" s="109" t="s">
        <v>200</v>
      </c>
    </row>
    <row r="56" spans="1:6" ht="15.65" customHeight="1" x14ac:dyDescent="0.35">
      <c r="A56" s="109" t="s">
        <v>200</v>
      </c>
      <c r="B56" s="177">
        <v>1346</v>
      </c>
      <c r="C56" s="177" t="s">
        <v>189</v>
      </c>
      <c r="D56" s="177" t="s">
        <v>4618</v>
      </c>
      <c r="E56" s="178" t="s">
        <v>4617</v>
      </c>
      <c r="F56" s="109" t="s">
        <v>200</v>
      </c>
    </row>
    <row r="57" spans="1:6" ht="15.65" customHeight="1" x14ac:dyDescent="0.35">
      <c r="A57" s="109" t="s">
        <v>200</v>
      </c>
      <c r="B57" s="177">
        <v>1350</v>
      </c>
      <c r="C57" s="177" t="s">
        <v>189</v>
      </c>
      <c r="D57" s="177" t="s">
        <v>4619</v>
      </c>
      <c r="E57" s="178" t="s">
        <v>4617</v>
      </c>
      <c r="F57" s="109" t="s">
        <v>200</v>
      </c>
    </row>
    <row r="58" spans="1:6" ht="15.65" customHeight="1" x14ac:dyDescent="0.35">
      <c r="A58" s="109" t="s">
        <v>200</v>
      </c>
      <c r="B58" s="177">
        <v>1351</v>
      </c>
      <c r="C58" s="177" t="s">
        <v>189</v>
      </c>
      <c r="D58" s="177" t="s">
        <v>4620</v>
      </c>
      <c r="E58" s="178" t="s">
        <v>4617</v>
      </c>
      <c r="F58" s="109" t="s">
        <v>200</v>
      </c>
    </row>
    <row r="59" spans="1:6" ht="15.65" customHeight="1" x14ac:dyDescent="0.35">
      <c r="A59" s="109" t="s">
        <v>200</v>
      </c>
      <c r="B59" s="177">
        <v>1352</v>
      </c>
      <c r="C59" s="177" t="s">
        <v>189</v>
      </c>
      <c r="D59" s="177" t="s">
        <v>4621</v>
      </c>
      <c r="E59" s="178" t="s">
        <v>4617</v>
      </c>
      <c r="F59" s="109" t="s">
        <v>200</v>
      </c>
    </row>
    <row r="60" spans="1:6" ht="15.65" customHeight="1" x14ac:dyDescent="0.35">
      <c r="A60" s="109" t="s">
        <v>200</v>
      </c>
      <c r="B60" s="177">
        <v>1353</v>
      </c>
      <c r="C60" s="177" t="s">
        <v>189</v>
      </c>
      <c r="D60" s="177" t="s">
        <v>4622</v>
      </c>
      <c r="E60" s="178" t="s">
        <v>4617</v>
      </c>
      <c r="F60" s="109" t="s">
        <v>200</v>
      </c>
    </row>
    <row r="61" spans="1:6" ht="15.65" customHeight="1" x14ac:dyDescent="0.35">
      <c r="A61" s="109" t="s">
        <v>200</v>
      </c>
      <c r="B61" s="177">
        <v>1355</v>
      </c>
      <c r="C61" s="177" t="s">
        <v>189</v>
      </c>
      <c r="D61" s="177" t="s">
        <v>246</v>
      </c>
      <c r="E61" s="178" t="s">
        <v>4623</v>
      </c>
      <c r="F61" s="109" t="s">
        <v>200</v>
      </c>
    </row>
    <row r="62" spans="1:6" ht="15.65" customHeight="1" x14ac:dyDescent="0.35">
      <c r="A62" s="109" t="s">
        <v>200</v>
      </c>
      <c r="B62" s="177">
        <v>1356</v>
      </c>
      <c r="C62" s="177" t="s">
        <v>189</v>
      </c>
      <c r="D62" s="177" t="s">
        <v>4624</v>
      </c>
      <c r="E62" s="178" t="s">
        <v>4623</v>
      </c>
      <c r="F62" s="109" t="s">
        <v>200</v>
      </c>
    </row>
    <row r="63" spans="1:6" ht="15.65" customHeight="1" x14ac:dyDescent="0.35">
      <c r="A63" s="109" t="s">
        <v>200</v>
      </c>
      <c r="B63" s="177">
        <v>1360</v>
      </c>
      <c r="C63" s="177" t="s">
        <v>189</v>
      </c>
      <c r="D63" s="177" t="s">
        <v>4625</v>
      </c>
      <c r="E63" s="177" t="s">
        <v>4614</v>
      </c>
      <c r="F63" s="109" t="s">
        <v>200</v>
      </c>
    </row>
    <row r="64" spans="1:6" ht="15.65" customHeight="1" x14ac:dyDescent="0.35">
      <c r="A64" s="109" t="s">
        <v>200</v>
      </c>
      <c r="B64" s="177">
        <v>1361</v>
      </c>
      <c r="C64" s="177" t="s">
        <v>189</v>
      </c>
      <c r="D64" s="177" t="s">
        <v>4626</v>
      </c>
      <c r="E64" s="177" t="s">
        <v>4614</v>
      </c>
      <c r="F64" s="109" t="s">
        <v>200</v>
      </c>
    </row>
    <row r="65" spans="1:6" ht="15.65" customHeight="1" x14ac:dyDescent="0.35">
      <c r="A65" s="109" t="s">
        <v>200</v>
      </c>
      <c r="B65" s="177">
        <v>1370</v>
      </c>
      <c r="C65" s="177" t="s">
        <v>189</v>
      </c>
      <c r="D65" s="177" t="s">
        <v>1097</v>
      </c>
      <c r="E65" s="177" t="s">
        <v>4614</v>
      </c>
      <c r="F65" s="109" t="s">
        <v>200</v>
      </c>
    </row>
    <row r="66" spans="1:6" ht="15.65" customHeight="1" x14ac:dyDescent="0.35">
      <c r="A66" s="109" t="s">
        <v>200</v>
      </c>
      <c r="B66" s="177">
        <v>1375</v>
      </c>
      <c r="C66" s="177" t="s">
        <v>189</v>
      </c>
      <c r="D66" s="177" t="s">
        <v>2233</v>
      </c>
      <c r="E66" s="177" t="s">
        <v>4614</v>
      </c>
      <c r="F66" s="109" t="s">
        <v>200</v>
      </c>
    </row>
    <row r="67" spans="1:6" ht="15.65" customHeight="1" x14ac:dyDescent="0.35">
      <c r="A67" s="109" t="s">
        <v>200</v>
      </c>
      <c r="B67" s="177">
        <v>1376</v>
      </c>
      <c r="C67" s="177" t="s">
        <v>189</v>
      </c>
      <c r="D67" s="177" t="s">
        <v>4627</v>
      </c>
      <c r="E67" s="177" t="s">
        <v>4614</v>
      </c>
      <c r="F67" s="109" t="s">
        <v>200</v>
      </c>
    </row>
    <row r="68" spans="1:6" ht="15.65" customHeight="1" x14ac:dyDescent="0.35">
      <c r="A68" s="109" t="s">
        <v>200</v>
      </c>
      <c r="B68" s="177">
        <v>1377</v>
      </c>
      <c r="C68" s="177" t="s">
        <v>189</v>
      </c>
      <c r="D68" s="177" t="s">
        <v>4628</v>
      </c>
      <c r="E68" s="177" t="s">
        <v>4614</v>
      </c>
      <c r="F68" s="109" t="s">
        <v>200</v>
      </c>
    </row>
    <row r="69" spans="1:6" ht="15.65" customHeight="1" x14ac:dyDescent="0.35">
      <c r="A69" s="109" t="s">
        <v>200</v>
      </c>
      <c r="B69" s="177">
        <v>1385</v>
      </c>
      <c r="C69" s="177" t="s">
        <v>189</v>
      </c>
      <c r="D69" s="177" t="s">
        <v>3392</v>
      </c>
      <c r="E69" s="178" t="s">
        <v>4617</v>
      </c>
      <c r="F69" s="109" t="s">
        <v>200</v>
      </c>
    </row>
    <row r="70" spans="1:6" ht="15.65" customHeight="1" x14ac:dyDescent="0.35">
      <c r="A70" s="109" t="s">
        <v>200</v>
      </c>
      <c r="B70" s="177">
        <v>1386</v>
      </c>
      <c r="C70" s="177" t="s">
        <v>189</v>
      </c>
      <c r="D70" s="177" t="s">
        <v>4629</v>
      </c>
      <c r="E70" s="178" t="s">
        <v>4617</v>
      </c>
      <c r="F70" s="109" t="s">
        <v>200</v>
      </c>
    </row>
    <row r="71" spans="1:6" ht="15.65" customHeight="1" x14ac:dyDescent="0.35">
      <c r="A71" s="109" t="s">
        <v>200</v>
      </c>
      <c r="B71" s="177">
        <v>1390</v>
      </c>
      <c r="C71" s="177" t="s">
        <v>189</v>
      </c>
      <c r="D71" s="177" t="s">
        <v>205</v>
      </c>
      <c r="E71" s="178" t="s">
        <v>4611</v>
      </c>
      <c r="F71" s="109" t="s">
        <v>200</v>
      </c>
    </row>
    <row r="72" spans="1:6" ht="15.65" customHeight="1" x14ac:dyDescent="0.35">
      <c r="A72" s="109" t="s">
        <v>200</v>
      </c>
      <c r="B72" s="177">
        <v>1395</v>
      </c>
      <c r="C72" s="177" t="s">
        <v>189</v>
      </c>
      <c r="D72" s="177" t="s">
        <v>2240</v>
      </c>
      <c r="E72" s="177" t="s">
        <v>4614</v>
      </c>
      <c r="F72" s="109" t="s">
        <v>200</v>
      </c>
    </row>
    <row r="73" spans="1:6" ht="15.65" customHeight="1" x14ac:dyDescent="0.35">
      <c r="A73" s="109" t="s">
        <v>200</v>
      </c>
      <c r="B73" s="177">
        <v>1398</v>
      </c>
      <c r="C73" s="177" t="s">
        <v>189</v>
      </c>
      <c r="D73" s="177" t="s">
        <v>4630</v>
      </c>
      <c r="E73" s="177" t="s">
        <v>4614</v>
      </c>
      <c r="F73" s="109" t="s">
        <v>200</v>
      </c>
    </row>
    <row r="74" spans="1:6" ht="15.65" customHeight="1" x14ac:dyDescent="0.35">
      <c r="A74" s="109" t="s">
        <v>200</v>
      </c>
      <c r="B74" s="120">
        <v>1410</v>
      </c>
      <c r="C74" s="120" t="s">
        <v>211</v>
      </c>
      <c r="D74" s="120" t="s">
        <v>211</v>
      </c>
      <c r="E74" s="176" t="str">
        <f>D74</f>
        <v>Guided Missiles</v>
      </c>
      <c r="F74" s="109" t="s">
        <v>200</v>
      </c>
    </row>
    <row r="75" spans="1:6" ht="15.65" customHeight="1" x14ac:dyDescent="0.35">
      <c r="A75" s="109" t="s">
        <v>200</v>
      </c>
      <c r="B75" s="120">
        <v>1420</v>
      </c>
      <c r="C75" s="120" t="s">
        <v>211</v>
      </c>
      <c r="D75" s="120" t="s">
        <v>4631</v>
      </c>
      <c r="E75" s="176" t="str">
        <f t="shared" ref="E75:E138" si="0">D75</f>
        <v>Guided Missile Components</v>
      </c>
      <c r="F75" s="109" t="s">
        <v>200</v>
      </c>
    </row>
    <row r="76" spans="1:6" ht="15.65" customHeight="1" x14ac:dyDescent="0.35">
      <c r="A76" s="109" t="s">
        <v>200</v>
      </c>
      <c r="B76" s="120">
        <v>1425</v>
      </c>
      <c r="C76" s="120" t="s">
        <v>211</v>
      </c>
      <c r="D76" s="120" t="s">
        <v>326</v>
      </c>
      <c r="E76" s="176" t="str">
        <f t="shared" si="0"/>
        <v>Guided Missile Systems, Complete</v>
      </c>
      <c r="F76" s="109" t="s">
        <v>200</v>
      </c>
    </row>
    <row r="77" spans="1:6" ht="15.65" customHeight="1" x14ac:dyDescent="0.35">
      <c r="A77" s="109" t="s">
        <v>200</v>
      </c>
      <c r="B77" s="120">
        <v>1427</v>
      </c>
      <c r="C77" s="120" t="s">
        <v>211</v>
      </c>
      <c r="D77" s="120" t="s">
        <v>4632</v>
      </c>
      <c r="E77" s="176" t="str">
        <f t="shared" si="0"/>
        <v>Guided Missile Subsystems</v>
      </c>
      <c r="F77" s="109" t="s">
        <v>200</v>
      </c>
    </row>
    <row r="78" spans="1:6" ht="15.65" customHeight="1" x14ac:dyDescent="0.35">
      <c r="A78" s="109" t="s">
        <v>200</v>
      </c>
      <c r="B78" s="120">
        <v>1430</v>
      </c>
      <c r="C78" s="120" t="s">
        <v>211</v>
      </c>
      <c r="D78" s="120" t="s">
        <v>4633</v>
      </c>
      <c r="E78" s="176" t="str">
        <f t="shared" si="0"/>
        <v>Guided Missile Remote Control Systems</v>
      </c>
      <c r="F78" s="109" t="s">
        <v>200</v>
      </c>
    </row>
    <row r="79" spans="1:6" ht="15.65" customHeight="1" x14ac:dyDescent="0.35">
      <c r="A79" s="109" t="s">
        <v>200</v>
      </c>
      <c r="B79" s="120">
        <v>1440</v>
      </c>
      <c r="C79" s="120" t="s">
        <v>211</v>
      </c>
      <c r="D79" s="120" t="s">
        <v>1576</v>
      </c>
      <c r="E79" s="176" t="str">
        <f t="shared" si="0"/>
        <v>Launchers, Guided Missile</v>
      </c>
      <c r="F79" s="109" t="s">
        <v>200</v>
      </c>
    </row>
    <row r="80" spans="1:6" ht="15.65" customHeight="1" x14ac:dyDescent="0.35">
      <c r="A80" s="109" t="s">
        <v>200</v>
      </c>
      <c r="B80" s="120">
        <v>1450</v>
      </c>
      <c r="C80" s="120" t="s">
        <v>211</v>
      </c>
      <c r="D80" s="120" t="s">
        <v>4634</v>
      </c>
      <c r="E80" s="176" t="str">
        <f t="shared" si="0"/>
        <v>Guided Missile Handling and Servicing Equipment</v>
      </c>
      <c r="F80" s="109" t="s">
        <v>200</v>
      </c>
    </row>
    <row r="81" spans="1:6" ht="15.65" customHeight="1" x14ac:dyDescent="0.35">
      <c r="A81" s="109" t="s">
        <v>200</v>
      </c>
      <c r="B81" s="120">
        <v>1510</v>
      </c>
      <c r="C81" s="120" t="s">
        <v>130</v>
      </c>
      <c r="D81" s="120" t="s">
        <v>237</v>
      </c>
      <c r="E81" s="176" t="str">
        <f t="shared" si="0"/>
        <v>Aircraft, Fixed Wing</v>
      </c>
      <c r="F81" s="109" t="s">
        <v>200</v>
      </c>
    </row>
    <row r="82" spans="1:6" ht="15.65" customHeight="1" x14ac:dyDescent="0.35">
      <c r="A82" s="109" t="s">
        <v>200</v>
      </c>
      <c r="B82" s="120">
        <v>1520</v>
      </c>
      <c r="C82" s="120" t="s">
        <v>130</v>
      </c>
      <c r="D82" s="120" t="s">
        <v>266</v>
      </c>
      <c r="E82" s="176" t="str">
        <f t="shared" si="0"/>
        <v>Aircraft, Rotary Wing</v>
      </c>
      <c r="F82" s="109" t="s">
        <v>200</v>
      </c>
    </row>
    <row r="83" spans="1:6" ht="15.65" customHeight="1" x14ac:dyDescent="0.35">
      <c r="A83" s="109" t="s">
        <v>200</v>
      </c>
      <c r="B83" s="120">
        <v>1540</v>
      </c>
      <c r="C83" s="120" t="s">
        <v>130</v>
      </c>
      <c r="D83" s="120" t="s">
        <v>4635</v>
      </c>
      <c r="E83" s="176" t="str">
        <f t="shared" si="0"/>
        <v>Gliders</v>
      </c>
      <c r="F83" s="109" t="s">
        <v>200</v>
      </c>
    </row>
    <row r="84" spans="1:6" ht="15.65" customHeight="1" x14ac:dyDescent="0.35">
      <c r="A84" s="109" t="s">
        <v>200</v>
      </c>
      <c r="B84" s="120">
        <v>1550</v>
      </c>
      <c r="C84" s="120" t="s">
        <v>130</v>
      </c>
      <c r="D84" s="120" t="s">
        <v>131</v>
      </c>
      <c r="E84" s="176" t="str">
        <f t="shared" si="0"/>
        <v>Unmanned Aircraft</v>
      </c>
      <c r="F84" s="109" t="s">
        <v>200</v>
      </c>
    </row>
    <row r="85" spans="1:6" ht="15.65" customHeight="1" x14ac:dyDescent="0.35">
      <c r="A85" s="109" t="s">
        <v>200</v>
      </c>
      <c r="B85" s="120">
        <v>1560</v>
      </c>
      <c r="C85" s="120" t="s">
        <v>130</v>
      </c>
      <c r="D85" s="120" t="s">
        <v>4636</v>
      </c>
      <c r="E85" s="176" t="str">
        <f t="shared" si="0"/>
        <v>Airframe Structural Components</v>
      </c>
      <c r="F85" s="109" t="s">
        <v>200</v>
      </c>
    </row>
    <row r="86" spans="1:6" ht="15.65" customHeight="1" x14ac:dyDescent="0.35">
      <c r="A86" s="109" t="s">
        <v>200</v>
      </c>
      <c r="B86" s="120">
        <v>1610</v>
      </c>
      <c r="C86" s="120" t="s">
        <v>625</v>
      </c>
      <c r="D86" s="120" t="s">
        <v>4637</v>
      </c>
      <c r="E86" s="176" t="str">
        <f t="shared" si="0"/>
        <v>Aircraft Propellers and Components</v>
      </c>
      <c r="F86" s="109" t="s">
        <v>200</v>
      </c>
    </row>
    <row r="87" spans="1:6" ht="15.65" customHeight="1" x14ac:dyDescent="0.35">
      <c r="A87" s="109" t="s">
        <v>200</v>
      </c>
      <c r="B87" s="120">
        <v>1615</v>
      </c>
      <c r="C87" s="120" t="s">
        <v>625</v>
      </c>
      <c r="D87" s="120" t="s">
        <v>4638</v>
      </c>
      <c r="E87" s="176" t="str">
        <f t="shared" si="0"/>
        <v>Helicopter Rotor Blades, Drive Mechanisms and Components</v>
      </c>
      <c r="F87" s="109" t="s">
        <v>200</v>
      </c>
    </row>
    <row r="88" spans="1:6" ht="15.65" customHeight="1" x14ac:dyDescent="0.35">
      <c r="A88" s="109" t="s">
        <v>200</v>
      </c>
      <c r="B88" s="120">
        <v>1620</v>
      </c>
      <c r="C88" s="120" t="s">
        <v>625</v>
      </c>
      <c r="D88" s="120" t="s">
        <v>4639</v>
      </c>
      <c r="E88" s="176" t="str">
        <f t="shared" si="0"/>
        <v>Aircraft Landing Gear Components</v>
      </c>
      <c r="F88" s="109" t="s">
        <v>200</v>
      </c>
    </row>
    <row r="89" spans="1:6" ht="15.65" customHeight="1" x14ac:dyDescent="0.35">
      <c r="A89" s="109" t="s">
        <v>200</v>
      </c>
      <c r="B89" s="120">
        <v>1630</v>
      </c>
      <c r="C89" s="120" t="s">
        <v>625</v>
      </c>
      <c r="D89" s="120" t="s">
        <v>4640</v>
      </c>
      <c r="E89" s="176" t="str">
        <f t="shared" si="0"/>
        <v>Aircraft Wheel and Brake Systems</v>
      </c>
      <c r="F89" s="109" t="s">
        <v>200</v>
      </c>
    </row>
    <row r="90" spans="1:6" ht="15.65" customHeight="1" x14ac:dyDescent="0.35">
      <c r="A90" s="109" t="s">
        <v>200</v>
      </c>
      <c r="B90" s="120">
        <v>1650</v>
      </c>
      <c r="C90" s="120" t="s">
        <v>625</v>
      </c>
      <c r="D90" s="120" t="s">
        <v>4641</v>
      </c>
      <c r="E90" s="176" t="str">
        <f t="shared" si="0"/>
        <v>Aircraft Hydraulic, Vacuum, and De-icing System Components</v>
      </c>
      <c r="F90" s="109" t="s">
        <v>200</v>
      </c>
    </row>
    <row r="91" spans="1:6" ht="15.65" customHeight="1" x14ac:dyDescent="0.35">
      <c r="A91" s="109" t="s">
        <v>200</v>
      </c>
      <c r="B91" s="120">
        <v>1660</v>
      </c>
      <c r="C91" s="120" t="s">
        <v>625</v>
      </c>
      <c r="D91" s="120" t="s">
        <v>4642</v>
      </c>
      <c r="E91" s="176" t="str">
        <f t="shared" si="0"/>
        <v>Aircraft Air Conditioning, Heating, and Pressurizing Equipment</v>
      </c>
      <c r="F91" s="109" t="s">
        <v>200</v>
      </c>
    </row>
    <row r="92" spans="1:6" ht="15.65" customHeight="1" x14ac:dyDescent="0.35">
      <c r="A92" s="109" t="s">
        <v>200</v>
      </c>
      <c r="B92" s="120">
        <v>1670</v>
      </c>
      <c r="C92" s="120" t="s">
        <v>625</v>
      </c>
      <c r="D92" s="120" t="s">
        <v>626</v>
      </c>
      <c r="E92" s="176" t="str">
        <f t="shared" si="0"/>
        <v>Parachutes, Aerial Pick Up, Delivery, Recovery Systems, and Cargo Tie Down Equipment</v>
      </c>
      <c r="F92" s="109" t="s">
        <v>200</v>
      </c>
    </row>
    <row r="93" spans="1:6" ht="15.65" customHeight="1" x14ac:dyDescent="0.35">
      <c r="A93" s="109" t="s">
        <v>200</v>
      </c>
      <c r="B93" s="120">
        <v>1680</v>
      </c>
      <c r="C93" s="120" t="s">
        <v>625</v>
      </c>
      <c r="D93" s="120" t="s">
        <v>4643</v>
      </c>
      <c r="E93" s="176" t="str">
        <f t="shared" si="0"/>
        <v>Miscellaneous Aircraft Accessories and Components</v>
      </c>
      <c r="F93" s="109" t="s">
        <v>200</v>
      </c>
    </row>
    <row r="94" spans="1:6" ht="15.65" customHeight="1" x14ac:dyDescent="0.35">
      <c r="A94" s="109" t="s">
        <v>200</v>
      </c>
      <c r="B94" s="120">
        <v>1710</v>
      </c>
      <c r="C94" s="120" t="s">
        <v>4644</v>
      </c>
      <c r="D94" s="120" t="s">
        <v>4645</v>
      </c>
      <c r="E94" s="176" t="str">
        <f t="shared" si="0"/>
        <v>Aircraft Landing Equipment</v>
      </c>
      <c r="F94" s="109" t="s">
        <v>200</v>
      </c>
    </row>
    <row r="95" spans="1:6" ht="15.65" customHeight="1" x14ac:dyDescent="0.35">
      <c r="A95" s="109" t="s">
        <v>200</v>
      </c>
      <c r="B95" s="120">
        <v>1720</v>
      </c>
      <c r="C95" s="120" t="s">
        <v>4644</v>
      </c>
      <c r="D95" s="120" t="s">
        <v>4646</v>
      </c>
      <c r="E95" s="176" t="str">
        <f t="shared" si="0"/>
        <v>Aircraft Launching Equipment</v>
      </c>
      <c r="F95" s="109" t="s">
        <v>200</v>
      </c>
    </row>
    <row r="96" spans="1:6" ht="15.65" customHeight="1" x14ac:dyDescent="0.35">
      <c r="A96" s="109" t="s">
        <v>200</v>
      </c>
      <c r="B96" s="120">
        <v>1730</v>
      </c>
      <c r="C96" s="120" t="s">
        <v>4644</v>
      </c>
      <c r="D96" s="120" t="s">
        <v>4647</v>
      </c>
      <c r="E96" s="176" t="str">
        <f t="shared" si="0"/>
        <v>Aircraft Ground Servicing Equipment</v>
      </c>
      <c r="F96" s="109" t="s">
        <v>200</v>
      </c>
    </row>
    <row r="97" spans="1:6" ht="15.65" customHeight="1" x14ac:dyDescent="0.35">
      <c r="A97" s="109" t="s">
        <v>200</v>
      </c>
      <c r="B97" s="120">
        <v>1740</v>
      </c>
      <c r="C97" s="120" t="s">
        <v>4644</v>
      </c>
      <c r="D97" s="120" t="s">
        <v>4648</v>
      </c>
      <c r="E97" s="176" t="str">
        <f t="shared" si="0"/>
        <v>Airfield Specialized Trucks and Trailers</v>
      </c>
      <c r="F97" s="109" t="s">
        <v>200</v>
      </c>
    </row>
    <row r="98" spans="1:6" ht="15.65" customHeight="1" x14ac:dyDescent="0.35">
      <c r="A98" s="109" t="s">
        <v>200</v>
      </c>
      <c r="B98" s="120">
        <v>1810</v>
      </c>
      <c r="C98" s="120" t="s">
        <v>2028</v>
      </c>
      <c r="D98" s="120" t="s">
        <v>2028</v>
      </c>
      <c r="E98" s="176" t="str">
        <f t="shared" si="0"/>
        <v>Space Vehicles</v>
      </c>
      <c r="F98" s="109" t="s">
        <v>200</v>
      </c>
    </row>
    <row r="99" spans="1:6" ht="15.65" customHeight="1" x14ac:dyDescent="0.35">
      <c r="A99" s="109" t="s">
        <v>200</v>
      </c>
      <c r="B99" s="120">
        <v>1820</v>
      </c>
      <c r="C99" s="120" t="s">
        <v>2028</v>
      </c>
      <c r="D99" s="120" t="s">
        <v>4649</v>
      </c>
      <c r="E99" s="176" t="str">
        <f t="shared" si="0"/>
        <v>Space Vehicle Components</v>
      </c>
      <c r="F99" s="109" t="s">
        <v>200</v>
      </c>
    </row>
    <row r="100" spans="1:6" ht="15.65" customHeight="1" x14ac:dyDescent="0.35">
      <c r="A100" s="109" t="s">
        <v>200</v>
      </c>
      <c r="B100" s="120">
        <v>1830</v>
      </c>
      <c r="C100" s="120" t="s">
        <v>2028</v>
      </c>
      <c r="D100" s="120" t="s">
        <v>4650</v>
      </c>
      <c r="E100" s="176" t="str">
        <f t="shared" si="0"/>
        <v>Space Vehicle Remote Control Systems</v>
      </c>
      <c r="F100" s="109" t="s">
        <v>200</v>
      </c>
    </row>
    <row r="101" spans="1:6" ht="15.65" customHeight="1" x14ac:dyDescent="0.35">
      <c r="A101" s="109" t="s">
        <v>200</v>
      </c>
      <c r="B101" s="120">
        <v>1840</v>
      </c>
      <c r="C101" s="120" t="s">
        <v>2028</v>
      </c>
      <c r="D101" s="120" t="s">
        <v>4651</v>
      </c>
      <c r="E101" s="176" t="str">
        <f t="shared" si="0"/>
        <v>Space Vehicle Launchers</v>
      </c>
      <c r="F101" s="109" t="s">
        <v>200</v>
      </c>
    </row>
    <row r="102" spans="1:6" ht="15.65" customHeight="1" x14ac:dyDescent="0.35">
      <c r="A102" s="109" t="s">
        <v>200</v>
      </c>
      <c r="B102" s="120">
        <v>1850</v>
      </c>
      <c r="C102" s="120" t="s">
        <v>2028</v>
      </c>
      <c r="D102" s="120" t="s">
        <v>4652</v>
      </c>
      <c r="E102" s="176" t="str">
        <f t="shared" si="0"/>
        <v>Space Vehicle Handling and Servicing Equipment</v>
      </c>
      <c r="F102" s="109" t="s">
        <v>200</v>
      </c>
    </row>
    <row r="103" spans="1:6" ht="15.65" customHeight="1" x14ac:dyDescent="0.35">
      <c r="A103" s="109" t="s">
        <v>200</v>
      </c>
      <c r="B103" s="120">
        <v>1860</v>
      </c>
      <c r="C103" s="120" t="s">
        <v>2028</v>
      </c>
      <c r="D103" s="120" t="s">
        <v>4653</v>
      </c>
      <c r="E103" s="176" t="str">
        <f t="shared" si="0"/>
        <v>Space Survival Equipment</v>
      </c>
      <c r="F103" s="109" t="s">
        <v>200</v>
      </c>
    </row>
    <row r="104" spans="1:6" ht="15.65" customHeight="1" x14ac:dyDescent="0.35">
      <c r="A104" s="109" t="s">
        <v>200</v>
      </c>
      <c r="B104" s="120">
        <v>1905</v>
      </c>
      <c r="C104" s="120" t="s">
        <v>143</v>
      </c>
      <c r="D104" s="120" t="s">
        <v>144</v>
      </c>
      <c r="E104" s="176" t="str">
        <f t="shared" si="0"/>
        <v>Combat Ships and Landing Vessels</v>
      </c>
      <c r="F104" s="109" t="s">
        <v>200</v>
      </c>
    </row>
    <row r="105" spans="1:6" ht="15.65" customHeight="1" x14ac:dyDescent="0.35">
      <c r="A105" s="109" t="s">
        <v>200</v>
      </c>
      <c r="B105" s="120">
        <v>1910</v>
      </c>
      <c r="C105" s="120" t="s">
        <v>143</v>
      </c>
      <c r="D105" s="120" t="s">
        <v>4654</v>
      </c>
      <c r="E105" s="176" t="str">
        <f t="shared" si="0"/>
        <v>Transport Vessels, Passenger and Troop</v>
      </c>
      <c r="F105" s="109" t="s">
        <v>200</v>
      </c>
    </row>
    <row r="106" spans="1:6" ht="15.65" customHeight="1" x14ac:dyDescent="0.35">
      <c r="A106" s="109" t="s">
        <v>200</v>
      </c>
      <c r="B106" s="120">
        <v>1915</v>
      </c>
      <c r="C106" s="120" t="s">
        <v>143</v>
      </c>
      <c r="D106" s="120" t="s">
        <v>460</v>
      </c>
      <c r="E106" s="176" t="str">
        <f t="shared" si="0"/>
        <v>Cargo and Tanker Vessels</v>
      </c>
      <c r="F106" s="109" t="s">
        <v>200</v>
      </c>
    </row>
    <row r="107" spans="1:6" ht="15.65" customHeight="1" x14ac:dyDescent="0.35">
      <c r="A107" s="109" t="s">
        <v>200</v>
      </c>
      <c r="B107" s="120">
        <v>1920</v>
      </c>
      <c r="C107" s="120" t="s">
        <v>143</v>
      </c>
      <c r="D107" s="120" t="s">
        <v>4655</v>
      </c>
      <c r="E107" s="176" t="str">
        <f t="shared" si="0"/>
        <v>Fishing Vessels</v>
      </c>
      <c r="F107" s="109" t="s">
        <v>200</v>
      </c>
    </row>
    <row r="108" spans="1:6" ht="15.65" customHeight="1" x14ac:dyDescent="0.35">
      <c r="A108" s="109" t="s">
        <v>200</v>
      </c>
      <c r="B108" s="120">
        <v>1925</v>
      </c>
      <c r="C108" s="120" t="s">
        <v>143</v>
      </c>
      <c r="D108" s="120" t="s">
        <v>452</v>
      </c>
      <c r="E108" s="176" t="str">
        <f t="shared" si="0"/>
        <v>Special Service Vessels</v>
      </c>
      <c r="F108" s="109" t="s">
        <v>200</v>
      </c>
    </row>
    <row r="109" spans="1:6" ht="15.65" customHeight="1" x14ac:dyDescent="0.35">
      <c r="A109" s="109" t="s">
        <v>200</v>
      </c>
      <c r="B109" s="120">
        <v>1930</v>
      </c>
      <c r="C109" s="120" t="s">
        <v>143</v>
      </c>
      <c r="D109" s="120" t="s">
        <v>4656</v>
      </c>
      <c r="E109" s="176" t="str">
        <f t="shared" si="0"/>
        <v>Barges and Lighters, Cargo</v>
      </c>
      <c r="F109" s="109" t="s">
        <v>200</v>
      </c>
    </row>
    <row r="110" spans="1:6" ht="15.65" customHeight="1" x14ac:dyDescent="0.35">
      <c r="A110" s="109" t="s">
        <v>200</v>
      </c>
      <c r="B110" s="120">
        <v>1935</v>
      </c>
      <c r="C110" s="120" t="s">
        <v>143</v>
      </c>
      <c r="D110" s="120" t="s">
        <v>4657</v>
      </c>
      <c r="E110" s="176" t="str">
        <f t="shared" si="0"/>
        <v>Barges and Lighters, Special Purpose</v>
      </c>
      <c r="F110" s="109" t="s">
        <v>200</v>
      </c>
    </row>
    <row r="111" spans="1:6" ht="15.65" customHeight="1" x14ac:dyDescent="0.35">
      <c r="A111" s="109" t="s">
        <v>200</v>
      </c>
      <c r="B111" s="120">
        <v>1940</v>
      </c>
      <c r="C111" s="120" t="s">
        <v>143</v>
      </c>
      <c r="D111" s="120" t="s">
        <v>681</v>
      </c>
      <c r="E111" s="176" t="str">
        <f t="shared" si="0"/>
        <v>Small Craft</v>
      </c>
      <c r="F111" s="109" t="s">
        <v>200</v>
      </c>
    </row>
    <row r="112" spans="1:6" ht="15.65" customHeight="1" x14ac:dyDescent="0.35">
      <c r="A112" s="109" t="s">
        <v>200</v>
      </c>
      <c r="B112" s="120">
        <v>1945</v>
      </c>
      <c r="C112" s="120" t="s">
        <v>143</v>
      </c>
      <c r="D112" s="120" t="s">
        <v>4658</v>
      </c>
      <c r="E112" s="176" t="str">
        <f t="shared" si="0"/>
        <v>Pontoons and Floating Docks</v>
      </c>
      <c r="F112" s="109" t="s">
        <v>200</v>
      </c>
    </row>
    <row r="113" spans="1:6" ht="15.65" customHeight="1" x14ac:dyDescent="0.35">
      <c r="A113" s="109" t="s">
        <v>200</v>
      </c>
      <c r="B113" s="120">
        <v>1950</v>
      </c>
      <c r="C113" s="120" t="s">
        <v>143</v>
      </c>
      <c r="D113" s="120" t="s">
        <v>4659</v>
      </c>
      <c r="E113" s="176" t="str">
        <f t="shared" si="0"/>
        <v>Floating Drydocks</v>
      </c>
      <c r="F113" s="109" t="s">
        <v>200</v>
      </c>
    </row>
    <row r="114" spans="1:6" ht="15.65" customHeight="1" x14ac:dyDescent="0.35">
      <c r="A114" s="109" t="s">
        <v>200</v>
      </c>
      <c r="B114" s="120">
        <v>1955</v>
      </c>
      <c r="C114" s="120" t="s">
        <v>143</v>
      </c>
      <c r="D114" s="120" t="s">
        <v>4660</v>
      </c>
      <c r="E114" s="176" t="str">
        <f t="shared" si="0"/>
        <v>Dredgers</v>
      </c>
      <c r="F114" s="109" t="s">
        <v>200</v>
      </c>
    </row>
    <row r="115" spans="1:6" ht="15.65" customHeight="1" x14ac:dyDescent="0.35">
      <c r="A115" s="109" t="s">
        <v>200</v>
      </c>
      <c r="B115" s="120">
        <v>1990</v>
      </c>
      <c r="C115" s="120" t="s">
        <v>143</v>
      </c>
      <c r="D115" s="120" t="s">
        <v>1052</v>
      </c>
      <c r="E115" s="176" t="str">
        <f t="shared" si="0"/>
        <v>Miscellaneous Vessels</v>
      </c>
      <c r="F115" s="109" t="s">
        <v>200</v>
      </c>
    </row>
    <row r="116" spans="1:6" ht="15.65" customHeight="1" x14ac:dyDescent="0.35">
      <c r="A116" s="109" t="s">
        <v>200</v>
      </c>
      <c r="B116" s="120">
        <v>2010</v>
      </c>
      <c r="C116" s="120" t="s">
        <v>2164</v>
      </c>
      <c r="D116" s="120" t="s">
        <v>2165</v>
      </c>
      <c r="E116" s="176" t="str">
        <f t="shared" si="0"/>
        <v>Ship and Boat Propulsion Components</v>
      </c>
      <c r="F116" s="109" t="s">
        <v>200</v>
      </c>
    </row>
    <row r="117" spans="1:6" ht="15.65" customHeight="1" x14ac:dyDescent="0.35">
      <c r="A117" s="109" t="s">
        <v>200</v>
      </c>
      <c r="B117" s="120">
        <v>2020</v>
      </c>
      <c r="C117" s="120" t="s">
        <v>2164</v>
      </c>
      <c r="D117" s="120" t="s">
        <v>4661</v>
      </c>
      <c r="E117" s="176" t="str">
        <f t="shared" si="0"/>
        <v>Rigging and Rigging Gear</v>
      </c>
      <c r="F117" s="109" t="s">
        <v>200</v>
      </c>
    </row>
    <row r="118" spans="1:6" ht="15.65" customHeight="1" x14ac:dyDescent="0.35">
      <c r="A118" s="109" t="s">
        <v>200</v>
      </c>
      <c r="B118" s="120">
        <v>2030</v>
      </c>
      <c r="C118" s="120" t="s">
        <v>2164</v>
      </c>
      <c r="D118" s="120" t="s">
        <v>4662</v>
      </c>
      <c r="E118" s="176" t="str">
        <f t="shared" si="0"/>
        <v>Deck Machinery</v>
      </c>
      <c r="F118" s="109" t="s">
        <v>200</v>
      </c>
    </row>
    <row r="119" spans="1:6" ht="15.65" customHeight="1" x14ac:dyDescent="0.35">
      <c r="A119" s="109" t="s">
        <v>200</v>
      </c>
      <c r="B119" s="120">
        <v>2040</v>
      </c>
      <c r="C119" s="120" t="s">
        <v>2164</v>
      </c>
      <c r="D119" s="120" t="s">
        <v>4663</v>
      </c>
      <c r="E119" s="176" t="str">
        <f t="shared" si="0"/>
        <v>Marine Hardware and Hull Items</v>
      </c>
      <c r="F119" s="109" t="s">
        <v>200</v>
      </c>
    </row>
    <row r="120" spans="1:6" ht="15.65" customHeight="1" x14ac:dyDescent="0.35">
      <c r="A120" s="109" t="s">
        <v>200</v>
      </c>
      <c r="B120" s="120">
        <v>2050</v>
      </c>
      <c r="C120" s="120" t="s">
        <v>2164</v>
      </c>
      <c r="D120" s="120" t="s">
        <v>4664</v>
      </c>
      <c r="E120" s="176" t="str">
        <f t="shared" si="0"/>
        <v>Buoys</v>
      </c>
      <c r="F120" s="109" t="s">
        <v>200</v>
      </c>
    </row>
    <row r="121" spans="1:6" ht="15.65" customHeight="1" x14ac:dyDescent="0.35">
      <c r="A121" s="109" t="s">
        <v>200</v>
      </c>
      <c r="B121" s="120">
        <v>2060</v>
      </c>
      <c r="C121" s="120" t="s">
        <v>2164</v>
      </c>
      <c r="D121" s="120" t="s">
        <v>4665</v>
      </c>
      <c r="E121" s="176" t="str">
        <f t="shared" si="0"/>
        <v>Commercial Fishing Equipment</v>
      </c>
      <c r="F121" s="109" t="s">
        <v>200</v>
      </c>
    </row>
    <row r="122" spans="1:6" ht="15.65" customHeight="1" x14ac:dyDescent="0.35">
      <c r="A122" s="109" t="s">
        <v>200</v>
      </c>
      <c r="B122" s="120">
        <v>2090</v>
      </c>
      <c r="C122" s="120" t="s">
        <v>2164</v>
      </c>
      <c r="D122" s="120" t="s">
        <v>4666</v>
      </c>
      <c r="E122" s="176" t="str">
        <f t="shared" si="0"/>
        <v>Miscellaneous Ship and Marine Equipment</v>
      </c>
      <c r="F122" s="109" t="s">
        <v>200</v>
      </c>
    </row>
    <row r="123" spans="1:6" ht="15.65" customHeight="1" x14ac:dyDescent="0.35">
      <c r="A123" s="109" t="s">
        <v>200</v>
      </c>
      <c r="B123" s="120">
        <v>2210</v>
      </c>
      <c r="C123" s="120" t="s">
        <v>4667</v>
      </c>
      <c r="D123" s="120" t="s">
        <v>4668</v>
      </c>
      <c r="E123" s="176" t="str">
        <f t="shared" si="0"/>
        <v>Locomotives</v>
      </c>
      <c r="F123" s="109" t="s">
        <v>200</v>
      </c>
    </row>
    <row r="124" spans="1:6" ht="15.65" customHeight="1" x14ac:dyDescent="0.35">
      <c r="A124" s="109" t="s">
        <v>200</v>
      </c>
      <c r="B124" s="120">
        <v>2220</v>
      </c>
      <c r="C124" s="120" t="s">
        <v>4667</v>
      </c>
      <c r="D124" s="120" t="s">
        <v>4669</v>
      </c>
      <c r="E124" s="176" t="str">
        <f t="shared" si="0"/>
        <v>Rail Cars</v>
      </c>
      <c r="F124" s="109" t="s">
        <v>200</v>
      </c>
    </row>
    <row r="125" spans="1:6" ht="15.65" customHeight="1" x14ac:dyDescent="0.35">
      <c r="A125" s="109" t="s">
        <v>200</v>
      </c>
      <c r="B125" s="120">
        <v>2230</v>
      </c>
      <c r="C125" s="120" t="s">
        <v>4667</v>
      </c>
      <c r="D125" s="120" t="s">
        <v>4670</v>
      </c>
      <c r="E125" s="176" t="str">
        <f t="shared" si="0"/>
        <v>Right-of-Way Construction and Maintenance Equipment, Railroad</v>
      </c>
      <c r="F125" s="109" t="s">
        <v>200</v>
      </c>
    </row>
    <row r="126" spans="1:6" ht="15.65" customHeight="1" x14ac:dyDescent="0.35">
      <c r="A126" s="109" t="s">
        <v>200</v>
      </c>
      <c r="B126" s="120">
        <v>2240</v>
      </c>
      <c r="C126" s="120" t="s">
        <v>4667</v>
      </c>
      <c r="D126" s="120" t="s">
        <v>4671</v>
      </c>
      <c r="E126" s="176" t="str">
        <f t="shared" si="0"/>
        <v>Locomotive and Rail Car Accessories and Components</v>
      </c>
      <c r="F126" s="109" t="s">
        <v>200</v>
      </c>
    </row>
    <row r="127" spans="1:6" ht="15.65" customHeight="1" x14ac:dyDescent="0.35">
      <c r="A127" s="109" t="s">
        <v>200</v>
      </c>
      <c r="B127" s="120">
        <v>2250</v>
      </c>
      <c r="C127" s="120" t="s">
        <v>4667</v>
      </c>
      <c r="D127" s="120" t="s">
        <v>4672</v>
      </c>
      <c r="E127" s="176" t="str">
        <f t="shared" si="0"/>
        <v>Track Material, Railroad</v>
      </c>
      <c r="F127" s="109" t="s">
        <v>200</v>
      </c>
    </row>
    <row r="128" spans="1:6" ht="15.65" customHeight="1" x14ac:dyDescent="0.35">
      <c r="A128" s="109" t="s">
        <v>200</v>
      </c>
      <c r="B128" s="120">
        <v>2305</v>
      </c>
      <c r="C128" s="120" t="s">
        <v>274</v>
      </c>
      <c r="D128" s="120" t="s">
        <v>4673</v>
      </c>
      <c r="E128" s="176" t="str">
        <f t="shared" si="0"/>
        <v>Ground Effect Vehicles</v>
      </c>
      <c r="F128" s="109" t="s">
        <v>200</v>
      </c>
    </row>
    <row r="129" spans="1:6" ht="15.65" customHeight="1" x14ac:dyDescent="0.35">
      <c r="A129" s="109" t="s">
        <v>200</v>
      </c>
      <c r="B129" s="120">
        <v>2310</v>
      </c>
      <c r="C129" s="120" t="s">
        <v>274</v>
      </c>
      <c r="D129" s="120" t="s">
        <v>4674</v>
      </c>
      <c r="E129" s="176" t="str">
        <f t="shared" si="0"/>
        <v>Passenger Motor Vehicles</v>
      </c>
      <c r="F129" s="109" t="s">
        <v>200</v>
      </c>
    </row>
    <row r="130" spans="1:6" ht="15.65" customHeight="1" x14ac:dyDescent="0.35">
      <c r="A130" s="109" t="s">
        <v>200</v>
      </c>
      <c r="B130" s="120">
        <v>2320</v>
      </c>
      <c r="C130" s="120" t="s">
        <v>274</v>
      </c>
      <c r="D130" s="120" t="s">
        <v>275</v>
      </c>
      <c r="E130" s="176" t="str">
        <f t="shared" si="0"/>
        <v>Trucks and Truck Tractors, Wheeled</v>
      </c>
      <c r="F130" s="109" t="s">
        <v>200</v>
      </c>
    </row>
    <row r="131" spans="1:6" ht="15.65" customHeight="1" x14ac:dyDescent="0.35">
      <c r="A131" s="109" t="s">
        <v>200</v>
      </c>
      <c r="B131" s="120">
        <v>2330</v>
      </c>
      <c r="C131" s="120" t="s">
        <v>274</v>
      </c>
      <c r="D131" s="120" t="s">
        <v>645</v>
      </c>
      <c r="E131" s="176" t="str">
        <f t="shared" si="0"/>
        <v>Trailers</v>
      </c>
      <c r="F131" s="109" t="s">
        <v>200</v>
      </c>
    </row>
    <row r="132" spans="1:6" ht="15.65" customHeight="1" x14ac:dyDescent="0.35">
      <c r="A132" s="109" t="s">
        <v>200</v>
      </c>
      <c r="B132" s="120">
        <v>2340</v>
      </c>
      <c r="C132" s="120" t="s">
        <v>274</v>
      </c>
      <c r="D132" s="120" t="s">
        <v>4675</v>
      </c>
      <c r="E132" s="176" t="str">
        <f t="shared" si="0"/>
        <v>Motorcycles, Motor Scooters, and Bicycles</v>
      </c>
      <c r="F132" s="109" t="s">
        <v>200</v>
      </c>
    </row>
    <row r="133" spans="1:6" ht="15.65" customHeight="1" x14ac:dyDescent="0.35">
      <c r="A133" s="109" t="s">
        <v>200</v>
      </c>
      <c r="B133" s="120">
        <v>2350</v>
      </c>
      <c r="C133" s="120" t="s">
        <v>274</v>
      </c>
      <c r="D133" s="120" t="s">
        <v>329</v>
      </c>
      <c r="E133" s="176" t="str">
        <f t="shared" si="0"/>
        <v>Combat, Assault, and Tactical Vehicles, Tracked</v>
      </c>
      <c r="F133" s="109" t="s">
        <v>200</v>
      </c>
    </row>
    <row r="134" spans="1:6" ht="15.65" customHeight="1" x14ac:dyDescent="0.35">
      <c r="A134" s="109" t="s">
        <v>200</v>
      </c>
      <c r="B134" s="120">
        <v>2355</v>
      </c>
      <c r="C134" s="120" t="s">
        <v>274</v>
      </c>
      <c r="D134" s="120" t="s">
        <v>493</v>
      </c>
      <c r="E134" s="176" t="str">
        <f t="shared" si="0"/>
        <v>Combat, Assault, and Tactical Vehicles, Wheeled</v>
      </c>
      <c r="F134" s="109" t="s">
        <v>200</v>
      </c>
    </row>
    <row r="135" spans="1:6" ht="15.65" customHeight="1" x14ac:dyDescent="0.35">
      <c r="A135" s="109" t="s">
        <v>200</v>
      </c>
      <c r="B135" s="120">
        <v>2410</v>
      </c>
      <c r="C135" s="120" t="s">
        <v>4676</v>
      </c>
      <c r="D135" s="120" t="s">
        <v>4677</v>
      </c>
      <c r="E135" s="176" t="str">
        <f t="shared" si="0"/>
        <v>Tractors, Full Tracked, Low Speed</v>
      </c>
      <c r="F135" s="109" t="s">
        <v>200</v>
      </c>
    </row>
    <row r="136" spans="1:6" ht="15.65" customHeight="1" x14ac:dyDescent="0.35">
      <c r="A136" s="109" t="s">
        <v>200</v>
      </c>
      <c r="B136" s="120">
        <v>2420</v>
      </c>
      <c r="C136" s="120" t="s">
        <v>4676</v>
      </c>
      <c r="D136" s="120" t="s">
        <v>4678</v>
      </c>
      <c r="E136" s="176" t="str">
        <f t="shared" si="0"/>
        <v>Tractors, Wheeled</v>
      </c>
      <c r="F136" s="109" t="s">
        <v>200</v>
      </c>
    </row>
    <row r="137" spans="1:6" ht="15.65" customHeight="1" x14ac:dyDescent="0.35">
      <c r="A137" s="109" t="s">
        <v>200</v>
      </c>
      <c r="B137" s="120">
        <v>2430</v>
      </c>
      <c r="C137" s="120" t="s">
        <v>4676</v>
      </c>
      <c r="D137" s="120" t="s">
        <v>4679</v>
      </c>
      <c r="E137" s="176" t="str">
        <f t="shared" si="0"/>
        <v>Tractors, Track Laying, High Speed</v>
      </c>
      <c r="F137" s="109" t="s">
        <v>200</v>
      </c>
    </row>
    <row r="138" spans="1:6" ht="15.65" customHeight="1" x14ac:dyDescent="0.35">
      <c r="A138" s="109" t="s">
        <v>200</v>
      </c>
      <c r="B138" s="120">
        <v>2510</v>
      </c>
      <c r="C138" s="120" t="s">
        <v>1280</v>
      </c>
      <c r="D138" s="120" t="s">
        <v>1281</v>
      </c>
      <c r="E138" s="176" t="str">
        <f t="shared" si="0"/>
        <v>Vehicular Cab, Body, and Frame Structural Components</v>
      </c>
      <c r="F138" s="109" t="s">
        <v>200</v>
      </c>
    </row>
    <row r="139" spans="1:6" ht="15.65" customHeight="1" x14ac:dyDescent="0.35">
      <c r="A139" s="109" t="s">
        <v>200</v>
      </c>
      <c r="B139" s="120">
        <v>2520</v>
      </c>
      <c r="C139" s="120" t="s">
        <v>1280</v>
      </c>
      <c r="D139" s="120" t="s">
        <v>4680</v>
      </c>
      <c r="E139" s="176" t="str">
        <f t="shared" ref="E139:E202" si="1">D139</f>
        <v>Vehicular Power Transmission Components</v>
      </c>
      <c r="F139" s="109" t="s">
        <v>200</v>
      </c>
    </row>
    <row r="140" spans="1:6" ht="15.65" customHeight="1" x14ac:dyDescent="0.35">
      <c r="A140" s="109" t="s">
        <v>200</v>
      </c>
      <c r="B140" s="120">
        <v>2530</v>
      </c>
      <c r="C140" s="120" t="s">
        <v>1280</v>
      </c>
      <c r="D140" s="120" t="s">
        <v>2835</v>
      </c>
      <c r="E140" s="176" t="str">
        <f t="shared" si="1"/>
        <v>Vehicular Brake, Steering, Axle, Wheel, and Track Components</v>
      </c>
      <c r="F140" s="109" t="s">
        <v>200</v>
      </c>
    </row>
    <row r="141" spans="1:6" ht="15.65" customHeight="1" x14ac:dyDescent="0.35">
      <c r="A141" s="109" t="s">
        <v>200</v>
      </c>
      <c r="B141" s="120">
        <v>2540</v>
      </c>
      <c r="C141" s="120" t="s">
        <v>1280</v>
      </c>
      <c r="D141" s="120" t="s">
        <v>1503</v>
      </c>
      <c r="E141" s="176" t="str">
        <f t="shared" si="1"/>
        <v>Vehicular Furniture and Accessories</v>
      </c>
      <c r="F141" s="109" t="s">
        <v>200</v>
      </c>
    </row>
    <row r="142" spans="1:6" ht="15.65" customHeight="1" x14ac:dyDescent="0.35">
      <c r="A142" s="109" t="s">
        <v>200</v>
      </c>
      <c r="B142" s="120">
        <v>2590</v>
      </c>
      <c r="C142" s="120" t="s">
        <v>1280</v>
      </c>
      <c r="D142" s="120" t="s">
        <v>4681</v>
      </c>
      <c r="E142" s="176" t="str">
        <f t="shared" si="1"/>
        <v>Miscellaneous Vehicular Components</v>
      </c>
      <c r="F142" s="109" t="s">
        <v>200</v>
      </c>
    </row>
    <row r="143" spans="1:6" ht="15.65" customHeight="1" x14ac:dyDescent="0.35">
      <c r="A143" s="109" t="s">
        <v>200</v>
      </c>
      <c r="B143" s="120">
        <v>2610</v>
      </c>
      <c r="C143" s="120" t="s">
        <v>4682</v>
      </c>
      <c r="D143" s="120" t="s">
        <v>4683</v>
      </c>
      <c r="E143" s="176" t="str">
        <f t="shared" si="1"/>
        <v>Tires and Tubes, Pneumatic, Except Aircraft</v>
      </c>
      <c r="F143" s="109" t="s">
        <v>200</v>
      </c>
    </row>
    <row r="144" spans="1:6" ht="15.65" customHeight="1" x14ac:dyDescent="0.35">
      <c r="A144" s="109" t="s">
        <v>200</v>
      </c>
      <c r="B144" s="120">
        <v>2620</v>
      </c>
      <c r="C144" s="120" t="s">
        <v>4682</v>
      </c>
      <c r="D144" s="120" t="s">
        <v>4684</v>
      </c>
      <c r="E144" s="176" t="str">
        <f t="shared" si="1"/>
        <v>Tires and Tubes, Pneumatic, Aircraft</v>
      </c>
      <c r="F144" s="109" t="s">
        <v>200</v>
      </c>
    </row>
    <row r="145" spans="1:6" ht="15.65" customHeight="1" x14ac:dyDescent="0.35">
      <c r="A145" s="109" t="s">
        <v>200</v>
      </c>
      <c r="B145" s="120">
        <v>2630</v>
      </c>
      <c r="C145" s="120" t="s">
        <v>4682</v>
      </c>
      <c r="D145" s="120" t="s">
        <v>4685</v>
      </c>
      <c r="E145" s="176" t="str">
        <f t="shared" si="1"/>
        <v>Tires, Solid and Cushion</v>
      </c>
      <c r="F145" s="109" t="s">
        <v>200</v>
      </c>
    </row>
    <row r="146" spans="1:6" ht="15.65" customHeight="1" x14ac:dyDescent="0.35">
      <c r="A146" s="109" t="s">
        <v>200</v>
      </c>
      <c r="B146" s="120">
        <v>2640</v>
      </c>
      <c r="C146" s="120" t="s">
        <v>4682</v>
      </c>
      <c r="D146" s="120" t="s">
        <v>4686</v>
      </c>
      <c r="E146" s="176" t="str">
        <f t="shared" si="1"/>
        <v>Tire Rebuilding and Tire and Tube Repair Materials</v>
      </c>
      <c r="F146" s="109" t="s">
        <v>200</v>
      </c>
    </row>
    <row r="147" spans="1:6" ht="15.65" customHeight="1" x14ac:dyDescent="0.35">
      <c r="A147" s="109" t="s">
        <v>200</v>
      </c>
      <c r="B147" s="120">
        <v>2805</v>
      </c>
      <c r="C147" s="120" t="s">
        <v>2995</v>
      </c>
      <c r="D147" s="120" t="s">
        <v>4687</v>
      </c>
      <c r="E147" s="176" t="str">
        <f t="shared" si="1"/>
        <v>Gasoline Reciprocating Engines, Except Aircraft, and Components</v>
      </c>
      <c r="F147" s="109" t="s">
        <v>200</v>
      </c>
    </row>
    <row r="148" spans="1:6" ht="15.65" customHeight="1" x14ac:dyDescent="0.35">
      <c r="A148" s="109" t="s">
        <v>200</v>
      </c>
      <c r="B148" s="120">
        <v>2810</v>
      </c>
      <c r="C148" s="120" t="s">
        <v>2995</v>
      </c>
      <c r="D148" s="120" t="s">
        <v>4688</v>
      </c>
      <c r="E148" s="176" t="str">
        <f t="shared" si="1"/>
        <v>Gasoline Reciprocating Engines, Aircraft, and Components</v>
      </c>
      <c r="F148" s="109" t="s">
        <v>200</v>
      </c>
    </row>
    <row r="149" spans="1:6" ht="15.65" customHeight="1" x14ac:dyDescent="0.35">
      <c r="A149" s="109" t="s">
        <v>200</v>
      </c>
      <c r="B149" s="120">
        <v>2815</v>
      </c>
      <c r="C149" s="120" t="s">
        <v>2995</v>
      </c>
      <c r="D149" s="120" t="s">
        <v>4689</v>
      </c>
      <c r="E149" s="176" t="str">
        <f t="shared" si="1"/>
        <v>Diesel Engines and Components</v>
      </c>
      <c r="F149" s="109" t="s">
        <v>200</v>
      </c>
    </row>
    <row r="150" spans="1:6" ht="15.65" customHeight="1" x14ac:dyDescent="0.35">
      <c r="A150" s="109" t="s">
        <v>200</v>
      </c>
      <c r="B150" s="120">
        <v>2820</v>
      </c>
      <c r="C150" s="120" t="s">
        <v>2995</v>
      </c>
      <c r="D150" s="120" t="s">
        <v>4690</v>
      </c>
      <c r="E150" s="176" t="str">
        <f t="shared" si="1"/>
        <v>Steam Engines, Reciprocating, and Components</v>
      </c>
      <c r="F150" s="109" t="s">
        <v>200</v>
      </c>
    </row>
    <row r="151" spans="1:6" ht="15.65" customHeight="1" x14ac:dyDescent="0.35">
      <c r="A151" s="109" t="s">
        <v>200</v>
      </c>
      <c r="B151" s="120">
        <v>2825</v>
      </c>
      <c r="C151" s="120" t="s">
        <v>2995</v>
      </c>
      <c r="D151" s="120" t="s">
        <v>4691</v>
      </c>
      <c r="E151" s="176" t="str">
        <f t="shared" si="1"/>
        <v>Steam Turbines and Components</v>
      </c>
      <c r="F151" s="109" t="s">
        <v>200</v>
      </c>
    </row>
    <row r="152" spans="1:6" ht="15.65" customHeight="1" x14ac:dyDescent="0.35">
      <c r="A152" s="109" t="s">
        <v>200</v>
      </c>
      <c r="B152" s="120">
        <v>2830</v>
      </c>
      <c r="C152" s="120" t="s">
        <v>2995</v>
      </c>
      <c r="D152" s="120" t="s">
        <v>4692</v>
      </c>
      <c r="E152" s="176" t="str">
        <f t="shared" si="1"/>
        <v>Water Turbines and Water Wheels, and Components</v>
      </c>
      <c r="F152" s="109" t="s">
        <v>200</v>
      </c>
    </row>
    <row r="153" spans="1:6" ht="15.65" customHeight="1" x14ac:dyDescent="0.35">
      <c r="A153" s="109" t="s">
        <v>200</v>
      </c>
      <c r="B153" s="120">
        <v>2835</v>
      </c>
      <c r="C153" s="120" t="s">
        <v>2995</v>
      </c>
      <c r="D153" s="120" t="s">
        <v>4693</v>
      </c>
      <c r="E153" s="176" t="str">
        <f t="shared" si="1"/>
        <v>Gas Turbines and Jet Engines, Except Aircraft, and Components</v>
      </c>
      <c r="F153" s="109" t="s">
        <v>200</v>
      </c>
    </row>
    <row r="154" spans="1:6" ht="15.65" customHeight="1" x14ac:dyDescent="0.35">
      <c r="A154" s="109" t="s">
        <v>200</v>
      </c>
      <c r="B154" s="120">
        <v>2840</v>
      </c>
      <c r="C154" s="120" t="s">
        <v>2995</v>
      </c>
      <c r="D154" s="120" t="s">
        <v>4694</v>
      </c>
      <c r="E154" s="176" t="str">
        <f t="shared" si="1"/>
        <v>Gas Turbines and Jet Engines, Aircraft, and Components</v>
      </c>
      <c r="F154" s="109" t="s">
        <v>200</v>
      </c>
    </row>
    <row r="155" spans="1:6" ht="15.65" customHeight="1" x14ac:dyDescent="0.35">
      <c r="A155" s="109" t="s">
        <v>200</v>
      </c>
      <c r="B155" s="120">
        <v>2845</v>
      </c>
      <c r="C155" s="120" t="s">
        <v>2995</v>
      </c>
      <c r="D155" s="120" t="s">
        <v>4695</v>
      </c>
      <c r="E155" s="176" t="str">
        <f t="shared" si="1"/>
        <v>Rocket Engines and Components</v>
      </c>
      <c r="F155" s="109" t="s">
        <v>200</v>
      </c>
    </row>
    <row r="156" spans="1:6" ht="15.65" customHeight="1" x14ac:dyDescent="0.35">
      <c r="A156" s="109" t="s">
        <v>200</v>
      </c>
      <c r="B156" s="120">
        <v>2850</v>
      </c>
      <c r="C156" s="120" t="s">
        <v>2995</v>
      </c>
      <c r="D156" s="120" t="s">
        <v>4696</v>
      </c>
      <c r="E156" s="176" t="str">
        <f t="shared" si="1"/>
        <v>Gasoline Rotary Engines and Components</v>
      </c>
      <c r="F156" s="109" t="s">
        <v>200</v>
      </c>
    </row>
    <row r="157" spans="1:6" ht="15.65" customHeight="1" x14ac:dyDescent="0.35">
      <c r="A157" s="109" t="s">
        <v>200</v>
      </c>
      <c r="B157" s="120">
        <v>2895</v>
      </c>
      <c r="C157" s="120" t="s">
        <v>2995</v>
      </c>
      <c r="D157" s="120" t="s">
        <v>4697</v>
      </c>
      <c r="E157" s="176" t="str">
        <f t="shared" si="1"/>
        <v>Miscellaneous Engines and Components</v>
      </c>
      <c r="F157" s="109" t="s">
        <v>200</v>
      </c>
    </row>
    <row r="158" spans="1:6" ht="15.65" customHeight="1" x14ac:dyDescent="0.35">
      <c r="A158" s="109" t="s">
        <v>200</v>
      </c>
      <c r="B158" s="120">
        <v>2910</v>
      </c>
      <c r="C158" s="120" t="s">
        <v>4698</v>
      </c>
      <c r="D158" s="120" t="s">
        <v>4699</v>
      </c>
      <c r="E158" s="176" t="str">
        <f t="shared" si="1"/>
        <v>Engine Fuel System Components, Nonaircraft</v>
      </c>
      <c r="F158" s="109" t="s">
        <v>200</v>
      </c>
    </row>
    <row r="159" spans="1:6" ht="15.65" customHeight="1" x14ac:dyDescent="0.35">
      <c r="A159" s="109" t="s">
        <v>200</v>
      </c>
      <c r="B159" s="120">
        <v>2915</v>
      </c>
      <c r="C159" s="120" t="s">
        <v>4698</v>
      </c>
      <c r="D159" s="120" t="s">
        <v>4700</v>
      </c>
      <c r="E159" s="176" t="str">
        <f t="shared" si="1"/>
        <v>Engine Fuel System Components, Aircraft</v>
      </c>
      <c r="F159" s="109" t="s">
        <v>200</v>
      </c>
    </row>
    <row r="160" spans="1:6" ht="15.65" customHeight="1" x14ac:dyDescent="0.35">
      <c r="A160" s="109" t="s">
        <v>200</v>
      </c>
      <c r="B160" s="120">
        <v>2920</v>
      </c>
      <c r="C160" s="120" t="s">
        <v>4698</v>
      </c>
      <c r="D160" s="120" t="s">
        <v>4701</v>
      </c>
      <c r="E160" s="176" t="str">
        <f t="shared" si="1"/>
        <v>Engine Electrical System Components, Nonaircraft</v>
      </c>
      <c r="F160" s="109" t="s">
        <v>200</v>
      </c>
    </row>
    <row r="161" spans="1:6" ht="15.65" customHeight="1" x14ac:dyDescent="0.35">
      <c r="A161" s="109" t="s">
        <v>200</v>
      </c>
      <c r="B161" s="120">
        <v>2925</v>
      </c>
      <c r="C161" s="120" t="s">
        <v>4698</v>
      </c>
      <c r="D161" s="120" t="s">
        <v>4702</v>
      </c>
      <c r="E161" s="176" t="str">
        <f t="shared" si="1"/>
        <v>Engine Electrical System Components, Aircraft</v>
      </c>
      <c r="F161" s="109" t="s">
        <v>200</v>
      </c>
    </row>
    <row r="162" spans="1:6" ht="15.65" customHeight="1" x14ac:dyDescent="0.35">
      <c r="A162" s="109" t="s">
        <v>200</v>
      </c>
      <c r="B162" s="120">
        <v>2930</v>
      </c>
      <c r="C162" s="120" t="s">
        <v>4698</v>
      </c>
      <c r="D162" s="120" t="s">
        <v>4703</v>
      </c>
      <c r="E162" s="176" t="str">
        <f t="shared" si="1"/>
        <v>Engine Cooling System Components, Nonaircraft</v>
      </c>
      <c r="F162" s="109" t="s">
        <v>200</v>
      </c>
    </row>
    <row r="163" spans="1:6" ht="15.65" customHeight="1" x14ac:dyDescent="0.35">
      <c r="A163" s="109" t="s">
        <v>200</v>
      </c>
      <c r="B163" s="120">
        <v>2935</v>
      </c>
      <c r="C163" s="120" t="s">
        <v>4698</v>
      </c>
      <c r="D163" s="120" t="s">
        <v>4704</v>
      </c>
      <c r="E163" s="176" t="str">
        <f t="shared" si="1"/>
        <v>Engine Cooling System Components, Aircraft</v>
      </c>
      <c r="F163" s="109" t="s">
        <v>200</v>
      </c>
    </row>
    <row r="164" spans="1:6" ht="15.65" customHeight="1" x14ac:dyDescent="0.35">
      <c r="A164" s="109" t="s">
        <v>200</v>
      </c>
      <c r="B164" s="120">
        <v>2940</v>
      </c>
      <c r="C164" s="120" t="s">
        <v>4698</v>
      </c>
      <c r="D164" s="120" t="s">
        <v>4705</v>
      </c>
      <c r="E164" s="176" t="str">
        <f t="shared" si="1"/>
        <v>Engine Air and Oil Filters, Strainers, and Cleaners, Nonaircraft</v>
      </c>
      <c r="F164" s="109" t="s">
        <v>200</v>
      </c>
    </row>
    <row r="165" spans="1:6" ht="15.65" customHeight="1" x14ac:dyDescent="0.35">
      <c r="A165" s="109" t="s">
        <v>200</v>
      </c>
      <c r="B165" s="120">
        <v>2945</v>
      </c>
      <c r="C165" s="120" t="s">
        <v>4698</v>
      </c>
      <c r="D165" s="120" t="s">
        <v>4706</v>
      </c>
      <c r="E165" s="176" t="str">
        <f t="shared" si="1"/>
        <v>Engine Air and Oil Filters, Strainers, and Cleaners, Aircraft</v>
      </c>
      <c r="F165" s="109" t="s">
        <v>200</v>
      </c>
    </row>
    <row r="166" spans="1:6" ht="15.65" customHeight="1" x14ac:dyDescent="0.35">
      <c r="A166" s="109" t="s">
        <v>200</v>
      </c>
      <c r="B166" s="120">
        <v>2950</v>
      </c>
      <c r="C166" s="120" t="s">
        <v>4698</v>
      </c>
      <c r="D166" s="120" t="s">
        <v>4707</v>
      </c>
      <c r="E166" s="176" t="str">
        <f t="shared" si="1"/>
        <v>Turbosuperchargers</v>
      </c>
      <c r="F166" s="109" t="s">
        <v>200</v>
      </c>
    </row>
    <row r="167" spans="1:6" ht="15.65" customHeight="1" x14ac:dyDescent="0.35">
      <c r="A167" s="109" t="s">
        <v>200</v>
      </c>
      <c r="B167" s="120">
        <v>2990</v>
      </c>
      <c r="C167" s="120" t="s">
        <v>4698</v>
      </c>
      <c r="D167" s="120" t="s">
        <v>4708</v>
      </c>
      <c r="E167" s="176" t="str">
        <f t="shared" si="1"/>
        <v>Miscellaneous Engine Accessories, Nonaircraft</v>
      </c>
      <c r="F167" s="109" t="s">
        <v>200</v>
      </c>
    </row>
    <row r="168" spans="1:6" ht="15.65" customHeight="1" x14ac:dyDescent="0.35">
      <c r="A168" s="109" t="s">
        <v>200</v>
      </c>
      <c r="B168" s="120">
        <v>2995</v>
      </c>
      <c r="C168" s="120" t="s">
        <v>4698</v>
      </c>
      <c r="D168" s="120" t="s">
        <v>4709</v>
      </c>
      <c r="E168" s="176" t="str">
        <f t="shared" si="1"/>
        <v>Miscellaneous Engine Accessories, Aircraft</v>
      </c>
      <c r="F168" s="109" t="s">
        <v>200</v>
      </c>
    </row>
    <row r="169" spans="1:6" ht="15.65" customHeight="1" x14ac:dyDescent="0.35">
      <c r="A169" s="109" t="s">
        <v>200</v>
      </c>
      <c r="B169" s="120">
        <v>3010</v>
      </c>
      <c r="C169" s="120" t="s">
        <v>4710</v>
      </c>
      <c r="D169" s="120" t="s">
        <v>4711</v>
      </c>
      <c r="E169" s="176" t="str">
        <f t="shared" si="1"/>
        <v>Torque Converters and Speed Changers</v>
      </c>
      <c r="F169" s="109" t="s">
        <v>200</v>
      </c>
    </row>
    <row r="170" spans="1:6" ht="15.65" customHeight="1" x14ac:dyDescent="0.35">
      <c r="A170" s="109" t="s">
        <v>200</v>
      </c>
      <c r="B170" s="120">
        <v>3020</v>
      </c>
      <c r="C170" s="120" t="s">
        <v>4710</v>
      </c>
      <c r="D170" s="120" t="s">
        <v>4712</v>
      </c>
      <c r="E170" s="176" t="str">
        <f t="shared" si="1"/>
        <v>Gears, Pulleys, Sprockets, and Transmission Chain</v>
      </c>
      <c r="F170" s="109" t="s">
        <v>200</v>
      </c>
    </row>
    <row r="171" spans="1:6" ht="15.65" customHeight="1" x14ac:dyDescent="0.35">
      <c r="A171" s="109" t="s">
        <v>200</v>
      </c>
      <c r="B171" s="120">
        <v>3030</v>
      </c>
      <c r="C171" s="120" t="s">
        <v>4710</v>
      </c>
      <c r="D171" s="120" t="s">
        <v>4713</v>
      </c>
      <c r="E171" s="176" t="str">
        <f t="shared" si="1"/>
        <v>Belting, Drive Belts, Fan Belts, and Accessories</v>
      </c>
      <c r="F171" s="109" t="s">
        <v>200</v>
      </c>
    </row>
    <row r="172" spans="1:6" ht="15.65" customHeight="1" x14ac:dyDescent="0.35">
      <c r="A172" s="109" t="s">
        <v>200</v>
      </c>
      <c r="B172" s="120">
        <v>3040</v>
      </c>
      <c r="C172" s="120" t="s">
        <v>4710</v>
      </c>
      <c r="D172" s="120" t="s">
        <v>4714</v>
      </c>
      <c r="E172" s="176" t="str">
        <f t="shared" si="1"/>
        <v>Miscellaneous Power Transmission Equipment</v>
      </c>
      <c r="F172" s="109" t="s">
        <v>200</v>
      </c>
    </row>
    <row r="173" spans="1:6" ht="15.65" customHeight="1" x14ac:dyDescent="0.35">
      <c r="A173" s="109" t="s">
        <v>200</v>
      </c>
      <c r="B173" s="120">
        <v>3110</v>
      </c>
      <c r="C173" s="120" t="s">
        <v>4715</v>
      </c>
      <c r="D173" s="120" t="s">
        <v>4716</v>
      </c>
      <c r="E173" s="176" t="str">
        <f t="shared" si="1"/>
        <v>Bearings, Antifriction, Unmounted</v>
      </c>
      <c r="F173" s="109" t="s">
        <v>200</v>
      </c>
    </row>
    <row r="174" spans="1:6" ht="15.65" customHeight="1" x14ac:dyDescent="0.35">
      <c r="A174" s="109" t="s">
        <v>200</v>
      </c>
      <c r="B174" s="120">
        <v>3120</v>
      </c>
      <c r="C174" s="120" t="s">
        <v>4715</v>
      </c>
      <c r="D174" s="120" t="s">
        <v>4717</v>
      </c>
      <c r="E174" s="176" t="str">
        <f t="shared" si="1"/>
        <v>Bearings, Plain, Unmounted</v>
      </c>
      <c r="F174" s="109" t="s">
        <v>200</v>
      </c>
    </row>
    <row r="175" spans="1:6" ht="15.65" customHeight="1" x14ac:dyDescent="0.35">
      <c r="A175" s="109" t="s">
        <v>200</v>
      </c>
      <c r="B175" s="120">
        <v>3130</v>
      </c>
      <c r="C175" s="120" t="s">
        <v>4715</v>
      </c>
      <c r="D175" s="120" t="s">
        <v>4718</v>
      </c>
      <c r="E175" s="176" t="str">
        <f t="shared" si="1"/>
        <v>Bearings, Mounted</v>
      </c>
      <c r="F175" s="109" t="s">
        <v>200</v>
      </c>
    </row>
    <row r="176" spans="1:6" ht="15.65" customHeight="1" x14ac:dyDescent="0.35">
      <c r="A176" s="109" t="s">
        <v>200</v>
      </c>
      <c r="B176" s="120">
        <v>3210</v>
      </c>
      <c r="C176" s="120" t="s">
        <v>4719</v>
      </c>
      <c r="D176" s="120" t="s">
        <v>4720</v>
      </c>
      <c r="E176" s="176" t="str">
        <f t="shared" si="1"/>
        <v>Sawmill and Planing Mill Machinery</v>
      </c>
      <c r="F176" s="109" t="s">
        <v>200</v>
      </c>
    </row>
    <row r="177" spans="1:6" ht="15.65" customHeight="1" x14ac:dyDescent="0.35">
      <c r="A177" s="109" t="s">
        <v>200</v>
      </c>
      <c r="B177" s="120">
        <v>3220</v>
      </c>
      <c r="C177" s="120" t="s">
        <v>4719</v>
      </c>
      <c r="D177" s="120" t="s">
        <v>4721</v>
      </c>
      <c r="E177" s="176" t="str">
        <f t="shared" si="1"/>
        <v>Woodworking Machines</v>
      </c>
      <c r="F177" s="109" t="s">
        <v>200</v>
      </c>
    </row>
    <row r="178" spans="1:6" ht="15.65" customHeight="1" x14ac:dyDescent="0.35">
      <c r="A178" s="109" t="s">
        <v>200</v>
      </c>
      <c r="B178" s="120">
        <v>3230</v>
      </c>
      <c r="C178" s="120" t="s">
        <v>4719</v>
      </c>
      <c r="D178" s="120" t="s">
        <v>4722</v>
      </c>
      <c r="E178" s="176" t="str">
        <f t="shared" si="1"/>
        <v>Tools and Attachments for Woodworking Machinery</v>
      </c>
      <c r="F178" s="109" t="s">
        <v>200</v>
      </c>
    </row>
    <row r="179" spans="1:6" ht="15.65" customHeight="1" x14ac:dyDescent="0.35">
      <c r="A179" s="109" t="s">
        <v>200</v>
      </c>
      <c r="B179" s="120">
        <v>3405</v>
      </c>
      <c r="C179" s="120" t="s">
        <v>4723</v>
      </c>
      <c r="D179" s="120" t="s">
        <v>4724</v>
      </c>
      <c r="E179" s="176" t="str">
        <f t="shared" si="1"/>
        <v>Saws and Filing Machines</v>
      </c>
      <c r="F179" s="109" t="s">
        <v>200</v>
      </c>
    </row>
    <row r="180" spans="1:6" ht="15.65" customHeight="1" x14ac:dyDescent="0.35">
      <c r="A180" s="109" t="s">
        <v>200</v>
      </c>
      <c r="B180" s="120">
        <v>3408</v>
      </c>
      <c r="C180" s="120" t="s">
        <v>4723</v>
      </c>
      <c r="D180" s="120" t="s">
        <v>4725</v>
      </c>
      <c r="E180" s="176" t="str">
        <f t="shared" si="1"/>
        <v>Machining Centers and Way-Type Machines</v>
      </c>
      <c r="F180" s="109" t="s">
        <v>200</v>
      </c>
    </row>
    <row r="181" spans="1:6" ht="15.65" customHeight="1" x14ac:dyDescent="0.35">
      <c r="A181" s="109" t="s">
        <v>200</v>
      </c>
      <c r="B181" s="120">
        <v>3410</v>
      </c>
      <c r="C181" s="120" t="s">
        <v>4723</v>
      </c>
      <c r="D181" s="120" t="s">
        <v>4726</v>
      </c>
      <c r="E181" s="176" t="str">
        <f t="shared" si="1"/>
        <v>Electrical and Ultrasonic Erosion Machines</v>
      </c>
      <c r="F181" s="109" t="s">
        <v>200</v>
      </c>
    </row>
    <row r="182" spans="1:6" ht="15.65" customHeight="1" x14ac:dyDescent="0.35">
      <c r="A182" s="109" t="s">
        <v>200</v>
      </c>
      <c r="B182" s="120">
        <v>3411</v>
      </c>
      <c r="C182" s="120" t="s">
        <v>4723</v>
      </c>
      <c r="D182" s="120" t="s">
        <v>4727</v>
      </c>
      <c r="E182" s="176" t="str">
        <f t="shared" si="1"/>
        <v>Boring Machines</v>
      </c>
      <c r="F182" s="109" t="s">
        <v>200</v>
      </c>
    </row>
    <row r="183" spans="1:6" ht="15.65" customHeight="1" x14ac:dyDescent="0.35">
      <c r="A183" s="109" t="s">
        <v>200</v>
      </c>
      <c r="B183" s="120">
        <v>3412</v>
      </c>
      <c r="C183" s="120" t="s">
        <v>4723</v>
      </c>
      <c r="D183" s="120" t="s">
        <v>4728</v>
      </c>
      <c r="E183" s="176" t="str">
        <f t="shared" si="1"/>
        <v>Broaching Machines</v>
      </c>
      <c r="F183" s="109" t="s">
        <v>200</v>
      </c>
    </row>
    <row r="184" spans="1:6" ht="15.65" customHeight="1" x14ac:dyDescent="0.35">
      <c r="A184" s="109" t="s">
        <v>200</v>
      </c>
      <c r="B184" s="120">
        <v>3413</v>
      </c>
      <c r="C184" s="120" t="s">
        <v>4723</v>
      </c>
      <c r="D184" s="120" t="s">
        <v>4729</v>
      </c>
      <c r="E184" s="176" t="str">
        <f t="shared" si="1"/>
        <v>Drilling and Tapping Machines</v>
      </c>
      <c r="F184" s="109" t="s">
        <v>200</v>
      </c>
    </row>
    <row r="185" spans="1:6" ht="15.65" customHeight="1" x14ac:dyDescent="0.35">
      <c r="A185" s="109" t="s">
        <v>200</v>
      </c>
      <c r="B185" s="120">
        <v>3414</v>
      </c>
      <c r="C185" s="120" t="s">
        <v>4723</v>
      </c>
      <c r="D185" s="120" t="s">
        <v>4730</v>
      </c>
      <c r="E185" s="176" t="str">
        <f t="shared" si="1"/>
        <v>Gear Cutting and Finishing Machines</v>
      </c>
      <c r="F185" s="109" t="s">
        <v>200</v>
      </c>
    </row>
    <row r="186" spans="1:6" ht="15.65" customHeight="1" x14ac:dyDescent="0.35">
      <c r="A186" s="109" t="s">
        <v>200</v>
      </c>
      <c r="B186" s="120">
        <v>3415</v>
      </c>
      <c r="C186" s="120" t="s">
        <v>4723</v>
      </c>
      <c r="D186" s="120" t="s">
        <v>4731</v>
      </c>
      <c r="E186" s="176" t="str">
        <f t="shared" si="1"/>
        <v>Grinding Machines</v>
      </c>
      <c r="F186" s="109" t="s">
        <v>200</v>
      </c>
    </row>
    <row r="187" spans="1:6" ht="15.65" customHeight="1" x14ac:dyDescent="0.35">
      <c r="A187" s="109" t="s">
        <v>200</v>
      </c>
      <c r="B187" s="120">
        <v>3416</v>
      </c>
      <c r="C187" s="120" t="s">
        <v>4723</v>
      </c>
      <c r="D187" s="120" t="s">
        <v>4732</v>
      </c>
      <c r="E187" s="176" t="str">
        <f t="shared" si="1"/>
        <v>Lathes</v>
      </c>
      <c r="F187" s="109" t="s">
        <v>200</v>
      </c>
    </row>
    <row r="188" spans="1:6" ht="15.65" customHeight="1" x14ac:dyDescent="0.35">
      <c r="A188" s="109" t="s">
        <v>200</v>
      </c>
      <c r="B188" s="120">
        <v>3417</v>
      </c>
      <c r="C188" s="120" t="s">
        <v>4723</v>
      </c>
      <c r="D188" s="120" t="s">
        <v>4733</v>
      </c>
      <c r="E188" s="176" t="str">
        <f t="shared" si="1"/>
        <v>Milling Machines</v>
      </c>
      <c r="F188" s="109" t="s">
        <v>200</v>
      </c>
    </row>
    <row r="189" spans="1:6" ht="15.65" customHeight="1" x14ac:dyDescent="0.35">
      <c r="A189" s="109" t="s">
        <v>200</v>
      </c>
      <c r="B189" s="120">
        <v>3418</v>
      </c>
      <c r="C189" s="120" t="s">
        <v>4723</v>
      </c>
      <c r="D189" s="120" t="s">
        <v>4734</v>
      </c>
      <c r="E189" s="176" t="str">
        <f t="shared" si="1"/>
        <v>Planers and Shapers</v>
      </c>
      <c r="F189" s="109" t="s">
        <v>200</v>
      </c>
    </row>
    <row r="190" spans="1:6" ht="15.65" customHeight="1" x14ac:dyDescent="0.35">
      <c r="A190" s="109" t="s">
        <v>200</v>
      </c>
      <c r="B190" s="120">
        <v>3419</v>
      </c>
      <c r="C190" s="120" t="s">
        <v>4723</v>
      </c>
      <c r="D190" s="120" t="s">
        <v>4735</v>
      </c>
      <c r="E190" s="176" t="str">
        <f t="shared" si="1"/>
        <v>Miscellaneous Machine Tools</v>
      </c>
      <c r="F190" s="109" t="s">
        <v>200</v>
      </c>
    </row>
    <row r="191" spans="1:6" ht="15.65" customHeight="1" x14ac:dyDescent="0.35">
      <c r="A191" s="109" t="s">
        <v>200</v>
      </c>
      <c r="B191" s="120">
        <v>3422</v>
      </c>
      <c r="C191" s="120" t="s">
        <v>4723</v>
      </c>
      <c r="D191" s="120" t="s">
        <v>4736</v>
      </c>
      <c r="E191" s="176" t="str">
        <f t="shared" si="1"/>
        <v>Rolling Mills and Drawing Machines</v>
      </c>
      <c r="F191" s="109" t="s">
        <v>200</v>
      </c>
    </row>
    <row r="192" spans="1:6" ht="15.65" customHeight="1" x14ac:dyDescent="0.35">
      <c r="A192" s="109" t="s">
        <v>200</v>
      </c>
      <c r="B192" s="120">
        <v>3424</v>
      </c>
      <c r="C192" s="120" t="s">
        <v>4723</v>
      </c>
      <c r="D192" s="120" t="s">
        <v>4737</v>
      </c>
      <c r="E192" s="176" t="str">
        <f t="shared" si="1"/>
        <v>Metal Heat Treating and Non-Thermal Treating Equipment</v>
      </c>
      <c r="F192" s="109" t="s">
        <v>200</v>
      </c>
    </row>
    <row r="193" spans="1:6" ht="15.65" customHeight="1" x14ac:dyDescent="0.35">
      <c r="A193" s="109" t="s">
        <v>200</v>
      </c>
      <c r="B193" s="120">
        <v>3426</v>
      </c>
      <c r="C193" s="120" t="s">
        <v>4723</v>
      </c>
      <c r="D193" s="120" t="s">
        <v>4738</v>
      </c>
      <c r="E193" s="176" t="str">
        <f t="shared" si="1"/>
        <v>Metal Finishing Equipment</v>
      </c>
      <c r="F193" s="109" t="s">
        <v>200</v>
      </c>
    </row>
    <row r="194" spans="1:6" ht="15.65" customHeight="1" x14ac:dyDescent="0.35">
      <c r="A194" s="109" t="s">
        <v>200</v>
      </c>
      <c r="B194" s="120">
        <v>3431</v>
      </c>
      <c r="C194" s="120" t="s">
        <v>4723</v>
      </c>
      <c r="D194" s="120" t="s">
        <v>4739</v>
      </c>
      <c r="E194" s="176" t="str">
        <f t="shared" si="1"/>
        <v>Electric Arc Welding Equipment</v>
      </c>
      <c r="F194" s="109" t="s">
        <v>200</v>
      </c>
    </row>
    <row r="195" spans="1:6" ht="15.65" customHeight="1" x14ac:dyDescent="0.35">
      <c r="A195" s="109" t="s">
        <v>200</v>
      </c>
      <c r="B195" s="120">
        <v>3432</v>
      </c>
      <c r="C195" s="120" t="s">
        <v>4723</v>
      </c>
      <c r="D195" s="120" t="s">
        <v>4740</v>
      </c>
      <c r="E195" s="176" t="str">
        <f t="shared" si="1"/>
        <v>Electric Resistance Welding Equipment</v>
      </c>
      <c r="F195" s="109" t="s">
        <v>200</v>
      </c>
    </row>
    <row r="196" spans="1:6" ht="15.65" customHeight="1" x14ac:dyDescent="0.35">
      <c r="A196" s="109" t="s">
        <v>200</v>
      </c>
      <c r="B196" s="120">
        <v>3433</v>
      </c>
      <c r="C196" s="120" t="s">
        <v>4723</v>
      </c>
      <c r="D196" s="120" t="s">
        <v>4741</v>
      </c>
      <c r="E196" s="176" t="str">
        <f t="shared" si="1"/>
        <v>Gas Welding, Heat Cutting, and Metalizing Equipment</v>
      </c>
      <c r="F196" s="109" t="s">
        <v>200</v>
      </c>
    </row>
    <row r="197" spans="1:6" ht="15.65" customHeight="1" x14ac:dyDescent="0.35">
      <c r="A197" s="109" t="s">
        <v>200</v>
      </c>
      <c r="B197" s="120">
        <v>3436</v>
      </c>
      <c r="C197" s="120" t="s">
        <v>4723</v>
      </c>
      <c r="D197" s="120" t="s">
        <v>4742</v>
      </c>
      <c r="E197" s="176" t="str">
        <f t="shared" si="1"/>
        <v>Welding Positioners and Manipulators</v>
      </c>
      <c r="F197" s="109" t="s">
        <v>200</v>
      </c>
    </row>
    <row r="198" spans="1:6" ht="15.65" customHeight="1" x14ac:dyDescent="0.35">
      <c r="A198" s="109" t="s">
        <v>200</v>
      </c>
      <c r="B198" s="120">
        <v>3438</v>
      </c>
      <c r="C198" s="120" t="s">
        <v>4723</v>
      </c>
      <c r="D198" s="120" t="s">
        <v>4743</v>
      </c>
      <c r="E198" s="176" t="str">
        <f t="shared" si="1"/>
        <v>Miscellaneous Welding Equipment</v>
      </c>
      <c r="F198" s="109" t="s">
        <v>200</v>
      </c>
    </row>
    <row r="199" spans="1:6" ht="15.65" customHeight="1" x14ac:dyDescent="0.35">
      <c r="A199" s="109" t="s">
        <v>200</v>
      </c>
      <c r="B199" s="120">
        <v>3439</v>
      </c>
      <c r="C199" s="120" t="s">
        <v>4723</v>
      </c>
      <c r="D199" s="120" t="s">
        <v>4744</v>
      </c>
      <c r="E199" s="176" t="str">
        <f t="shared" si="1"/>
        <v>Miscellaneous Welding, Soldering, and Brazing Supplies and Accessories</v>
      </c>
      <c r="F199" s="109" t="s">
        <v>200</v>
      </c>
    </row>
    <row r="200" spans="1:6" ht="15.65" customHeight="1" x14ac:dyDescent="0.35">
      <c r="A200" s="109" t="s">
        <v>200</v>
      </c>
      <c r="B200" s="120">
        <v>3441</v>
      </c>
      <c r="C200" s="120" t="s">
        <v>4723</v>
      </c>
      <c r="D200" s="120" t="s">
        <v>4745</v>
      </c>
      <c r="E200" s="176" t="str">
        <f t="shared" si="1"/>
        <v>Bending and Forming Machines</v>
      </c>
      <c r="F200" s="109" t="s">
        <v>200</v>
      </c>
    </row>
    <row r="201" spans="1:6" ht="15.65" customHeight="1" x14ac:dyDescent="0.35">
      <c r="A201" s="109" t="s">
        <v>200</v>
      </c>
      <c r="B201" s="120">
        <v>3442</v>
      </c>
      <c r="C201" s="120" t="s">
        <v>4723</v>
      </c>
      <c r="D201" s="120" t="s">
        <v>4746</v>
      </c>
      <c r="E201" s="176" t="str">
        <f t="shared" si="1"/>
        <v>Hydraulic and Pneumatic Presses, Power Driven</v>
      </c>
      <c r="F201" s="109" t="s">
        <v>200</v>
      </c>
    </row>
    <row r="202" spans="1:6" ht="15.65" customHeight="1" x14ac:dyDescent="0.35">
      <c r="A202" s="109" t="s">
        <v>200</v>
      </c>
      <c r="B202" s="120">
        <v>3443</v>
      </c>
      <c r="C202" s="120" t="s">
        <v>4723</v>
      </c>
      <c r="D202" s="120" t="s">
        <v>4747</v>
      </c>
      <c r="E202" s="176" t="str">
        <f t="shared" si="1"/>
        <v>Mechanical Presses, Power Driven</v>
      </c>
      <c r="F202" s="109" t="s">
        <v>200</v>
      </c>
    </row>
    <row r="203" spans="1:6" ht="15.65" customHeight="1" x14ac:dyDescent="0.35">
      <c r="A203" s="109" t="s">
        <v>200</v>
      </c>
      <c r="B203" s="120">
        <v>3444</v>
      </c>
      <c r="C203" s="120" t="s">
        <v>4723</v>
      </c>
      <c r="D203" s="120" t="s">
        <v>4748</v>
      </c>
      <c r="E203" s="176" t="str">
        <f t="shared" ref="E203:E266" si="2">D203</f>
        <v>Manual Presses</v>
      </c>
      <c r="F203" s="109" t="s">
        <v>200</v>
      </c>
    </row>
    <row r="204" spans="1:6" ht="15.65" customHeight="1" x14ac:dyDescent="0.35">
      <c r="A204" s="109" t="s">
        <v>200</v>
      </c>
      <c r="B204" s="120">
        <v>3445</v>
      </c>
      <c r="C204" s="120" t="s">
        <v>4723</v>
      </c>
      <c r="D204" s="120" t="s">
        <v>4749</v>
      </c>
      <c r="E204" s="176" t="str">
        <f t="shared" si="2"/>
        <v>Punching and Shearing Machines</v>
      </c>
      <c r="F204" s="109" t="s">
        <v>200</v>
      </c>
    </row>
    <row r="205" spans="1:6" ht="15.65" customHeight="1" x14ac:dyDescent="0.35">
      <c r="A205" s="109" t="s">
        <v>200</v>
      </c>
      <c r="B205" s="120">
        <v>3446</v>
      </c>
      <c r="C205" s="120" t="s">
        <v>4723</v>
      </c>
      <c r="D205" s="120" t="s">
        <v>4750</v>
      </c>
      <c r="E205" s="176" t="str">
        <f t="shared" si="2"/>
        <v>Forging Machinery and Hammers</v>
      </c>
      <c r="F205" s="109" t="s">
        <v>200</v>
      </c>
    </row>
    <row r="206" spans="1:6" ht="15.65" customHeight="1" x14ac:dyDescent="0.35">
      <c r="A206" s="109" t="s">
        <v>200</v>
      </c>
      <c r="B206" s="120">
        <v>3447</v>
      </c>
      <c r="C206" s="120" t="s">
        <v>4723</v>
      </c>
      <c r="D206" s="120" t="s">
        <v>4751</v>
      </c>
      <c r="E206" s="176" t="str">
        <f t="shared" si="2"/>
        <v>Wire and Metal Ribbon Forming Machines</v>
      </c>
      <c r="F206" s="109" t="s">
        <v>200</v>
      </c>
    </row>
    <row r="207" spans="1:6" ht="15.65" customHeight="1" x14ac:dyDescent="0.35">
      <c r="A207" s="109" t="s">
        <v>200</v>
      </c>
      <c r="B207" s="120">
        <v>3448</v>
      </c>
      <c r="C207" s="120" t="s">
        <v>4723</v>
      </c>
      <c r="D207" s="120" t="s">
        <v>4752</v>
      </c>
      <c r="E207" s="176" t="str">
        <f t="shared" si="2"/>
        <v>Riveting Machines</v>
      </c>
      <c r="F207" s="109" t="s">
        <v>200</v>
      </c>
    </row>
    <row r="208" spans="1:6" ht="15.65" customHeight="1" x14ac:dyDescent="0.35">
      <c r="A208" s="109" t="s">
        <v>200</v>
      </c>
      <c r="B208" s="120">
        <v>3449</v>
      </c>
      <c r="C208" s="120" t="s">
        <v>4723</v>
      </c>
      <c r="D208" s="120" t="s">
        <v>4753</v>
      </c>
      <c r="E208" s="176" t="str">
        <f t="shared" si="2"/>
        <v>Miscellaneous Secondary Metal Forming and Cutting Machines</v>
      </c>
      <c r="F208" s="109" t="s">
        <v>200</v>
      </c>
    </row>
    <row r="209" spans="1:6" ht="15.65" customHeight="1" x14ac:dyDescent="0.35">
      <c r="A209" s="109" t="s">
        <v>200</v>
      </c>
      <c r="B209" s="120">
        <v>3450</v>
      </c>
      <c r="C209" s="120" t="s">
        <v>4723</v>
      </c>
      <c r="D209" s="120" t="s">
        <v>4754</v>
      </c>
      <c r="E209" s="176" t="str">
        <f t="shared" si="2"/>
        <v>Machine Tools, Portable</v>
      </c>
      <c r="F209" s="109" t="s">
        <v>200</v>
      </c>
    </row>
    <row r="210" spans="1:6" ht="15.65" customHeight="1" x14ac:dyDescent="0.35">
      <c r="A210" s="109" t="s">
        <v>200</v>
      </c>
      <c r="B210" s="120">
        <v>3455</v>
      </c>
      <c r="C210" s="120" t="s">
        <v>4723</v>
      </c>
      <c r="D210" s="120" t="s">
        <v>4755</v>
      </c>
      <c r="E210" s="176" t="str">
        <f t="shared" si="2"/>
        <v>Cutting Tools for Machine Tools</v>
      </c>
      <c r="F210" s="109" t="s">
        <v>200</v>
      </c>
    </row>
    <row r="211" spans="1:6" ht="15.65" customHeight="1" x14ac:dyDescent="0.35">
      <c r="A211" s="109" t="s">
        <v>200</v>
      </c>
      <c r="B211" s="120">
        <v>3456</v>
      </c>
      <c r="C211" s="120" t="s">
        <v>4723</v>
      </c>
      <c r="D211" s="120" t="s">
        <v>4756</v>
      </c>
      <c r="E211" s="176" t="str">
        <f t="shared" si="2"/>
        <v>Cutting and Forming Tools for Secondary Metalworking Machinery</v>
      </c>
      <c r="F211" s="109" t="s">
        <v>200</v>
      </c>
    </row>
    <row r="212" spans="1:6" ht="15.65" customHeight="1" x14ac:dyDescent="0.35">
      <c r="A212" s="109" t="s">
        <v>200</v>
      </c>
      <c r="B212" s="120">
        <v>3460</v>
      </c>
      <c r="C212" s="120" t="s">
        <v>4723</v>
      </c>
      <c r="D212" s="120" t="s">
        <v>4757</v>
      </c>
      <c r="E212" s="176" t="str">
        <f t="shared" si="2"/>
        <v>Machine Tool Accessories</v>
      </c>
      <c r="F212" s="109" t="s">
        <v>200</v>
      </c>
    </row>
    <row r="213" spans="1:6" ht="15.65" customHeight="1" x14ac:dyDescent="0.35">
      <c r="A213" s="109" t="s">
        <v>200</v>
      </c>
      <c r="B213" s="120">
        <v>3461</v>
      </c>
      <c r="C213" s="120" t="s">
        <v>4723</v>
      </c>
      <c r="D213" s="120" t="s">
        <v>4758</v>
      </c>
      <c r="E213" s="176" t="str">
        <f t="shared" si="2"/>
        <v>Accessories for Secondary Metalworking Machinery</v>
      </c>
      <c r="F213" s="109" t="s">
        <v>200</v>
      </c>
    </row>
    <row r="214" spans="1:6" ht="15.65" customHeight="1" x14ac:dyDescent="0.35">
      <c r="A214" s="109" t="s">
        <v>200</v>
      </c>
      <c r="B214" s="120">
        <v>3465</v>
      </c>
      <c r="C214" s="120" t="s">
        <v>4723</v>
      </c>
      <c r="D214" s="120" t="s">
        <v>4759</v>
      </c>
      <c r="E214" s="176" t="str">
        <f t="shared" si="2"/>
        <v>Production Jigs, Fixtures, and Templates</v>
      </c>
      <c r="F214" s="109" t="s">
        <v>200</v>
      </c>
    </row>
    <row r="215" spans="1:6" ht="15.65" customHeight="1" x14ac:dyDescent="0.35">
      <c r="A215" s="109" t="s">
        <v>200</v>
      </c>
      <c r="B215" s="120">
        <v>3470</v>
      </c>
      <c r="C215" s="120" t="s">
        <v>4723</v>
      </c>
      <c r="D215" s="120" t="s">
        <v>4760</v>
      </c>
      <c r="E215" s="176" t="str">
        <f t="shared" si="2"/>
        <v>Machine Shop Sets, Kits, and Outfits</v>
      </c>
      <c r="F215" s="109" t="s">
        <v>200</v>
      </c>
    </row>
    <row r="216" spans="1:6" ht="15.65" customHeight="1" x14ac:dyDescent="0.35">
      <c r="A216" s="109" t="s">
        <v>200</v>
      </c>
      <c r="B216" s="120">
        <v>3510</v>
      </c>
      <c r="C216" s="120" t="s">
        <v>4761</v>
      </c>
      <c r="D216" s="120" t="s">
        <v>4762</v>
      </c>
      <c r="E216" s="176" t="str">
        <f t="shared" si="2"/>
        <v>Laundry and Dry Cleaning Equipment</v>
      </c>
      <c r="F216" s="109" t="s">
        <v>200</v>
      </c>
    </row>
    <row r="217" spans="1:6" ht="15.65" customHeight="1" x14ac:dyDescent="0.35">
      <c r="A217" s="109" t="s">
        <v>200</v>
      </c>
      <c r="B217" s="120">
        <v>3520</v>
      </c>
      <c r="C217" s="120" t="s">
        <v>4761</v>
      </c>
      <c r="D217" s="120" t="s">
        <v>4763</v>
      </c>
      <c r="E217" s="176" t="str">
        <f t="shared" si="2"/>
        <v>Shoe Repairing Equipment</v>
      </c>
      <c r="F217" s="109" t="s">
        <v>200</v>
      </c>
    </row>
    <row r="218" spans="1:6" ht="15.65" customHeight="1" x14ac:dyDescent="0.35">
      <c r="A218" s="109" t="s">
        <v>200</v>
      </c>
      <c r="B218" s="120">
        <v>3530</v>
      </c>
      <c r="C218" s="120" t="s">
        <v>4761</v>
      </c>
      <c r="D218" s="120" t="s">
        <v>4764</v>
      </c>
      <c r="E218" s="176" t="str">
        <f t="shared" si="2"/>
        <v>Industrial Sewing Machines and Mobile Textile Repair Shops</v>
      </c>
      <c r="F218" s="109" t="s">
        <v>200</v>
      </c>
    </row>
    <row r="219" spans="1:6" ht="15.65" customHeight="1" x14ac:dyDescent="0.35">
      <c r="A219" s="109" t="s">
        <v>200</v>
      </c>
      <c r="B219" s="120">
        <v>3540</v>
      </c>
      <c r="C219" s="120" t="s">
        <v>4761</v>
      </c>
      <c r="D219" s="120" t="s">
        <v>4765</v>
      </c>
      <c r="E219" s="176" t="str">
        <f t="shared" si="2"/>
        <v>Wrapping and Packaging Machinery</v>
      </c>
      <c r="F219" s="109" t="s">
        <v>200</v>
      </c>
    </row>
    <row r="220" spans="1:6" ht="15.65" customHeight="1" x14ac:dyDescent="0.35">
      <c r="A220" s="109" t="s">
        <v>200</v>
      </c>
      <c r="B220" s="120">
        <v>3550</v>
      </c>
      <c r="C220" s="120" t="s">
        <v>4761</v>
      </c>
      <c r="D220" s="120" t="s">
        <v>4766</v>
      </c>
      <c r="E220" s="176" t="str">
        <f t="shared" si="2"/>
        <v>Vending and Coin Operated Machines</v>
      </c>
      <c r="F220" s="109" t="s">
        <v>200</v>
      </c>
    </row>
    <row r="221" spans="1:6" ht="15.65" customHeight="1" x14ac:dyDescent="0.35">
      <c r="A221" s="109" t="s">
        <v>200</v>
      </c>
      <c r="B221" s="120">
        <v>3590</v>
      </c>
      <c r="C221" s="120" t="s">
        <v>4761</v>
      </c>
      <c r="D221" s="120" t="s">
        <v>4767</v>
      </c>
      <c r="E221" s="176" t="str">
        <f t="shared" si="2"/>
        <v>Miscellaneous Service and Trade Equipment</v>
      </c>
      <c r="F221" s="109" t="s">
        <v>200</v>
      </c>
    </row>
    <row r="222" spans="1:6" ht="15.65" customHeight="1" x14ac:dyDescent="0.35">
      <c r="A222" s="109" t="s">
        <v>200</v>
      </c>
      <c r="B222" s="120">
        <v>3605</v>
      </c>
      <c r="C222" s="120" t="s">
        <v>3919</v>
      </c>
      <c r="D222" s="120" t="s">
        <v>4768</v>
      </c>
      <c r="E222" s="176" t="str">
        <f t="shared" si="2"/>
        <v>Food Products Machinery and Equipment</v>
      </c>
      <c r="F222" s="109" t="s">
        <v>200</v>
      </c>
    </row>
    <row r="223" spans="1:6" ht="15.65" customHeight="1" x14ac:dyDescent="0.35">
      <c r="A223" s="109" t="s">
        <v>200</v>
      </c>
      <c r="B223" s="120">
        <v>3610</v>
      </c>
      <c r="C223" s="120" t="s">
        <v>3919</v>
      </c>
      <c r="D223" s="120" t="s">
        <v>4769</v>
      </c>
      <c r="E223" s="176" t="str">
        <f t="shared" si="2"/>
        <v>Printing, Duplicating, and Bookbinding Equipment</v>
      </c>
      <c r="F223" s="109" t="s">
        <v>200</v>
      </c>
    </row>
    <row r="224" spans="1:6" ht="15.65" customHeight="1" x14ac:dyDescent="0.35">
      <c r="A224" s="109" t="s">
        <v>200</v>
      </c>
      <c r="B224" s="120">
        <v>3611</v>
      </c>
      <c r="C224" s="120" t="s">
        <v>3919</v>
      </c>
      <c r="D224" s="120" t="s">
        <v>4770</v>
      </c>
      <c r="E224" s="176" t="str">
        <f t="shared" si="2"/>
        <v>Industrial Marking Machines</v>
      </c>
      <c r="F224" s="109" t="s">
        <v>200</v>
      </c>
    </row>
    <row r="225" spans="1:6" ht="15.65" customHeight="1" x14ac:dyDescent="0.35">
      <c r="A225" s="109" t="s">
        <v>200</v>
      </c>
      <c r="B225" s="120">
        <v>3615</v>
      </c>
      <c r="C225" s="120" t="s">
        <v>3919</v>
      </c>
      <c r="D225" s="120" t="s">
        <v>4771</v>
      </c>
      <c r="E225" s="176" t="str">
        <f t="shared" si="2"/>
        <v>Pulp and Paper Industries Machinery</v>
      </c>
      <c r="F225" s="109" t="s">
        <v>200</v>
      </c>
    </row>
    <row r="226" spans="1:6" ht="15.65" customHeight="1" x14ac:dyDescent="0.35">
      <c r="A226" s="109" t="s">
        <v>200</v>
      </c>
      <c r="B226" s="120">
        <v>3620</v>
      </c>
      <c r="C226" s="120" t="s">
        <v>3919</v>
      </c>
      <c r="D226" s="120" t="s">
        <v>4772</v>
      </c>
      <c r="E226" s="176" t="str">
        <f t="shared" si="2"/>
        <v>Rubber and Plastics Working Machinery</v>
      </c>
      <c r="F226" s="109" t="s">
        <v>200</v>
      </c>
    </row>
    <row r="227" spans="1:6" ht="15.65" customHeight="1" x14ac:dyDescent="0.35">
      <c r="A227" s="109" t="s">
        <v>200</v>
      </c>
      <c r="B227" s="120">
        <v>3625</v>
      </c>
      <c r="C227" s="120" t="s">
        <v>3919</v>
      </c>
      <c r="D227" s="120" t="s">
        <v>4773</v>
      </c>
      <c r="E227" s="176" t="str">
        <f t="shared" si="2"/>
        <v>Textile Industries Machinery</v>
      </c>
      <c r="F227" s="109" t="s">
        <v>200</v>
      </c>
    </row>
    <row r="228" spans="1:6" ht="15.65" customHeight="1" x14ac:dyDescent="0.35">
      <c r="A228" s="109" t="s">
        <v>200</v>
      </c>
      <c r="B228" s="120">
        <v>3630</v>
      </c>
      <c r="C228" s="120" t="s">
        <v>3919</v>
      </c>
      <c r="D228" s="120" t="s">
        <v>4774</v>
      </c>
      <c r="E228" s="176" t="str">
        <f t="shared" si="2"/>
        <v>Clay and Concrete Products Industries Machinery</v>
      </c>
      <c r="F228" s="109" t="s">
        <v>200</v>
      </c>
    </row>
    <row r="229" spans="1:6" ht="15.65" customHeight="1" x14ac:dyDescent="0.35">
      <c r="A229" s="109" t="s">
        <v>200</v>
      </c>
      <c r="B229" s="120">
        <v>3635</v>
      </c>
      <c r="C229" s="120" t="s">
        <v>3919</v>
      </c>
      <c r="D229" s="120" t="s">
        <v>4775</v>
      </c>
      <c r="E229" s="176" t="str">
        <f t="shared" si="2"/>
        <v>Crystal and Glass Industries Machinery</v>
      </c>
      <c r="F229" s="109" t="s">
        <v>200</v>
      </c>
    </row>
    <row r="230" spans="1:6" ht="15.65" customHeight="1" x14ac:dyDescent="0.35">
      <c r="A230" s="109" t="s">
        <v>200</v>
      </c>
      <c r="B230" s="120">
        <v>3640</v>
      </c>
      <c r="C230" s="120" t="s">
        <v>3919</v>
      </c>
      <c r="D230" s="120" t="s">
        <v>4776</v>
      </c>
      <c r="E230" s="176" t="str">
        <f t="shared" si="2"/>
        <v>Tobacco Manufacturing Machinery</v>
      </c>
      <c r="F230" s="109" t="s">
        <v>200</v>
      </c>
    </row>
    <row r="231" spans="1:6" ht="15.65" customHeight="1" x14ac:dyDescent="0.35">
      <c r="A231" s="109" t="s">
        <v>200</v>
      </c>
      <c r="B231" s="120">
        <v>3645</v>
      </c>
      <c r="C231" s="120" t="s">
        <v>3919</v>
      </c>
      <c r="D231" s="120" t="s">
        <v>4777</v>
      </c>
      <c r="E231" s="176" t="str">
        <f t="shared" si="2"/>
        <v>Leather Tanning and Leather Working Industries Machinery</v>
      </c>
      <c r="F231" s="109" t="s">
        <v>200</v>
      </c>
    </row>
    <row r="232" spans="1:6" ht="15.65" customHeight="1" x14ac:dyDescent="0.35">
      <c r="A232" s="109" t="s">
        <v>200</v>
      </c>
      <c r="B232" s="120">
        <v>3650</v>
      </c>
      <c r="C232" s="120" t="s">
        <v>3919</v>
      </c>
      <c r="D232" s="120" t="s">
        <v>4778</v>
      </c>
      <c r="E232" s="176" t="str">
        <f t="shared" si="2"/>
        <v>Chemical and Pharmaceutical Products Manufacturing Machinery</v>
      </c>
      <c r="F232" s="109" t="s">
        <v>200</v>
      </c>
    </row>
    <row r="233" spans="1:6" ht="15.65" customHeight="1" x14ac:dyDescent="0.35">
      <c r="A233" s="109" t="s">
        <v>200</v>
      </c>
      <c r="B233" s="120">
        <v>3655</v>
      </c>
      <c r="C233" s="120" t="s">
        <v>3919</v>
      </c>
      <c r="D233" s="120" t="s">
        <v>4779</v>
      </c>
      <c r="E233" s="176" t="str">
        <f t="shared" si="2"/>
        <v>Gas Generating and Dispensing Systems, Fixed or Mobile</v>
      </c>
      <c r="F233" s="109" t="s">
        <v>200</v>
      </c>
    </row>
    <row r="234" spans="1:6" ht="15.65" customHeight="1" x14ac:dyDescent="0.35">
      <c r="A234" s="109" t="s">
        <v>200</v>
      </c>
      <c r="B234" s="120">
        <v>3660</v>
      </c>
      <c r="C234" s="120" t="s">
        <v>3919</v>
      </c>
      <c r="D234" s="120" t="s">
        <v>4780</v>
      </c>
      <c r="E234" s="176" t="str">
        <f t="shared" si="2"/>
        <v>Industrial Size Reduction Machinery</v>
      </c>
      <c r="F234" s="109" t="s">
        <v>200</v>
      </c>
    </row>
    <row r="235" spans="1:6" ht="15.65" customHeight="1" x14ac:dyDescent="0.35">
      <c r="A235" s="109" t="s">
        <v>200</v>
      </c>
      <c r="B235" s="120">
        <v>3670</v>
      </c>
      <c r="C235" s="120" t="s">
        <v>3919</v>
      </c>
      <c r="D235" s="120" t="s">
        <v>4781</v>
      </c>
      <c r="E235" s="176" t="str">
        <f t="shared" si="2"/>
        <v>Specialized Semiconductor, Microcircuit, and Printed Circuit Board Manufacturing Machinery</v>
      </c>
      <c r="F235" s="109" t="s">
        <v>200</v>
      </c>
    </row>
    <row r="236" spans="1:6" ht="15.65" customHeight="1" x14ac:dyDescent="0.35">
      <c r="A236" s="109" t="s">
        <v>200</v>
      </c>
      <c r="B236" s="120">
        <v>3680</v>
      </c>
      <c r="C236" s="120" t="s">
        <v>3919</v>
      </c>
      <c r="D236" s="120" t="s">
        <v>4782</v>
      </c>
      <c r="E236" s="176" t="str">
        <f t="shared" si="2"/>
        <v>Foundry Machinery, Related Equipment and Supplies</v>
      </c>
      <c r="F236" s="109" t="s">
        <v>200</v>
      </c>
    </row>
    <row r="237" spans="1:6" ht="15.65" customHeight="1" x14ac:dyDescent="0.35">
      <c r="A237" s="109" t="s">
        <v>200</v>
      </c>
      <c r="B237" s="120">
        <v>3685</v>
      </c>
      <c r="C237" s="120" t="s">
        <v>3919</v>
      </c>
      <c r="D237" s="120" t="s">
        <v>4783</v>
      </c>
      <c r="E237" s="176" t="str">
        <f t="shared" si="2"/>
        <v>Specialized Metal Container Manufacturing Machinery and Related Equipment</v>
      </c>
      <c r="F237" s="109" t="s">
        <v>200</v>
      </c>
    </row>
    <row r="238" spans="1:6" ht="15.65" customHeight="1" x14ac:dyDescent="0.35">
      <c r="A238" s="109" t="s">
        <v>200</v>
      </c>
      <c r="B238" s="120">
        <v>3690</v>
      </c>
      <c r="C238" s="120" t="s">
        <v>3919</v>
      </c>
      <c r="D238" s="120" t="s">
        <v>3920</v>
      </c>
      <c r="E238" s="176" t="str">
        <f t="shared" si="2"/>
        <v>Specialized Ammunition and Ordnance Machinery and Related Equipment</v>
      </c>
      <c r="F238" s="109" t="s">
        <v>200</v>
      </c>
    </row>
    <row r="239" spans="1:6" ht="15.65" customHeight="1" x14ac:dyDescent="0.35">
      <c r="A239" s="109" t="s">
        <v>200</v>
      </c>
      <c r="B239" s="120">
        <v>3693</v>
      </c>
      <c r="C239" s="120" t="s">
        <v>3919</v>
      </c>
      <c r="D239" s="120" t="s">
        <v>4784</v>
      </c>
      <c r="E239" s="176" t="str">
        <f t="shared" si="2"/>
        <v>Industrial Assembly Machines</v>
      </c>
      <c r="F239" s="109" t="s">
        <v>200</v>
      </c>
    </row>
    <row r="240" spans="1:6" ht="15.65" customHeight="1" x14ac:dyDescent="0.35">
      <c r="A240" s="109" t="s">
        <v>200</v>
      </c>
      <c r="B240" s="120">
        <v>3694</v>
      </c>
      <c r="C240" s="120" t="s">
        <v>3919</v>
      </c>
      <c r="D240" s="120" t="s">
        <v>4785</v>
      </c>
      <c r="E240" s="176" t="str">
        <f t="shared" si="2"/>
        <v>Clean Work Stations, Controlled Environment, and Related Equipment</v>
      </c>
      <c r="F240" s="109" t="s">
        <v>200</v>
      </c>
    </row>
    <row r="241" spans="1:6" ht="15.65" customHeight="1" x14ac:dyDescent="0.35">
      <c r="A241" s="109" t="s">
        <v>200</v>
      </c>
      <c r="B241" s="120">
        <v>3695</v>
      </c>
      <c r="C241" s="120" t="s">
        <v>3919</v>
      </c>
      <c r="D241" s="120" t="s">
        <v>4786</v>
      </c>
      <c r="E241" s="176" t="str">
        <f t="shared" si="2"/>
        <v>Miscellaneous Special Industry Machinery</v>
      </c>
      <c r="F241" s="109" t="s">
        <v>200</v>
      </c>
    </row>
    <row r="242" spans="1:6" ht="15.65" customHeight="1" x14ac:dyDescent="0.35">
      <c r="A242" s="109" t="s">
        <v>200</v>
      </c>
      <c r="B242" s="120">
        <v>3710</v>
      </c>
      <c r="C242" s="120" t="s">
        <v>4787</v>
      </c>
      <c r="D242" s="120" t="s">
        <v>4788</v>
      </c>
      <c r="E242" s="176" t="str">
        <f t="shared" si="2"/>
        <v>Soil Preparation Equipment</v>
      </c>
      <c r="F242" s="109" t="s">
        <v>200</v>
      </c>
    </row>
    <row r="243" spans="1:6" ht="15.65" customHeight="1" x14ac:dyDescent="0.35">
      <c r="A243" s="109" t="s">
        <v>200</v>
      </c>
      <c r="B243" s="120">
        <v>3720</v>
      </c>
      <c r="C243" s="120" t="s">
        <v>4787</v>
      </c>
      <c r="D243" s="120" t="s">
        <v>4789</v>
      </c>
      <c r="E243" s="176" t="str">
        <f t="shared" si="2"/>
        <v>Harvesting Equipment</v>
      </c>
      <c r="F243" s="109" t="s">
        <v>200</v>
      </c>
    </row>
    <row r="244" spans="1:6" ht="15.65" customHeight="1" x14ac:dyDescent="0.35">
      <c r="A244" s="109" t="s">
        <v>200</v>
      </c>
      <c r="B244" s="120">
        <v>3730</v>
      </c>
      <c r="C244" s="120" t="s">
        <v>4787</v>
      </c>
      <c r="D244" s="120" t="s">
        <v>4790</v>
      </c>
      <c r="E244" s="176" t="str">
        <f t="shared" si="2"/>
        <v>Dairy, Poultry, and Livestock Equipment</v>
      </c>
      <c r="F244" s="109" t="s">
        <v>200</v>
      </c>
    </row>
    <row r="245" spans="1:6" ht="15.65" customHeight="1" x14ac:dyDescent="0.35">
      <c r="A245" s="109" t="s">
        <v>200</v>
      </c>
      <c r="B245" s="120">
        <v>3740</v>
      </c>
      <c r="C245" s="120" t="s">
        <v>4787</v>
      </c>
      <c r="D245" s="120" t="s">
        <v>4791</v>
      </c>
      <c r="E245" s="176" t="str">
        <f t="shared" si="2"/>
        <v>Pest, Disease, and Frost Control Equipment</v>
      </c>
      <c r="F245" s="109" t="s">
        <v>200</v>
      </c>
    </row>
    <row r="246" spans="1:6" ht="15.65" customHeight="1" x14ac:dyDescent="0.35">
      <c r="A246" s="109" t="s">
        <v>200</v>
      </c>
      <c r="B246" s="120">
        <v>3750</v>
      </c>
      <c r="C246" s="120" t="s">
        <v>4787</v>
      </c>
      <c r="D246" s="120" t="s">
        <v>4792</v>
      </c>
      <c r="E246" s="176" t="str">
        <f t="shared" si="2"/>
        <v>Gardening Implements and Tools</v>
      </c>
      <c r="F246" s="109" t="s">
        <v>200</v>
      </c>
    </row>
    <row r="247" spans="1:6" ht="15.65" customHeight="1" x14ac:dyDescent="0.35">
      <c r="A247" s="109" t="s">
        <v>200</v>
      </c>
      <c r="B247" s="120">
        <v>3770</v>
      </c>
      <c r="C247" s="120" t="s">
        <v>4787</v>
      </c>
      <c r="D247" s="120" t="s">
        <v>4793</v>
      </c>
      <c r="E247" s="176" t="str">
        <f t="shared" si="2"/>
        <v>Saddlery, Harness, Whips, and Related Animal Furnishings</v>
      </c>
      <c r="F247" s="109" t="s">
        <v>200</v>
      </c>
    </row>
    <row r="248" spans="1:6" ht="15.65" customHeight="1" x14ac:dyDescent="0.35">
      <c r="A248" s="109" t="s">
        <v>200</v>
      </c>
      <c r="B248" s="120">
        <v>3805</v>
      </c>
      <c r="C248" s="120" t="s">
        <v>1549</v>
      </c>
      <c r="D248" s="120" t="s">
        <v>3897</v>
      </c>
      <c r="E248" s="176" t="str">
        <f t="shared" si="2"/>
        <v>Earth Moving and Excavating Equipment</v>
      </c>
      <c r="F248" s="109" t="s">
        <v>200</v>
      </c>
    </row>
    <row r="249" spans="1:6" ht="15.65" customHeight="1" x14ac:dyDescent="0.35">
      <c r="A249" s="109" t="s">
        <v>200</v>
      </c>
      <c r="B249" s="120">
        <v>3810</v>
      </c>
      <c r="C249" s="120" t="s">
        <v>1549</v>
      </c>
      <c r="D249" s="120" t="s">
        <v>4794</v>
      </c>
      <c r="E249" s="176" t="str">
        <f t="shared" si="2"/>
        <v>Cranes and Crane-Shovels</v>
      </c>
      <c r="F249" s="109" t="s">
        <v>200</v>
      </c>
    </row>
    <row r="250" spans="1:6" ht="15.65" customHeight="1" x14ac:dyDescent="0.35">
      <c r="A250" s="109" t="s">
        <v>200</v>
      </c>
      <c r="B250" s="120">
        <v>3815</v>
      </c>
      <c r="C250" s="120" t="s">
        <v>1549</v>
      </c>
      <c r="D250" s="120" t="s">
        <v>4795</v>
      </c>
      <c r="E250" s="176" t="str">
        <f t="shared" si="2"/>
        <v>Crane and Crane-Shovel Attachments</v>
      </c>
      <c r="F250" s="109" t="s">
        <v>200</v>
      </c>
    </row>
    <row r="251" spans="1:6" ht="15.65" customHeight="1" x14ac:dyDescent="0.35">
      <c r="A251" s="109" t="s">
        <v>200</v>
      </c>
      <c r="B251" s="120">
        <v>3820</v>
      </c>
      <c r="C251" s="120" t="s">
        <v>1549</v>
      </c>
      <c r="D251" s="120" t="s">
        <v>1550</v>
      </c>
      <c r="E251" s="176" t="str">
        <f t="shared" si="2"/>
        <v>Mining, Rock Drilling, Earth Boring, and Related Equipment</v>
      </c>
      <c r="F251" s="109" t="s">
        <v>200</v>
      </c>
    </row>
    <row r="252" spans="1:6" ht="15.65" customHeight="1" x14ac:dyDescent="0.35">
      <c r="A252" s="109" t="s">
        <v>200</v>
      </c>
      <c r="B252" s="120">
        <v>3825</v>
      </c>
      <c r="C252" s="120" t="s">
        <v>1549</v>
      </c>
      <c r="D252" s="120" t="s">
        <v>4796</v>
      </c>
      <c r="E252" s="176" t="str">
        <f t="shared" si="2"/>
        <v>Road Clearing and Cleaning Equipment</v>
      </c>
      <c r="F252" s="109" t="s">
        <v>200</v>
      </c>
    </row>
    <row r="253" spans="1:6" ht="15.65" customHeight="1" x14ac:dyDescent="0.35">
      <c r="A253" s="109" t="s">
        <v>200</v>
      </c>
      <c r="B253" s="120">
        <v>3830</v>
      </c>
      <c r="C253" s="120" t="s">
        <v>1549</v>
      </c>
      <c r="D253" s="120" t="s">
        <v>4797</v>
      </c>
      <c r="E253" s="176" t="str">
        <f t="shared" si="2"/>
        <v>Truck and Tractor Attachments</v>
      </c>
      <c r="F253" s="109" t="s">
        <v>200</v>
      </c>
    </row>
    <row r="254" spans="1:6" ht="15.65" customHeight="1" x14ac:dyDescent="0.35">
      <c r="A254" s="109" t="s">
        <v>200</v>
      </c>
      <c r="B254" s="120">
        <v>3835</v>
      </c>
      <c r="C254" s="120" t="s">
        <v>1549</v>
      </c>
      <c r="D254" s="120" t="s">
        <v>4798</v>
      </c>
      <c r="E254" s="176" t="str">
        <f t="shared" si="2"/>
        <v>Petroleum Production and Distribution Equipment</v>
      </c>
      <c r="F254" s="109" t="s">
        <v>200</v>
      </c>
    </row>
    <row r="255" spans="1:6" ht="15.65" customHeight="1" x14ac:dyDescent="0.35">
      <c r="A255" s="109" t="s">
        <v>200</v>
      </c>
      <c r="B255" s="120">
        <v>3895</v>
      </c>
      <c r="C255" s="120" t="s">
        <v>1549</v>
      </c>
      <c r="D255" s="120" t="s">
        <v>2203</v>
      </c>
      <c r="E255" s="176" t="str">
        <f t="shared" si="2"/>
        <v>Miscellaneous Construction Equipment</v>
      </c>
      <c r="F255" s="109" t="s">
        <v>200</v>
      </c>
    </row>
    <row r="256" spans="1:6" ht="15.65" customHeight="1" x14ac:dyDescent="0.35">
      <c r="A256" s="109" t="s">
        <v>200</v>
      </c>
      <c r="B256" s="120">
        <v>3910</v>
      </c>
      <c r="C256" s="120" t="s">
        <v>4799</v>
      </c>
      <c r="D256" s="120" t="s">
        <v>4800</v>
      </c>
      <c r="E256" s="176" t="str">
        <f t="shared" si="2"/>
        <v>Conveyors</v>
      </c>
      <c r="F256" s="109" t="s">
        <v>200</v>
      </c>
    </row>
    <row r="257" spans="1:6" ht="15.65" customHeight="1" x14ac:dyDescent="0.35">
      <c r="A257" s="109" t="s">
        <v>200</v>
      </c>
      <c r="B257" s="120">
        <v>3915</v>
      </c>
      <c r="C257" s="120" t="s">
        <v>4799</v>
      </c>
      <c r="D257" s="120" t="s">
        <v>4801</v>
      </c>
      <c r="E257" s="176" t="str">
        <f t="shared" si="2"/>
        <v>Materials Feeders</v>
      </c>
      <c r="F257" s="109" t="s">
        <v>200</v>
      </c>
    </row>
    <row r="258" spans="1:6" ht="15.65" customHeight="1" x14ac:dyDescent="0.35">
      <c r="A258" s="109" t="s">
        <v>200</v>
      </c>
      <c r="B258" s="120">
        <v>3920</v>
      </c>
      <c r="C258" s="120" t="s">
        <v>4799</v>
      </c>
      <c r="D258" s="120" t="s">
        <v>4802</v>
      </c>
      <c r="E258" s="176" t="str">
        <f t="shared" si="2"/>
        <v>Material Handling Equipment, Nonself-Propelled</v>
      </c>
      <c r="F258" s="109" t="s">
        <v>200</v>
      </c>
    </row>
    <row r="259" spans="1:6" ht="15.65" customHeight="1" x14ac:dyDescent="0.35">
      <c r="A259" s="109" t="s">
        <v>200</v>
      </c>
      <c r="B259" s="120">
        <v>3930</v>
      </c>
      <c r="C259" s="120" t="s">
        <v>4799</v>
      </c>
      <c r="D259" s="120" t="s">
        <v>4803</v>
      </c>
      <c r="E259" s="176" t="str">
        <f t="shared" si="2"/>
        <v>Warehouse Trucks and Tractors, Self-Propelled</v>
      </c>
      <c r="F259" s="109" t="s">
        <v>200</v>
      </c>
    </row>
    <row r="260" spans="1:6" ht="15.65" customHeight="1" x14ac:dyDescent="0.35">
      <c r="A260" s="109" t="s">
        <v>200</v>
      </c>
      <c r="B260" s="120">
        <v>3940</v>
      </c>
      <c r="C260" s="120" t="s">
        <v>4799</v>
      </c>
      <c r="D260" s="120" t="s">
        <v>4804</v>
      </c>
      <c r="E260" s="176" t="str">
        <f t="shared" si="2"/>
        <v>Blocks, Tackle, Rigging, and Slings</v>
      </c>
      <c r="F260" s="109" t="s">
        <v>200</v>
      </c>
    </row>
    <row r="261" spans="1:6" ht="15.65" customHeight="1" x14ac:dyDescent="0.35">
      <c r="A261" s="109" t="s">
        <v>200</v>
      </c>
      <c r="B261" s="120">
        <v>3950</v>
      </c>
      <c r="C261" s="120" t="s">
        <v>4799</v>
      </c>
      <c r="D261" s="120" t="s">
        <v>4805</v>
      </c>
      <c r="E261" s="176" t="str">
        <f t="shared" si="2"/>
        <v>Winches, Hoists, Cranes, and Derricks</v>
      </c>
      <c r="F261" s="109" t="s">
        <v>200</v>
      </c>
    </row>
    <row r="262" spans="1:6" ht="15.65" customHeight="1" x14ac:dyDescent="0.35">
      <c r="A262" s="109" t="s">
        <v>200</v>
      </c>
      <c r="B262" s="120">
        <v>3960</v>
      </c>
      <c r="C262" s="120" t="s">
        <v>4799</v>
      </c>
      <c r="D262" s="120" t="s">
        <v>4806</v>
      </c>
      <c r="E262" s="176" t="str">
        <f t="shared" si="2"/>
        <v>Freight Elevators</v>
      </c>
      <c r="F262" s="109" t="s">
        <v>200</v>
      </c>
    </row>
    <row r="263" spans="1:6" ht="15.65" customHeight="1" x14ac:dyDescent="0.35">
      <c r="A263" s="109" t="s">
        <v>200</v>
      </c>
      <c r="B263" s="120">
        <v>3990</v>
      </c>
      <c r="C263" s="120" t="s">
        <v>4799</v>
      </c>
      <c r="D263" s="120" t="s">
        <v>4807</v>
      </c>
      <c r="E263" s="176" t="str">
        <f t="shared" si="2"/>
        <v>Miscellaneous Materials Handling Equipment</v>
      </c>
      <c r="F263" s="109" t="s">
        <v>200</v>
      </c>
    </row>
    <row r="264" spans="1:6" ht="15.65" customHeight="1" x14ac:dyDescent="0.35">
      <c r="A264" s="109" t="s">
        <v>200</v>
      </c>
      <c r="B264" s="120">
        <v>4010</v>
      </c>
      <c r="C264" s="120" t="s">
        <v>4808</v>
      </c>
      <c r="D264" s="120" t="s">
        <v>4809</v>
      </c>
      <c r="E264" s="176" t="str">
        <f t="shared" si="2"/>
        <v>Chain and Wire Rope</v>
      </c>
      <c r="F264" s="109" t="s">
        <v>200</v>
      </c>
    </row>
    <row r="265" spans="1:6" ht="15.65" customHeight="1" x14ac:dyDescent="0.35">
      <c r="A265" s="109" t="s">
        <v>200</v>
      </c>
      <c r="B265" s="120">
        <v>4020</v>
      </c>
      <c r="C265" s="120" t="s">
        <v>4808</v>
      </c>
      <c r="D265" s="120" t="s">
        <v>4810</v>
      </c>
      <c r="E265" s="176" t="str">
        <f t="shared" si="2"/>
        <v>Fiber Rope, Cordage, and Twine</v>
      </c>
      <c r="F265" s="109" t="s">
        <v>200</v>
      </c>
    </row>
    <row r="266" spans="1:6" ht="15.65" customHeight="1" x14ac:dyDescent="0.35">
      <c r="A266" s="109" t="s">
        <v>200</v>
      </c>
      <c r="B266" s="120">
        <v>4030</v>
      </c>
      <c r="C266" s="120" t="s">
        <v>4808</v>
      </c>
      <c r="D266" s="120" t="s">
        <v>4811</v>
      </c>
      <c r="E266" s="176" t="str">
        <f t="shared" si="2"/>
        <v>Fittings for Rope, Cable, and Chain</v>
      </c>
      <c r="F266" s="109" t="s">
        <v>200</v>
      </c>
    </row>
    <row r="267" spans="1:6" ht="15.65" customHeight="1" x14ac:dyDescent="0.35">
      <c r="A267" s="109" t="s">
        <v>200</v>
      </c>
      <c r="B267" s="120">
        <v>4110</v>
      </c>
      <c r="C267" s="120" t="s">
        <v>4812</v>
      </c>
      <c r="D267" s="120" t="s">
        <v>4813</v>
      </c>
      <c r="E267" s="176" t="str">
        <f t="shared" ref="E267:E330" si="3">D267</f>
        <v>Refrigeration Equipment</v>
      </c>
      <c r="F267" s="109" t="s">
        <v>200</v>
      </c>
    </row>
    <row r="268" spans="1:6" ht="15.65" customHeight="1" x14ac:dyDescent="0.35">
      <c r="A268" s="109" t="s">
        <v>200</v>
      </c>
      <c r="B268" s="120">
        <v>4120</v>
      </c>
      <c r="C268" s="120" t="s">
        <v>4812</v>
      </c>
      <c r="D268" s="120" t="s">
        <v>4814</v>
      </c>
      <c r="E268" s="176" t="str">
        <f t="shared" si="3"/>
        <v>Air Conditioning Equipment</v>
      </c>
      <c r="F268" s="109" t="s">
        <v>200</v>
      </c>
    </row>
    <row r="269" spans="1:6" ht="15.65" customHeight="1" x14ac:dyDescent="0.35">
      <c r="A269" s="109" t="s">
        <v>200</v>
      </c>
      <c r="B269" s="120">
        <v>4130</v>
      </c>
      <c r="C269" s="120" t="s">
        <v>4812</v>
      </c>
      <c r="D269" s="120" t="s">
        <v>4815</v>
      </c>
      <c r="E269" s="176" t="str">
        <f t="shared" si="3"/>
        <v>Refrigeration and Air Conditioning Components</v>
      </c>
      <c r="F269" s="109" t="s">
        <v>200</v>
      </c>
    </row>
    <row r="270" spans="1:6" ht="15.65" customHeight="1" x14ac:dyDescent="0.35">
      <c r="A270" s="109" t="s">
        <v>200</v>
      </c>
      <c r="B270" s="120">
        <v>4140</v>
      </c>
      <c r="C270" s="120" t="s">
        <v>4812</v>
      </c>
      <c r="D270" s="120" t="s">
        <v>4816</v>
      </c>
      <c r="E270" s="176" t="str">
        <f t="shared" si="3"/>
        <v>Fans, Air Circulators, and Blower Equipment</v>
      </c>
      <c r="F270" s="109" t="s">
        <v>200</v>
      </c>
    </row>
    <row r="271" spans="1:6" ht="15.65" customHeight="1" x14ac:dyDescent="0.35">
      <c r="A271" s="109" t="s">
        <v>200</v>
      </c>
      <c r="B271" s="120">
        <v>4150</v>
      </c>
      <c r="C271" s="120" t="s">
        <v>4812</v>
      </c>
      <c r="D271" s="120" t="s">
        <v>4817</v>
      </c>
      <c r="E271" s="176" t="str">
        <f t="shared" si="3"/>
        <v>Vortex Tubes and Other Related Cooling Tubes</v>
      </c>
      <c r="F271" s="109" t="s">
        <v>200</v>
      </c>
    </row>
    <row r="272" spans="1:6" ht="15.65" customHeight="1" x14ac:dyDescent="0.35">
      <c r="A272" s="109" t="s">
        <v>200</v>
      </c>
      <c r="B272" s="120">
        <v>4210</v>
      </c>
      <c r="C272" s="120" t="s">
        <v>925</v>
      </c>
      <c r="D272" s="120" t="s">
        <v>926</v>
      </c>
      <c r="E272" s="176" t="str">
        <f t="shared" si="3"/>
        <v>Fire Fighting Equipment</v>
      </c>
      <c r="F272" s="109" t="s">
        <v>200</v>
      </c>
    </row>
    <row r="273" spans="1:6" ht="15.65" customHeight="1" x14ac:dyDescent="0.35">
      <c r="A273" s="109" t="s">
        <v>200</v>
      </c>
      <c r="B273" s="120">
        <v>4220</v>
      </c>
      <c r="C273" s="120" t="s">
        <v>925</v>
      </c>
      <c r="D273" s="120" t="s">
        <v>2432</v>
      </c>
      <c r="E273" s="176" t="str">
        <f t="shared" si="3"/>
        <v>Marine Lifesaving and Diving Equipment</v>
      </c>
      <c r="F273" s="109" t="s">
        <v>200</v>
      </c>
    </row>
    <row r="274" spans="1:6" ht="15.65" customHeight="1" x14ac:dyDescent="0.35">
      <c r="A274" s="109" t="s">
        <v>200</v>
      </c>
      <c r="B274" s="120">
        <v>4230</v>
      </c>
      <c r="C274" s="120" t="s">
        <v>925</v>
      </c>
      <c r="D274" s="120" t="s">
        <v>1684</v>
      </c>
      <c r="E274" s="176" t="str">
        <f t="shared" si="3"/>
        <v>Decontaminating and Impregnating Equipment</v>
      </c>
      <c r="F274" s="109" t="s">
        <v>200</v>
      </c>
    </row>
    <row r="275" spans="1:6" ht="15.65" customHeight="1" x14ac:dyDescent="0.35">
      <c r="A275" s="109" t="s">
        <v>200</v>
      </c>
      <c r="B275" s="120">
        <v>4240</v>
      </c>
      <c r="C275" s="120" t="s">
        <v>925</v>
      </c>
      <c r="D275" s="120" t="s">
        <v>2758</v>
      </c>
      <c r="E275" s="176" t="str">
        <f t="shared" si="3"/>
        <v>Safety and Rescue Equipment</v>
      </c>
      <c r="F275" s="109" t="s">
        <v>200</v>
      </c>
    </row>
    <row r="276" spans="1:6" ht="15.65" customHeight="1" x14ac:dyDescent="0.35">
      <c r="A276" s="109" t="s">
        <v>200</v>
      </c>
      <c r="B276" s="120">
        <v>4250</v>
      </c>
      <c r="C276" s="120" t="s">
        <v>925</v>
      </c>
      <c r="D276" s="120" t="s">
        <v>4818</v>
      </c>
      <c r="E276" s="176" t="str">
        <f t="shared" si="3"/>
        <v>Recycling and Reclamation Equipment</v>
      </c>
      <c r="F276" s="109" t="s">
        <v>200</v>
      </c>
    </row>
    <row r="277" spans="1:6" ht="15.65" customHeight="1" x14ac:dyDescent="0.35">
      <c r="A277" s="109" t="s">
        <v>200</v>
      </c>
      <c r="B277" s="120">
        <v>4310</v>
      </c>
      <c r="C277" s="120" t="s">
        <v>4819</v>
      </c>
      <c r="D277" s="120" t="s">
        <v>4820</v>
      </c>
      <c r="E277" s="176" t="str">
        <f t="shared" si="3"/>
        <v>Compressors and Vacuum Pumps</v>
      </c>
      <c r="F277" s="109" t="s">
        <v>200</v>
      </c>
    </row>
    <row r="278" spans="1:6" ht="15.65" customHeight="1" x14ac:dyDescent="0.35">
      <c r="A278" s="109" t="s">
        <v>200</v>
      </c>
      <c r="B278" s="120">
        <v>4320</v>
      </c>
      <c r="C278" s="120" t="s">
        <v>4819</v>
      </c>
      <c r="D278" s="120" t="s">
        <v>4821</v>
      </c>
      <c r="E278" s="176" t="str">
        <f t="shared" si="3"/>
        <v>Power and Hand Pumps</v>
      </c>
      <c r="F278" s="109" t="s">
        <v>200</v>
      </c>
    </row>
    <row r="279" spans="1:6" ht="15.65" customHeight="1" x14ac:dyDescent="0.35">
      <c r="A279" s="109" t="s">
        <v>200</v>
      </c>
      <c r="B279" s="120">
        <v>4330</v>
      </c>
      <c r="C279" s="120" t="s">
        <v>4819</v>
      </c>
      <c r="D279" s="120" t="s">
        <v>4822</v>
      </c>
      <c r="E279" s="176" t="str">
        <f t="shared" si="3"/>
        <v>Centrifugals, Separators, and Pressure and Vacuum Filters</v>
      </c>
      <c r="F279" s="109" t="s">
        <v>200</v>
      </c>
    </row>
    <row r="280" spans="1:6" ht="15.65" customHeight="1" x14ac:dyDescent="0.35">
      <c r="A280" s="109" t="s">
        <v>200</v>
      </c>
      <c r="B280" s="120">
        <v>4410</v>
      </c>
      <c r="C280" s="120" t="s">
        <v>4823</v>
      </c>
      <c r="D280" s="120" t="s">
        <v>4824</v>
      </c>
      <c r="E280" s="176" t="str">
        <f t="shared" si="3"/>
        <v>Industrial Boilers</v>
      </c>
      <c r="F280" s="109" t="s">
        <v>200</v>
      </c>
    </row>
    <row r="281" spans="1:6" ht="15.65" customHeight="1" x14ac:dyDescent="0.35">
      <c r="A281" s="109" t="s">
        <v>200</v>
      </c>
      <c r="B281" s="120">
        <v>4420</v>
      </c>
      <c r="C281" s="120" t="s">
        <v>4823</v>
      </c>
      <c r="D281" s="120" t="s">
        <v>4825</v>
      </c>
      <c r="E281" s="176" t="str">
        <f t="shared" si="3"/>
        <v>Heat Exchangers and Steam Condensers</v>
      </c>
      <c r="F281" s="109" t="s">
        <v>200</v>
      </c>
    </row>
    <row r="282" spans="1:6" ht="15.65" customHeight="1" x14ac:dyDescent="0.35">
      <c r="A282" s="109" t="s">
        <v>200</v>
      </c>
      <c r="B282" s="120">
        <v>4430</v>
      </c>
      <c r="C282" s="120" t="s">
        <v>4823</v>
      </c>
      <c r="D282" s="120" t="s">
        <v>4826</v>
      </c>
      <c r="E282" s="176" t="str">
        <f t="shared" si="3"/>
        <v>Industrial Furnaces, Kilns, Lehrs, and Ovens</v>
      </c>
      <c r="F282" s="109" t="s">
        <v>200</v>
      </c>
    </row>
    <row r="283" spans="1:6" ht="15.65" customHeight="1" x14ac:dyDescent="0.35">
      <c r="A283" s="109" t="s">
        <v>200</v>
      </c>
      <c r="B283" s="120">
        <v>4440</v>
      </c>
      <c r="C283" s="120" t="s">
        <v>4823</v>
      </c>
      <c r="D283" s="120" t="s">
        <v>4827</v>
      </c>
      <c r="E283" s="176" t="str">
        <f t="shared" si="3"/>
        <v>Driers, Dehydrators, and Anhydrators</v>
      </c>
      <c r="F283" s="109" t="s">
        <v>200</v>
      </c>
    </row>
    <row r="284" spans="1:6" ht="15.65" customHeight="1" x14ac:dyDescent="0.35">
      <c r="A284" s="109" t="s">
        <v>200</v>
      </c>
      <c r="B284" s="120">
        <v>4460</v>
      </c>
      <c r="C284" s="120" t="s">
        <v>4823</v>
      </c>
      <c r="D284" s="120" t="s">
        <v>4828</v>
      </c>
      <c r="E284" s="176" t="str">
        <f t="shared" si="3"/>
        <v>Air Purification Equipment</v>
      </c>
      <c r="F284" s="109" t="s">
        <v>200</v>
      </c>
    </row>
    <row r="285" spans="1:6" ht="15.65" customHeight="1" x14ac:dyDescent="0.35">
      <c r="A285" s="109" t="s">
        <v>200</v>
      </c>
      <c r="B285" s="120">
        <v>4470</v>
      </c>
      <c r="C285" s="120" t="s">
        <v>4823</v>
      </c>
      <c r="D285" s="120" t="s">
        <v>2996</v>
      </c>
      <c r="E285" s="176" t="str">
        <f t="shared" si="3"/>
        <v>Nuclear Reactors</v>
      </c>
      <c r="F285" s="109" t="s">
        <v>200</v>
      </c>
    </row>
    <row r="286" spans="1:6" ht="15.65" customHeight="1" x14ac:dyDescent="0.35">
      <c r="A286" s="109" t="s">
        <v>200</v>
      </c>
      <c r="B286" s="120">
        <v>4510</v>
      </c>
      <c r="C286" s="120" t="s">
        <v>4829</v>
      </c>
      <c r="D286" s="120" t="s">
        <v>4830</v>
      </c>
      <c r="E286" s="176" t="str">
        <f t="shared" si="3"/>
        <v>Plumbing Fixtures and Accessories</v>
      </c>
      <c r="F286" s="109" t="s">
        <v>200</v>
      </c>
    </row>
    <row r="287" spans="1:6" ht="15.65" customHeight="1" x14ac:dyDescent="0.35">
      <c r="A287" s="109" t="s">
        <v>200</v>
      </c>
      <c r="B287" s="120">
        <v>4520</v>
      </c>
      <c r="C287" s="120" t="s">
        <v>4829</v>
      </c>
      <c r="D287" s="120" t="s">
        <v>4831</v>
      </c>
      <c r="E287" s="176" t="str">
        <f t="shared" si="3"/>
        <v>Space Heating Equipment and Domestic Water Heaters</v>
      </c>
      <c r="F287" s="109" t="s">
        <v>200</v>
      </c>
    </row>
    <row r="288" spans="1:6" ht="15.65" customHeight="1" x14ac:dyDescent="0.35">
      <c r="A288" s="109" t="s">
        <v>200</v>
      </c>
      <c r="B288" s="120">
        <v>4530</v>
      </c>
      <c r="C288" s="120" t="s">
        <v>4829</v>
      </c>
      <c r="D288" s="120" t="s">
        <v>4832</v>
      </c>
      <c r="E288" s="176" t="str">
        <f t="shared" si="3"/>
        <v>Fuel Burning Equipment Units</v>
      </c>
      <c r="F288" s="109" t="s">
        <v>200</v>
      </c>
    </row>
    <row r="289" spans="1:6" ht="15.65" customHeight="1" x14ac:dyDescent="0.35">
      <c r="A289" s="109" t="s">
        <v>200</v>
      </c>
      <c r="B289" s="120">
        <v>4540</v>
      </c>
      <c r="C289" s="120" t="s">
        <v>4829</v>
      </c>
      <c r="D289" s="120" t="s">
        <v>4833</v>
      </c>
      <c r="E289" s="176" t="str">
        <f t="shared" si="3"/>
        <v>Waste Disposal Equipment</v>
      </c>
      <c r="F289" s="109" t="s">
        <v>200</v>
      </c>
    </row>
    <row r="290" spans="1:6" ht="15.65" customHeight="1" x14ac:dyDescent="0.35">
      <c r="A290" s="109" t="s">
        <v>200</v>
      </c>
      <c r="B290" s="120">
        <v>4610</v>
      </c>
      <c r="C290" s="120" t="s">
        <v>4834</v>
      </c>
      <c r="D290" s="120" t="s">
        <v>4835</v>
      </c>
      <c r="E290" s="176" t="str">
        <f t="shared" si="3"/>
        <v>Water Purification Equipment</v>
      </c>
      <c r="F290" s="109" t="s">
        <v>200</v>
      </c>
    </row>
    <row r="291" spans="1:6" ht="15.65" customHeight="1" x14ac:dyDescent="0.35">
      <c r="A291" s="109" t="s">
        <v>200</v>
      </c>
      <c r="B291" s="120">
        <v>4620</v>
      </c>
      <c r="C291" s="120" t="s">
        <v>4834</v>
      </c>
      <c r="D291" s="120" t="s">
        <v>4836</v>
      </c>
      <c r="E291" s="176" t="str">
        <f t="shared" si="3"/>
        <v>Water Distillation Equipment, Marine and Industrial</v>
      </c>
      <c r="F291" s="109" t="s">
        <v>200</v>
      </c>
    </row>
    <row r="292" spans="1:6" ht="15.65" customHeight="1" x14ac:dyDescent="0.35">
      <c r="A292" s="109" t="s">
        <v>200</v>
      </c>
      <c r="B292" s="120">
        <v>4630</v>
      </c>
      <c r="C292" s="120" t="s">
        <v>4834</v>
      </c>
      <c r="D292" s="120" t="s">
        <v>4837</v>
      </c>
      <c r="E292" s="176" t="str">
        <f t="shared" si="3"/>
        <v>Sewage Treatment Equipment</v>
      </c>
      <c r="F292" s="109" t="s">
        <v>200</v>
      </c>
    </row>
    <row r="293" spans="1:6" ht="15.65" customHeight="1" x14ac:dyDescent="0.35">
      <c r="A293" s="109" t="s">
        <v>200</v>
      </c>
      <c r="B293" s="120">
        <v>4710</v>
      </c>
      <c r="C293" s="120" t="s">
        <v>4838</v>
      </c>
      <c r="D293" s="120" t="s">
        <v>4839</v>
      </c>
      <c r="E293" s="176" t="str">
        <f t="shared" si="3"/>
        <v>Pipe and Tube</v>
      </c>
      <c r="F293" s="109" t="s">
        <v>200</v>
      </c>
    </row>
    <row r="294" spans="1:6" ht="15.65" customHeight="1" x14ac:dyDescent="0.35">
      <c r="A294" s="109" t="s">
        <v>200</v>
      </c>
      <c r="B294" s="120">
        <v>4720</v>
      </c>
      <c r="C294" s="120" t="s">
        <v>4838</v>
      </c>
      <c r="D294" s="120" t="s">
        <v>4840</v>
      </c>
      <c r="E294" s="176" t="str">
        <f t="shared" si="3"/>
        <v>Hose and Flexible Tubing</v>
      </c>
      <c r="F294" s="109" t="s">
        <v>200</v>
      </c>
    </row>
    <row r="295" spans="1:6" ht="15.65" customHeight="1" x14ac:dyDescent="0.35">
      <c r="A295" s="109" t="s">
        <v>200</v>
      </c>
      <c r="B295" s="120">
        <v>4730</v>
      </c>
      <c r="C295" s="120" t="s">
        <v>4838</v>
      </c>
      <c r="D295" s="120" t="s">
        <v>4841</v>
      </c>
      <c r="E295" s="176" t="str">
        <f t="shared" si="3"/>
        <v>Hose, Pipe, and Tube Fittings</v>
      </c>
      <c r="F295" s="109" t="s">
        <v>200</v>
      </c>
    </row>
    <row r="296" spans="1:6" ht="15.65" customHeight="1" x14ac:dyDescent="0.35">
      <c r="A296" s="109" t="s">
        <v>200</v>
      </c>
      <c r="B296" s="120">
        <v>4810</v>
      </c>
      <c r="C296" s="120" t="s">
        <v>4842</v>
      </c>
      <c r="D296" s="120" t="s">
        <v>4843</v>
      </c>
      <c r="E296" s="176" t="str">
        <f t="shared" si="3"/>
        <v>Valves, Powered</v>
      </c>
      <c r="F296" s="109" t="s">
        <v>200</v>
      </c>
    </row>
    <row r="297" spans="1:6" ht="15.65" customHeight="1" x14ac:dyDescent="0.35">
      <c r="A297" s="109" t="s">
        <v>200</v>
      </c>
      <c r="B297" s="120">
        <v>4820</v>
      </c>
      <c r="C297" s="120" t="s">
        <v>4842</v>
      </c>
      <c r="D297" s="120" t="s">
        <v>4844</v>
      </c>
      <c r="E297" s="176" t="str">
        <f t="shared" si="3"/>
        <v>Valves, Nonpowered</v>
      </c>
      <c r="F297" s="109" t="s">
        <v>200</v>
      </c>
    </row>
    <row r="298" spans="1:6" ht="15.65" customHeight="1" x14ac:dyDescent="0.35">
      <c r="A298" s="109" t="s">
        <v>200</v>
      </c>
      <c r="B298" s="120">
        <v>4910</v>
      </c>
      <c r="C298" s="120" t="s">
        <v>539</v>
      </c>
      <c r="D298" s="120" t="s">
        <v>4845</v>
      </c>
      <c r="E298" s="176" t="str">
        <f t="shared" si="3"/>
        <v>Motor Vehicle Maintenance and Repair Shop Specialized Equipment</v>
      </c>
      <c r="F298" s="109" t="s">
        <v>200</v>
      </c>
    </row>
    <row r="299" spans="1:6" ht="15.65" customHeight="1" x14ac:dyDescent="0.35">
      <c r="A299" s="109" t="s">
        <v>200</v>
      </c>
      <c r="B299" s="120">
        <v>4920</v>
      </c>
      <c r="C299" s="120" t="s">
        <v>539</v>
      </c>
      <c r="D299" s="120" t="s">
        <v>1973</v>
      </c>
      <c r="E299" s="176" t="str">
        <f t="shared" si="3"/>
        <v>Aircraft Maintenance and Repair Shop Specialized Equipment</v>
      </c>
      <c r="F299" s="109" t="s">
        <v>200</v>
      </c>
    </row>
    <row r="300" spans="1:6" ht="15.65" customHeight="1" x14ac:dyDescent="0.35">
      <c r="A300" s="109" t="s">
        <v>200</v>
      </c>
      <c r="B300" s="120">
        <v>4921</v>
      </c>
      <c r="C300" s="120" t="s">
        <v>539</v>
      </c>
      <c r="D300" s="120" t="s">
        <v>4846</v>
      </c>
      <c r="E300" s="176" t="str">
        <f t="shared" si="3"/>
        <v>Torpedo Maintenance, Repair, and Checkout Specialized Equipment</v>
      </c>
      <c r="F300" s="109" t="s">
        <v>200</v>
      </c>
    </row>
    <row r="301" spans="1:6" ht="15.65" customHeight="1" x14ac:dyDescent="0.35">
      <c r="A301" s="109" t="s">
        <v>200</v>
      </c>
      <c r="B301" s="120">
        <v>4923</v>
      </c>
      <c r="C301" s="120" t="s">
        <v>539</v>
      </c>
      <c r="D301" s="120" t="s">
        <v>4847</v>
      </c>
      <c r="E301" s="176" t="str">
        <f t="shared" si="3"/>
        <v>Depth Charges and Underwater Mines Maintenance, Repair, and Checkout Specialized Equipment</v>
      </c>
      <c r="F301" s="109" t="s">
        <v>200</v>
      </c>
    </row>
    <row r="302" spans="1:6" ht="15.65" customHeight="1" x14ac:dyDescent="0.35">
      <c r="A302" s="109" t="s">
        <v>200</v>
      </c>
      <c r="B302" s="120">
        <v>4925</v>
      </c>
      <c r="C302" s="120" t="s">
        <v>539</v>
      </c>
      <c r="D302" s="120" t="s">
        <v>3105</v>
      </c>
      <c r="E302" s="176" t="str">
        <f t="shared" si="3"/>
        <v>Ammunition Maintenance, Repair, and Checkout Specialized Equipment</v>
      </c>
      <c r="F302" s="109" t="s">
        <v>200</v>
      </c>
    </row>
    <row r="303" spans="1:6" ht="15.65" customHeight="1" x14ac:dyDescent="0.35">
      <c r="A303" s="109" t="s">
        <v>200</v>
      </c>
      <c r="B303" s="120">
        <v>4927</v>
      </c>
      <c r="C303" s="120" t="s">
        <v>539</v>
      </c>
      <c r="D303" s="120" t="s">
        <v>4848</v>
      </c>
      <c r="E303" s="176" t="str">
        <f t="shared" si="3"/>
        <v>Rocket Maintenance, Repair, and Checkout Specialized Equipment</v>
      </c>
      <c r="F303" s="109" t="s">
        <v>200</v>
      </c>
    </row>
    <row r="304" spans="1:6" ht="15.65" customHeight="1" x14ac:dyDescent="0.35">
      <c r="A304" s="109" t="s">
        <v>200</v>
      </c>
      <c r="B304" s="120">
        <v>4930</v>
      </c>
      <c r="C304" s="120" t="s">
        <v>539</v>
      </c>
      <c r="D304" s="120" t="s">
        <v>2792</v>
      </c>
      <c r="E304" s="176" t="str">
        <f t="shared" si="3"/>
        <v>Lubrication and Fuel Dispensing Equipment</v>
      </c>
      <c r="F304" s="109" t="s">
        <v>200</v>
      </c>
    </row>
    <row r="305" spans="1:6" ht="15.65" customHeight="1" x14ac:dyDescent="0.35">
      <c r="A305" s="109" t="s">
        <v>200</v>
      </c>
      <c r="B305" s="120">
        <v>4931</v>
      </c>
      <c r="C305" s="120" t="s">
        <v>539</v>
      </c>
      <c r="D305" s="120" t="s">
        <v>4849</v>
      </c>
      <c r="E305" s="176" t="str">
        <f t="shared" si="3"/>
        <v>Fire Control Maintenance and Repair Shop Specialized Equipment</v>
      </c>
      <c r="F305" s="109" t="s">
        <v>200</v>
      </c>
    </row>
    <row r="306" spans="1:6" ht="15.65" customHeight="1" x14ac:dyDescent="0.35">
      <c r="A306" s="109" t="s">
        <v>200</v>
      </c>
      <c r="B306" s="120">
        <v>4933</v>
      </c>
      <c r="C306" s="120" t="s">
        <v>539</v>
      </c>
      <c r="D306" s="120" t="s">
        <v>4850</v>
      </c>
      <c r="E306" s="176" t="str">
        <f t="shared" si="3"/>
        <v>Weapons Maintenance and Repair Shop Specialized Equipment</v>
      </c>
      <c r="F306" s="109" t="s">
        <v>200</v>
      </c>
    </row>
    <row r="307" spans="1:6" ht="15.65" customHeight="1" x14ac:dyDescent="0.35">
      <c r="A307" s="109" t="s">
        <v>200</v>
      </c>
      <c r="B307" s="120">
        <v>4935</v>
      </c>
      <c r="C307" s="120" t="s">
        <v>539</v>
      </c>
      <c r="D307" s="120" t="s">
        <v>540</v>
      </c>
      <c r="E307" s="176" t="str">
        <f t="shared" si="3"/>
        <v>Guided Missile Maintenance, Repair, and Checkout Specialized Equipment</v>
      </c>
      <c r="F307" s="109" t="s">
        <v>200</v>
      </c>
    </row>
    <row r="308" spans="1:6" ht="15.65" customHeight="1" x14ac:dyDescent="0.35">
      <c r="A308" s="109" t="s">
        <v>200</v>
      </c>
      <c r="B308" s="120">
        <v>4940</v>
      </c>
      <c r="C308" s="120" t="s">
        <v>539</v>
      </c>
      <c r="D308" s="120" t="s">
        <v>2633</v>
      </c>
      <c r="E308" s="176" t="str">
        <f t="shared" si="3"/>
        <v>Miscellaneous Maintenance and Repair Shop Specialized Equipment</v>
      </c>
      <c r="F308" s="109" t="s">
        <v>200</v>
      </c>
    </row>
    <row r="309" spans="1:6" ht="15.65" customHeight="1" x14ac:dyDescent="0.35">
      <c r="A309" s="109" t="s">
        <v>200</v>
      </c>
      <c r="B309" s="120">
        <v>4960</v>
      </c>
      <c r="C309" s="120" t="s">
        <v>539</v>
      </c>
      <c r="D309" s="120" t="s">
        <v>4851</v>
      </c>
      <c r="E309" s="176" t="str">
        <f t="shared" si="3"/>
        <v>Space Vehicle Maintenance, Repair, and Checkout Specialized Equipment</v>
      </c>
      <c r="F309" s="109" t="s">
        <v>200</v>
      </c>
    </row>
    <row r="310" spans="1:6" ht="15.65" customHeight="1" x14ac:dyDescent="0.35">
      <c r="A310" s="109" t="s">
        <v>200</v>
      </c>
      <c r="B310" s="120">
        <v>4970</v>
      </c>
      <c r="C310" s="120" t="s">
        <v>539</v>
      </c>
      <c r="D310" s="120" t="s">
        <v>4852</v>
      </c>
      <c r="E310" s="176" t="str">
        <f t="shared" si="3"/>
        <v>Multiple Guided Weapons, Specialized Maintenance and Repair Shop Equipment</v>
      </c>
      <c r="F310" s="109" t="s">
        <v>200</v>
      </c>
    </row>
    <row r="311" spans="1:6" ht="15.65" customHeight="1" x14ac:dyDescent="0.35">
      <c r="A311" s="109" t="s">
        <v>200</v>
      </c>
      <c r="B311" s="120">
        <v>5110</v>
      </c>
      <c r="C311" s="120" t="s">
        <v>4853</v>
      </c>
      <c r="D311" s="120" t="s">
        <v>4854</v>
      </c>
      <c r="E311" s="176" t="str">
        <f t="shared" si="3"/>
        <v>Hand Tools, Edged, Nonpowered</v>
      </c>
      <c r="F311" s="109" t="s">
        <v>200</v>
      </c>
    </row>
    <row r="312" spans="1:6" ht="15.65" customHeight="1" x14ac:dyDescent="0.35">
      <c r="A312" s="109" t="s">
        <v>200</v>
      </c>
      <c r="B312" s="120">
        <v>5120</v>
      </c>
      <c r="C312" s="120" t="s">
        <v>4853</v>
      </c>
      <c r="D312" s="120" t="s">
        <v>4855</v>
      </c>
      <c r="E312" s="176" t="str">
        <f t="shared" si="3"/>
        <v>Hand Tools, Nonedged, Nonpowered</v>
      </c>
      <c r="F312" s="109" t="s">
        <v>200</v>
      </c>
    </row>
    <row r="313" spans="1:6" ht="15.65" customHeight="1" x14ac:dyDescent="0.35">
      <c r="A313" s="109" t="s">
        <v>200</v>
      </c>
      <c r="B313" s="120">
        <v>5130</v>
      </c>
      <c r="C313" s="120" t="s">
        <v>4853</v>
      </c>
      <c r="D313" s="120" t="s">
        <v>4856</v>
      </c>
      <c r="E313" s="176" t="str">
        <f t="shared" si="3"/>
        <v>Hand Tools, Power Driven</v>
      </c>
      <c r="F313" s="109" t="s">
        <v>200</v>
      </c>
    </row>
    <row r="314" spans="1:6" ht="15.65" customHeight="1" x14ac:dyDescent="0.35">
      <c r="A314" s="109" t="s">
        <v>200</v>
      </c>
      <c r="B314" s="120">
        <v>5133</v>
      </c>
      <c r="C314" s="120" t="s">
        <v>4853</v>
      </c>
      <c r="D314" s="120" t="s">
        <v>4857</v>
      </c>
      <c r="E314" s="176" t="str">
        <f t="shared" si="3"/>
        <v>Drill Bits, Counterbores, and Countersinks: Hand and Machine</v>
      </c>
      <c r="F314" s="109" t="s">
        <v>200</v>
      </c>
    </row>
    <row r="315" spans="1:6" ht="15.65" customHeight="1" x14ac:dyDescent="0.35">
      <c r="A315" s="109" t="s">
        <v>200</v>
      </c>
      <c r="B315" s="120">
        <v>5136</v>
      </c>
      <c r="C315" s="120" t="s">
        <v>4853</v>
      </c>
      <c r="D315" s="120" t="s">
        <v>4858</v>
      </c>
      <c r="E315" s="176" t="str">
        <f t="shared" si="3"/>
        <v>Taps, Dies, and Collets, Hand and Machine</v>
      </c>
      <c r="F315" s="109" t="s">
        <v>200</v>
      </c>
    </row>
    <row r="316" spans="1:6" ht="15.65" customHeight="1" x14ac:dyDescent="0.35">
      <c r="A316" s="109" t="s">
        <v>200</v>
      </c>
      <c r="B316" s="120">
        <v>5140</v>
      </c>
      <c r="C316" s="120" t="s">
        <v>4853</v>
      </c>
      <c r="D316" s="120" t="s">
        <v>4859</v>
      </c>
      <c r="E316" s="176" t="str">
        <f t="shared" si="3"/>
        <v>Tool and Hardware Boxes</v>
      </c>
      <c r="F316" s="109" t="s">
        <v>200</v>
      </c>
    </row>
    <row r="317" spans="1:6" ht="15.65" customHeight="1" x14ac:dyDescent="0.35">
      <c r="A317" s="109" t="s">
        <v>200</v>
      </c>
      <c r="B317" s="120">
        <v>5180</v>
      </c>
      <c r="C317" s="120" t="s">
        <v>4853</v>
      </c>
      <c r="D317" s="120" t="s">
        <v>4860</v>
      </c>
      <c r="E317" s="176" t="str">
        <f t="shared" si="3"/>
        <v>Sets, Kits, and Outfits of Hand Tools</v>
      </c>
      <c r="F317" s="109" t="s">
        <v>200</v>
      </c>
    </row>
    <row r="318" spans="1:6" ht="15.65" customHeight="1" x14ac:dyDescent="0.35">
      <c r="A318" s="109" t="s">
        <v>200</v>
      </c>
      <c r="B318" s="120">
        <v>5210</v>
      </c>
      <c r="C318" s="120" t="s">
        <v>4861</v>
      </c>
      <c r="D318" s="120" t="s">
        <v>4862</v>
      </c>
      <c r="E318" s="176" t="str">
        <f t="shared" si="3"/>
        <v>Measuring Tools, Craftsmen's</v>
      </c>
      <c r="F318" s="109" t="s">
        <v>200</v>
      </c>
    </row>
    <row r="319" spans="1:6" ht="15.65" customHeight="1" x14ac:dyDescent="0.35">
      <c r="A319" s="109" t="s">
        <v>200</v>
      </c>
      <c r="B319" s="120">
        <v>5220</v>
      </c>
      <c r="C319" s="120" t="s">
        <v>4861</v>
      </c>
      <c r="D319" s="120" t="s">
        <v>4863</v>
      </c>
      <c r="E319" s="176" t="str">
        <f t="shared" si="3"/>
        <v>Inspection Gages and Precision Layout Tools</v>
      </c>
      <c r="F319" s="109" t="s">
        <v>200</v>
      </c>
    </row>
    <row r="320" spans="1:6" ht="15.65" customHeight="1" x14ac:dyDescent="0.35">
      <c r="A320" s="109" t="s">
        <v>200</v>
      </c>
      <c r="B320" s="120">
        <v>5280</v>
      </c>
      <c r="C320" s="120" t="s">
        <v>4861</v>
      </c>
      <c r="D320" s="120" t="s">
        <v>4864</v>
      </c>
      <c r="E320" s="176" t="str">
        <f t="shared" si="3"/>
        <v>Sets, Kits, and Outfits of Measuring Tools</v>
      </c>
      <c r="F320" s="109" t="s">
        <v>200</v>
      </c>
    </row>
    <row r="321" spans="1:6" ht="15.65" customHeight="1" x14ac:dyDescent="0.35">
      <c r="A321" s="109" t="s">
        <v>200</v>
      </c>
      <c r="B321" s="120">
        <v>5305</v>
      </c>
      <c r="C321" s="120" t="s">
        <v>4865</v>
      </c>
      <c r="D321" s="120" t="s">
        <v>4866</v>
      </c>
      <c r="E321" s="176" t="str">
        <f t="shared" si="3"/>
        <v>Screws</v>
      </c>
      <c r="F321" s="109" t="s">
        <v>200</v>
      </c>
    </row>
    <row r="322" spans="1:6" ht="15.65" customHeight="1" x14ac:dyDescent="0.35">
      <c r="A322" s="109" t="s">
        <v>200</v>
      </c>
      <c r="B322" s="120">
        <v>5306</v>
      </c>
      <c r="C322" s="120" t="s">
        <v>4865</v>
      </c>
      <c r="D322" s="120" t="s">
        <v>4867</v>
      </c>
      <c r="E322" s="176" t="str">
        <f t="shared" si="3"/>
        <v>Bolts</v>
      </c>
      <c r="F322" s="109" t="s">
        <v>200</v>
      </c>
    </row>
    <row r="323" spans="1:6" ht="15.65" customHeight="1" x14ac:dyDescent="0.35">
      <c r="A323" s="109" t="s">
        <v>200</v>
      </c>
      <c r="B323" s="120">
        <v>5307</v>
      </c>
      <c r="C323" s="120" t="s">
        <v>4865</v>
      </c>
      <c r="D323" s="120" t="s">
        <v>4868</v>
      </c>
      <c r="E323" s="176" t="str">
        <f t="shared" si="3"/>
        <v>Studs</v>
      </c>
      <c r="F323" s="109" t="s">
        <v>200</v>
      </c>
    </row>
    <row r="324" spans="1:6" ht="15.65" customHeight="1" x14ac:dyDescent="0.35">
      <c r="A324" s="109" t="s">
        <v>200</v>
      </c>
      <c r="B324" s="120">
        <v>5310</v>
      </c>
      <c r="C324" s="120" t="s">
        <v>4865</v>
      </c>
      <c r="D324" s="120" t="s">
        <v>4869</v>
      </c>
      <c r="E324" s="176" t="str">
        <f t="shared" si="3"/>
        <v>Nuts and Washers</v>
      </c>
      <c r="F324" s="109" t="s">
        <v>200</v>
      </c>
    </row>
    <row r="325" spans="1:6" ht="15.65" customHeight="1" x14ac:dyDescent="0.35">
      <c r="A325" s="109" t="s">
        <v>200</v>
      </c>
      <c r="B325" s="120">
        <v>5315</v>
      </c>
      <c r="C325" s="120" t="s">
        <v>4865</v>
      </c>
      <c r="D325" s="120" t="s">
        <v>4870</v>
      </c>
      <c r="E325" s="176" t="str">
        <f t="shared" si="3"/>
        <v>Nails, Machine Keys, and Pins</v>
      </c>
      <c r="F325" s="109" t="s">
        <v>200</v>
      </c>
    </row>
    <row r="326" spans="1:6" ht="15.65" customHeight="1" x14ac:dyDescent="0.35">
      <c r="A326" s="109" t="s">
        <v>200</v>
      </c>
      <c r="B326" s="120">
        <v>5320</v>
      </c>
      <c r="C326" s="120" t="s">
        <v>4865</v>
      </c>
      <c r="D326" s="120" t="s">
        <v>4871</v>
      </c>
      <c r="E326" s="176" t="str">
        <f t="shared" si="3"/>
        <v>Rivets</v>
      </c>
      <c r="F326" s="109" t="s">
        <v>200</v>
      </c>
    </row>
    <row r="327" spans="1:6" ht="15.65" customHeight="1" x14ac:dyDescent="0.35">
      <c r="A327" s="109" t="s">
        <v>200</v>
      </c>
      <c r="B327" s="120">
        <v>5325</v>
      </c>
      <c r="C327" s="120" t="s">
        <v>4865</v>
      </c>
      <c r="D327" s="120" t="s">
        <v>4872</v>
      </c>
      <c r="E327" s="176" t="str">
        <f t="shared" si="3"/>
        <v>Fastening Devices</v>
      </c>
      <c r="F327" s="109" t="s">
        <v>200</v>
      </c>
    </row>
    <row r="328" spans="1:6" ht="15.65" customHeight="1" x14ac:dyDescent="0.35">
      <c r="A328" s="109" t="s">
        <v>200</v>
      </c>
      <c r="B328" s="120">
        <v>5330</v>
      </c>
      <c r="C328" s="120" t="s">
        <v>4865</v>
      </c>
      <c r="D328" s="120" t="s">
        <v>4873</v>
      </c>
      <c r="E328" s="176" t="str">
        <f t="shared" si="3"/>
        <v>Packing and Gasket Materials</v>
      </c>
      <c r="F328" s="109" t="s">
        <v>200</v>
      </c>
    </row>
    <row r="329" spans="1:6" ht="15.65" customHeight="1" x14ac:dyDescent="0.35">
      <c r="A329" s="109" t="s">
        <v>200</v>
      </c>
      <c r="B329" s="120">
        <v>5331</v>
      </c>
      <c r="C329" s="120" t="s">
        <v>4865</v>
      </c>
      <c r="D329" s="120" t="s">
        <v>4874</v>
      </c>
      <c r="E329" s="176" t="str">
        <f t="shared" si="3"/>
        <v>O-Rings</v>
      </c>
      <c r="F329" s="109" t="s">
        <v>200</v>
      </c>
    </row>
    <row r="330" spans="1:6" ht="15.65" customHeight="1" x14ac:dyDescent="0.35">
      <c r="A330" s="109" t="s">
        <v>200</v>
      </c>
      <c r="B330" s="120">
        <v>5335</v>
      </c>
      <c r="C330" s="120" t="s">
        <v>4865</v>
      </c>
      <c r="D330" s="120" t="s">
        <v>4875</v>
      </c>
      <c r="E330" s="176" t="str">
        <f t="shared" si="3"/>
        <v>Metal Screening</v>
      </c>
      <c r="F330" s="109" t="s">
        <v>200</v>
      </c>
    </row>
    <row r="331" spans="1:6" ht="15.65" customHeight="1" x14ac:dyDescent="0.35">
      <c r="A331" s="109" t="s">
        <v>200</v>
      </c>
      <c r="B331" s="120">
        <v>5340</v>
      </c>
      <c r="C331" s="120" t="s">
        <v>4865</v>
      </c>
      <c r="D331" s="120" t="s">
        <v>4876</v>
      </c>
      <c r="E331" s="176" t="str">
        <f t="shared" ref="E331:E394" si="4">D331</f>
        <v>Hardware, Commercial</v>
      </c>
      <c r="F331" s="109" t="s">
        <v>200</v>
      </c>
    </row>
    <row r="332" spans="1:6" ht="15.65" customHeight="1" x14ac:dyDescent="0.35">
      <c r="A332" s="109" t="s">
        <v>200</v>
      </c>
      <c r="B332" s="120">
        <v>5341</v>
      </c>
      <c r="C332" s="120" t="s">
        <v>4865</v>
      </c>
      <c r="D332" s="120" t="s">
        <v>4877</v>
      </c>
      <c r="E332" s="176" t="str">
        <f t="shared" si="4"/>
        <v>Brackets</v>
      </c>
      <c r="F332" s="109" t="s">
        <v>200</v>
      </c>
    </row>
    <row r="333" spans="1:6" ht="15.65" customHeight="1" x14ac:dyDescent="0.35">
      <c r="A333" s="109" t="s">
        <v>200</v>
      </c>
      <c r="B333" s="120">
        <v>5342</v>
      </c>
      <c r="C333" s="120" t="s">
        <v>4865</v>
      </c>
      <c r="D333" s="120" t="s">
        <v>4878</v>
      </c>
      <c r="E333" s="176" t="str">
        <f t="shared" si="4"/>
        <v>Hardware, Weapon System</v>
      </c>
      <c r="F333" s="109" t="s">
        <v>200</v>
      </c>
    </row>
    <row r="334" spans="1:6" ht="15.65" customHeight="1" x14ac:dyDescent="0.35">
      <c r="A334" s="109" t="s">
        <v>200</v>
      </c>
      <c r="B334" s="120">
        <v>5345</v>
      </c>
      <c r="C334" s="120" t="s">
        <v>4865</v>
      </c>
      <c r="D334" s="120" t="s">
        <v>4879</v>
      </c>
      <c r="E334" s="176" t="str">
        <f t="shared" si="4"/>
        <v>Disks and Stones, Abrasive</v>
      </c>
      <c r="F334" s="109" t="s">
        <v>200</v>
      </c>
    </row>
    <row r="335" spans="1:6" ht="15.65" customHeight="1" x14ac:dyDescent="0.35">
      <c r="A335" s="109" t="s">
        <v>200</v>
      </c>
      <c r="B335" s="120">
        <v>5350</v>
      </c>
      <c r="C335" s="120" t="s">
        <v>4865</v>
      </c>
      <c r="D335" s="120" t="s">
        <v>4880</v>
      </c>
      <c r="E335" s="176" t="str">
        <f t="shared" si="4"/>
        <v>Abrasive Materials</v>
      </c>
      <c r="F335" s="109" t="s">
        <v>200</v>
      </c>
    </row>
    <row r="336" spans="1:6" ht="15.65" customHeight="1" x14ac:dyDescent="0.35">
      <c r="A336" s="109" t="s">
        <v>200</v>
      </c>
      <c r="B336" s="120">
        <v>5355</v>
      </c>
      <c r="C336" s="120" t="s">
        <v>4865</v>
      </c>
      <c r="D336" s="120" t="s">
        <v>4881</v>
      </c>
      <c r="E336" s="176" t="str">
        <f t="shared" si="4"/>
        <v>Knobs and Pointers</v>
      </c>
      <c r="F336" s="109" t="s">
        <v>200</v>
      </c>
    </row>
    <row r="337" spans="1:6" ht="15.65" customHeight="1" x14ac:dyDescent="0.35">
      <c r="A337" s="109" t="s">
        <v>200</v>
      </c>
      <c r="B337" s="120">
        <v>5360</v>
      </c>
      <c r="C337" s="120" t="s">
        <v>4865</v>
      </c>
      <c r="D337" s="120" t="s">
        <v>4882</v>
      </c>
      <c r="E337" s="176" t="str">
        <f t="shared" si="4"/>
        <v>Coil, Flat, Leaf, and Wire Springs</v>
      </c>
      <c r="F337" s="109" t="s">
        <v>200</v>
      </c>
    </row>
    <row r="338" spans="1:6" ht="15.65" customHeight="1" x14ac:dyDescent="0.35">
      <c r="A338" s="109" t="s">
        <v>200</v>
      </c>
      <c r="B338" s="120">
        <v>5365</v>
      </c>
      <c r="C338" s="120" t="s">
        <v>4865</v>
      </c>
      <c r="D338" s="120" t="s">
        <v>4883</v>
      </c>
      <c r="E338" s="176" t="str">
        <f t="shared" si="4"/>
        <v>Bushings, Rings, Shims, and Spacers</v>
      </c>
      <c r="F338" s="109" t="s">
        <v>200</v>
      </c>
    </row>
    <row r="339" spans="1:6" ht="15.65" customHeight="1" x14ac:dyDescent="0.35">
      <c r="A339" s="109" t="s">
        <v>200</v>
      </c>
      <c r="B339" s="120">
        <v>5410</v>
      </c>
      <c r="C339" s="120" t="s">
        <v>386</v>
      </c>
      <c r="D339" s="120" t="s">
        <v>387</v>
      </c>
      <c r="E339" s="176" t="str">
        <f t="shared" si="4"/>
        <v>Prefabricated and Portable Buildings</v>
      </c>
      <c r="F339" s="109" t="s">
        <v>200</v>
      </c>
    </row>
    <row r="340" spans="1:6" ht="15.65" customHeight="1" x14ac:dyDescent="0.35">
      <c r="A340" s="109" t="s">
        <v>200</v>
      </c>
      <c r="B340" s="120">
        <v>5411</v>
      </c>
      <c r="C340" s="120" t="s">
        <v>386</v>
      </c>
      <c r="D340" s="120" t="s">
        <v>4884</v>
      </c>
      <c r="E340" s="176" t="str">
        <f t="shared" si="4"/>
        <v>Rigid Wall Shelters</v>
      </c>
      <c r="F340" s="109" t="s">
        <v>200</v>
      </c>
    </row>
    <row r="341" spans="1:6" ht="15.65" customHeight="1" x14ac:dyDescent="0.35">
      <c r="A341" s="109" t="s">
        <v>200</v>
      </c>
      <c r="B341" s="120">
        <v>5419</v>
      </c>
      <c r="C341" s="120" t="s">
        <v>386</v>
      </c>
      <c r="D341" s="120" t="s">
        <v>4885</v>
      </c>
      <c r="E341" s="176" t="str">
        <f t="shared" si="4"/>
        <v>Collective Modular Support System</v>
      </c>
      <c r="F341" s="109" t="s">
        <v>200</v>
      </c>
    </row>
    <row r="342" spans="1:6" ht="15.65" customHeight="1" x14ac:dyDescent="0.35">
      <c r="A342" s="109" t="s">
        <v>200</v>
      </c>
      <c r="B342" s="120">
        <v>5420</v>
      </c>
      <c r="C342" s="120" t="s">
        <v>386</v>
      </c>
      <c r="D342" s="120" t="s">
        <v>1790</v>
      </c>
      <c r="E342" s="176" t="str">
        <f t="shared" si="4"/>
        <v>Bridges, Fixed and Floating</v>
      </c>
      <c r="F342" s="109" t="s">
        <v>200</v>
      </c>
    </row>
    <row r="343" spans="1:6" ht="15.65" customHeight="1" x14ac:dyDescent="0.35">
      <c r="A343" s="109" t="s">
        <v>200</v>
      </c>
      <c r="B343" s="120">
        <v>5430</v>
      </c>
      <c r="C343" s="120" t="s">
        <v>386</v>
      </c>
      <c r="D343" s="120" t="s">
        <v>1777</v>
      </c>
      <c r="E343" s="176" t="str">
        <f t="shared" si="4"/>
        <v>Storage Tanks</v>
      </c>
      <c r="F343" s="109" t="s">
        <v>200</v>
      </c>
    </row>
    <row r="344" spans="1:6" ht="15.65" customHeight="1" x14ac:dyDescent="0.35">
      <c r="A344" s="109" t="s">
        <v>200</v>
      </c>
      <c r="B344" s="120">
        <v>5440</v>
      </c>
      <c r="C344" s="120" t="s">
        <v>386</v>
      </c>
      <c r="D344" s="120" t="s">
        <v>4886</v>
      </c>
      <c r="E344" s="176" t="str">
        <f t="shared" si="4"/>
        <v>Scaffolding Equipment and Concrete Forms</v>
      </c>
      <c r="F344" s="109" t="s">
        <v>200</v>
      </c>
    </row>
    <row r="345" spans="1:6" ht="15.65" customHeight="1" x14ac:dyDescent="0.35">
      <c r="A345" s="109" t="s">
        <v>200</v>
      </c>
      <c r="B345" s="120">
        <v>5445</v>
      </c>
      <c r="C345" s="120" t="s">
        <v>386</v>
      </c>
      <c r="D345" s="120" t="s">
        <v>4887</v>
      </c>
      <c r="E345" s="176" t="str">
        <f t="shared" si="4"/>
        <v>Prefabricated Tower Structures</v>
      </c>
      <c r="F345" s="109" t="s">
        <v>200</v>
      </c>
    </row>
    <row r="346" spans="1:6" ht="15.65" customHeight="1" x14ac:dyDescent="0.35">
      <c r="A346" s="109" t="s">
        <v>200</v>
      </c>
      <c r="B346" s="120">
        <v>5450</v>
      </c>
      <c r="C346" s="120" t="s">
        <v>386</v>
      </c>
      <c r="D346" s="120" t="s">
        <v>4888</v>
      </c>
      <c r="E346" s="176" t="str">
        <f t="shared" si="4"/>
        <v>Miscellaneous Prefabricated Structures</v>
      </c>
      <c r="F346" s="109" t="s">
        <v>200</v>
      </c>
    </row>
    <row r="347" spans="1:6" ht="15.65" customHeight="1" x14ac:dyDescent="0.35">
      <c r="A347" s="109" t="s">
        <v>200</v>
      </c>
      <c r="B347" s="120">
        <v>5510</v>
      </c>
      <c r="C347" s="120" t="s">
        <v>4889</v>
      </c>
      <c r="D347" s="120" t="s">
        <v>4890</v>
      </c>
      <c r="E347" s="176" t="str">
        <f t="shared" si="4"/>
        <v>Lumber and Related Basic Wood Materials</v>
      </c>
      <c r="F347" s="109" t="s">
        <v>200</v>
      </c>
    </row>
    <row r="348" spans="1:6" ht="15.65" customHeight="1" x14ac:dyDescent="0.35">
      <c r="A348" s="109" t="s">
        <v>200</v>
      </c>
      <c r="B348" s="120">
        <v>5520</v>
      </c>
      <c r="C348" s="120" t="s">
        <v>4889</v>
      </c>
      <c r="D348" s="120" t="s">
        <v>4891</v>
      </c>
      <c r="E348" s="176" t="str">
        <f t="shared" si="4"/>
        <v>Millwork</v>
      </c>
      <c r="F348" s="109" t="s">
        <v>200</v>
      </c>
    </row>
    <row r="349" spans="1:6" ht="15.65" customHeight="1" x14ac:dyDescent="0.35">
      <c r="A349" s="109" t="s">
        <v>200</v>
      </c>
      <c r="B349" s="120">
        <v>5530</v>
      </c>
      <c r="C349" s="120" t="s">
        <v>4889</v>
      </c>
      <c r="D349" s="120" t="s">
        <v>4892</v>
      </c>
      <c r="E349" s="176" t="str">
        <f t="shared" si="4"/>
        <v>Plywood and Veneer</v>
      </c>
      <c r="F349" s="109" t="s">
        <v>200</v>
      </c>
    </row>
    <row r="350" spans="1:6" ht="15.65" customHeight="1" x14ac:dyDescent="0.35">
      <c r="A350" s="109" t="s">
        <v>200</v>
      </c>
      <c r="B350" s="120">
        <v>5610</v>
      </c>
      <c r="C350" s="120" t="s">
        <v>4893</v>
      </c>
      <c r="D350" s="120" t="s">
        <v>4894</v>
      </c>
      <c r="E350" s="176" t="str">
        <f t="shared" si="4"/>
        <v>Mineral Construction Materials, Bulk</v>
      </c>
      <c r="F350" s="109" t="s">
        <v>200</v>
      </c>
    </row>
    <row r="351" spans="1:6" ht="15.65" customHeight="1" x14ac:dyDescent="0.35">
      <c r="A351" s="109" t="s">
        <v>200</v>
      </c>
      <c r="B351" s="120">
        <v>5620</v>
      </c>
      <c r="C351" s="120" t="s">
        <v>4893</v>
      </c>
      <c r="D351" s="120" t="s">
        <v>4895</v>
      </c>
      <c r="E351" s="176" t="str">
        <f t="shared" si="4"/>
        <v>Tile, Brick, and Block</v>
      </c>
      <c r="F351" s="109" t="s">
        <v>200</v>
      </c>
    </row>
    <row r="352" spans="1:6" ht="15.65" customHeight="1" x14ac:dyDescent="0.35">
      <c r="A352" s="109" t="s">
        <v>200</v>
      </c>
      <c r="B352" s="120">
        <v>5630</v>
      </c>
      <c r="C352" s="120" t="s">
        <v>4893</v>
      </c>
      <c r="D352" s="120" t="s">
        <v>4896</v>
      </c>
      <c r="E352" s="176" t="str">
        <f t="shared" si="4"/>
        <v>Pipe and Conduit, Nonmetallic</v>
      </c>
      <c r="F352" s="109" t="s">
        <v>200</v>
      </c>
    </row>
    <row r="353" spans="1:6" ht="15.65" customHeight="1" x14ac:dyDescent="0.35">
      <c r="A353" s="109" t="s">
        <v>200</v>
      </c>
      <c r="B353" s="120">
        <v>5640</v>
      </c>
      <c r="C353" s="120" t="s">
        <v>4893</v>
      </c>
      <c r="D353" s="120" t="s">
        <v>4897</v>
      </c>
      <c r="E353" s="176" t="str">
        <f t="shared" si="4"/>
        <v>Wallboard, Building Paper, and Thermal Insulation Materials</v>
      </c>
      <c r="F353" s="109" t="s">
        <v>200</v>
      </c>
    </row>
    <row r="354" spans="1:6" ht="15.65" customHeight="1" x14ac:dyDescent="0.35">
      <c r="A354" s="109" t="s">
        <v>200</v>
      </c>
      <c r="B354" s="120">
        <v>5650</v>
      </c>
      <c r="C354" s="120" t="s">
        <v>4893</v>
      </c>
      <c r="D354" s="120" t="s">
        <v>4898</v>
      </c>
      <c r="E354" s="176" t="str">
        <f t="shared" si="4"/>
        <v>Roofing and Siding Materials</v>
      </c>
      <c r="F354" s="109" t="s">
        <v>200</v>
      </c>
    </row>
    <row r="355" spans="1:6" ht="15.65" customHeight="1" x14ac:dyDescent="0.35">
      <c r="A355" s="109" t="s">
        <v>200</v>
      </c>
      <c r="B355" s="120">
        <v>5660</v>
      </c>
      <c r="C355" s="120" t="s">
        <v>4893</v>
      </c>
      <c r="D355" s="120" t="s">
        <v>4899</v>
      </c>
      <c r="E355" s="176" t="str">
        <f t="shared" si="4"/>
        <v>Fencing, Fences, Gates, and Components</v>
      </c>
      <c r="F355" s="109" t="s">
        <v>200</v>
      </c>
    </row>
    <row r="356" spans="1:6" ht="15.65" customHeight="1" x14ac:dyDescent="0.35">
      <c r="A356" s="109" t="s">
        <v>200</v>
      </c>
      <c r="B356" s="120">
        <v>5670</v>
      </c>
      <c r="C356" s="120" t="s">
        <v>4893</v>
      </c>
      <c r="D356" s="120" t="s">
        <v>4900</v>
      </c>
      <c r="E356" s="176" t="str">
        <f t="shared" si="4"/>
        <v>Building Components, Prefabricated</v>
      </c>
      <c r="F356" s="109" t="s">
        <v>200</v>
      </c>
    </row>
    <row r="357" spans="1:6" ht="15.65" customHeight="1" x14ac:dyDescent="0.35">
      <c r="A357" s="109" t="s">
        <v>200</v>
      </c>
      <c r="B357" s="120">
        <v>5680</v>
      </c>
      <c r="C357" s="120" t="s">
        <v>4893</v>
      </c>
      <c r="D357" s="120" t="s">
        <v>4901</v>
      </c>
      <c r="E357" s="176" t="str">
        <f t="shared" si="4"/>
        <v>Miscellaneous Construction Materials</v>
      </c>
      <c r="F357" s="109" t="s">
        <v>200</v>
      </c>
    </row>
    <row r="358" spans="1:6" ht="15.65" customHeight="1" x14ac:dyDescent="0.35">
      <c r="A358" s="109" t="s">
        <v>200</v>
      </c>
      <c r="B358" s="177">
        <v>5805</v>
      </c>
      <c r="C358" s="177" t="s">
        <v>158</v>
      </c>
      <c r="D358" s="177" t="s">
        <v>4902</v>
      </c>
      <c r="E358" s="177" t="s">
        <v>4903</v>
      </c>
      <c r="F358" s="109" t="s">
        <v>200</v>
      </c>
    </row>
    <row r="359" spans="1:6" ht="15.65" customHeight="1" x14ac:dyDescent="0.35">
      <c r="A359" s="109" t="s">
        <v>200</v>
      </c>
      <c r="B359" s="177">
        <v>5810</v>
      </c>
      <c r="C359" s="177" t="s">
        <v>158</v>
      </c>
      <c r="D359" s="177" t="s">
        <v>174</v>
      </c>
      <c r="E359" s="177" t="s">
        <v>4903</v>
      </c>
      <c r="F359" s="109" t="s">
        <v>200</v>
      </c>
    </row>
    <row r="360" spans="1:6" ht="15.65" customHeight="1" x14ac:dyDescent="0.35">
      <c r="A360" s="109" t="s">
        <v>200</v>
      </c>
      <c r="B360" s="177">
        <v>5811</v>
      </c>
      <c r="C360" s="177" t="s">
        <v>158</v>
      </c>
      <c r="D360" s="177" t="s">
        <v>4904</v>
      </c>
      <c r="E360" s="177" t="s">
        <v>4903</v>
      </c>
      <c r="F360" s="109" t="s">
        <v>200</v>
      </c>
    </row>
    <row r="361" spans="1:6" ht="15.65" customHeight="1" x14ac:dyDescent="0.35">
      <c r="A361" s="109" t="s">
        <v>200</v>
      </c>
      <c r="B361" s="177">
        <v>5815</v>
      </c>
      <c r="C361" s="177" t="s">
        <v>158</v>
      </c>
      <c r="D361" s="177" t="s">
        <v>4905</v>
      </c>
      <c r="E361" s="177" t="s">
        <v>4903</v>
      </c>
      <c r="F361" s="109" t="s">
        <v>200</v>
      </c>
    </row>
    <row r="362" spans="1:6" ht="15.65" customHeight="1" x14ac:dyDescent="0.35">
      <c r="A362" s="109" t="s">
        <v>200</v>
      </c>
      <c r="B362" s="177">
        <v>5820</v>
      </c>
      <c r="C362" s="177" t="s">
        <v>158</v>
      </c>
      <c r="D362" s="177" t="s">
        <v>567</v>
      </c>
      <c r="E362" s="177" t="s">
        <v>4903</v>
      </c>
      <c r="F362" s="109" t="s">
        <v>200</v>
      </c>
    </row>
    <row r="363" spans="1:6" ht="15.65" customHeight="1" x14ac:dyDescent="0.35">
      <c r="A363" s="109" t="s">
        <v>200</v>
      </c>
      <c r="B363" s="177">
        <v>5821</v>
      </c>
      <c r="C363" s="177" t="s">
        <v>158</v>
      </c>
      <c r="D363" s="177" t="s">
        <v>620</v>
      </c>
      <c r="E363" s="177" t="s">
        <v>4903</v>
      </c>
      <c r="F363" s="109" t="s">
        <v>200</v>
      </c>
    </row>
    <row r="364" spans="1:6" ht="15.65" customHeight="1" x14ac:dyDescent="0.35">
      <c r="A364" s="109" t="s">
        <v>200</v>
      </c>
      <c r="B364" s="177">
        <v>5825</v>
      </c>
      <c r="C364" s="177" t="s">
        <v>158</v>
      </c>
      <c r="D364" s="177" t="s">
        <v>443</v>
      </c>
      <c r="E364" s="177" t="s">
        <v>4903</v>
      </c>
      <c r="F364" s="109" t="s">
        <v>200</v>
      </c>
    </row>
    <row r="365" spans="1:6" ht="15.65" customHeight="1" x14ac:dyDescent="0.35">
      <c r="A365" s="109" t="s">
        <v>200</v>
      </c>
      <c r="B365" s="177">
        <v>5826</v>
      </c>
      <c r="C365" s="177" t="s">
        <v>158</v>
      </c>
      <c r="D365" s="177" t="s">
        <v>4906</v>
      </c>
      <c r="E365" s="177" t="s">
        <v>4903</v>
      </c>
      <c r="F365" s="109" t="s">
        <v>200</v>
      </c>
    </row>
    <row r="366" spans="1:6" ht="15.65" customHeight="1" x14ac:dyDescent="0.35">
      <c r="A366" s="109" t="s">
        <v>200</v>
      </c>
      <c r="B366" s="177">
        <v>5830</v>
      </c>
      <c r="C366" s="177" t="s">
        <v>158</v>
      </c>
      <c r="D366" s="177" t="s">
        <v>2007</v>
      </c>
      <c r="E366" s="177" t="s">
        <v>4903</v>
      </c>
      <c r="F366" s="109" t="s">
        <v>200</v>
      </c>
    </row>
    <row r="367" spans="1:6" ht="15.65" customHeight="1" x14ac:dyDescent="0.35">
      <c r="A367" s="109" t="s">
        <v>200</v>
      </c>
      <c r="B367" s="177">
        <v>5831</v>
      </c>
      <c r="C367" s="177" t="s">
        <v>158</v>
      </c>
      <c r="D367" s="177" t="s">
        <v>4907</v>
      </c>
      <c r="E367" s="177" t="s">
        <v>4903</v>
      </c>
      <c r="F367" s="109" t="s">
        <v>200</v>
      </c>
    </row>
    <row r="368" spans="1:6" ht="15.65" customHeight="1" x14ac:dyDescent="0.35">
      <c r="A368" s="109" t="s">
        <v>200</v>
      </c>
      <c r="B368" s="177">
        <v>5835</v>
      </c>
      <c r="C368" s="177" t="s">
        <v>158</v>
      </c>
      <c r="D368" s="177" t="s">
        <v>4908</v>
      </c>
      <c r="E368" s="177" t="s">
        <v>4903</v>
      </c>
      <c r="F368" s="109" t="s">
        <v>200</v>
      </c>
    </row>
    <row r="369" spans="1:6" ht="15.65" customHeight="1" x14ac:dyDescent="0.35">
      <c r="A369" s="109" t="s">
        <v>200</v>
      </c>
      <c r="B369" s="177">
        <v>5836</v>
      </c>
      <c r="C369" s="177" t="s">
        <v>158</v>
      </c>
      <c r="D369" s="177" t="s">
        <v>4909</v>
      </c>
      <c r="E369" s="177" t="s">
        <v>4903</v>
      </c>
      <c r="F369" s="109" t="s">
        <v>200</v>
      </c>
    </row>
    <row r="370" spans="1:6" ht="15.65" customHeight="1" x14ac:dyDescent="0.35">
      <c r="A370" s="109" t="s">
        <v>200</v>
      </c>
      <c r="B370" s="177">
        <v>5840</v>
      </c>
      <c r="C370" s="177" t="s">
        <v>158</v>
      </c>
      <c r="D370" s="177" t="s">
        <v>399</v>
      </c>
      <c r="E370" s="177" t="s">
        <v>4910</v>
      </c>
      <c r="F370" s="109" t="s">
        <v>200</v>
      </c>
    </row>
    <row r="371" spans="1:6" ht="15.65" customHeight="1" x14ac:dyDescent="0.35">
      <c r="A371" s="109" t="s">
        <v>200</v>
      </c>
      <c r="B371" s="177">
        <v>5841</v>
      </c>
      <c r="C371" s="177" t="s">
        <v>158</v>
      </c>
      <c r="D371" s="177" t="s">
        <v>159</v>
      </c>
      <c r="E371" s="177" t="s">
        <v>4910</v>
      </c>
      <c r="F371" s="109" t="s">
        <v>200</v>
      </c>
    </row>
    <row r="372" spans="1:6" ht="15.65" customHeight="1" x14ac:dyDescent="0.35">
      <c r="A372" s="109" t="s">
        <v>200</v>
      </c>
      <c r="B372" s="177">
        <v>5845</v>
      </c>
      <c r="C372" s="177" t="s">
        <v>158</v>
      </c>
      <c r="D372" s="177" t="s">
        <v>1135</v>
      </c>
      <c r="E372" s="177" t="s">
        <v>4910</v>
      </c>
      <c r="F372" s="109" t="s">
        <v>200</v>
      </c>
    </row>
    <row r="373" spans="1:6" ht="15.65" customHeight="1" x14ac:dyDescent="0.35">
      <c r="A373" s="109" t="s">
        <v>200</v>
      </c>
      <c r="B373" s="177">
        <v>5850</v>
      </c>
      <c r="C373" s="177" t="s">
        <v>158</v>
      </c>
      <c r="D373" s="177" t="s">
        <v>4911</v>
      </c>
      <c r="E373" s="177" t="s">
        <v>4903</v>
      </c>
      <c r="F373" s="109" t="s">
        <v>200</v>
      </c>
    </row>
    <row r="374" spans="1:6" ht="15.65" customHeight="1" x14ac:dyDescent="0.35">
      <c r="A374" s="109" t="s">
        <v>200</v>
      </c>
      <c r="B374" s="177">
        <v>5855</v>
      </c>
      <c r="C374" s="177" t="s">
        <v>158</v>
      </c>
      <c r="D374" s="177" t="s">
        <v>369</v>
      </c>
      <c r="E374" s="177" t="s">
        <v>4903</v>
      </c>
      <c r="F374" s="109" t="s">
        <v>200</v>
      </c>
    </row>
    <row r="375" spans="1:6" ht="15.65" customHeight="1" x14ac:dyDescent="0.35">
      <c r="A375" s="109" t="s">
        <v>200</v>
      </c>
      <c r="B375" s="177">
        <v>5860</v>
      </c>
      <c r="C375" s="177" t="s">
        <v>158</v>
      </c>
      <c r="D375" s="177" t="s">
        <v>4912</v>
      </c>
      <c r="E375" s="177" t="s">
        <v>4903</v>
      </c>
      <c r="F375" s="109" t="s">
        <v>200</v>
      </c>
    </row>
    <row r="376" spans="1:6" ht="15.65" customHeight="1" x14ac:dyDescent="0.35">
      <c r="A376" s="109" t="s">
        <v>200</v>
      </c>
      <c r="B376" s="177">
        <v>5865</v>
      </c>
      <c r="C376" s="177" t="s">
        <v>158</v>
      </c>
      <c r="D376" s="177" t="s">
        <v>379</v>
      </c>
      <c r="E376" s="177" t="s">
        <v>4903</v>
      </c>
      <c r="F376" s="109" t="s">
        <v>200</v>
      </c>
    </row>
    <row r="377" spans="1:6" ht="15.65" customHeight="1" x14ac:dyDescent="0.35">
      <c r="A377" s="109" t="s">
        <v>200</v>
      </c>
      <c r="B377" s="177">
        <v>5895</v>
      </c>
      <c r="C377" s="177" t="s">
        <v>158</v>
      </c>
      <c r="D377" s="177" t="s">
        <v>354</v>
      </c>
      <c r="E377" s="177" t="s">
        <v>4903</v>
      </c>
      <c r="F377" s="109" t="s">
        <v>200</v>
      </c>
    </row>
    <row r="378" spans="1:6" ht="15.65" customHeight="1" x14ac:dyDescent="0.35">
      <c r="A378" s="109" t="s">
        <v>200</v>
      </c>
      <c r="B378" s="120">
        <v>5905</v>
      </c>
      <c r="C378" s="120" t="s">
        <v>727</v>
      </c>
      <c r="D378" s="120" t="s">
        <v>4913</v>
      </c>
      <c r="E378" s="176" t="str">
        <f t="shared" si="4"/>
        <v>Resistors</v>
      </c>
      <c r="F378" s="109" t="s">
        <v>200</v>
      </c>
    </row>
    <row r="379" spans="1:6" ht="15.65" customHeight="1" x14ac:dyDescent="0.35">
      <c r="A379" s="109" t="s">
        <v>200</v>
      </c>
      <c r="B379" s="120">
        <v>5910</v>
      </c>
      <c r="C379" s="120" t="s">
        <v>727</v>
      </c>
      <c r="D379" s="120" t="s">
        <v>4914</v>
      </c>
      <c r="E379" s="176" t="str">
        <f t="shared" si="4"/>
        <v>Capacitors</v>
      </c>
      <c r="F379" s="109" t="s">
        <v>200</v>
      </c>
    </row>
    <row r="380" spans="1:6" ht="15.65" customHeight="1" x14ac:dyDescent="0.35">
      <c r="A380" s="109" t="s">
        <v>200</v>
      </c>
      <c r="B380" s="120">
        <v>5915</v>
      </c>
      <c r="C380" s="120" t="s">
        <v>727</v>
      </c>
      <c r="D380" s="120" t="s">
        <v>4915</v>
      </c>
      <c r="E380" s="176" t="str">
        <f t="shared" si="4"/>
        <v>Filters and Networks</v>
      </c>
      <c r="F380" s="109" t="s">
        <v>200</v>
      </c>
    </row>
    <row r="381" spans="1:6" ht="15.65" customHeight="1" x14ac:dyDescent="0.35">
      <c r="A381" s="109" t="s">
        <v>200</v>
      </c>
      <c r="B381" s="120">
        <v>5920</v>
      </c>
      <c r="C381" s="120" t="s">
        <v>727</v>
      </c>
      <c r="D381" s="120" t="s">
        <v>4916</v>
      </c>
      <c r="E381" s="176" t="str">
        <f t="shared" si="4"/>
        <v>Fuses, Arrestors, Absorbers, and Protectors</v>
      </c>
      <c r="F381" s="109" t="s">
        <v>200</v>
      </c>
    </row>
    <row r="382" spans="1:6" ht="15.65" customHeight="1" x14ac:dyDescent="0.35">
      <c r="A382" s="109" t="s">
        <v>200</v>
      </c>
      <c r="B382" s="120">
        <v>5925</v>
      </c>
      <c r="C382" s="120" t="s">
        <v>727</v>
      </c>
      <c r="D382" s="120" t="s">
        <v>4917</v>
      </c>
      <c r="E382" s="176" t="str">
        <f t="shared" si="4"/>
        <v>Circuit Breakers</v>
      </c>
      <c r="F382" s="109" t="s">
        <v>200</v>
      </c>
    </row>
    <row r="383" spans="1:6" ht="15.65" customHeight="1" x14ac:dyDescent="0.35">
      <c r="A383" s="109" t="s">
        <v>200</v>
      </c>
      <c r="B383" s="120">
        <v>5930</v>
      </c>
      <c r="C383" s="120" t="s">
        <v>727</v>
      </c>
      <c r="D383" s="120" t="s">
        <v>4918</v>
      </c>
      <c r="E383" s="176" t="str">
        <f t="shared" si="4"/>
        <v>Switches</v>
      </c>
      <c r="F383" s="109" t="s">
        <v>200</v>
      </c>
    </row>
    <row r="384" spans="1:6" ht="15.65" customHeight="1" x14ac:dyDescent="0.35">
      <c r="A384" s="109" t="s">
        <v>200</v>
      </c>
      <c r="B384" s="120">
        <v>5935</v>
      </c>
      <c r="C384" s="120" t="s">
        <v>727</v>
      </c>
      <c r="D384" s="120" t="s">
        <v>4919</v>
      </c>
      <c r="E384" s="176" t="str">
        <f t="shared" si="4"/>
        <v>Connectors, Electrical</v>
      </c>
      <c r="F384" s="109" t="s">
        <v>200</v>
      </c>
    </row>
    <row r="385" spans="1:6" ht="15.65" customHeight="1" x14ac:dyDescent="0.35">
      <c r="A385" s="109" t="s">
        <v>200</v>
      </c>
      <c r="B385" s="120">
        <v>5940</v>
      </c>
      <c r="C385" s="120" t="s">
        <v>727</v>
      </c>
      <c r="D385" s="120" t="s">
        <v>4920</v>
      </c>
      <c r="E385" s="176" t="str">
        <f t="shared" si="4"/>
        <v>Lugs, Terminals, and Terminal Strips</v>
      </c>
      <c r="F385" s="109" t="s">
        <v>200</v>
      </c>
    </row>
    <row r="386" spans="1:6" ht="15.65" customHeight="1" x14ac:dyDescent="0.35">
      <c r="A386" s="109" t="s">
        <v>200</v>
      </c>
      <c r="B386" s="120">
        <v>5945</v>
      </c>
      <c r="C386" s="120" t="s">
        <v>727</v>
      </c>
      <c r="D386" s="120" t="s">
        <v>4921</v>
      </c>
      <c r="E386" s="176" t="str">
        <f t="shared" si="4"/>
        <v>Relays and Solenoids</v>
      </c>
      <c r="F386" s="109" t="s">
        <v>200</v>
      </c>
    </row>
    <row r="387" spans="1:6" ht="15.65" customHeight="1" x14ac:dyDescent="0.35">
      <c r="A387" s="109" t="s">
        <v>200</v>
      </c>
      <c r="B387" s="120">
        <v>5950</v>
      </c>
      <c r="C387" s="120" t="s">
        <v>727</v>
      </c>
      <c r="D387" s="120" t="s">
        <v>4922</v>
      </c>
      <c r="E387" s="176" t="str">
        <f t="shared" si="4"/>
        <v>Coils and Transformers</v>
      </c>
      <c r="F387" s="109" t="s">
        <v>200</v>
      </c>
    </row>
    <row r="388" spans="1:6" ht="15.65" customHeight="1" x14ac:dyDescent="0.35">
      <c r="A388" s="109" t="s">
        <v>200</v>
      </c>
      <c r="B388" s="120">
        <v>5955</v>
      </c>
      <c r="C388" s="120" t="s">
        <v>727</v>
      </c>
      <c r="D388" s="120" t="s">
        <v>4923</v>
      </c>
      <c r="E388" s="176" t="str">
        <f t="shared" si="4"/>
        <v>Oscillators and Piezoelectric Crystals</v>
      </c>
      <c r="F388" s="109" t="s">
        <v>200</v>
      </c>
    </row>
    <row r="389" spans="1:6" ht="15.65" customHeight="1" x14ac:dyDescent="0.35">
      <c r="A389" s="109" t="s">
        <v>200</v>
      </c>
      <c r="B389" s="120">
        <v>5960</v>
      </c>
      <c r="C389" s="120" t="s">
        <v>727</v>
      </c>
      <c r="D389" s="120" t="s">
        <v>4924</v>
      </c>
      <c r="E389" s="176" t="str">
        <f t="shared" si="4"/>
        <v>Electron Tubes and Associated Hardware</v>
      </c>
      <c r="F389" s="109" t="s">
        <v>200</v>
      </c>
    </row>
    <row r="390" spans="1:6" ht="15.65" customHeight="1" x14ac:dyDescent="0.35">
      <c r="A390" s="109" t="s">
        <v>200</v>
      </c>
      <c r="B390" s="120">
        <v>5961</v>
      </c>
      <c r="C390" s="120" t="s">
        <v>727</v>
      </c>
      <c r="D390" s="120" t="s">
        <v>2720</v>
      </c>
      <c r="E390" s="176" t="str">
        <f t="shared" si="4"/>
        <v>Semiconductor Devices and Associated Hardware</v>
      </c>
      <c r="F390" s="109" t="s">
        <v>200</v>
      </c>
    </row>
    <row r="391" spans="1:6" ht="15.65" customHeight="1" x14ac:dyDescent="0.35">
      <c r="A391" s="109" t="s">
        <v>200</v>
      </c>
      <c r="B391" s="120">
        <v>5962</v>
      </c>
      <c r="C391" s="120" t="s">
        <v>727</v>
      </c>
      <c r="D391" s="120" t="s">
        <v>4925</v>
      </c>
      <c r="E391" s="176" t="str">
        <f t="shared" si="4"/>
        <v>Microcircuits, Electronic</v>
      </c>
      <c r="F391" s="109" t="s">
        <v>200</v>
      </c>
    </row>
    <row r="392" spans="1:6" ht="15.65" customHeight="1" x14ac:dyDescent="0.35">
      <c r="A392" s="109" t="s">
        <v>200</v>
      </c>
      <c r="B392" s="120">
        <v>5963</v>
      </c>
      <c r="C392" s="120" t="s">
        <v>727</v>
      </c>
      <c r="D392" s="120" t="s">
        <v>4926</v>
      </c>
      <c r="E392" s="176" t="str">
        <f t="shared" si="4"/>
        <v>Electronic Modules</v>
      </c>
      <c r="F392" s="109" t="s">
        <v>200</v>
      </c>
    </row>
    <row r="393" spans="1:6" ht="15.65" customHeight="1" x14ac:dyDescent="0.35">
      <c r="A393" s="109" t="s">
        <v>200</v>
      </c>
      <c r="B393" s="120">
        <v>5965</v>
      </c>
      <c r="C393" s="120" t="s">
        <v>727</v>
      </c>
      <c r="D393" s="120" t="s">
        <v>728</v>
      </c>
      <c r="E393" s="176" t="str">
        <f t="shared" si="4"/>
        <v>Headsets, Handsets, Microphones and Speakers</v>
      </c>
      <c r="F393" s="109" t="s">
        <v>200</v>
      </c>
    </row>
    <row r="394" spans="1:6" ht="15.65" customHeight="1" x14ac:dyDescent="0.35">
      <c r="A394" s="109" t="s">
        <v>200</v>
      </c>
      <c r="B394" s="120">
        <v>5970</v>
      </c>
      <c r="C394" s="120" t="s">
        <v>727</v>
      </c>
      <c r="D394" s="120" t="s">
        <v>4927</v>
      </c>
      <c r="E394" s="176" t="str">
        <f t="shared" si="4"/>
        <v>Electrical Insulators and Insulating Materials</v>
      </c>
      <c r="F394" s="109" t="s">
        <v>200</v>
      </c>
    </row>
    <row r="395" spans="1:6" ht="15.65" customHeight="1" x14ac:dyDescent="0.35">
      <c r="A395" s="109" t="s">
        <v>200</v>
      </c>
      <c r="B395" s="120">
        <v>5975</v>
      </c>
      <c r="C395" s="120" t="s">
        <v>727</v>
      </c>
      <c r="D395" s="120" t="s">
        <v>4928</v>
      </c>
      <c r="E395" s="176" t="str">
        <f t="shared" ref="E395:E458" si="5">D395</f>
        <v>Electrical Hardware and Supplies</v>
      </c>
      <c r="F395" s="109" t="s">
        <v>200</v>
      </c>
    </row>
    <row r="396" spans="1:6" ht="15.65" customHeight="1" x14ac:dyDescent="0.35">
      <c r="A396" s="109" t="s">
        <v>200</v>
      </c>
      <c r="B396" s="120">
        <v>5977</v>
      </c>
      <c r="C396" s="120" t="s">
        <v>727</v>
      </c>
      <c r="D396" s="120" t="s">
        <v>4929</v>
      </c>
      <c r="E396" s="176" t="str">
        <f t="shared" si="5"/>
        <v>Electrical Contact Brushes and Electrodes</v>
      </c>
      <c r="F396" s="109" t="s">
        <v>200</v>
      </c>
    </row>
    <row r="397" spans="1:6" ht="15.65" customHeight="1" x14ac:dyDescent="0.35">
      <c r="A397" s="109" t="s">
        <v>200</v>
      </c>
      <c r="B397" s="120">
        <v>5985</v>
      </c>
      <c r="C397" s="120" t="s">
        <v>727</v>
      </c>
      <c r="D397" s="120" t="s">
        <v>4930</v>
      </c>
      <c r="E397" s="176" t="str">
        <f t="shared" si="5"/>
        <v>Antennas, Waveguides, and Related Equipment</v>
      </c>
      <c r="F397" s="109" t="s">
        <v>200</v>
      </c>
    </row>
    <row r="398" spans="1:6" ht="15.65" customHeight="1" x14ac:dyDescent="0.35">
      <c r="A398" s="109" t="s">
        <v>200</v>
      </c>
      <c r="B398" s="120">
        <v>5990</v>
      </c>
      <c r="C398" s="120" t="s">
        <v>727</v>
      </c>
      <c r="D398" s="120" t="s">
        <v>4931</v>
      </c>
      <c r="E398" s="176" t="str">
        <f t="shared" si="5"/>
        <v>Synchros and Resolvers</v>
      </c>
      <c r="F398" s="109" t="s">
        <v>200</v>
      </c>
    </row>
    <row r="399" spans="1:6" ht="15.65" customHeight="1" x14ac:dyDescent="0.35">
      <c r="A399" s="109" t="s">
        <v>200</v>
      </c>
      <c r="B399" s="120">
        <v>5995</v>
      </c>
      <c r="C399" s="120" t="s">
        <v>727</v>
      </c>
      <c r="D399" s="120" t="s">
        <v>4932</v>
      </c>
      <c r="E399" s="176" t="str">
        <f t="shared" si="5"/>
        <v>Cable, Cord, and Wire Assemblies: Communication Equipment</v>
      </c>
      <c r="F399" s="109" t="s">
        <v>200</v>
      </c>
    </row>
    <row r="400" spans="1:6" ht="15.65" customHeight="1" x14ac:dyDescent="0.35">
      <c r="A400" s="109" t="s">
        <v>200</v>
      </c>
      <c r="B400" s="120">
        <v>5996</v>
      </c>
      <c r="C400" s="120" t="s">
        <v>727</v>
      </c>
      <c r="D400" s="120" t="s">
        <v>4933</v>
      </c>
      <c r="E400" s="176" t="str">
        <f t="shared" si="5"/>
        <v>Amplifiers</v>
      </c>
      <c r="F400" s="109" t="s">
        <v>200</v>
      </c>
    </row>
    <row r="401" spans="1:6" ht="15.65" customHeight="1" x14ac:dyDescent="0.35">
      <c r="A401" s="109" t="s">
        <v>200</v>
      </c>
      <c r="B401" s="120">
        <v>5998</v>
      </c>
      <c r="C401" s="120" t="s">
        <v>727</v>
      </c>
      <c r="D401" s="120" t="s">
        <v>4934</v>
      </c>
      <c r="E401" s="176" t="str">
        <f t="shared" si="5"/>
        <v>Electrical and Electronic Assemblies, Boards, Cards, and Associated Hardware</v>
      </c>
      <c r="F401" s="109" t="s">
        <v>200</v>
      </c>
    </row>
    <row r="402" spans="1:6" ht="15.65" customHeight="1" x14ac:dyDescent="0.35">
      <c r="A402" s="109" t="s">
        <v>200</v>
      </c>
      <c r="B402" s="120">
        <v>5999</v>
      </c>
      <c r="C402" s="120" t="s">
        <v>727</v>
      </c>
      <c r="D402" s="120" t="s">
        <v>4935</v>
      </c>
      <c r="E402" s="176" t="str">
        <f t="shared" si="5"/>
        <v>Miscellaneous Electrical and Electronic Components</v>
      </c>
      <c r="F402" s="109" t="s">
        <v>200</v>
      </c>
    </row>
    <row r="403" spans="1:6" ht="15.65" customHeight="1" x14ac:dyDescent="0.35">
      <c r="A403" s="109" t="s">
        <v>200</v>
      </c>
      <c r="B403" s="120">
        <v>6010</v>
      </c>
      <c r="C403" s="120" t="s">
        <v>4936</v>
      </c>
      <c r="D403" s="120" t="s">
        <v>4937</v>
      </c>
      <c r="E403" s="176" t="str">
        <f t="shared" si="5"/>
        <v>Fiber Optic Conductors</v>
      </c>
      <c r="F403" s="109" t="s">
        <v>200</v>
      </c>
    </row>
    <row r="404" spans="1:6" ht="15.65" customHeight="1" x14ac:dyDescent="0.35">
      <c r="A404" s="109" t="s">
        <v>200</v>
      </c>
      <c r="B404" s="120">
        <v>6015</v>
      </c>
      <c r="C404" s="120" t="s">
        <v>4936</v>
      </c>
      <c r="D404" s="120" t="s">
        <v>4938</v>
      </c>
      <c r="E404" s="176" t="str">
        <f t="shared" si="5"/>
        <v>Fiber Optic Cables</v>
      </c>
      <c r="F404" s="109" t="s">
        <v>200</v>
      </c>
    </row>
    <row r="405" spans="1:6" ht="15.65" customHeight="1" x14ac:dyDescent="0.35">
      <c r="A405" s="109" t="s">
        <v>200</v>
      </c>
      <c r="B405" s="120">
        <v>6020</v>
      </c>
      <c r="C405" s="120" t="s">
        <v>4936</v>
      </c>
      <c r="D405" s="120" t="s">
        <v>4939</v>
      </c>
      <c r="E405" s="176" t="str">
        <f t="shared" si="5"/>
        <v>Fiber Optic Cable Assemblies and Harnesses</v>
      </c>
      <c r="F405" s="109" t="s">
        <v>200</v>
      </c>
    </row>
    <row r="406" spans="1:6" ht="15.65" customHeight="1" x14ac:dyDescent="0.35">
      <c r="A406" s="109" t="s">
        <v>200</v>
      </c>
      <c r="B406" s="120">
        <v>6021</v>
      </c>
      <c r="C406" s="120" t="s">
        <v>4936</v>
      </c>
      <c r="D406" s="120" t="s">
        <v>4940</v>
      </c>
      <c r="E406" s="176" t="str">
        <f t="shared" si="5"/>
        <v>Fiber Optic Switches</v>
      </c>
      <c r="F406" s="109" t="s">
        <v>200</v>
      </c>
    </row>
    <row r="407" spans="1:6" ht="15.65" customHeight="1" x14ac:dyDescent="0.35">
      <c r="A407" s="109" t="s">
        <v>200</v>
      </c>
      <c r="B407" s="120">
        <v>6025</v>
      </c>
      <c r="C407" s="120" t="s">
        <v>4936</v>
      </c>
      <c r="D407" s="120" t="s">
        <v>4941</v>
      </c>
      <c r="E407" s="176" t="str">
        <f t="shared" si="5"/>
        <v>Fiber Optic Transmitters</v>
      </c>
      <c r="F407" s="109" t="s">
        <v>200</v>
      </c>
    </row>
    <row r="408" spans="1:6" ht="15.65" customHeight="1" x14ac:dyDescent="0.35">
      <c r="A408" s="109" t="s">
        <v>200</v>
      </c>
      <c r="B408" s="120">
        <v>6026</v>
      </c>
      <c r="C408" s="120" t="s">
        <v>4936</v>
      </c>
      <c r="D408" s="120" t="s">
        <v>4942</v>
      </c>
      <c r="E408" s="176" t="str">
        <f t="shared" si="5"/>
        <v>Fiber Optic Receivers</v>
      </c>
      <c r="F408" s="109" t="s">
        <v>200</v>
      </c>
    </row>
    <row r="409" spans="1:6" ht="15.65" customHeight="1" x14ac:dyDescent="0.35">
      <c r="A409" s="109" t="s">
        <v>200</v>
      </c>
      <c r="B409" s="120">
        <v>6030</v>
      </c>
      <c r="C409" s="120" t="s">
        <v>4936</v>
      </c>
      <c r="D409" s="120" t="s">
        <v>4943</v>
      </c>
      <c r="E409" s="176" t="str">
        <f t="shared" si="5"/>
        <v>Fiber Optic Devices</v>
      </c>
      <c r="F409" s="109" t="s">
        <v>200</v>
      </c>
    </row>
    <row r="410" spans="1:6" ht="15.65" customHeight="1" x14ac:dyDescent="0.35">
      <c r="A410" s="109" t="s">
        <v>200</v>
      </c>
      <c r="B410" s="120">
        <v>6031</v>
      </c>
      <c r="C410" s="120" t="s">
        <v>4936</v>
      </c>
      <c r="D410" s="120" t="s">
        <v>4944</v>
      </c>
      <c r="E410" s="176" t="str">
        <f t="shared" si="5"/>
        <v>Fiber Optic Integrated Optical Circuits</v>
      </c>
      <c r="F410" s="109" t="s">
        <v>200</v>
      </c>
    </row>
    <row r="411" spans="1:6" ht="15.65" customHeight="1" x14ac:dyDescent="0.35">
      <c r="A411" s="109" t="s">
        <v>200</v>
      </c>
      <c r="B411" s="120">
        <v>6032</v>
      </c>
      <c r="C411" s="120" t="s">
        <v>4936</v>
      </c>
      <c r="D411" s="120" t="s">
        <v>4945</v>
      </c>
      <c r="E411" s="176" t="str">
        <f t="shared" si="5"/>
        <v>Fiber Optic Light Sources</v>
      </c>
      <c r="F411" s="109" t="s">
        <v>200</v>
      </c>
    </row>
    <row r="412" spans="1:6" ht="15.65" customHeight="1" x14ac:dyDescent="0.35">
      <c r="A412" s="109" t="s">
        <v>200</v>
      </c>
      <c r="B412" s="120">
        <v>6033</v>
      </c>
      <c r="C412" s="120" t="s">
        <v>4936</v>
      </c>
      <c r="D412" s="120" t="s">
        <v>4946</v>
      </c>
      <c r="E412" s="176" t="str">
        <f t="shared" si="5"/>
        <v>Fiber Optic Photo Detectors</v>
      </c>
      <c r="F412" s="109" t="s">
        <v>200</v>
      </c>
    </row>
    <row r="413" spans="1:6" ht="15.65" customHeight="1" x14ac:dyDescent="0.35">
      <c r="A413" s="109" t="s">
        <v>200</v>
      </c>
      <c r="B413" s="120">
        <v>6034</v>
      </c>
      <c r="C413" s="120" t="s">
        <v>4936</v>
      </c>
      <c r="D413" s="120" t="s">
        <v>4947</v>
      </c>
      <c r="E413" s="176" t="str">
        <f t="shared" si="5"/>
        <v>Fiber Optic Modulators/Demodulators</v>
      </c>
      <c r="F413" s="109" t="s">
        <v>200</v>
      </c>
    </row>
    <row r="414" spans="1:6" ht="15.65" customHeight="1" x14ac:dyDescent="0.35">
      <c r="A414" s="109" t="s">
        <v>200</v>
      </c>
      <c r="B414" s="120">
        <v>6035</v>
      </c>
      <c r="C414" s="120" t="s">
        <v>4936</v>
      </c>
      <c r="D414" s="120" t="s">
        <v>4948</v>
      </c>
      <c r="E414" s="176" t="str">
        <f t="shared" si="5"/>
        <v>Fiber Optic Light Transfer and Image Transfer Devices</v>
      </c>
      <c r="F414" s="109" t="s">
        <v>200</v>
      </c>
    </row>
    <row r="415" spans="1:6" ht="15.65" customHeight="1" x14ac:dyDescent="0.35">
      <c r="A415" s="109" t="s">
        <v>200</v>
      </c>
      <c r="B415" s="120">
        <v>6040</v>
      </c>
      <c r="C415" s="120" t="s">
        <v>4936</v>
      </c>
      <c r="D415" s="120" t="s">
        <v>4949</v>
      </c>
      <c r="E415" s="176" t="str">
        <f t="shared" si="5"/>
        <v>Fiber Optic Sensors</v>
      </c>
      <c r="F415" s="109" t="s">
        <v>200</v>
      </c>
    </row>
    <row r="416" spans="1:6" ht="15.65" customHeight="1" x14ac:dyDescent="0.35">
      <c r="A416" s="109" t="s">
        <v>200</v>
      </c>
      <c r="B416" s="120">
        <v>6050</v>
      </c>
      <c r="C416" s="120" t="s">
        <v>4936</v>
      </c>
      <c r="D416" s="120" t="s">
        <v>4950</v>
      </c>
      <c r="E416" s="176" t="str">
        <f t="shared" si="5"/>
        <v>Fiber Optic Passive Devices</v>
      </c>
      <c r="F416" s="109" t="s">
        <v>200</v>
      </c>
    </row>
    <row r="417" spans="1:6" ht="15.65" customHeight="1" x14ac:dyDescent="0.35">
      <c r="A417" s="109" t="s">
        <v>200</v>
      </c>
      <c r="B417" s="120">
        <v>6060</v>
      </c>
      <c r="C417" s="120" t="s">
        <v>4936</v>
      </c>
      <c r="D417" s="120" t="s">
        <v>4951</v>
      </c>
      <c r="E417" s="176" t="str">
        <f t="shared" si="5"/>
        <v>Fiber Optic Interconnectors</v>
      </c>
      <c r="F417" s="109" t="s">
        <v>200</v>
      </c>
    </row>
    <row r="418" spans="1:6" ht="15.65" customHeight="1" x14ac:dyDescent="0.35">
      <c r="A418" s="109" t="s">
        <v>200</v>
      </c>
      <c r="B418" s="120">
        <v>6070</v>
      </c>
      <c r="C418" s="120" t="s">
        <v>4936</v>
      </c>
      <c r="D418" s="120" t="s">
        <v>4952</v>
      </c>
      <c r="E418" s="176" t="str">
        <f t="shared" si="5"/>
        <v>Fiber Optic Accessories and Supplies</v>
      </c>
      <c r="F418" s="109" t="s">
        <v>200</v>
      </c>
    </row>
    <row r="419" spans="1:6" ht="15.65" customHeight="1" x14ac:dyDescent="0.35">
      <c r="A419" s="109" t="s">
        <v>200</v>
      </c>
      <c r="B419" s="120">
        <v>6080</v>
      </c>
      <c r="C419" s="120" t="s">
        <v>4936</v>
      </c>
      <c r="D419" s="120" t="s">
        <v>4953</v>
      </c>
      <c r="E419" s="176" t="str">
        <f t="shared" si="5"/>
        <v>Fiber Optic Kits and Sets</v>
      </c>
      <c r="F419" s="109" t="s">
        <v>200</v>
      </c>
    </row>
    <row r="420" spans="1:6" ht="15.4" customHeight="1" x14ac:dyDescent="0.35">
      <c r="A420" s="109" t="s">
        <v>200</v>
      </c>
      <c r="B420" s="120">
        <v>6099</v>
      </c>
      <c r="C420" s="120" t="s">
        <v>4936</v>
      </c>
      <c r="D420" s="120" t="s">
        <v>4954</v>
      </c>
      <c r="E420" s="176" t="str">
        <f t="shared" si="5"/>
        <v>Miscellaneous Fiber Optic Components</v>
      </c>
      <c r="F420" s="109" t="s">
        <v>200</v>
      </c>
    </row>
    <row r="421" spans="1:6" ht="15.4" customHeight="1" x14ac:dyDescent="0.35">
      <c r="A421" s="109" t="s">
        <v>200</v>
      </c>
      <c r="B421" s="120">
        <v>6105</v>
      </c>
      <c r="C421" s="120" t="s">
        <v>872</v>
      </c>
      <c r="D421" s="120" t="s">
        <v>4955</v>
      </c>
      <c r="E421" s="176" t="str">
        <f t="shared" si="5"/>
        <v>Motors, Electrical</v>
      </c>
      <c r="F421" s="109" t="s">
        <v>200</v>
      </c>
    </row>
    <row r="422" spans="1:6" ht="15.4" customHeight="1" x14ac:dyDescent="0.35">
      <c r="A422" s="109" t="s">
        <v>200</v>
      </c>
      <c r="B422" s="120">
        <v>6110</v>
      </c>
      <c r="C422" s="120" t="s">
        <v>872</v>
      </c>
      <c r="D422" s="120" t="s">
        <v>4956</v>
      </c>
      <c r="E422" s="176" t="str">
        <f t="shared" si="5"/>
        <v>Electrical Control Equipment</v>
      </c>
      <c r="F422" s="109" t="s">
        <v>200</v>
      </c>
    </row>
    <row r="423" spans="1:6" ht="15.4" customHeight="1" x14ac:dyDescent="0.35">
      <c r="A423" s="109" t="s">
        <v>200</v>
      </c>
      <c r="B423" s="120">
        <v>6115</v>
      </c>
      <c r="C423" s="120" t="s">
        <v>872</v>
      </c>
      <c r="D423" s="120" t="s">
        <v>4957</v>
      </c>
      <c r="E423" s="176" t="str">
        <f t="shared" si="5"/>
        <v>Generators and Generator Sets, Electrical</v>
      </c>
      <c r="F423" s="109" t="s">
        <v>200</v>
      </c>
    </row>
    <row r="424" spans="1:6" ht="15.65" customHeight="1" x14ac:dyDescent="0.35">
      <c r="A424" s="109" t="s">
        <v>200</v>
      </c>
      <c r="B424" s="120">
        <v>6116</v>
      </c>
      <c r="C424" s="120" t="s">
        <v>872</v>
      </c>
      <c r="D424" s="120" t="s">
        <v>4958</v>
      </c>
      <c r="E424" s="176" t="str">
        <f t="shared" si="5"/>
        <v>Fuel Cell Power Units, Components, and Accessories</v>
      </c>
      <c r="F424" s="109" t="s">
        <v>200</v>
      </c>
    </row>
    <row r="425" spans="1:6" ht="15.65" customHeight="1" x14ac:dyDescent="0.35">
      <c r="A425" s="109" t="s">
        <v>200</v>
      </c>
      <c r="B425" s="120">
        <v>6117</v>
      </c>
      <c r="C425" s="120" t="s">
        <v>872</v>
      </c>
      <c r="D425" s="120" t="s">
        <v>4959</v>
      </c>
      <c r="E425" s="176" t="str">
        <f t="shared" si="5"/>
        <v>Solar Electric Power Systems</v>
      </c>
      <c r="F425" s="109" t="s">
        <v>200</v>
      </c>
    </row>
    <row r="426" spans="1:6" ht="15.65" customHeight="1" x14ac:dyDescent="0.35">
      <c r="A426" s="109" t="s">
        <v>200</v>
      </c>
      <c r="B426" s="120">
        <v>6120</v>
      </c>
      <c r="C426" s="120" t="s">
        <v>872</v>
      </c>
      <c r="D426" s="120" t="s">
        <v>4960</v>
      </c>
      <c r="E426" s="176" t="str">
        <f t="shared" si="5"/>
        <v>Transformers: Distribution and Power Station</v>
      </c>
      <c r="F426" s="109" t="s">
        <v>200</v>
      </c>
    </row>
    <row r="427" spans="1:6" ht="15.65" customHeight="1" x14ac:dyDescent="0.35">
      <c r="A427" s="109" t="s">
        <v>200</v>
      </c>
      <c r="B427" s="120">
        <v>6125</v>
      </c>
      <c r="C427" s="120" t="s">
        <v>872</v>
      </c>
      <c r="D427" s="120" t="s">
        <v>4961</v>
      </c>
      <c r="E427" s="176" t="str">
        <f t="shared" si="5"/>
        <v>Converters, Electrical, Rotating</v>
      </c>
      <c r="F427" s="109" t="s">
        <v>200</v>
      </c>
    </row>
    <row r="428" spans="1:6" ht="15.65" customHeight="1" x14ac:dyDescent="0.35">
      <c r="A428" s="109" t="s">
        <v>200</v>
      </c>
      <c r="B428" s="120">
        <v>6130</v>
      </c>
      <c r="C428" s="120" t="s">
        <v>872</v>
      </c>
      <c r="D428" s="120" t="s">
        <v>873</v>
      </c>
      <c r="E428" s="176" t="str">
        <f t="shared" si="5"/>
        <v>Converters, Electrical, Nonrotating</v>
      </c>
      <c r="F428" s="109" t="s">
        <v>200</v>
      </c>
    </row>
    <row r="429" spans="1:6" ht="15.65" customHeight="1" x14ac:dyDescent="0.35">
      <c r="A429" s="109" t="s">
        <v>200</v>
      </c>
      <c r="B429" s="120">
        <v>6135</v>
      </c>
      <c r="C429" s="120" t="s">
        <v>872</v>
      </c>
      <c r="D429" s="120" t="s">
        <v>4962</v>
      </c>
      <c r="E429" s="176" t="str">
        <f t="shared" si="5"/>
        <v>Batteries, Nonrechargeable</v>
      </c>
      <c r="F429" s="109" t="s">
        <v>200</v>
      </c>
    </row>
    <row r="430" spans="1:6" ht="15.65" customHeight="1" x14ac:dyDescent="0.35">
      <c r="A430" s="109" t="s">
        <v>200</v>
      </c>
      <c r="B430" s="120">
        <v>6140</v>
      </c>
      <c r="C430" s="120" t="s">
        <v>872</v>
      </c>
      <c r="D430" s="120" t="s">
        <v>4963</v>
      </c>
      <c r="E430" s="176" t="str">
        <f t="shared" si="5"/>
        <v>Batteries, Rechargeable</v>
      </c>
      <c r="F430" s="109" t="s">
        <v>200</v>
      </c>
    </row>
    <row r="431" spans="1:6" ht="15.65" customHeight="1" x14ac:dyDescent="0.35">
      <c r="A431" s="109" t="s">
        <v>200</v>
      </c>
      <c r="B431" s="120">
        <v>6145</v>
      </c>
      <c r="C431" s="120" t="s">
        <v>872</v>
      </c>
      <c r="D431" s="120" t="s">
        <v>4964</v>
      </c>
      <c r="E431" s="176" t="str">
        <f t="shared" si="5"/>
        <v>Wire and Cable, Electrical</v>
      </c>
      <c r="F431" s="109" t="s">
        <v>200</v>
      </c>
    </row>
    <row r="432" spans="1:6" ht="15.65" customHeight="1" x14ac:dyDescent="0.35">
      <c r="A432" s="109" t="s">
        <v>200</v>
      </c>
      <c r="B432" s="120">
        <v>6150</v>
      </c>
      <c r="C432" s="120" t="s">
        <v>872</v>
      </c>
      <c r="D432" s="120" t="s">
        <v>4965</v>
      </c>
      <c r="E432" s="176" t="str">
        <f t="shared" si="5"/>
        <v>Miscellaneous Electric Power and Distribution Equipment</v>
      </c>
      <c r="F432" s="109" t="s">
        <v>200</v>
      </c>
    </row>
    <row r="433" spans="1:6" ht="15.65" customHeight="1" x14ac:dyDescent="0.35">
      <c r="A433" s="109" t="s">
        <v>200</v>
      </c>
      <c r="B433" s="120">
        <v>6160</v>
      </c>
      <c r="C433" s="120" t="s">
        <v>872</v>
      </c>
      <c r="D433" s="120" t="s">
        <v>4966</v>
      </c>
      <c r="E433" s="176" t="str">
        <f t="shared" si="5"/>
        <v>Miscellaneous Battery Retainers, Liners, and Ancillary Items</v>
      </c>
      <c r="F433" s="109" t="s">
        <v>200</v>
      </c>
    </row>
    <row r="434" spans="1:6" ht="15.65" customHeight="1" x14ac:dyDescent="0.35">
      <c r="A434" s="109" t="s">
        <v>200</v>
      </c>
      <c r="B434" s="120">
        <v>6210</v>
      </c>
      <c r="C434" s="120" t="s">
        <v>4967</v>
      </c>
      <c r="D434" s="120" t="s">
        <v>4968</v>
      </c>
      <c r="E434" s="176" t="str">
        <f t="shared" si="5"/>
        <v>Indoor and Outdoor Electric Lighting Fixtures</v>
      </c>
      <c r="F434" s="109" t="s">
        <v>200</v>
      </c>
    </row>
    <row r="435" spans="1:6" ht="15.65" customHeight="1" x14ac:dyDescent="0.35">
      <c r="A435" s="109" t="s">
        <v>200</v>
      </c>
      <c r="B435" s="120">
        <v>6220</v>
      </c>
      <c r="C435" s="120" t="s">
        <v>4967</v>
      </c>
      <c r="D435" s="120" t="s">
        <v>4969</v>
      </c>
      <c r="E435" s="176" t="str">
        <f t="shared" si="5"/>
        <v>Electric Vehicular Lights and Fixtures</v>
      </c>
      <c r="F435" s="109" t="s">
        <v>200</v>
      </c>
    </row>
    <row r="436" spans="1:6" ht="15.65" customHeight="1" x14ac:dyDescent="0.35">
      <c r="A436" s="109" t="s">
        <v>200</v>
      </c>
      <c r="B436" s="120">
        <v>6230</v>
      </c>
      <c r="C436" s="120" t="s">
        <v>4967</v>
      </c>
      <c r="D436" s="120" t="s">
        <v>4970</v>
      </c>
      <c r="E436" s="176" t="str">
        <f t="shared" si="5"/>
        <v>Electric Portable and Hand Lighting Equipment</v>
      </c>
      <c r="F436" s="109" t="s">
        <v>200</v>
      </c>
    </row>
    <row r="437" spans="1:6" ht="15.65" customHeight="1" x14ac:dyDescent="0.35">
      <c r="A437" s="109" t="s">
        <v>200</v>
      </c>
      <c r="B437" s="120">
        <v>6240</v>
      </c>
      <c r="C437" s="120" t="s">
        <v>4967</v>
      </c>
      <c r="D437" s="120" t="s">
        <v>4971</v>
      </c>
      <c r="E437" s="176" t="str">
        <f t="shared" si="5"/>
        <v>Electric Lamps</v>
      </c>
      <c r="F437" s="109" t="s">
        <v>200</v>
      </c>
    </row>
    <row r="438" spans="1:6" ht="15.65" customHeight="1" x14ac:dyDescent="0.35">
      <c r="A438" s="109" t="s">
        <v>200</v>
      </c>
      <c r="B438" s="120">
        <v>6250</v>
      </c>
      <c r="C438" s="120" t="s">
        <v>4967</v>
      </c>
      <c r="D438" s="120" t="s">
        <v>4972</v>
      </c>
      <c r="E438" s="176" t="str">
        <f t="shared" si="5"/>
        <v>Ballasts, Lampholders, and Starters</v>
      </c>
      <c r="F438" s="109" t="s">
        <v>200</v>
      </c>
    </row>
    <row r="439" spans="1:6" ht="15.65" customHeight="1" x14ac:dyDescent="0.35">
      <c r="A439" s="109" t="s">
        <v>200</v>
      </c>
      <c r="B439" s="120">
        <v>6260</v>
      </c>
      <c r="C439" s="120" t="s">
        <v>4967</v>
      </c>
      <c r="D439" s="120" t="s">
        <v>4973</v>
      </c>
      <c r="E439" s="176" t="str">
        <f t="shared" si="5"/>
        <v>Nonelectric Lighting Fixtures</v>
      </c>
      <c r="F439" s="109" t="s">
        <v>200</v>
      </c>
    </row>
    <row r="440" spans="1:6" ht="15.65" customHeight="1" x14ac:dyDescent="0.35">
      <c r="A440" s="109" t="s">
        <v>200</v>
      </c>
      <c r="B440" s="120">
        <v>6310</v>
      </c>
      <c r="C440" s="120" t="s">
        <v>4974</v>
      </c>
      <c r="D440" s="120" t="s">
        <v>4975</v>
      </c>
      <c r="E440" s="176" t="str">
        <f t="shared" si="5"/>
        <v>Traffic and Transit Signal Systems</v>
      </c>
      <c r="F440" s="109" t="s">
        <v>200</v>
      </c>
    </row>
    <row r="441" spans="1:6" ht="15.65" customHeight="1" x14ac:dyDescent="0.35">
      <c r="A441" s="109" t="s">
        <v>200</v>
      </c>
      <c r="B441" s="120">
        <v>6320</v>
      </c>
      <c r="C441" s="120" t="s">
        <v>4974</v>
      </c>
      <c r="D441" s="120" t="s">
        <v>4976</v>
      </c>
      <c r="E441" s="176" t="str">
        <f t="shared" si="5"/>
        <v>Shipboard Alarm and Signal Systems</v>
      </c>
      <c r="F441" s="109" t="s">
        <v>200</v>
      </c>
    </row>
    <row r="442" spans="1:6" ht="15.65" customHeight="1" x14ac:dyDescent="0.35">
      <c r="A442" s="109" t="s">
        <v>200</v>
      </c>
      <c r="B442" s="120">
        <v>6330</v>
      </c>
      <c r="C442" s="120" t="s">
        <v>4974</v>
      </c>
      <c r="D442" s="120" t="s">
        <v>4977</v>
      </c>
      <c r="E442" s="176" t="str">
        <f t="shared" si="5"/>
        <v>Railroad Signal and Warning Devices</v>
      </c>
      <c r="F442" s="109" t="s">
        <v>200</v>
      </c>
    </row>
    <row r="443" spans="1:6" ht="15.65" customHeight="1" x14ac:dyDescent="0.35">
      <c r="A443" s="109" t="s">
        <v>200</v>
      </c>
      <c r="B443" s="120">
        <v>6340</v>
      </c>
      <c r="C443" s="120" t="s">
        <v>4974</v>
      </c>
      <c r="D443" s="120" t="s">
        <v>4978</v>
      </c>
      <c r="E443" s="176" t="str">
        <f t="shared" si="5"/>
        <v>Aircraft Alarm and Signal Systems</v>
      </c>
      <c r="F443" s="109" t="s">
        <v>200</v>
      </c>
    </row>
    <row r="444" spans="1:6" ht="15.65" customHeight="1" x14ac:dyDescent="0.35">
      <c r="A444" s="109" t="s">
        <v>200</v>
      </c>
      <c r="B444" s="120">
        <v>6350</v>
      </c>
      <c r="C444" s="120" t="s">
        <v>4974</v>
      </c>
      <c r="D444" s="120" t="s">
        <v>4979</v>
      </c>
      <c r="E444" s="176" t="str">
        <f t="shared" si="5"/>
        <v>Miscellaneous Alarm, Signal, and Security Detection Systems</v>
      </c>
      <c r="F444" s="109" t="s">
        <v>200</v>
      </c>
    </row>
    <row r="445" spans="1:6" ht="15.65" customHeight="1" x14ac:dyDescent="0.35">
      <c r="A445" s="109" t="s">
        <v>200</v>
      </c>
      <c r="B445" s="120">
        <v>6505</v>
      </c>
      <c r="C445" s="120" t="s">
        <v>843</v>
      </c>
      <c r="D445" s="120" t="s">
        <v>4980</v>
      </c>
      <c r="E445" s="176" t="str">
        <f t="shared" si="5"/>
        <v>Drugs and Biologicals</v>
      </c>
      <c r="F445" s="109" t="s">
        <v>200</v>
      </c>
    </row>
    <row r="446" spans="1:6" ht="15.65" customHeight="1" x14ac:dyDescent="0.35">
      <c r="A446" s="109" t="s">
        <v>200</v>
      </c>
      <c r="B446" s="120">
        <v>6508</v>
      </c>
      <c r="C446" s="120" t="s">
        <v>843</v>
      </c>
      <c r="D446" s="120" t="s">
        <v>4981</v>
      </c>
      <c r="E446" s="176" t="str">
        <f t="shared" si="5"/>
        <v>Medicated Cosmetics and Toiletries</v>
      </c>
      <c r="F446" s="109" t="s">
        <v>200</v>
      </c>
    </row>
    <row r="447" spans="1:6" ht="15.65" customHeight="1" x14ac:dyDescent="0.35">
      <c r="A447" s="109" t="s">
        <v>200</v>
      </c>
      <c r="B447" s="120">
        <v>6510</v>
      </c>
      <c r="C447" s="120" t="s">
        <v>843</v>
      </c>
      <c r="D447" s="120" t="s">
        <v>4982</v>
      </c>
      <c r="E447" s="176" t="str">
        <f t="shared" si="5"/>
        <v>Surgical Dressing Materials</v>
      </c>
      <c r="F447" s="109" t="s">
        <v>200</v>
      </c>
    </row>
    <row r="448" spans="1:6" ht="15.65" customHeight="1" x14ac:dyDescent="0.35">
      <c r="A448" s="109" t="s">
        <v>200</v>
      </c>
      <c r="B448" s="120">
        <v>6515</v>
      </c>
      <c r="C448" s="120" t="s">
        <v>843</v>
      </c>
      <c r="D448" s="120" t="s">
        <v>1884</v>
      </c>
      <c r="E448" s="176" t="str">
        <f t="shared" si="5"/>
        <v>Medical and Surgical Instruments, Equipment, and Supplies</v>
      </c>
      <c r="F448" s="109" t="s">
        <v>200</v>
      </c>
    </row>
    <row r="449" spans="1:6" ht="15.65" customHeight="1" x14ac:dyDescent="0.35">
      <c r="A449" s="109" t="s">
        <v>200</v>
      </c>
      <c r="B449" s="120">
        <v>6520</v>
      </c>
      <c r="C449" s="120" t="s">
        <v>843</v>
      </c>
      <c r="D449" s="120" t="s">
        <v>4983</v>
      </c>
      <c r="E449" s="176" t="str">
        <f t="shared" si="5"/>
        <v>Dental Instruments, Equipment, and Supplies</v>
      </c>
      <c r="F449" s="109" t="s">
        <v>200</v>
      </c>
    </row>
    <row r="450" spans="1:6" ht="15.65" customHeight="1" x14ac:dyDescent="0.35">
      <c r="A450" s="109" t="s">
        <v>200</v>
      </c>
      <c r="B450" s="120">
        <v>6525</v>
      </c>
      <c r="C450" s="120" t="s">
        <v>843</v>
      </c>
      <c r="D450" s="120" t="s">
        <v>4984</v>
      </c>
      <c r="E450" s="176" t="str">
        <f t="shared" si="5"/>
        <v>X-Ray Equipment and Supplies: Medical, Dental, Veterinary</v>
      </c>
      <c r="F450" s="109" t="s">
        <v>200</v>
      </c>
    </row>
    <row r="451" spans="1:6" ht="15.65" customHeight="1" x14ac:dyDescent="0.35">
      <c r="A451" s="109" t="s">
        <v>200</v>
      </c>
      <c r="B451" s="120">
        <v>6530</v>
      </c>
      <c r="C451" s="120" t="s">
        <v>843</v>
      </c>
      <c r="D451" s="120" t="s">
        <v>844</v>
      </c>
      <c r="E451" s="176" t="str">
        <f t="shared" si="5"/>
        <v>Hospital Furniture, Equipment, Utensils, and Supplies</v>
      </c>
      <c r="F451" s="109" t="s">
        <v>200</v>
      </c>
    </row>
    <row r="452" spans="1:6" ht="15.65" customHeight="1" x14ac:dyDescent="0.35">
      <c r="A452" s="109" t="s">
        <v>200</v>
      </c>
      <c r="B452" s="120">
        <v>6532</v>
      </c>
      <c r="C452" s="120" t="s">
        <v>843</v>
      </c>
      <c r="D452" s="120" t="s">
        <v>4985</v>
      </c>
      <c r="E452" s="176" t="str">
        <f t="shared" si="5"/>
        <v>Hospital and Surgical Clothing and Related Special Purpose Items</v>
      </c>
      <c r="F452" s="109" t="s">
        <v>200</v>
      </c>
    </row>
    <row r="453" spans="1:6" ht="15.65" customHeight="1" x14ac:dyDescent="0.35">
      <c r="A453" s="109" t="s">
        <v>200</v>
      </c>
      <c r="B453" s="120">
        <v>6540</v>
      </c>
      <c r="C453" s="120" t="s">
        <v>843</v>
      </c>
      <c r="D453" s="120" t="s">
        <v>4986</v>
      </c>
      <c r="E453" s="176" t="str">
        <f t="shared" si="5"/>
        <v>Ophthalmic Instruments, Equipment, and Supplies</v>
      </c>
      <c r="F453" s="109" t="s">
        <v>200</v>
      </c>
    </row>
    <row r="454" spans="1:6" ht="15.65" customHeight="1" x14ac:dyDescent="0.35">
      <c r="A454" s="109" t="s">
        <v>200</v>
      </c>
      <c r="B454" s="120">
        <v>6545</v>
      </c>
      <c r="C454" s="120" t="s">
        <v>843</v>
      </c>
      <c r="D454" s="120" t="s">
        <v>4987</v>
      </c>
      <c r="E454" s="176" t="str">
        <f t="shared" si="5"/>
        <v>Replenishable Field Medical Sets, Kits, and Outfits</v>
      </c>
      <c r="F454" s="109" t="s">
        <v>200</v>
      </c>
    </row>
    <row r="455" spans="1:6" ht="15.65" customHeight="1" x14ac:dyDescent="0.35">
      <c r="A455" s="109" t="s">
        <v>200</v>
      </c>
      <c r="B455" s="120">
        <v>6550</v>
      </c>
      <c r="C455" s="120" t="s">
        <v>843</v>
      </c>
      <c r="D455" s="120" t="s">
        <v>4988</v>
      </c>
      <c r="E455" s="176" t="str">
        <f t="shared" si="5"/>
        <v>In Vitro Diagnostic Substances, Reagents, Test Kits and Sets</v>
      </c>
      <c r="F455" s="109" t="s">
        <v>200</v>
      </c>
    </row>
    <row r="456" spans="1:6" ht="15.65" customHeight="1" x14ac:dyDescent="0.35">
      <c r="A456" s="109" t="s">
        <v>200</v>
      </c>
      <c r="B456" s="120">
        <v>6605</v>
      </c>
      <c r="C456" s="120" t="s">
        <v>1511</v>
      </c>
      <c r="D456" s="120" t="s">
        <v>1512</v>
      </c>
      <c r="E456" s="176" t="str">
        <f t="shared" si="5"/>
        <v>Navigational Instruments</v>
      </c>
      <c r="F456" s="109" t="s">
        <v>200</v>
      </c>
    </row>
    <row r="457" spans="1:6" ht="15.65" customHeight="1" x14ac:dyDescent="0.35">
      <c r="A457" s="109" t="s">
        <v>200</v>
      </c>
      <c r="B457" s="120">
        <v>6610</v>
      </c>
      <c r="C457" s="120" t="s">
        <v>1511</v>
      </c>
      <c r="D457" s="120" t="s">
        <v>4989</v>
      </c>
      <c r="E457" s="176" t="str">
        <f t="shared" si="5"/>
        <v>Flight Instruments</v>
      </c>
      <c r="F457" s="109" t="s">
        <v>200</v>
      </c>
    </row>
    <row r="458" spans="1:6" ht="15.65" customHeight="1" x14ac:dyDescent="0.35">
      <c r="A458" s="109" t="s">
        <v>200</v>
      </c>
      <c r="B458" s="120">
        <v>6615</v>
      </c>
      <c r="C458" s="120" t="s">
        <v>1511</v>
      </c>
      <c r="D458" s="120" t="s">
        <v>4990</v>
      </c>
      <c r="E458" s="176" t="str">
        <f t="shared" si="5"/>
        <v>Automatic Pilot Mechanisms and Airborne Gyro Components</v>
      </c>
      <c r="F458" s="109" t="s">
        <v>200</v>
      </c>
    </row>
    <row r="459" spans="1:6" ht="15.65" customHeight="1" x14ac:dyDescent="0.35">
      <c r="A459" s="109" t="s">
        <v>200</v>
      </c>
      <c r="B459" s="120">
        <v>6620</v>
      </c>
      <c r="C459" s="120" t="s">
        <v>1511</v>
      </c>
      <c r="D459" s="120" t="s">
        <v>4991</v>
      </c>
      <c r="E459" s="176" t="str">
        <f t="shared" ref="E459:E522" si="6">D459</f>
        <v>Engine Instruments</v>
      </c>
      <c r="F459" s="109" t="s">
        <v>200</v>
      </c>
    </row>
    <row r="460" spans="1:6" ht="15.65" customHeight="1" x14ac:dyDescent="0.35">
      <c r="A460" s="109" t="s">
        <v>200</v>
      </c>
      <c r="B460" s="120">
        <v>6625</v>
      </c>
      <c r="C460" s="120" t="s">
        <v>1511</v>
      </c>
      <c r="D460" s="120" t="s">
        <v>4992</v>
      </c>
      <c r="E460" s="176" t="str">
        <f t="shared" si="6"/>
        <v>Electrical and Electronic Properties Measuring and Testing Instruments</v>
      </c>
      <c r="F460" s="109" t="s">
        <v>200</v>
      </c>
    </row>
    <row r="461" spans="1:6" ht="15.65" customHeight="1" x14ac:dyDescent="0.35">
      <c r="A461" s="109" t="s">
        <v>200</v>
      </c>
      <c r="B461" s="120">
        <v>6630</v>
      </c>
      <c r="C461" s="120" t="s">
        <v>1511</v>
      </c>
      <c r="D461" s="120" t="s">
        <v>4993</v>
      </c>
      <c r="E461" s="176" t="str">
        <f t="shared" si="6"/>
        <v>Chemical Analysis Instruments</v>
      </c>
      <c r="F461" s="109" t="s">
        <v>200</v>
      </c>
    </row>
    <row r="462" spans="1:6" ht="15.65" customHeight="1" x14ac:dyDescent="0.35">
      <c r="A462" s="109" t="s">
        <v>200</v>
      </c>
      <c r="B462" s="120">
        <v>6635</v>
      </c>
      <c r="C462" s="120" t="s">
        <v>1511</v>
      </c>
      <c r="D462" s="120" t="s">
        <v>4994</v>
      </c>
      <c r="E462" s="176" t="str">
        <f t="shared" si="6"/>
        <v>Physical Properties Testing and Inspection</v>
      </c>
      <c r="F462" s="109" t="s">
        <v>200</v>
      </c>
    </row>
    <row r="463" spans="1:6" ht="15.65" customHeight="1" x14ac:dyDescent="0.35">
      <c r="A463" s="109" t="s">
        <v>200</v>
      </c>
      <c r="B463" s="120">
        <v>6636</v>
      </c>
      <c r="C463" s="120" t="s">
        <v>1511</v>
      </c>
      <c r="D463" s="120" t="s">
        <v>4995</v>
      </c>
      <c r="E463" s="176" t="str">
        <f t="shared" si="6"/>
        <v>Environmental Chambers and Related Equipment</v>
      </c>
      <c r="F463" s="109" t="s">
        <v>200</v>
      </c>
    </row>
    <row r="464" spans="1:6" ht="15.65" customHeight="1" x14ac:dyDescent="0.35">
      <c r="A464" s="109" t="s">
        <v>200</v>
      </c>
      <c r="B464" s="120">
        <v>6640</v>
      </c>
      <c r="C464" s="120" t="s">
        <v>1511</v>
      </c>
      <c r="D464" s="120" t="s">
        <v>2414</v>
      </c>
      <c r="E464" s="176" t="str">
        <f t="shared" si="6"/>
        <v>Laboratory Equipment and Supplies</v>
      </c>
      <c r="F464" s="109" t="s">
        <v>200</v>
      </c>
    </row>
    <row r="465" spans="1:6" ht="15.65" customHeight="1" x14ac:dyDescent="0.35">
      <c r="A465" s="109" t="s">
        <v>200</v>
      </c>
      <c r="B465" s="120">
        <v>6645</v>
      </c>
      <c r="C465" s="120" t="s">
        <v>1511</v>
      </c>
      <c r="D465" s="120" t="s">
        <v>4996</v>
      </c>
      <c r="E465" s="176" t="str">
        <f t="shared" si="6"/>
        <v>Time Measuring Instruments</v>
      </c>
      <c r="F465" s="109" t="s">
        <v>200</v>
      </c>
    </row>
    <row r="466" spans="1:6" ht="15.65" customHeight="1" x14ac:dyDescent="0.35">
      <c r="A466" s="109" t="s">
        <v>200</v>
      </c>
      <c r="B466" s="120">
        <v>6650</v>
      </c>
      <c r="C466" s="120" t="s">
        <v>1511</v>
      </c>
      <c r="D466" s="120" t="s">
        <v>4997</v>
      </c>
      <c r="E466" s="176" t="str">
        <f t="shared" si="6"/>
        <v>Optical Instruments, Test Equipment, Components and Accessories</v>
      </c>
      <c r="F466" s="109" t="s">
        <v>200</v>
      </c>
    </row>
    <row r="467" spans="1:6" ht="15.65" customHeight="1" x14ac:dyDescent="0.35">
      <c r="A467" s="109" t="s">
        <v>200</v>
      </c>
      <c r="B467" s="120">
        <v>6655</v>
      </c>
      <c r="C467" s="120" t="s">
        <v>1511</v>
      </c>
      <c r="D467" s="120" t="s">
        <v>4998</v>
      </c>
      <c r="E467" s="176" t="str">
        <f t="shared" si="6"/>
        <v>Geophysical Instruments</v>
      </c>
      <c r="F467" s="109" t="s">
        <v>200</v>
      </c>
    </row>
    <row r="468" spans="1:6" ht="15.65" customHeight="1" x14ac:dyDescent="0.35">
      <c r="A468" s="109" t="s">
        <v>200</v>
      </c>
      <c r="B468" s="120">
        <v>6660</v>
      </c>
      <c r="C468" s="120" t="s">
        <v>1511</v>
      </c>
      <c r="D468" s="120" t="s">
        <v>4999</v>
      </c>
      <c r="E468" s="176" t="str">
        <f t="shared" si="6"/>
        <v>Meteorological Instruments and Apparatus</v>
      </c>
      <c r="F468" s="109" t="s">
        <v>200</v>
      </c>
    </row>
    <row r="469" spans="1:6" ht="15.65" customHeight="1" x14ac:dyDescent="0.35">
      <c r="A469" s="109" t="s">
        <v>200</v>
      </c>
      <c r="B469" s="120">
        <v>6665</v>
      </c>
      <c r="C469" s="120" t="s">
        <v>1511</v>
      </c>
      <c r="D469" s="120" t="s">
        <v>5000</v>
      </c>
      <c r="E469" s="176" t="str">
        <f t="shared" si="6"/>
        <v>Hazard-Detecting Instruments and Apparatus</v>
      </c>
      <c r="F469" s="109" t="s">
        <v>200</v>
      </c>
    </row>
    <row r="470" spans="1:6" ht="15.65" customHeight="1" x14ac:dyDescent="0.35">
      <c r="A470" s="109" t="s">
        <v>200</v>
      </c>
      <c r="B470" s="120">
        <v>6670</v>
      </c>
      <c r="C470" s="120" t="s">
        <v>1511</v>
      </c>
      <c r="D470" s="120" t="s">
        <v>5001</v>
      </c>
      <c r="E470" s="176" t="str">
        <f t="shared" si="6"/>
        <v>Scales and Balances</v>
      </c>
      <c r="F470" s="109" t="s">
        <v>200</v>
      </c>
    </row>
    <row r="471" spans="1:6" ht="15.65" customHeight="1" x14ac:dyDescent="0.35">
      <c r="A471" s="109" t="s">
        <v>200</v>
      </c>
      <c r="B471" s="120">
        <v>6675</v>
      </c>
      <c r="C471" s="120" t="s">
        <v>1511</v>
      </c>
      <c r="D471" s="120" t="s">
        <v>5002</v>
      </c>
      <c r="E471" s="176" t="str">
        <f t="shared" si="6"/>
        <v>Drafting, Surveying, and Mapping Instruments</v>
      </c>
      <c r="F471" s="109" t="s">
        <v>200</v>
      </c>
    </row>
    <row r="472" spans="1:6" ht="15.65" customHeight="1" x14ac:dyDescent="0.35">
      <c r="A472" s="109" t="s">
        <v>200</v>
      </c>
      <c r="B472" s="120">
        <v>6680</v>
      </c>
      <c r="C472" s="120" t="s">
        <v>1511</v>
      </c>
      <c r="D472" s="120" t="s">
        <v>5003</v>
      </c>
      <c r="E472" s="176" t="str">
        <f t="shared" si="6"/>
        <v>Liquid and Gas Flow, Liquid Level, and Mechanical Motion Measuring Instruments</v>
      </c>
      <c r="F472" s="109" t="s">
        <v>200</v>
      </c>
    </row>
    <row r="473" spans="1:6" ht="15.65" customHeight="1" x14ac:dyDescent="0.35">
      <c r="A473" s="109" t="s">
        <v>200</v>
      </c>
      <c r="B473" s="120">
        <v>6685</v>
      </c>
      <c r="C473" s="120" t="s">
        <v>1511</v>
      </c>
      <c r="D473" s="120" t="s">
        <v>5004</v>
      </c>
      <c r="E473" s="176" t="str">
        <f t="shared" si="6"/>
        <v>Pressure, Temperature, and Humidity Measuring and Controlling Instruments</v>
      </c>
      <c r="F473" s="109" t="s">
        <v>200</v>
      </c>
    </row>
    <row r="474" spans="1:6" ht="15.65" customHeight="1" x14ac:dyDescent="0.35">
      <c r="A474" s="109" t="s">
        <v>200</v>
      </c>
      <c r="B474" s="120">
        <v>6695</v>
      </c>
      <c r="C474" s="120" t="s">
        <v>1511</v>
      </c>
      <c r="D474" s="120" t="s">
        <v>5005</v>
      </c>
      <c r="E474" s="176" t="str">
        <f t="shared" si="6"/>
        <v>Combination and Miscellaneous Instruments</v>
      </c>
      <c r="F474" s="109" t="s">
        <v>200</v>
      </c>
    </row>
    <row r="475" spans="1:6" ht="15.65" customHeight="1" x14ac:dyDescent="0.35">
      <c r="A475" s="109" t="s">
        <v>200</v>
      </c>
      <c r="B475" s="120">
        <v>6710</v>
      </c>
      <c r="C475" s="120" t="s">
        <v>5006</v>
      </c>
      <c r="D475" s="120" t="s">
        <v>5007</v>
      </c>
      <c r="E475" s="176" t="str">
        <f t="shared" si="6"/>
        <v>Cameras, Motion Picture</v>
      </c>
      <c r="F475" s="109" t="s">
        <v>200</v>
      </c>
    </row>
    <row r="476" spans="1:6" ht="15.65" customHeight="1" x14ac:dyDescent="0.35">
      <c r="A476" s="109" t="s">
        <v>200</v>
      </c>
      <c r="B476" s="120">
        <v>6720</v>
      </c>
      <c r="C476" s="120" t="s">
        <v>5006</v>
      </c>
      <c r="D476" s="120" t="s">
        <v>5008</v>
      </c>
      <c r="E476" s="176" t="str">
        <f t="shared" si="6"/>
        <v>Cameras, Still Picture</v>
      </c>
      <c r="F476" s="109" t="s">
        <v>200</v>
      </c>
    </row>
    <row r="477" spans="1:6" ht="15.65" customHeight="1" x14ac:dyDescent="0.35">
      <c r="A477" s="109" t="s">
        <v>200</v>
      </c>
      <c r="B477" s="120">
        <v>6730</v>
      </c>
      <c r="C477" s="120" t="s">
        <v>5006</v>
      </c>
      <c r="D477" s="120" t="s">
        <v>5009</v>
      </c>
      <c r="E477" s="176" t="str">
        <f t="shared" si="6"/>
        <v>Photographic Projection Equipment</v>
      </c>
      <c r="F477" s="109" t="s">
        <v>200</v>
      </c>
    </row>
    <row r="478" spans="1:6" ht="15.65" customHeight="1" x14ac:dyDescent="0.35">
      <c r="A478" s="109" t="s">
        <v>200</v>
      </c>
      <c r="B478" s="120">
        <v>6740</v>
      </c>
      <c r="C478" s="120" t="s">
        <v>5006</v>
      </c>
      <c r="D478" s="120" t="s">
        <v>5010</v>
      </c>
      <c r="E478" s="176" t="str">
        <f t="shared" si="6"/>
        <v>Photographic Developing and Finishing Equipment</v>
      </c>
      <c r="F478" s="109" t="s">
        <v>200</v>
      </c>
    </row>
    <row r="479" spans="1:6" ht="15.65" customHeight="1" x14ac:dyDescent="0.35">
      <c r="A479" s="109" t="s">
        <v>200</v>
      </c>
      <c r="B479" s="120">
        <v>6750</v>
      </c>
      <c r="C479" s="120" t="s">
        <v>5006</v>
      </c>
      <c r="D479" s="120" t="s">
        <v>5011</v>
      </c>
      <c r="E479" s="176" t="str">
        <f t="shared" si="6"/>
        <v>Photographic Supplies</v>
      </c>
      <c r="F479" s="109" t="s">
        <v>200</v>
      </c>
    </row>
    <row r="480" spans="1:6" ht="15.65" customHeight="1" x14ac:dyDescent="0.35">
      <c r="A480" s="109" t="s">
        <v>200</v>
      </c>
      <c r="B480" s="120">
        <v>6760</v>
      </c>
      <c r="C480" s="120" t="s">
        <v>5006</v>
      </c>
      <c r="D480" s="120" t="s">
        <v>5012</v>
      </c>
      <c r="E480" s="176" t="str">
        <f t="shared" si="6"/>
        <v>Photographic Equipment and Accessories</v>
      </c>
      <c r="F480" s="109" t="s">
        <v>200</v>
      </c>
    </row>
    <row r="481" spans="1:6" ht="15.65" customHeight="1" x14ac:dyDescent="0.35">
      <c r="A481" s="109" t="s">
        <v>200</v>
      </c>
      <c r="B481" s="120">
        <v>6770</v>
      </c>
      <c r="C481" s="120" t="s">
        <v>5006</v>
      </c>
      <c r="D481" s="120" t="s">
        <v>5013</v>
      </c>
      <c r="E481" s="176" t="str">
        <f t="shared" si="6"/>
        <v>Film, Processed</v>
      </c>
      <c r="F481" s="109" t="s">
        <v>200</v>
      </c>
    </row>
    <row r="482" spans="1:6" ht="15.65" customHeight="1" x14ac:dyDescent="0.35">
      <c r="A482" s="109" t="s">
        <v>200</v>
      </c>
      <c r="B482" s="120">
        <v>6780</v>
      </c>
      <c r="C482" s="120" t="s">
        <v>5006</v>
      </c>
      <c r="D482" s="120" t="s">
        <v>5014</v>
      </c>
      <c r="E482" s="176" t="str">
        <f t="shared" si="6"/>
        <v>Photographic Sets, Kits, and Outfits</v>
      </c>
      <c r="F482" s="109" t="s">
        <v>200</v>
      </c>
    </row>
    <row r="483" spans="1:6" ht="15.65" customHeight="1" x14ac:dyDescent="0.35">
      <c r="A483" s="109" t="s">
        <v>200</v>
      </c>
      <c r="B483" s="120">
        <v>6810</v>
      </c>
      <c r="C483" s="120" t="s">
        <v>5015</v>
      </c>
      <c r="D483" s="120" t="s">
        <v>5016</v>
      </c>
      <c r="E483" s="176" t="str">
        <f t="shared" si="6"/>
        <v>Chemicals</v>
      </c>
      <c r="F483" s="109" t="s">
        <v>200</v>
      </c>
    </row>
    <row r="484" spans="1:6" ht="15.65" customHeight="1" x14ac:dyDescent="0.35">
      <c r="A484" s="109" t="s">
        <v>200</v>
      </c>
      <c r="B484" s="120">
        <v>6820</v>
      </c>
      <c r="C484" s="120" t="s">
        <v>5015</v>
      </c>
      <c r="D484" s="120" t="s">
        <v>5017</v>
      </c>
      <c r="E484" s="176" t="str">
        <f t="shared" si="6"/>
        <v>Dyes</v>
      </c>
      <c r="F484" s="109" t="s">
        <v>200</v>
      </c>
    </row>
    <row r="485" spans="1:6" ht="15.65" customHeight="1" x14ac:dyDescent="0.35">
      <c r="A485" s="109" t="s">
        <v>200</v>
      </c>
      <c r="B485" s="120">
        <v>6830</v>
      </c>
      <c r="C485" s="120" t="s">
        <v>5015</v>
      </c>
      <c r="D485" s="120" t="s">
        <v>5018</v>
      </c>
      <c r="E485" s="176" t="str">
        <f t="shared" si="6"/>
        <v>Gases: Compressed and Liquefied</v>
      </c>
      <c r="F485" s="109" t="s">
        <v>200</v>
      </c>
    </row>
    <row r="486" spans="1:6" ht="15.65" customHeight="1" x14ac:dyDescent="0.35">
      <c r="A486" s="109" t="s">
        <v>200</v>
      </c>
      <c r="B486" s="120">
        <v>6840</v>
      </c>
      <c r="C486" s="120" t="s">
        <v>5015</v>
      </c>
      <c r="D486" s="120" t="s">
        <v>5019</v>
      </c>
      <c r="E486" s="176" t="str">
        <f t="shared" si="6"/>
        <v>Pest Control Agents and Disinfectants</v>
      </c>
      <c r="F486" s="109" t="s">
        <v>200</v>
      </c>
    </row>
    <row r="487" spans="1:6" ht="15.65" customHeight="1" x14ac:dyDescent="0.35">
      <c r="A487" s="109" t="s">
        <v>200</v>
      </c>
      <c r="B487" s="120">
        <v>6850</v>
      </c>
      <c r="C487" s="120" t="s">
        <v>5015</v>
      </c>
      <c r="D487" s="120" t="s">
        <v>5020</v>
      </c>
      <c r="E487" s="176" t="str">
        <f t="shared" si="6"/>
        <v>Miscellaneous Chemical Specialties</v>
      </c>
      <c r="F487" s="109" t="s">
        <v>200</v>
      </c>
    </row>
    <row r="488" spans="1:6" ht="15.65" customHeight="1" x14ac:dyDescent="0.35">
      <c r="A488" s="109" t="s">
        <v>200</v>
      </c>
      <c r="B488" s="120">
        <v>6910</v>
      </c>
      <c r="C488" s="120" t="s">
        <v>941</v>
      </c>
      <c r="D488" s="120" t="s">
        <v>942</v>
      </c>
      <c r="E488" s="176" t="str">
        <f t="shared" si="6"/>
        <v>Training Aids</v>
      </c>
      <c r="F488" s="109" t="s">
        <v>200</v>
      </c>
    </row>
    <row r="489" spans="1:6" ht="15.65" customHeight="1" x14ac:dyDescent="0.35">
      <c r="A489" s="109" t="s">
        <v>200</v>
      </c>
      <c r="B489" s="120">
        <v>6920</v>
      </c>
      <c r="C489" s="120" t="s">
        <v>941</v>
      </c>
      <c r="D489" s="120" t="s">
        <v>2112</v>
      </c>
      <c r="E489" s="176" t="str">
        <f t="shared" si="6"/>
        <v>Armament Training Devices</v>
      </c>
      <c r="F489" s="109" t="s">
        <v>200</v>
      </c>
    </row>
    <row r="490" spans="1:6" ht="15.65" customHeight="1" x14ac:dyDescent="0.35">
      <c r="A490" s="109" t="s">
        <v>200</v>
      </c>
      <c r="B490" s="120">
        <v>6930</v>
      </c>
      <c r="C490" s="120" t="s">
        <v>941</v>
      </c>
      <c r="D490" s="120" t="s">
        <v>2139</v>
      </c>
      <c r="E490" s="176" t="str">
        <f t="shared" si="6"/>
        <v>Operation Training Devices</v>
      </c>
      <c r="F490" s="109" t="s">
        <v>200</v>
      </c>
    </row>
    <row r="491" spans="1:6" ht="15.65" customHeight="1" x14ac:dyDescent="0.35">
      <c r="A491" s="109" t="s">
        <v>200</v>
      </c>
      <c r="B491" s="120">
        <v>6940</v>
      </c>
      <c r="C491" s="158" t="s">
        <v>941</v>
      </c>
      <c r="D491" s="120" t="s">
        <v>5021</v>
      </c>
      <c r="E491" s="176" t="str">
        <f t="shared" si="6"/>
        <v>Communication Training Devices</v>
      </c>
      <c r="F491" s="109" t="s">
        <v>200</v>
      </c>
    </row>
    <row r="492" spans="1:6" ht="15.65" customHeight="1" x14ac:dyDescent="0.35">
      <c r="A492" s="109" t="s">
        <v>200</v>
      </c>
      <c r="B492" s="120">
        <v>7010</v>
      </c>
      <c r="C492" s="120" t="s">
        <v>168</v>
      </c>
      <c r="D492" s="120" t="s">
        <v>169</v>
      </c>
      <c r="E492" s="176" t="str">
        <f t="shared" si="6"/>
        <v>ADPE System Configuration</v>
      </c>
      <c r="F492" s="109" t="s">
        <v>200</v>
      </c>
    </row>
    <row r="493" spans="1:6" ht="15.65" customHeight="1" x14ac:dyDescent="0.35">
      <c r="A493" s="109" t="s">
        <v>200</v>
      </c>
      <c r="B493" s="120">
        <v>7020</v>
      </c>
      <c r="C493" s="120" t="s">
        <v>168</v>
      </c>
      <c r="D493" s="120" t="s">
        <v>5022</v>
      </c>
      <c r="E493" s="176" t="str">
        <f t="shared" si="6"/>
        <v>ADPE Central Processing Unit (CPU, Computer), Analog</v>
      </c>
      <c r="F493" s="109" t="s">
        <v>200</v>
      </c>
    </row>
    <row r="494" spans="1:6" ht="15.65" customHeight="1" x14ac:dyDescent="0.35">
      <c r="A494" s="109" t="s">
        <v>200</v>
      </c>
      <c r="B494" s="120">
        <v>7021</v>
      </c>
      <c r="C494" s="120" t="s">
        <v>168</v>
      </c>
      <c r="D494" s="120" t="s">
        <v>864</v>
      </c>
      <c r="E494" s="176" t="str">
        <f t="shared" si="6"/>
        <v>ADPE Central Processing Unit (CPU, Computer), Digital</v>
      </c>
      <c r="F494" s="109" t="s">
        <v>200</v>
      </c>
    </row>
    <row r="495" spans="1:6" ht="15.65" customHeight="1" x14ac:dyDescent="0.35">
      <c r="A495" s="109" t="s">
        <v>200</v>
      </c>
      <c r="B495" s="120">
        <v>7022</v>
      </c>
      <c r="C495" s="120" t="s">
        <v>168</v>
      </c>
      <c r="D495" s="120" t="s">
        <v>5023</v>
      </c>
      <c r="E495" s="176" t="str">
        <f t="shared" si="6"/>
        <v>ADPE Central Processing Unit (CPU, Computer), Hybrid</v>
      </c>
      <c r="F495" s="109" t="s">
        <v>200</v>
      </c>
    </row>
    <row r="496" spans="1:6" ht="15.65" customHeight="1" x14ac:dyDescent="0.35">
      <c r="A496" s="109" t="s">
        <v>200</v>
      </c>
      <c r="B496" s="120">
        <v>7025</v>
      </c>
      <c r="C496" s="120" t="s">
        <v>168</v>
      </c>
      <c r="D496" s="120" t="s">
        <v>882</v>
      </c>
      <c r="E496" s="176" t="str">
        <f t="shared" si="6"/>
        <v>ADP Input/Output and Storage Devices</v>
      </c>
      <c r="F496" s="109" t="s">
        <v>200</v>
      </c>
    </row>
    <row r="497" spans="1:6" ht="15.65" customHeight="1" x14ac:dyDescent="0.35">
      <c r="A497" s="109" t="s">
        <v>200</v>
      </c>
      <c r="B497" s="120">
        <v>7030</v>
      </c>
      <c r="C497" s="120" t="s">
        <v>168</v>
      </c>
      <c r="D497" s="120" t="s">
        <v>182</v>
      </c>
      <c r="E497" s="176" t="str">
        <f t="shared" si="6"/>
        <v>ADP Software</v>
      </c>
      <c r="F497" s="109" t="s">
        <v>200</v>
      </c>
    </row>
    <row r="498" spans="1:6" ht="15.65" customHeight="1" x14ac:dyDescent="0.35">
      <c r="A498" s="109" t="s">
        <v>200</v>
      </c>
      <c r="B498" s="120">
        <v>7035</v>
      </c>
      <c r="C498" s="120" t="s">
        <v>168</v>
      </c>
      <c r="D498" s="120" t="s">
        <v>5024</v>
      </c>
      <c r="E498" s="176" t="str">
        <f t="shared" si="6"/>
        <v>ADP Support Equipment</v>
      </c>
      <c r="F498" s="109" t="s">
        <v>200</v>
      </c>
    </row>
    <row r="499" spans="1:6" ht="15.65" customHeight="1" x14ac:dyDescent="0.35">
      <c r="A499" s="109" t="s">
        <v>200</v>
      </c>
      <c r="B499" s="120">
        <v>7040</v>
      </c>
      <c r="C499" s="120" t="s">
        <v>168</v>
      </c>
      <c r="D499" s="120" t="s">
        <v>5025</v>
      </c>
      <c r="E499" s="176" t="str">
        <f t="shared" si="6"/>
        <v>Punched Card Equipment</v>
      </c>
      <c r="F499" s="159" t="s">
        <v>200</v>
      </c>
    </row>
    <row r="500" spans="1:6" ht="15.65" customHeight="1" x14ac:dyDescent="0.35">
      <c r="A500" s="109" t="s">
        <v>200</v>
      </c>
      <c r="B500" s="120">
        <v>7042</v>
      </c>
      <c r="C500" s="120" t="s">
        <v>168</v>
      </c>
      <c r="D500" s="120" t="s">
        <v>5026</v>
      </c>
      <c r="E500" s="176" t="str">
        <f t="shared" si="6"/>
        <v>Mini and Micro Computer Control Devices</v>
      </c>
      <c r="F500" s="109" t="s">
        <v>200</v>
      </c>
    </row>
    <row r="501" spans="1:6" ht="15.65" customHeight="1" x14ac:dyDescent="0.35">
      <c r="A501" s="109" t="s">
        <v>200</v>
      </c>
      <c r="B501" s="120">
        <v>7045</v>
      </c>
      <c r="C501" s="120" t="s">
        <v>168</v>
      </c>
      <c r="D501" s="120" t="s">
        <v>5027</v>
      </c>
      <c r="E501" s="176" t="str">
        <f t="shared" si="6"/>
        <v>ADP Supplies</v>
      </c>
      <c r="F501" s="109" t="s">
        <v>200</v>
      </c>
    </row>
    <row r="502" spans="1:6" ht="15.65" customHeight="1" x14ac:dyDescent="0.35">
      <c r="A502" s="109" t="s">
        <v>200</v>
      </c>
      <c r="B502" s="120">
        <v>7050</v>
      </c>
      <c r="C502" s="120" t="s">
        <v>168</v>
      </c>
      <c r="D502" s="120" t="s">
        <v>5028</v>
      </c>
      <c r="E502" s="176" t="str">
        <f t="shared" si="6"/>
        <v>ADP Components</v>
      </c>
      <c r="F502" s="109" t="s">
        <v>200</v>
      </c>
    </row>
    <row r="503" spans="1:6" ht="15.65" customHeight="1" x14ac:dyDescent="0.35">
      <c r="A503" s="109" t="s">
        <v>200</v>
      </c>
      <c r="B503" s="4">
        <v>7105</v>
      </c>
      <c r="C503" s="120" t="s">
        <v>5029</v>
      </c>
      <c r="D503" s="120" t="s">
        <v>5030</v>
      </c>
      <c r="E503" s="176" t="str">
        <f t="shared" si="6"/>
        <v>Household Furniture</v>
      </c>
      <c r="F503" s="109" t="s">
        <v>200</v>
      </c>
    </row>
    <row r="504" spans="1:6" ht="15.65" customHeight="1" x14ac:dyDescent="0.35">
      <c r="A504" s="109" t="s">
        <v>200</v>
      </c>
      <c r="B504" s="120">
        <v>7110</v>
      </c>
      <c r="C504" s="120" t="s">
        <v>5029</v>
      </c>
      <c r="D504" s="120" t="s">
        <v>5031</v>
      </c>
      <c r="E504" s="176" t="str">
        <f t="shared" si="6"/>
        <v>Office Furniture</v>
      </c>
      <c r="F504" s="109" t="s">
        <v>200</v>
      </c>
    </row>
    <row r="505" spans="1:6" ht="15.65" customHeight="1" x14ac:dyDescent="0.35">
      <c r="A505" s="109" t="s">
        <v>200</v>
      </c>
      <c r="B505" s="120">
        <v>7125</v>
      </c>
      <c r="C505" s="120" t="s">
        <v>5029</v>
      </c>
      <c r="D505" s="120" t="s">
        <v>5032</v>
      </c>
      <c r="E505" s="176" t="str">
        <f t="shared" si="6"/>
        <v>Cabinets, Lockers, Bins, and Shelving</v>
      </c>
      <c r="F505" s="109" t="s">
        <v>200</v>
      </c>
    </row>
    <row r="506" spans="1:6" ht="15.65" customHeight="1" x14ac:dyDescent="0.35">
      <c r="A506" s="109" t="s">
        <v>200</v>
      </c>
      <c r="B506" s="120">
        <v>7195</v>
      </c>
      <c r="C506" s="120" t="s">
        <v>5029</v>
      </c>
      <c r="D506" s="120" t="s">
        <v>5033</v>
      </c>
      <c r="E506" s="176" t="str">
        <f t="shared" si="6"/>
        <v>Miscellaneous Furniture and Fixtures</v>
      </c>
      <c r="F506" s="159" t="s">
        <v>200</v>
      </c>
    </row>
    <row r="507" spans="1:6" ht="15.65" customHeight="1" x14ac:dyDescent="0.35">
      <c r="A507" s="109" t="s">
        <v>200</v>
      </c>
      <c r="B507" s="4">
        <v>7210</v>
      </c>
      <c r="C507" s="120" t="s">
        <v>5034</v>
      </c>
      <c r="D507" s="120" t="s">
        <v>5035</v>
      </c>
      <c r="E507" s="176" t="str">
        <f t="shared" si="6"/>
        <v>Household Furnishings</v>
      </c>
      <c r="F507" s="109" t="s">
        <v>200</v>
      </c>
    </row>
    <row r="508" spans="1:6" ht="15.65" customHeight="1" x14ac:dyDescent="0.35">
      <c r="A508" s="109" t="s">
        <v>200</v>
      </c>
      <c r="B508" s="120">
        <v>7220</v>
      </c>
      <c r="C508" s="120" t="s">
        <v>5034</v>
      </c>
      <c r="D508" s="120" t="s">
        <v>5036</v>
      </c>
      <c r="E508" s="176" t="str">
        <f t="shared" si="6"/>
        <v>Floor Coverings</v>
      </c>
      <c r="F508" s="109" t="s">
        <v>200</v>
      </c>
    </row>
    <row r="509" spans="1:6" ht="15.65" customHeight="1" x14ac:dyDescent="0.35">
      <c r="A509" s="109" t="s">
        <v>200</v>
      </c>
      <c r="B509" s="160">
        <v>7230</v>
      </c>
      <c r="C509" s="120" t="s">
        <v>5034</v>
      </c>
      <c r="D509" s="120" t="s">
        <v>5037</v>
      </c>
      <c r="E509" s="176" t="str">
        <f t="shared" si="6"/>
        <v>Draperies, Awnings, and Shades</v>
      </c>
      <c r="F509" s="109" t="s">
        <v>200</v>
      </c>
    </row>
    <row r="510" spans="1:6" ht="15.65" customHeight="1" x14ac:dyDescent="0.35">
      <c r="A510" s="109" t="s">
        <v>200</v>
      </c>
      <c r="B510" s="4">
        <v>7240</v>
      </c>
      <c r="C510" s="120" t="s">
        <v>5034</v>
      </c>
      <c r="D510" s="120" t="s">
        <v>5038</v>
      </c>
      <c r="E510" s="176" t="str">
        <f t="shared" si="6"/>
        <v>Household and Commercial Utility Containers</v>
      </c>
      <c r="F510" s="109" t="s">
        <v>200</v>
      </c>
    </row>
    <row r="511" spans="1:6" ht="15.65" customHeight="1" x14ac:dyDescent="0.35">
      <c r="A511" s="109" t="s">
        <v>200</v>
      </c>
      <c r="B511" s="120">
        <v>7290</v>
      </c>
      <c r="C511" s="120" t="s">
        <v>5034</v>
      </c>
      <c r="D511" s="120" t="s">
        <v>5039</v>
      </c>
      <c r="E511" s="176" t="str">
        <f t="shared" si="6"/>
        <v>Miscellaneous Household and Commercial Furnishings and Appliances</v>
      </c>
      <c r="F511" s="109" t="s">
        <v>200</v>
      </c>
    </row>
    <row r="512" spans="1:6" ht="15.65" customHeight="1" x14ac:dyDescent="0.35">
      <c r="A512" s="109" t="s">
        <v>200</v>
      </c>
      <c r="B512" s="120">
        <v>7310</v>
      </c>
      <c r="C512" s="120" t="s">
        <v>1903</v>
      </c>
      <c r="D512" s="120" t="s">
        <v>1904</v>
      </c>
      <c r="E512" s="176" t="str">
        <f t="shared" si="6"/>
        <v>Food Cooking, Baking, and Serving Equipment</v>
      </c>
      <c r="F512" s="109" t="s">
        <v>200</v>
      </c>
    </row>
    <row r="513" spans="1:6" ht="15.65" customHeight="1" x14ac:dyDescent="0.35">
      <c r="A513" s="109" t="s">
        <v>200</v>
      </c>
      <c r="B513" s="120">
        <v>7320</v>
      </c>
      <c r="C513" s="120" t="s">
        <v>1903</v>
      </c>
      <c r="D513" s="120" t="s">
        <v>5040</v>
      </c>
      <c r="E513" s="176" t="str">
        <f t="shared" si="6"/>
        <v>Kitchen Equipment and Appliances</v>
      </c>
      <c r="F513" s="109" t="s">
        <v>200</v>
      </c>
    </row>
    <row r="514" spans="1:6" ht="15.65" customHeight="1" x14ac:dyDescent="0.35">
      <c r="A514" s="109" t="s">
        <v>200</v>
      </c>
      <c r="B514" s="120">
        <v>7330</v>
      </c>
      <c r="C514" s="120" t="s">
        <v>1903</v>
      </c>
      <c r="D514" s="120" t="s">
        <v>5041</v>
      </c>
      <c r="E514" s="176" t="str">
        <f t="shared" si="6"/>
        <v>Kitchen Hand Tools and Utensils</v>
      </c>
      <c r="F514" s="109" t="s">
        <v>200</v>
      </c>
    </row>
    <row r="515" spans="1:6" ht="15.65" customHeight="1" x14ac:dyDescent="0.35">
      <c r="A515" s="109" t="s">
        <v>200</v>
      </c>
      <c r="B515" s="120">
        <v>7340</v>
      </c>
      <c r="C515" s="120" t="s">
        <v>1903</v>
      </c>
      <c r="D515" s="120" t="s">
        <v>5042</v>
      </c>
      <c r="E515" s="176" t="str">
        <f t="shared" si="6"/>
        <v>Cutlery and Flatware</v>
      </c>
      <c r="F515" s="109" t="s">
        <v>200</v>
      </c>
    </row>
    <row r="516" spans="1:6" ht="15.65" customHeight="1" x14ac:dyDescent="0.35">
      <c r="A516" s="109" t="s">
        <v>200</v>
      </c>
      <c r="B516" s="120">
        <v>7350</v>
      </c>
      <c r="C516" s="120" t="s">
        <v>1903</v>
      </c>
      <c r="D516" s="120" t="s">
        <v>5043</v>
      </c>
      <c r="E516" s="176" t="str">
        <f t="shared" si="6"/>
        <v>Tableware</v>
      </c>
      <c r="F516" s="109" t="s">
        <v>200</v>
      </c>
    </row>
    <row r="517" spans="1:6" ht="15.65" customHeight="1" x14ac:dyDescent="0.35">
      <c r="A517" s="109" t="s">
        <v>200</v>
      </c>
      <c r="B517" s="120">
        <v>7360</v>
      </c>
      <c r="C517" s="120" t="s">
        <v>1903</v>
      </c>
      <c r="D517" s="120" t="s">
        <v>5044</v>
      </c>
      <c r="E517" s="176" t="str">
        <f t="shared" si="6"/>
        <v>Sets, Kits, and Outfits: Food Preparation and Serving</v>
      </c>
      <c r="F517" s="109" t="s">
        <v>200</v>
      </c>
    </row>
    <row r="518" spans="1:6" ht="15.65" customHeight="1" x14ac:dyDescent="0.35">
      <c r="A518" s="109" t="s">
        <v>200</v>
      </c>
      <c r="B518" s="120">
        <v>7420</v>
      </c>
      <c r="C518" s="120" t="s">
        <v>5045</v>
      </c>
      <c r="D518" s="120" t="s">
        <v>5046</v>
      </c>
      <c r="E518" s="176" t="str">
        <f t="shared" si="6"/>
        <v>Accounting and Calculating Machines</v>
      </c>
      <c r="F518" s="109" t="s">
        <v>200</v>
      </c>
    </row>
    <row r="519" spans="1:6" ht="15.65" customHeight="1" x14ac:dyDescent="0.35">
      <c r="A519" s="109" t="s">
        <v>200</v>
      </c>
      <c r="B519" s="4">
        <v>7430</v>
      </c>
      <c r="C519" s="120" t="s">
        <v>5045</v>
      </c>
      <c r="D519" s="120" t="s">
        <v>5047</v>
      </c>
      <c r="E519" s="176" t="str">
        <f t="shared" si="6"/>
        <v>Typewriters and Office Type Composing Machines</v>
      </c>
      <c r="F519" s="109" t="s">
        <v>200</v>
      </c>
    </row>
    <row r="520" spans="1:6" ht="15.65" customHeight="1" x14ac:dyDescent="0.35">
      <c r="A520" s="109" t="s">
        <v>200</v>
      </c>
      <c r="B520" s="120">
        <v>7435</v>
      </c>
      <c r="C520" s="120" t="s">
        <v>5045</v>
      </c>
      <c r="D520" s="120" t="s">
        <v>5048</v>
      </c>
      <c r="E520" s="176" t="str">
        <f t="shared" si="6"/>
        <v>Office Information System Equipment</v>
      </c>
      <c r="F520" s="109" t="s">
        <v>200</v>
      </c>
    </row>
    <row r="521" spans="1:6" ht="15.65" customHeight="1" x14ac:dyDescent="0.35">
      <c r="A521" s="109" t="s">
        <v>200</v>
      </c>
      <c r="B521" s="4">
        <v>7450</v>
      </c>
      <c r="C521" s="120" t="s">
        <v>5045</v>
      </c>
      <c r="D521" s="120" t="s">
        <v>5049</v>
      </c>
      <c r="E521" s="176" t="str">
        <f t="shared" si="6"/>
        <v>Office Type Sound Recording and Reproducing Machines</v>
      </c>
      <c r="F521" s="109" t="s">
        <v>200</v>
      </c>
    </row>
    <row r="522" spans="1:6" ht="15.65" customHeight="1" x14ac:dyDescent="0.35">
      <c r="A522" s="109" t="s">
        <v>200</v>
      </c>
      <c r="B522" s="120">
        <v>7460</v>
      </c>
      <c r="C522" s="120" t="s">
        <v>5045</v>
      </c>
      <c r="D522" s="120" t="s">
        <v>5050</v>
      </c>
      <c r="E522" s="176" t="str">
        <f t="shared" si="6"/>
        <v>Visible Record Equipment</v>
      </c>
      <c r="F522" s="109" t="s">
        <v>200</v>
      </c>
    </row>
    <row r="523" spans="1:6" ht="15.65" customHeight="1" x14ac:dyDescent="0.35">
      <c r="A523" s="109" t="s">
        <v>200</v>
      </c>
      <c r="B523" s="4">
        <v>7490</v>
      </c>
      <c r="C523" s="120" t="s">
        <v>5045</v>
      </c>
      <c r="D523" s="120" t="s">
        <v>5051</v>
      </c>
      <c r="E523" s="176" t="str">
        <f t="shared" ref="E523:E586" si="7">D523</f>
        <v>Miscellaneous Office Machines</v>
      </c>
      <c r="F523" s="109" t="s">
        <v>200</v>
      </c>
    </row>
    <row r="524" spans="1:6" ht="15.65" customHeight="1" x14ac:dyDescent="0.35">
      <c r="A524" s="109" t="s">
        <v>200</v>
      </c>
      <c r="B524" s="120">
        <v>7510</v>
      </c>
      <c r="C524" s="120" t="s">
        <v>5052</v>
      </c>
      <c r="D524" s="120" t="s">
        <v>5053</v>
      </c>
      <c r="E524" s="176" t="str">
        <f t="shared" si="7"/>
        <v>Office Supplies</v>
      </c>
      <c r="F524" s="109" t="s">
        <v>200</v>
      </c>
    </row>
    <row r="525" spans="1:6" ht="15.65" customHeight="1" x14ac:dyDescent="0.35">
      <c r="A525" s="109" t="s">
        <v>200</v>
      </c>
      <c r="B525" s="120">
        <v>7520</v>
      </c>
      <c r="C525" s="120" t="s">
        <v>5052</v>
      </c>
      <c r="D525" s="120" t="s">
        <v>5054</v>
      </c>
      <c r="E525" s="176" t="str">
        <f t="shared" si="7"/>
        <v>Office Devices and Accessories</v>
      </c>
      <c r="F525" s="109" t="s">
        <v>200</v>
      </c>
    </row>
    <row r="526" spans="1:6" ht="15.65" customHeight="1" x14ac:dyDescent="0.35">
      <c r="A526" s="109" t="s">
        <v>200</v>
      </c>
      <c r="B526" s="120">
        <v>7530</v>
      </c>
      <c r="C526" s="120" t="s">
        <v>5052</v>
      </c>
      <c r="D526" s="120" t="s">
        <v>5055</v>
      </c>
      <c r="E526" s="176" t="str">
        <f t="shared" si="7"/>
        <v>Stationery and Record Forms</v>
      </c>
      <c r="F526" s="109" t="s">
        <v>200</v>
      </c>
    </row>
    <row r="527" spans="1:6" ht="15.65" customHeight="1" x14ac:dyDescent="0.35">
      <c r="A527" s="109" t="s">
        <v>200</v>
      </c>
      <c r="B527" s="4">
        <v>7540</v>
      </c>
      <c r="C527" s="120" t="s">
        <v>5052</v>
      </c>
      <c r="D527" s="120" t="s">
        <v>5056</v>
      </c>
      <c r="E527" s="176" t="str">
        <f t="shared" si="7"/>
        <v>Standard Forms</v>
      </c>
      <c r="F527" s="109" t="s">
        <v>200</v>
      </c>
    </row>
    <row r="528" spans="1:6" ht="15.65" customHeight="1" x14ac:dyDescent="0.35">
      <c r="A528" s="109" t="s">
        <v>200</v>
      </c>
      <c r="B528" s="120">
        <v>7610</v>
      </c>
      <c r="C528" s="120" t="s">
        <v>5057</v>
      </c>
      <c r="D528" s="120" t="s">
        <v>5058</v>
      </c>
      <c r="E528" s="176" t="str">
        <f t="shared" si="7"/>
        <v>Books and Pamphlets</v>
      </c>
      <c r="F528" s="109" t="s">
        <v>200</v>
      </c>
    </row>
    <row r="529" spans="1:6" ht="15.65" customHeight="1" x14ac:dyDescent="0.35">
      <c r="A529" s="109" t="s">
        <v>200</v>
      </c>
      <c r="B529" s="120">
        <v>7630</v>
      </c>
      <c r="C529" s="120" t="s">
        <v>5057</v>
      </c>
      <c r="D529" s="120" t="s">
        <v>5059</v>
      </c>
      <c r="E529" s="176" t="str">
        <f t="shared" si="7"/>
        <v>Newspapers and Periodicals</v>
      </c>
      <c r="F529" s="109" t="s">
        <v>200</v>
      </c>
    </row>
    <row r="530" spans="1:6" ht="15.65" customHeight="1" x14ac:dyDescent="0.35">
      <c r="A530" s="109" t="s">
        <v>200</v>
      </c>
      <c r="B530" s="120">
        <v>7640</v>
      </c>
      <c r="C530" s="120" t="s">
        <v>5057</v>
      </c>
      <c r="D530" s="120" t="s">
        <v>5060</v>
      </c>
      <c r="E530" s="176" t="str">
        <f t="shared" si="7"/>
        <v>Maps, Atlases, Charts, and Globes</v>
      </c>
      <c r="F530" s="109" t="s">
        <v>200</v>
      </c>
    </row>
    <row r="531" spans="1:6" ht="15.65" customHeight="1" x14ac:dyDescent="0.35">
      <c r="A531" s="109" t="s">
        <v>200</v>
      </c>
      <c r="B531" s="120">
        <v>7650</v>
      </c>
      <c r="C531" s="120" t="s">
        <v>5057</v>
      </c>
      <c r="D531" s="120" t="s">
        <v>5061</v>
      </c>
      <c r="E531" s="176" t="str">
        <f t="shared" si="7"/>
        <v>Drawings and Specifications</v>
      </c>
      <c r="F531" s="109" t="s">
        <v>200</v>
      </c>
    </row>
    <row r="532" spans="1:6" ht="15.65" customHeight="1" x14ac:dyDescent="0.35">
      <c r="A532" s="109" t="s">
        <v>200</v>
      </c>
      <c r="B532" s="120">
        <v>7660</v>
      </c>
      <c r="C532" s="120" t="s">
        <v>5057</v>
      </c>
      <c r="D532" s="120" t="s">
        <v>5062</v>
      </c>
      <c r="E532" s="176" t="str">
        <f t="shared" si="7"/>
        <v>Sheet and Book Music</v>
      </c>
      <c r="F532" s="109" t="s">
        <v>200</v>
      </c>
    </row>
    <row r="533" spans="1:6" ht="15.65" customHeight="1" x14ac:dyDescent="0.35">
      <c r="A533" s="109" t="s">
        <v>200</v>
      </c>
      <c r="B533" s="120">
        <v>7670</v>
      </c>
      <c r="C533" s="120" t="s">
        <v>5057</v>
      </c>
      <c r="D533" s="120" t="s">
        <v>5063</v>
      </c>
      <c r="E533" s="176" t="str">
        <f t="shared" si="7"/>
        <v>Microfilm, Processed</v>
      </c>
      <c r="F533" s="109" t="s">
        <v>200</v>
      </c>
    </row>
    <row r="534" spans="1:6" ht="15.65" customHeight="1" x14ac:dyDescent="0.35">
      <c r="A534" s="109" t="s">
        <v>200</v>
      </c>
      <c r="B534" s="4">
        <v>7690</v>
      </c>
      <c r="C534" s="120" t="s">
        <v>5057</v>
      </c>
      <c r="D534" s="120" t="s">
        <v>5064</v>
      </c>
      <c r="E534" s="176" t="str">
        <f t="shared" si="7"/>
        <v>Miscellaneous Printed Matter</v>
      </c>
      <c r="F534" s="109" t="s">
        <v>200</v>
      </c>
    </row>
    <row r="535" spans="1:6" ht="15.65" customHeight="1" x14ac:dyDescent="0.35">
      <c r="A535" s="109" t="s">
        <v>200</v>
      </c>
      <c r="B535" s="120">
        <v>7710</v>
      </c>
      <c r="C535" s="120" t="s">
        <v>5065</v>
      </c>
      <c r="D535" s="120" t="s">
        <v>5066</v>
      </c>
      <c r="E535" s="176" t="str">
        <f t="shared" si="7"/>
        <v>Musical Instruments</v>
      </c>
      <c r="F535" s="109" t="s">
        <v>200</v>
      </c>
    </row>
    <row r="536" spans="1:6" ht="15.65" customHeight="1" x14ac:dyDescent="0.35">
      <c r="A536" s="109" t="s">
        <v>200</v>
      </c>
      <c r="B536" s="4">
        <v>7720</v>
      </c>
      <c r="C536" s="120" t="s">
        <v>5065</v>
      </c>
      <c r="D536" s="120" t="s">
        <v>5067</v>
      </c>
      <c r="E536" s="176" t="str">
        <f t="shared" si="7"/>
        <v>Musical Instrument Parts and Accessories</v>
      </c>
      <c r="F536" s="109" t="s">
        <v>200</v>
      </c>
    </row>
    <row r="537" spans="1:6" ht="15.65" customHeight="1" x14ac:dyDescent="0.35">
      <c r="A537" s="109" t="s">
        <v>200</v>
      </c>
      <c r="B537" s="120">
        <v>7730</v>
      </c>
      <c r="C537" s="120" t="s">
        <v>5065</v>
      </c>
      <c r="D537" s="120" t="s">
        <v>5068</v>
      </c>
      <c r="E537" s="176" t="str">
        <f t="shared" si="7"/>
        <v>Phonographs, Radios, and Television Sets: Home Type</v>
      </c>
      <c r="F537" s="109" t="s">
        <v>200</v>
      </c>
    </row>
    <row r="538" spans="1:6" ht="15.65" customHeight="1" x14ac:dyDescent="0.35">
      <c r="A538" s="109" t="s">
        <v>200</v>
      </c>
      <c r="B538" s="120">
        <v>7735</v>
      </c>
      <c r="C538" s="120" t="s">
        <v>5065</v>
      </c>
      <c r="D538" s="120" t="s">
        <v>5069</v>
      </c>
      <c r="E538" s="176" t="str">
        <f t="shared" si="7"/>
        <v>Parts and Accessories of Phonographs, Radios, and Television Sets: Home Type</v>
      </c>
      <c r="F538" s="109" t="s">
        <v>200</v>
      </c>
    </row>
    <row r="539" spans="1:6" ht="15.65" customHeight="1" x14ac:dyDescent="0.35">
      <c r="A539" s="109" t="s">
        <v>200</v>
      </c>
      <c r="B539" s="120">
        <v>7740</v>
      </c>
      <c r="C539" s="120" t="s">
        <v>5065</v>
      </c>
      <c r="D539" s="120" t="s">
        <v>5070</v>
      </c>
      <c r="E539" s="176" t="str">
        <f t="shared" si="7"/>
        <v>Phonograph Records</v>
      </c>
      <c r="F539" s="109" t="s">
        <v>200</v>
      </c>
    </row>
    <row r="540" spans="1:6" ht="15.65" customHeight="1" x14ac:dyDescent="0.35">
      <c r="A540" s="109" t="s">
        <v>200</v>
      </c>
      <c r="B540" s="120">
        <v>7810</v>
      </c>
      <c r="C540" s="120" t="s">
        <v>5071</v>
      </c>
      <c r="D540" s="120" t="s">
        <v>5072</v>
      </c>
      <c r="E540" s="176" t="str">
        <f t="shared" si="7"/>
        <v>Athletic and Sporting Equipment</v>
      </c>
      <c r="F540" s="109" t="s">
        <v>200</v>
      </c>
    </row>
    <row r="541" spans="1:6" ht="15.65" customHeight="1" x14ac:dyDescent="0.35">
      <c r="A541" s="109" t="s">
        <v>200</v>
      </c>
      <c r="B541" s="120">
        <v>7820</v>
      </c>
      <c r="C541" s="120" t="s">
        <v>5071</v>
      </c>
      <c r="D541" s="120" t="s">
        <v>5073</v>
      </c>
      <c r="E541" s="176" t="str">
        <f t="shared" si="7"/>
        <v>Games, Toys, and Wheeled Goods</v>
      </c>
      <c r="F541" s="109" t="s">
        <v>200</v>
      </c>
    </row>
    <row r="542" spans="1:6" ht="15.65" customHeight="1" x14ac:dyDescent="0.35">
      <c r="A542" s="109" t="s">
        <v>200</v>
      </c>
      <c r="B542" s="120">
        <v>7830</v>
      </c>
      <c r="C542" s="120" t="s">
        <v>5071</v>
      </c>
      <c r="D542" s="120" t="s">
        <v>5074</v>
      </c>
      <c r="E542" s="176" t="str">
        <f t="shared" si="7"/>
        <v>Recreational and Gymnastic Equipment</v>
      </c>
      <c r="F542" s="109" t="s">
        <v>200</v>
      </c>
    </row>
    <row r="543" spans="1:6" ht="15.65" customHeight="1" x14ac:dyDescent="0.35">
      <c r="A543" s="109" t="s">
        <v>200</v>
      </c>
      <c r="B543" s="120">
        <v>7910</v>
      </c>
      <c r="C543" s="120" t="s">
        <v>5075</v>
      </c>
      <c r="D543" s="120" t="s">
        <v>5076</v>
      </c>
      <c r="E543" s="176" t="str">
        <f t="shared" si="7"/>
        <v>Floor Polishers and Vacuum Cleaning Equipment</v>
      </c>
      <c r="F543" s="109" t="s">
        <v>200</v>
      </c>
    </row>
    <row r="544" spans="1:6" ht="15.65" customHeight="1" x14ac:dyDescent="0.35">
      <c r="A544" s="109" t="s">
        <v>200</v>
      </c>
      <c r="B544" s="4">
        <v>7920</v>
      </c>
      <c r="C544" s="120" t="s">
        <v>5075</v>
      </c>
      <c r="D544" s="120" t="s">
        <v>5077</v>
      </c>
      <c r="E544" s="176" t="str">
        <f t="shared" si="7"/>
        <v>Brooms, Brushes, Mops, and Sponges</v>
      </c>
      <c r="F544" s="109" t="s">
        <v>200</v>
      </c>
    </row>
    <row r="545" spans="1:6" ht="15.65" customHeight="1" x14ac:dyDescent="0.35">
      <c r="A545" s="109" t="s">
        <v>200</v>
      </c>
      <c r="B545" s="120">
        <v>7930</v>
      </c>
      <c r="C545" s="120" t="s">
        <v>5075</v>
      </c>
      <c r="D545" s="120" t="s">
        <v>5078</v>
      </c>
      <c r="E545" s="176" t="str">
        <f t="shared" si="7"/>
        <v>Cleaning and Polishing Compounds and Preparations</v>
      </c>
      <c r="F545" s="109" t="s">
        <v>200</v>
      </c>
    </row>
    <row r="546" spans="1:6" ht="15.65" customHeight="1" x14ac:dyDescent="0.35">
      <c r="A546" s="109" t="s">
        <v>200</v>
      </c>
      <c r="B546" s="4">
        <v>8010</v>
      </c>
      <c r="C546" s="120" t="s">
        <v>3083</v>
      </c>
      <c r="D546" s="120" t="s">
        <v>5079</v>
      </c>
      <c r="E546" s="176" t="str">
        <f t="shared" si="7"/>
        <v>Paints, Dopes, Varnishes, and Related Products</v>
      </c>
      <c r="F546" s="109" t="s">
        <v>200</v>
      </c>
    </row>
    <row r="547" spans="1:6" ht="15.65" customHeight="1" x14ac:dyDescent="0.35">
      <c r="A547" s="109" t="s">
        <v>200</v>
      </c>
      <c r="B547" s="120">
        <v>8020</v>
      </c>
      <c r="C547" s="120" t="s">
        <v>3083</v>
      </c>
      <c r="D547" s="120" t="s">
        <v>5080</v>
      </c>
      <c r="E547" s="176" t="str">
        <f t="shared" si="7"/>
        <v>Paint and Artists' Brushes</v>
      </c>
      <c r="F547" s="109" t="s">
        <v>200</v>
      </c>
    </row>
    <row r="548" spans="1:6" ht="15.65" customHeight="1" x14ac:dyDescent="0.35">
      <c r="A548" s="109" t="s">
        <v>200</v>
      </c>
      <c r="B548" s="120">
        <v>8030</v>
      </c>
      <c r="C548" s="120" t="s">
        <v>3083</v>
      </c>
      <c r="D548" s="120" t="s">
        <v>5081</v>
      </c>
      <c r="E548" s="176" t="str">
        <f t="shared" si="7"/>
        <v>Preservative and Sealing Compounds</v>
      </c>
      <c r="F548" s="109" t="s">
        <v>200</v>
      </c>
    </row>
    <row r="549" spans="1:6" ht="15.65" customHeight="1" x14ac:dyDescent="0.35">
      <c r="A549" s="109" t="s">
        <v>200</v>
      </c>
      <c r="B549" s="120">
        <v>8040</v>
      </c>
      <c r="C549" s="120" t="s">
        <v>3083</v>
      </c>
      <c r="D549" s="120" t="s">
        <v>3084</v>
      </c>
      <c r="E549" s="176" t="str">
        <f t="shared" si="7"/>
        <v>Adhesives</v>
      </c>
      <c r="F549" s="109" t="s">
        <v>200</v>
      </c>
    </row>
    <row r="550" spans="1:6" ht="15.65" customHeight="1" x14ac:dyDescent="0.35">
      <c r="A550" s="109" t="s">
        <v>200</v>
      </c>
      <c r="B550" s="120">
        <v>8105</v>
      </c>
      <c r="C550" s="120" t="s">
        <v>300</v>
      </c>
      <c r="D550" s="120" t="s">
        <v>5082</v>
      </c>
      <c r="E550" s="176" t="str">
        <f t="shared" si="7"/>
        <v>Bags and Sacks</v>
      </c>
      <c r="F550" s="109" t="s">
        <v>200</v>
      </c>
    </row>
    <row r="551" spans="1:6" ht="15.65" customHeight="1" x14ac:dyDescent="0.35">
      <c r="A551" s="109" t="s">
        <v>200</v>
      </c>
      <c r="B551" s="120">
        <v>8110</v>
      </c>
      <c r="C551" s="120" t="s">
        <v>300</v>
      </c>
      <c r="D551" s="120" t="s">
        <v>5083</v>
      </c>
      <c r="E551" s="176" t="str">
        <f t="shared" si="7"/>
        <v>Drums and Cans</v>
      </c>
      <c r="F551" s="109" t="s">
        <v>200</v>
      </c>
    </row>
    <row r="552" spans="1:6" ht="15.65" customHeight="1" x14ac:dyDescent="0.35">
      <c r="A552" s="109" t="s">
        <v>200</v>
      </c>
      <c r="B552" s="120">
        <v>8115</v>
      </c>
      <c r="C552" s="120" t="s">
        <v>300</v>
      </c>
      <c r="D552" s="120" t="s">
        <v>5084</v>
      </c>
      <c r="E552" s="176" t="str">
        <f t="shared" si="7"/>
        <v>Boxes, Cartons, and Crates</v>
      </c>
      <c r="F552" s="109" t="s">
        <v>200</v>
      </c>
    </row>
    <row r="553" spans="1:6" ht="15.65" customHeight="1" x14ac:dyDescent="0.35">
      <c r="A553" s="109" t="s">
        <v>200</v>
      </c>
      <c r="B553" s="120">
        <v>8120</v>
      </c>
      <c r="C553" s="120" t="s">
        <v>300</v>
      </c>
      <c r="D553" s="120" t="s">
        <v>5085</v>
      </c>
      <c r="E553" s="176" t="str">
        <f t="shared" si="7"/>
        <v>Commercial and Industrial Gas Cylinders</v>
      </c>
      <c r="F553" s="109" t="s">
        <v>200</v>
      </c>
    </row>
    <row r="554" spans="1:6" ht="15.65" customHeight="1" x14ac:dyDescent="0.35">
      <c r="A554" s="109" t="s">
        <v>200</v>
      </c>
      <c r="B554" s="120">
        <v>8125</v>
      </c>
      <c r="C554" s="120" t="s">
        <v>300</v>
      </c>
      <c r="D554" s="120" t="s">
        <v>5086</v>
      </c>
      <c r="E554" s="176" t="str">
        <f t="shared" si="7"/>
        <v>Bottles and Jars</v>
      </c>
      <c r="F554" s="109" t="s">
        <v>200</v>
      </c>
    </row>
    <row r="555" spans="1:6" ht="15.65" customHeight="1" x14ac:dyDescent="0.35">
      <c r="A555" s="109" t="s">
        <v>200</v>
      </c>
      <c r="B555" s="120">
        <v>8130</v>
      </c>
      <c r="C555" s="120" t="s">
        <v>300</v>
      </c>
      <c r="D555" s="120" t="s">
        <v>5087</v>
      </c>
      <c r="E555" s="176" t="str">
        <f t="shared" si="7"/>
        <v>Reels and Spools</v>
      </c>
      <c r="F555" s="109" t="s">
        <v>200</v>
      </c>
    </row>
    <row r="556" spans="1:6" ht="15.65" customHeight="1" x14ac:dyDescent="0.35">
      <c r="A556" s="109" t="s">
        <v>200</v>
      </c>
      <c r="B556" s="120">
        <v>8135</v>
      </c>
      <c r="C556" s="120" t="s">
        <v>300</v>
      </c>
      <c r="D556" s="120" t="s">
        <v>5088</v>
      </c>
      <c r="E556" s="176" t="str">
        <f t="shared" si="7"/>
        <v>Packaging and Packing Bulk Materials</v>
      </c>
      <c r="F556" s="109" t="s">
        <v>200</v>
      </c>
    </row>
    <row r="557" spans="1:6" ht="15.65" customHeight="1" x14ac:dyDescent="0.35">
      <c r="B557" s="120">
        <v>8140</v>
      </c>
      <c r="C557" s="120" t="s">
        <v>300</v>
      </c>
      <c r="D557" s="120" t="s">
        <v>5089</v>
      </c>
      <c r="E557" s="176" t="str">
        <f t="shared" si="7"/>
        <v>Ammunition and Nuclear Ordnance Boxes, Packages and Special Containers</v>
      </c>
    </row>
    <row r="558" spans="1:6" ht="15.65" customHeight="1" x14ac:dyDescent="0.35">
      <c r="B558" s="154">
        <v>8145</v>
      </c>
      <c r="C558" s="120" t="s">
        <v>300</v>
      </c>
      <c r="D558" s="120" t="s">
        <v>301</v>
      </c>
      <c r="E558" s="176" t="str">
        <f t="shared" si="7"/>
        <v>Specialized Shipping and Storage Containers</v>
      </c>
    </row>
    <row r="559" spans="1:6" ht="15.65" customHeight="1" x14ac:dyDescent="0.35">
      <c r="B559" s="120">
        <v>8305</v>
      </c>
      <c r="C559" s="120" t="s">
        <v>5090</v>
      </c>
      <c r="D559" s="120" t="s">
        <v>5091</v>
      </c>
      <c r="E559" s="176" t="str">
        <f t="shared" si="7"/>
        <v>Textile Fabrics</v>
      </c>
    </row>
    <row r="560" spans="1:6" ht="15.65" customHeight="1" x14ac:dyDescent="0.35">
      <c r="B560" s="120">
        <v>8310</v>
      </c>
      <c r="C560" s="120" t="s">
        <v>5090</v>
      </c>
      <c r="D560" s="120" t="s">
        <v>5092</v>
      </c>
      <c r="E560" s="176" t="str">
        <f t="shared" si="7"/>
        <v>Yarn and Threads</v>
      </c>
    </row>
    <row r="561" spans="2:5" ht="15.65" customHeight="1" x14ac:dyDescent="0.35">
      <c r="B561" s="120">
        <v>8315</v>
      </c>
      <c r="C561" s="120" t="s">
        <v>5090</v>
      </c>
      <c r="D561" s="120" t="s">
        <v>5093</v>
      </c>
      <c r="E561" s="176" t="str">
        <f t="shared" si="7"/>
        <v>Notions and Apparel Findings</v>
      </c>
    </row>
    <row r="562" spans="2:5" ht="15.65" customHeight="1" x14ac:dyDescent="0.35">
      <c r="B562" s="120">
        <v>8320</v>
      </c>
      <c r="C562" s="120" t="s">
        <v>5090</v>
      </c>
      <c r="D562" s="120" t="s">
        <v>5094</v>
      </c>
      <c r="E562" s="176" t="str">
        <f t="shared" si="7"/>
        <v>Padding and Stuffing Materials</v>
      </c>
    </row>
    <row r="563" spans="2:5" ht="15.65" customHeight="1" x14ac:dyDescent="0.35">
      <c r="B563" s="120">
        <v>8325</v>
      </c>
      <c r="C563" s="120" t="s">
        <v>5090</v>
      </c>
      <c r="D563" s="120" t="s">
        <v>5095</v>
      </c>
      <c r="E563" s="176" t="str">
        <f t="shared" si="7"/>
        <v>Fur Materials</v>
      </c>
    </row>
    <row r="564" spans="2:5" ht="15.65" customHeight="1" x14ac:dyDescent="0.35">
      <c r="B564" s="120">
        <v>8330</v>
      </c>
      <c r="C564" s="120" t="s">
        <v>5090</v>
      </c>
      <c r="D564" s="120" t="s">
        <v>5096</v>
      </c>
      <c r="E564" s="176" t="str">
        <f t="shared" si="7"/>
        <v>Leather</v>
      </c>
    </row>
    <row r="565" spans="2:5" ht="15.65" customHeight="1" x14ac:dyDescent="0.35">
      <c r="B565" s="120">
        <v>8335</v>
      </c>
      <c r="C565" s="120" t="s">
        <v>5090</v>
      </c>
      <c r="D565" s="120" t="s">
        <v>5097</v>
      </c>
      <c r="E565" s="176" t="str">
        <f t="shared" si="7"/>
        <v>Shoe Findings and Soling Materials</v>
      </c>
    </row>
    <row r="566" spans="2:5" ht="15.65" customHeight="1" x14ac:dyDescent="0.35">
      <c r="B566" s="120">
        <v>8340</v>
      </c>
      <c r="C566" s="120" t="s">
        <v>5090</v>
      </c>
      <c r="D566" s="120" t="s">
        <v>5098</v>
      </c>
      <c r="E566" s="176" t="str">
        <f t="shared" si="7"/>
        <v>Tents and Tarpaulins</v>
      </c>
    </row>
    <row r="567" spans="2:5" ht="15.65" customHeight="1" x14ac:dyDescent="0.35">
      <c r="B567" s="120">
        <v>8345</v>
      </c>
      <c r="C567" s="120" t="s">
        <v>5090</v>
      </c>
      <c r="D567" s="120" t="s">
        <v>5099</v>
      </c>
      <c r="E567" s="176" t="str">
        <f t="shared" si="7"/>
        <v>Flags and Pennants</v>
      </c>
    </row>
    <row r="568" spans="2:5" ht="15.65" customHeight="1" x14ac:dyDescent="0.35">
      <c r="B568" s="120">
        <v>8405</v>
      </c>
      <c r="C568" s="120" t="s">
        <v>221</v>
      </c>
      <c r="D568" s="120" t="s">
        <v>5100</v>
      </c>
      <c r="E568" s="176" t="str">
        <f t="shared" si="7"/>
        <v>Outerwear, Men's</v>
      </c>
    </row>
    <row r="569" spans="2:5" ht="15.65" customHeight="1" x14ac:dyDescent="0.35">
      <c r="B569" s="120">
        <v>8410</v>
      </c>
      <c r="C569" s="120" t="s">
        <v>221</v>
      </c>
      <c r="D569" s="120" t="s">
        <v>5101</v>
      </c>
      <c r="E569" s="176" t="str">
        <f t="shared" si="7"/>
        <v>Outerwear, Women's</v>
      </c>
    </row>
    <row r="570" spans="2:5" ht="15.65" customHeight="1" x14ac:dyDescent="0.35">
      <c r="B570" s="154">
        <v>8415</v>
      </c>
      <c r="C570" s="120" t="s">
        <v>221</v>
      </c>
      <c r="D570" s="120" t="s">
        <v>222</v>
      </c>
      <c r="E570" s="176" t="str">
        <f t="shared" si="7"/>
        <v>Clothing, Special Purpose</v>
      </c>
    </row>
    <row r="571" spans="2:5" ht="15.65" customHeight="1" x14ac:dyDescent="0.35">
      <c r="B571" s="120">
        <v>8420</v>
      </c>
      <c r="C571" s="120" t="s">
        <v>221</v>
      </c>
      <c r="D571" s="120" t="s">
        <v>5102</v>
      </c>
      <c r="E571" s="176" t="str">
        <f t="shared" si="7"/>
        <v>Underwear and Nightwear, Men's</v>
      </c>
    </row>
    <row r="572" spans="2:5" ht="15.65" customHeight="1" x14ac:dyDescent="0.35">
      <c r="B572" s="120">
        <v>8425</v>
      </c>
      <c r="C572" s="120" t="s">
        <v>221</v>
      </c>
      <c r="D572" s="120" t="s">
        <v>5103</v>
      </c>
      <c r="E572" s="176" t="str">
        <f t="shared" si="7"/>
        <v>Underwear and Nightwear, Women's</v>
      </c>
    </row>
    <row r="573" spans="2:5" ht="15.65" customHeight="1" x14ac:dyDescent="0.35">
      <c r="B573" s="120">
        <v>8430</v>
      </c>
      <c r="C573" s="120" t="s">
        <v>221</v>
      </c>
      <c r="D573" s="120" t="s">
        <v>5104</v>
      </c>
      <c r="E573" s="176" t="str">
        <f t="shared" si="7"/>
        <v>Footwear, Men's</v>
      </c>
    </row>
    <row r="574" spans="2:5" ht="15.65" customHeight="1" x14ac:dyDescent="0.35">
      <c r="B574" s="120">
        <v>8435</v>
      </c>
      <c r="C574" s="120" t="s">
        <v>221</v>
      </c>
      <c r="D574" s="120" t="s">
        <v>5105</v>
      </c>
      <c r="E574" s="176" t="str">
        <f t="shared" si="7"/>
        <v>Footwear, Women's</v>
      </c>
    </row>
    <row r="575" spans="2:5" ht="15.65" customHeight="1" x14ac:dyDescent="0.35">
      <c r="B575" s="120">
        <v>8440</v>
      </c>
      <c r="C575" s="120" t="s">
        <v>221</v>
      </c>
      <c r="D575" s="120" t="s">
        <v>5106</v>
      </c>
      <c r="E575" s="176" t="str">
        <f t="shared" si="7"/>
        <v>Hosiery, Handwear, and Clothing Accessories, Men's</v>
      </c>
    </row>
    <row r="576" spans="2:5" ht="15.65" customHeight="1" x14ac:dyDescent="0.35">
      <c r="B576" s="120">
        <v>8445</v>
      </c>
      <c r="C576" s="120" t="s">
        <v>221</v>
      </c>
      <c r="D576" s="120" t="s">
        <v>5107</v>
      </c>
      <c r="E576" s="176" t="str">
        <f t="shared" si="7"/>
        <v>Hosiery, Handwear, and Clothing Accessories, Women's</v>
      </c>
    </row>
    <row r="577" spans="2:5" ht="15.65" customHeight="1" x14ac:dyDescent="0.35">
      <c r="B577" s="120">
        <v>8450</v>
      </c>
      <c r="C577" s="120" t="s">
        <v>221</v>
      </c>
      <c r="D577" s="120" t="s">
        <v>5108</v>
      </c>
      <c r="E577" s="176" t="str">
        <f t="shared" si="7"/>
        <v>Children's and Infant's Apparel and Accessories</v>
      </c>
    </row>
    <row r="578" spans="2:5" ht="15.65" customHeight="1" x14ac:dyDescent="0.35">
      <c r="B578" s="120">
        <v>8455</v>
      </c>
      <c r="C578" s="120" t="s">
        <v>221</v>
      </c>
      <c r="D578" s="120" t="s">
        <v>5109</v>
      </c>
      <c r="E578" s="176" t="str">
        <f t="shared" si="7"/>
        <v>Badges and Insignia</v>
      </c>
    </row>
    <row r="579" spans="2:5" ht="15.65" customHeight="1" x14ac:dyDescent="0.35">
      <c r="B579" s="120">
        <v>8460</v>
      </c>
      <c r="C579" s="120" t="s">
        <v>221</v>
      </c>
      <c r="D579" s="120" t="s">
        <v>5110</v>
      </c>
      <c r="E579" s="176" t="str">
        <f t="shared" si="7"/>
        <v>Luggage</v>
      </c>
    </row>
    <row r="580" spans="2:5" ht="15.65" customHeight="1" x14ac:dyDescent="0.35">
      <c r="B580" s="120">
        <v>8465</v>
      </c>
      <c r="C580" s="120" t="s">
        <v>221</v>
      </c>
      <c r="D580" s="120" t="s">
        <v>671</v>
      </c>
      <c r="E580" s="176" t="str">
        <f t="shared" si="7"/>
        <v>Individual Equipment</v>
      </c>
    </row>
    <row r="581" spans="2:5" ht="15.65" customHeight="1" x14ac:dyDescent="0.35">
      <c r="B581" s="120">
        <v>8470</v>
      </c>
      <c r="C581" s="120" t="s">
        <v>221</v>
      </c>
      <c r="D581" s="120" t="s">
        <v>666</v>
      </c>
      <c r="E581" s="176" t="str">
        <f t="shared" si="7"/>
        <v>Armor, Personal</v>
      </c>
    </row>
    <row r="582" spans="2:5" ht="15.65" customHeight="1" x14ac:dyDescent="0.35">
      <c r="B582" s="120">
        <v>8475</v>
      </c>
      <c r="C582" s="120" t="s">
        <v>221</v>
      </c>
      <c r="D582" s="120" t="s">
        <v>5111</v>
      </c>
      <c r="E582" s="176" t="str">
        <f t="shared" si="7"/>
        <v>Specialized Flight Clothing and Accessories</v>
      </c>
    </row>
    <row r="583" spans="2:5" ht="15.65" customHeight="1" x14ac:dyDescent="0.35">
      <c r="B583" s="120">
        <v>8510</v>
      </c>
      <c r="C583" s="120" t="s">
        <v>5112</v>
      </c>
      <c r="D583" s="120" t="s">
        <v>5113</v>
      </c>
      <c r="E583" s="176" t="str">
        <f t="shared" si="7"/>
        <v>Perfumes, Toilet Preparations, and Powders</v>
      </c>
    </row>
    <row r="584" spans="2:5" ht="15.65" customHeight="1" x14ac:dyDescent="0.35">
      <c r="B584" s="120">
        <v>8520</v>
      </c>
      <c r="C584" s="120" t="s">
        <v>5112</v>
      </c>
      <c r="D584" s="120" t="s">
        <v>5114</v>
      </c>
      <c r="E584" s="176" t="str">
        <f t="shared" si="7"/>
        <v>Toilet Soap, Shaving Preparations, and Dentifrices</v>
      </c>
    </row>
    <row r="585" spans="2:5" ht="15.65" customHeight="1" x14ac:dyDescent="0.35">
      <c r="B585" s="120">
        <v>8530</v>
      </c>
      <c r="C585" s="120" t="s">
        <v>5112</v>
      </c>
      <c r="D585" s="120" t="s">
        <v>5115</v>
      </c>
      <c r="E585" s="176" t="str">
        <f t="shared" si="7"/>
        <v>Personal Toiletry Articles</v>
      </c>
    </row>
    <row r="586" spans="2:5" ht="15.65" customHeight="1" x14ac:dyDescent="0.35">
      <c r="B586" s="120">
        <v>8540</v>
      </c>
      <c r="C586" s="120" t="s">
        <v>5112</v>
      </c>
      <c r="D586" s="120" t="s">
        <v>5116</v>
      </c>
      <c r="E586" s="176" t="str">
        <f t="shared" si="7"/>
        <v>Toiletry Paper Products</v>
      </c>
    </row>
    <row r="587" spans="2:5" ht="15.65" customHeight="1" x14ac:dyDescent="0.35">
      <c r="B587" s="120">
        <v>8710</v>
      </c>
      <c r="C587" s="120" t="s">
        <v>5117</v>
      </c>
      <c r="D587" s="120" t="s">
        <v>5118</v>
      </c>
      <c r="E587" s="176" t="str">
        <f t="shared" ref="E587:E647" si="8">D587</f>
        <v>Forage and Feed</v>
      </c>
    </row>
    <row r="588" spans="2:5" ht="15.65" customHeight="1" x14ac:dyDescent="0.35">
      <c r="B588" s="120">
        <v>8720</v>
      </c>
      <c r="C588" s="120" t="s">
        <v>5117</v>
      </c>
      <c r="D588" s="120" t="s">
        <v>5119</v>
      </c>
      <c r="E588" s="176" t="str">
        <f t="shared" si="8"/>
        <v>Fertilizers</v>
      </c>
    </row>
    <row r="589" spans="2:5" ht="15.65" customHeight="1" x14ac:dyDescent="0.35">
      <c r="B589" s="120">
        <v>8730</v>
      </c>
      <c r="C589" s="120" t="s">
        <v>5117</v>
      </c>
      <c r="D589" s="120" t="s">
        <v>5120</v>
      </c>
      <c r="E589" s="176" t="str">
        <f t="shared" si="8"/>
        <v>Seeds and Nursery Stock</v>
      </c>
    </row>
    <row r="590" spans="2:5" ht="15.65" customHeight="1" x14ac:dyDescent="0.35">
      <c r="B590" s="120">
        <v>8810</v>
      </c>
      <c r="C590" s="120" t="s">
        <v>5121</v>
      </c>
      <c r="D590" s="120" t="s">
        <v>5122</v>
      </c>
      <c r="E590" s="176" t="str">
        <f t="shared" si="8"/>
        <v>Live Animals, Raised for Food</v>
      </c>
    </row>
    <row r="591" spans="2:5" ht="15.65" customHeight="1" x14ac:dyDescent="0.35">
      <c r="B591" s="120">
        <v>8820</v>
      </c>
      <c r="C591" s="120" t="s">
        <v>5121</v>
      </c>
      <c r="D591" s="120" t="s">
        <v>5123</v>
      </c>
      <c r="E591" s="176" t="str">
        <f t="shared" si="8"/>
        <v>Live Animals, Not Raised for Food</v>
      </c>
    </row>
    <row r="592" spans="2:5" ht="15.65" customHeight="1" x14ac:dyDescent="0.35">
      <c r="B592" s="120">
        <v>8905</v>
      </c>
      <c r="C592" s="120" t="s">
        <v>5124</v>
      </c>
      <c r="D592" s="120" t="s">
        <v>5125</v>
      </c>
      <c r="E592" s="176" t="str">
        <f t="shared" si="8"/>
        <v>Meat, Poultry, and Fish</v>
      </c>
    </row>
    <row r="593" spans="2:5" ht="15.65" customHeight="1" x14ac:dyDescent="0.35">
      <c r="B593" s="120">
        <v>8910</v>
      </c>
      <c r="C593" s="120" t="s">
        <v>5124</v>
      </c>
      <c r="D593" s="120" t="s">
        <v>5126</v>
      </c>
      <c r="E593" s="176" t="str">
        <f t="shared" si="8"/>
        <v>Dairy Foods and Eggs</v>
      </c>
    </row>
    <row r="594" spans="2:5" ht="15.65" customHeight="1" x14ac:dyDescent="0.35">
      <c r="B594" s="120">
        <v>8915</v>
      </c>
      <c r="C594" s="120" t="s">
        <v>5124</v>
      </c>
      <c r="D594" s="120" t="s">
        <v>5127</v>
      </c>
      <c r="E594" s="176" t="str">
        <f t="shared" si="8"/>
        <v>Fruits and Vegetables</v>
      </c>
    </row>
    <row r="595" spans="2:5" ht="15.65" customHeight="1" x14ac:dyDescent="0.35">
      <c r="B595" s="120">
        <v>8920</v>
      </c>
      <c r="C595" s="120" t="s">
        <v>5124</v>
      </c>
      <c r="D595" s="120" t="s">
        <v>5128</v>
      </c>
      <c r="E595" s="176" t="str">
        <f t="shared" si="8"/>
        <v>Bakery and Cereal Products</v>
      </c>
    </row>
    <row r="596" spans="2:5" ht="15.65" customHeight="1" x14ac:dyDescent="0.35">
      <c r="B596" s="120">
        <v>8925</v>
      </c>
      <c r="C596" s="120" t="s">
        <v>5124</v>
      </c>
      <c r="D596" s="120" t="s">
        <v>5129</v>
      </c>
      <c r="E596" s="176" t="str">
        <f t="shared" si="8"/>
        <v>Sugar, Confectionery, and Nuts</v>
      </c>
    </row>
    <row r="597" spans="2:5" ht="15.65" customHeight="1" x14ac:dyDescent="0.35">
      <c r="B597" s="120">
        <v>8930</v>
      </c>
      <c r="C597" s="120" t="s">
        <v>5124</v>
      </c>
      <c r="D597" s="120" t="s">
        <v>5130</v>
      </c>
      <c r="E597" s="176" t="str">
        <f t="shared" si="8"/>
        <v>Jams, Jellies, and Preserves</v>
      </c>
    </row>
    <row r="598" spans="2:5" ht="15.65" customHeight="1" x14ac:dyDescent="0.35">
      <c r="B598" s="120">
        <v>8935</v>
      </c>
      <c r="C598" s="120" t="s">
        <v>5124</v>
      </c>
      <c r="D598" s="120" t="s">
        <v>5131</v>
      </c>
      <c r="E598" s="176" t="str">
        <f t="shared" si="8"/>
        <v>Soups and Bouillons</v>
      </c>
    </row>
    <row r="599" spans="2:5" ht="15.65" customHeight="1" x14ac:dyDescent="0.35">
      <c r="B599" s="120">
        <v>8940</v>
      </c>
      <c r="C599" s="120" t="s">
        <v>5124</v>
      </c>
      <c r="D599" s="120" t="s">
        <v>5132</v>
      </c>
      <c r="E599" s="176" t="str">
        <f t="shared" si="8"/>
        <v>Special Dietary Foods and Food Specialty Preparations</v>
      </c>
    </row>
    <row r="600" spans="2:5" ht="15.65" customHeight="1" x14ac:dyDescent="0.35">
      <c r="B600" s="120">
        <v>8945</v>
      </c>
      <c r="C600" s="120" t="s">
        <v>5124</v>
      </c>
      <c r="D600" s="120" t="s">
        <v>5133</v>
      </c>
      <c r="E600" s="176" t="str">
        <f t="shared" si="8"/>
        <v>Food, Oils and Fats</v>
      </c>
    </row>
    <row r="601" spans="2:5" ht="15.65" customHeight="1" x14ac:dyDescent="0.35">
      <c r="B601" s="120">
        <v>8950</v>
      </c>
      <c r="C601" s="120" t="s">
        <v>5124</v>
      </c>
      <c r="D601" s="120" t="s">
        <v>5134</v>
      </c>
      <c r="E601" s="176" t="str">
        <f t="shared" si="8"/>
        <v>Condiments and Related Products</v>
      </c>
    </row>
    <row r="602" spans="2:5" ht="15.65" customHeight="1" x14ac:dyDescent="0.35">
      <c r="B602" s="120">
        <v>8955</v>
      </c>
      <c r="C602" s="120" t="s">
        <v>5124</v>
      </c>
      <c r="D602" s="120" t="s">
        <v>5135</v>
      </c>
      <c r="E602" s="176" t="str">
        <f t="shared" si="8"/>
        <v>Coffee, Tea, and Cocoa</v>
      </c>
    </row>
    <row r="603" spans="2:5" ht="15.65" customHeight="1" x14ac:dyDescent="0.35">
      <c r="B603" s="120">
        <v>8960</v>
      </c>
      <c r="C603" s="120" t="s">
        <v>5124</v>
      </c>
      <c r="D603" s="120" t="s">
        <v>5136</v>
      </c>
      <c r="E603" s="176" t="str">
        <f t="shared" si="8"/>
        <v>Beverages, Nonalcoholic</v>
      </c>
    </row>
    <row r="604" spans="2:5" ht="15.65" customHeight="1" x14ac:dyDescent="0.35">
      <c r="B604" s="120">
        <v>8965</v>
      </c>
      <c r="C604" s="120" t="s">
        <v>5124</v>
      </c>
      <c r="D604" s="120" t="s">
        <v>5137</v>
      </c>
      <c r="E604" s="176" t="str">
        <f t="shared" si="8"/>
        <v>Beverages, Alcoholic</v>
      </c>
    </row>
    <row r="605" spans="2:5" ht="15.65" customHeight="1" x14ac:dyDescent="0.35">
      <c r="B605" s="120">
        <v>8970</v>
      </c>
      <c r="C605" s="120" t="s">
        <v>5124</v>
      </c>
      <c r="D605" s="120" t="s">
        <v>5138</v>
      </c>
      <c r="E605" s="176" t="str">
        <f t="shared" si="8"/>
        <v>Composite Food Packages</v>
      </c>
    </row>
    <row r="606" spans="2:5" ht="15.65" customHeight="1" x14ac:dyDescent="0.35">
      <c r="B606" s="120">
        <v>8975</v>
      </c>
      <c r="C606" s="120" t="s">
        <v>5124</v>
      </c>
      <c r="D606" s="120" t="s">
        <v>5139</v>
      </c>
      <c r="E606" s="176" t="str">
        <f t="shared" si="8"/>
        <v>Tobacco Products</v>
      </c>
    </row>
    <row r="607" spans="2:5" ht="15.65" customHeight="1" x14ac:dyDescent="0.35">
      <c r="B607" s="120">
        <v>9110</v>
      </c>
      <c r="C607" s="120" t="s">
        <v>5140</v>
      </c>
      <c r="D607" s="120" t="s">
        <v>5141</v>
      </c>
      <c r="E607" s="176" t="str">
        <f t="shared" si="8"/>
        <v>Fuels, Solid</v>
      </c>
    </row>
    <row r="608" spans="2:5" ht="15.65" customHeight="1" x14ac:dyDescent="0.35">
      <c r="B608" s="120">
        <v>9130</v>
      </c>
      <c r="C608" s="120" t="s">
        <v>5140</v>
      </c>
      <c r="D608" s="120" t="s">
        <v>5142</v>
      </c>
      <c r="E608" s="176" t="str">
        <f t="shared" si="8"/>
        <v>Liquid Propellants and Fuels, Petroleum Base</v>
      </c>
    </row>
    <row r="609" spans="2:5" ht="15.65" customHeight="1" x14ac:dyDescent="0.35">
      <c r="B609" s="120">
        <v>9135</v>
      </c>
      <c r="C609" s="120" t="s">
        <v>5140</v>
      </c>
      <c r="D609" s="120" t="s">
        <v>5143</v>
      </c>
      <c r="E609" s="176" t="str">
        <f t="shared" si="8"/>
        <v>Liquid Propellant Fuels and Oxidizers, Chemical Base</v>
      </c>
    </row>
    <row r="610" spans="2:5" ht="15.65" customHeight="1" x14ac:dyDescent="0.35">
      <c r="B610" s="120">
        <v>9140</v>
      </c>
      <c r="C610" s="120" t="s">
        <v>5140</v>
      </c>
      <c r="D610" s="120" t="s">
        <v>5144</v>
      </c>
      <c r="E610" s="176" t="str">
        <f t="shared" si="8"/>
        <v>Fuel Oils</v>
      </c>
    </row>
    <row r="611" spans="2:5" ht="15.65" customHeight="1" x14ac:dyDescent="0.35">
      <c r="B611" s="120">
        <v>9150</v>
      </c>
      <c r="C611" s="120" t="s">
        <v>5140</v>
      </c>
      <c r="D611" s="120" t="s">
        <v>5145</v>
      </c>
      <c r="E611" s="176" t="str">
        <f t="shared" si="8"/>
        <v>Oils and Greases: Cutting, Lubricating, and Hydraulic</v>
      </c>
    </row>
    <row r="612" spans="2:5" ht="15.65" customHeight="1" x14ac:dyDescent="0.35">
      <c r="B612" s="120">
        <v>9160</v>
      </c>
      <c r="C612" s="120" t="s">
        <v>5140</v>
      </c>
      <c r="D612" s="120" t="s">
        <v>5146</v>
      </c>
      <c r="E612" s="176" t="str">
        <f t="shared" si="8"/>
        <v>Miscellaneous Waxes, Oils, and Fats</v>
      </c>
    </row>
    <row r="613" spans="2:5" ht="15.65" customHeight="1" x14ac:dyDescent="0.35">
      <c r="B613" s="120">
        <v>9310</v>
      </c>
      <c r="C613" s="120" t="s">
        <v>5147</v>
      </c>
      <c r="D613" s="120" t="s">
        <v>5148</v>
      </c>
      <c r="E613" s="176" t="str">
        <f t="shared" si="8"/>
        <v>Paper and Paperboard</v>
      </c>
    </row>
    <row r="614" spans="2:5" ht="15.65" customHeight="1" x14ac:dyDescent="0.35">
      <c r="B614" s="120">
        <v>9320</v>
      </c>
      <c r="C614" s="120" t="s">
        <v>5147</v>
      </c>
      <c r="D614" s="120" t="s">
        <v>5149</v>
      </c>
      <c r="E614" s="176" t="str">
        <f t="shared" si="8"/>
        <v>Rubber Fabricated Materials</v>
      </c>
    </row>
    <row r="615" spans="2:5" ht="15.65" customHeight="1" x14ac:dyDescent="0.35">
      <c r="B615" s="120">
        <v>9330</v>
      </c>
      <c r="C615" s="120" t="s">
        <v>5147</v>
      </c>
      <c r="D615" s="120" t="s">
        <v>5150</v>
      </c>
      <c r="E615" s="176" t="str">
        <f t="shared" si="8"/>
        <v>Plastics Fabricated Materials</v>
      </c>
    </row>
    <row r="616" spans="2:5" ht="15.65" customHeight="1" x14ac:dyDescent="0.35">
      <c r="B616" s="120">
        <v>9340</v>
      </c>
      <c r="C616" s="120" t="s">
        <v>5147</v>
      </c>
      <c r="D616" s="120" t="s">
        <v>5151</v>
      </c>
      <c r="E616" s="176" t="str">
        <f t="shared" si="8"/>
        <v>Glass Fabricated Materials</v>
      </c>
    </row>
    <row r="617" spans="2:5" ht="15.65" customHeight="1" x14ac:dyDescent="0.35">
      <c r="B617" s="120">
        <v>9350</v>
      </c>
      <c r="C617" s="120" t="s">
        <v>5147</v>
      </c>
      <c r="D617" s="120" t="s">
        <v>5152</v>
      </c>
      <c r="E617" s="176" t="str">
        <f t="shared" si="8"/>
        <v>Refractories and Fire Surfacing Materials</v>
      </c>
    </row>
    <row r="618" spans="2:5" ht="15.65" customHeight="1" x14ac:dyDescent="0.35">
      <c r="B618" s="120">
        <v>9390</v>
      </c>
      <c r="C618" s="120" t="s">
        <v>5147</v>
      </c>
      <c r="D618" s="120" t="s">
        <v>5153</v>
      </c>
      <c r="E618" s="176" t="str">
        <f t="shared" si="8"/>
        <v>Miscellaneous Fabricated Nonmetallic Materials</v>
      </c>
    </row>
    <row r="619" spans="2:5" ht="15.65" customHeight="1" x14ac:dyDescent="0.35">
      <c r="B619" s="120">
        <v>9410</v>
      </c>
      <c r="C619" s="120" t="s">
        <v>5154</v>
      </c>
      <c r="D619" s="120" t="s">
        <v>5155</v>
      </c>
      <c r="E619" s="176" t="str">
        <f t="shared" si="8"/>
        <v>Crude Grades of Plant Materials</v>
      </c>
    </row>
    <row r="620" spans="2:5" ht="15.65" customHeight="1" x14ac:dyDescent="0.35">
      <c r="B620" s="120">
        <v>9420</v>
      </c>
      <c r="C620" s="120" t="s">
        <v>5154</v>
      </c>
      <c r="D620" s="120" t="s">
        <v>5156</v>
      </c>
      <c r="E620" s="176" t="str">
        <f t="shared" si="8"/>
        <v>Fibers: Vegetable, Animal, and Synthetic</v>
      </c>
    </row>
    <row r="621" spans="2:5" ht="15.65" customHeight="1" x14ac:dyDescent="0.35">
      <c r="B621" s="120">
        <v>9430</v>
      </c>
      <c r="C621" s="120" t="s">
        <v>5154</v>
      </c>
      <c r="D621" s="120" t="s">
        <v>5157</v>
      </c>
      <c r="E621" s="176" t="str">
        <f t="shared" si="8"/>
        <v>Miscellaneous Crude Animal Products, Inedible</v>
      </c>
    </row>
    <row r="622" spans="2:5" ht="15.65" customHeight="1" x14ac:dyDescent="0.35">
      <c r="B622" s="120">
        <v>9440</v>
      </c>
      <c r="C622" s="120" t="s">
        <v>5154</v>
      </c>
      <c r="D622" s="120" t="s">
        <v>5158</v>
      </c>
      <c r="E622" s="176" t="str">
        <f t="shared" si="8"/>
        <v>Miscellaneous Crude Agricultural and Forestry Products</v>
      </c>
    </row>
    <row r="623" spans="2:5" ht="15.65" customHeight="1" x14ac:dyDescent="0.35">
      <c r="B623" s="120">
        <v>9450</v>
      </c>
      <c r="C623" s="120" t="s">
        <v>5154</v>
      </c>
      <c r="D623" s="120" t="s">
        <v>5159</v>
      </c>
      <c r="E623" s="176" t="str">
        <f t="shared" si="8"/>
        <v>Nonmetallic Scrap, Except Textile</v>
      </c>
    </row>
    <row r="624" spans="2:5" ht="15.65" customHeight="1" x14ac:dyDescent="0.35">
      <c r="B624" s="120">
        <v>9505</v>
      </c>
      <c r="C624" s="120" t="s">
        <v>5160</v>
      </c>
      <c r="D624" s="120" t="s">
        <v>5161</v>
      </c>
      <c r="E624" s="176" t="str">
        <f t="shared" si="8"/>
        <v>Wire, Nonelectrical</v>
      </c>
    </row>
    <row r="625" spans="2:5" ht="15.65" customHeight="1" x14ac:dyDescent="0.35">
      <c r="B625" s="120">
        <v>9510</v>
      </c>
      <c r="C625" s="120" t="s">
        <v>5160</v>
      </c>
      <c r="D625" s="120" t="s">
        <v>5162</v>
      </c>
      <c r="E625" s="176" t="str">
        <f t="shared" si="8"/>
        <v>Bars and Rods</v>
      </c>
    </row>
    <row r="626" spans="2:5" ht="15.65" customHeight="1" x14ac:dyDescent="0.35">
      <c r="B626" s="120">
        <v>9515</v>
      </c>
      <c r="C626" s="120" t="s">
        <v>5160</v>
      </c>
      <c r="D626" s="120" t="s">
        <v>5163</v>
      </c>
      <c r="E626" s="176" t="str">
        <f t="shared" si="8"/>
        <v>Plate, Sheet, Strip, Foil, and Leaf</v>
      </c>
    </row>
    <row r="627" spans="2:5" ht="15.65" customHeight="1" x14ac:dyDescent="0.35">
      <c r="B627" s="120">
        <v>9520</v>
      </c>
      <c r="C627" s="120" t="s">
        <v>5160</v>
      </c>
      <c r="D627" s="120" t="s">
        <v>5164</v>
      </c>
      <c r="E627" s="176" t="str">
        <f t="shared" si="8"/>
        <v>Structural Shapes</v>
      </c>
    </row>
    <row r="628" spans="2:5" ht="15.65" customHeight="1" x14ac:dyDescent="0.35">
      <c r="B628" s="120">
        <v>9525</v>
      </c>
      <c r="C628" s="120" t="s">
        <v>5160</v>
      </c>
      <c r="D628" s="120" t="s">
        <v>5165</v>
      </c>
      <c r="E628" s="176" t="str">
        <f t="shared" si="8"/>
        <v>Wire, Nonelectrical, Nonferrous Base Metal</v>
      </c>
    </row>
    <row r="629" spans="2:5" ht="15.65" customHeight="1" x14ac:dyDescent="0.35">
      <c r="B629" s="120">
        <v>9530</v>
      </c>
      <c r="C629" s="120" t="s">
        <v>5160</v>
      </c>
      <c r="D629" s="120" t="s">
        <v>5166</v>
      </c>
      <c r="E629" s="176" t="str">
        <f t="shared" si="8"/>
        <v>Bars and Rods, Nonferrous Base Metal</v>
      </c>
    </row>
    <row r="630" spans="2:5" ht="15.65" customHeight="1" x14ac:dyDescent="0.35">
      <c r="B630" s="120">
        <v>9535</v>
      </c>
      <c r="C630" s="120" t="s">
        <v>5160</v>
      </c>
      <c r="D630" s="120" t="s">
        <v>5167</v>
      </c>
      <c r="E630" s="176" t="str">
        <f t="shared" si="8"/>
        <v>Plate, Sheet, Strip, and Foil, Nonferrous Base Metal</v>
      </c>
    </row>
    <row r="631" spans="2:5" ht="15.65" customHeight="1" x14ac:dyDescent="0.35">
      <c r="B631" s="120">
        <v>9540</v>
      </c>
      <c r="C631" s="120" t="s">
        <v>5160</v>
      </c>
      <c r="D631" s="120" t="s">
        <v>5168</v>
      </c>
      <c r="E631" s="176" t="str">
        <f t="shared" si="8"/>
        <v>Structural Shapes, Nonferrous Base Metal</v>
      </c>
    </row>
    <row r="632" spans="2:5" ht="15.65" customHeight="1" x14ac:dyDescent="0.35">
      <c r="B632" s="120">
        <v>9545</v>
      </c>
      <c r="C632" s="120" t="s">
        <v>5160</v>
      </c>
      <c r="D632" s="120" t="s">
        <v>5169</v>
      </c>
      <c r="E632" s="176" t="str">
        <f t="shared" si="8"/>
        <v>Plate, Sheet, Strip, Foil, and Wire: Precious Metal</v>
      </c>
    </row>
    <row r="633" spans="2:5" ht="15.65" customHeight="1" x14ac:dyDescent="0.35">
      <c r="B633" s="120">
        <v>9610</v>
      </c>
      <c r="C633" s="120" t="s">
        <v>5170</v>
      </c>
      <c r="D633" s="120" t="s">
        <v>5171</v>
      </c>
      <c r="E633" s="176" t="str">
        <f t="shared" si="8"/>
        <v>Ores</v>
      </c>
    </row>
    <row r="634" spans="2:5" ht="15.65" customHeight="1" x14ac:dyDescent="0.35">
      <c r="B634" s="120">
        <v>9620</v>
      </c>
      <c r="C634" s="120" t="s">
        <v>5170</v>
      </c>
      <c r="D634" s="120" t="s">
        <v>5172</v>
      </c>
      <c r="E634" s="176" t="str">
        <f t="shared" si="8"/>
        <v>Minerals, Natural and Synthetic</v>
      </c>
    </row>
    <row r="635" spans="2:5" ht="15.65" customHeight="1" x14ac:dyDescent="0.35">
      <c r="B635" s="120">
        <v>9630</v>
      </c>
      <c r="C635" s="120" t="s">
        <v>5170</v>
      </c>
      <c r="D635" s="120" t="s">
        <v>5173</v>
      </c>
      <c r="E635" s="176" t="str">
        <f t="shared" si="8"/>
        <v>Additive Metal Materials</v>
      </c>
    </row>
    <row r="636" spans="2:5" ht="15.65" customHeight="1" x14ac:dyDescent="0.35">
      <c r="B636" s="120">
        <v>9640</v>
      </c>
      <c r="C636" s="120" t="s">
        <v>5170</v>
      </c>
      <c r="D636" s="120" t="s">
        <v>5174</v>
      </c>
      <c r="E636" s="176" t="str">
        <f t="shared" si="8"/>
        <v>Iron and Steel Primary and Semifinished Products</v>
      </c>
    </row>
    <row r="637" spans="2:5" ht="15.65" customHeight="1" x14ac:dyDescent="0.35">
      <c r="B637" s="120">
        <v>9650</v>
      </c>
      <c r="C637" s="120" t="s">
        <v>5170</v>
      </c>
      <c r="D637" s="120" t="s">
        <v>5175</v>
      </c>
      <c r="E637" s="176" t="str">
        <f t="shared" si="8"/>
        <v>Nonferrous Base Metal Refinery and Intermediate Forms</v>
      </c>
    </row>
    <row r="638" spans="2:5" ht="15.65" customHeight="1" x14ac:dyDescent="0.35">
      <c r="B638" s="120">
        <v>9660</v>
      </c>
      <c r="C638" s="120" t="s">
        <v>5170</v>
      </c>
      <c r="D638" s="120" t="s">
        <v>5176</v>
      </c>
      <c r="E638" s="176" t="str">
        <f t="shared" si="8"/>
        <v>Precious Metals Primary Forms</v>
      </c>
    </row>
    <row r="639" spans="2:5" ht="15.65" customHeight="1" x14ac:dyDescent="0.35">
      <c r="B639" s="120">
        <v>9670</v>
      </c>
      <c r="C639" s="120" t="s">
        <v>5170</v>
      </c>
      <c r="D639" s="120" t="s">
        <v>5177</v>
      </c>
      <c r="E639" s="176" t="str">
        <f t="shared" si="8"/>
        <v>Iron and Steel Scrap</v>
      </c>
    </row>
    <row r="640" spans="2:5" ht="15.65" customHeight="1" x14ac:dyDescent="0.35">
      <c r="B640" s="120">
        <v>9680</v>
      </c>
      <c r="C640" s="120" t="s">
        <v>5170</v>
      </c>
      <c r="D640" s="120" t="s">
        <v>5178</v>
      </c>
      <c r="E640" s="176" t="str">
        <f t="shared" si="8"/>
        <v>Nonferrous Scrap</v>
      </c>
    </row>
    <row r="641" spans="2:5" ht="15.65" customHeight="1" x14ac:dyDescent="0.35">
      <c r="B641" s="120">
        <v>9905</v>
      </c>
      <c r="C641" s="120" t="s">
        <v>229</v>
      </c>
      <c r="D641" s="120" t="s">
        <v>5179</v>
      </c>
      <c r="E641" s="176" t="str">
        <f t="shared" si="8"/>
        <v>Signs, Advertising Displays, and Identification Plates</v>
      </c>
    </row>
    <row r="642" spans="2:5" ht="15.65" customHeight="1" x14ac:dyDescent="0.35">
      <c r="B642" s="120">
        <v>9910</v>
      </c>
      <c r="C642" s="120" t="s">
        <v>229</v>
      </c>
      <c r="D642" s="120" t="s">
        <v>5180</v>
      </c>
      <c r="E642" s="176" t="str">
        <f t="shared" si="8"/>
        <v>Jewelry</v>
      </c>
    </row>
    <row r="643" spans="2:5" ht="15.65" customHeight="1" x14ac:dyDescent="0.35">
      <c r="B643" s="120">
        <v>9915</v>
      </c>
      <c r="C643" s="120" t="s">
        <v>229</v>
      </c>
      <c r="D643" s="120" t="s">
        <v>5181</v>
      </c>
      <c r="E643" s="176" t="str">
        <f t="shared" si="8"/>
        <v>Collectors' and/or Historical Items</v>
      </c>
    </row>
    <row r="644" spans="2:5" ht="15.65" customHeight="1" x14ac:dyDescent="0.35">
      <c r="B644" s="120">
        <v>9920</v>
      </c>
      <c r="C644" s="120" t="s">
        <v>229</v>
      </c>
      <c r="D644" s="120" t="s">
        <v>5182</v>
      </c>
      <c r="E644" s="176" t="str">
        <f t="shared" si="8"/>
        <v>Smokers' Articles and Matches</v>
      </c>
    </row>
    <row r="645" spans="2:5" ht="15.65" customHeight="1" x14ac:dyDescent="0.35">
      <c r="B645" s="120">
        <v>9925</v>
      </c>
      <c r="C645" s="120" t="s">
        <v>229</v>
      </c>
      <c r="D645" s="120" t="s">
        <v>5183</v>
      </c>
      <c r="E645" s="176" t="str">
        <f t="shared" si="8"/>
        <v>Ecclesiastical Equipment, Furnishings, and Supplies</v>
      </c>
    </row>
    <row r="646" spans="2:5" ht="15.65" customHeight="1" x14ac:dyDescent="0.35">
      <c r="B646" s="120">
        <v>9930</v>
      </c>
      <c r="C646" s="120" t="s">
        <v>229</v>
      </c>
      <c r="D646" s="120" t="s">
        <v>5184</v>
      </c>
      <c r="E646" s="176" t="str">
        <f t="shared" si="8"/>
        <v>Memorials, Cemeterial and Mortuary Equipment and Supplies</v>
      </c>
    </row>
    <row r="647" spans="2:5" ht="15.65" customHeight="1" x14ac:dyDescent="0.35">
      <c r="B647" s="120">
        <v>9999</v>
      </c>
      <c r="C647" s="120" t="s">
        <v>229</v>
      </c>
      <c r="D647" s="120" t="s">
        <v>230</v>
      </c>
      <c r="E647" s="176" t="str">
        <f t="shared" si="8"/>
        <v>Miscellaneous Items</v>
      </c>
    </row>
  </sheetData>
  <autoFilter ref="B6:E6" xr:uid="{AA7F66AD-139F-41E7-8CE4-3F67FF0F17F7}"/>
  <mergeCells count="2">
    <mergeCell ref="B4:D4"/>
    <mergeCell ref="B2:D2"/>
  </mergeCells>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238C9E2FCF4CE4D8979CA1CC5CB8E54" ma:contentTypeVersion="12" ma:contentTypeDescription="Create a new document." ma:contentTypeScope="" ma:versionID="114c35c3efc6c461e6873125a1eaff26">
  <xsd:schema xmlns:xsd="http://www.w3.org/2001/XMLSchema" xmlns:xs="http://www.w3.org/2001/XMLSchema" xmlns:p="http://schemas.microsoft.com/office/2006/metadata/properties" xmlns:ns2="b17ea8e4-3fb0-4555-9c20-069a19b46cb2" xmlns:ns3="fc60c1a9-ee3b-43e3-afc7-59c4474c5166" targetNamespace="http://schemas.microsoft.com/office/2006/metadata/properties" ma:root="true" ma:fieldsID="c12092308f94fd056b5d2d8db22ab1c3" ns2:_="" ns3:_="">
    <xsd:import namespace="b17ea8e4-3fb0-4555-9c20-069a19b46cb2"/>
    <xsd:import namespace="fc60c1a9-ee3b-43e3-afc7-59c4474c5166"/>
    <xsd:element name="properties">
      <xsd:complexType>
        <xsd:sequence>
          <xsd:element name="documentManagement">
            <xsd:complexType>
              <xsd:all>
                <xsd:element ref="ns2:Research_x0020_Areas" minOccurs="0"/>
                <xsd:element ref="ns2:Project_x0020_Types" minOccurs="0"/>
                <xsd:element ref="ns2:Authors"/>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7ea8e4-3fb0-4555-9c20-069a19b46cb2" elementFormDefault="qualified">
    <xsd:import namespace="http://schemas.microsoft.com/office/2006/documentManagement/types"/>
    <xsd:import namespace="http://schemas.microsoft.com/office/infopath/2007/PartnerControls"/>
    <xsd:element name="Research_x0020_Areas" ma:index="8" nillable="true" ma:displayName="Research Areas" ma:format="Dropdown" ma:internalName="Research_x0020_Areas">
      <xsd:complexType>
        <xsd:complexContent>
          <xsd:extension base="dms:MultiChoice">
            <xsd:sequence>
              <xsd:element name="Value" maxOccurs="unbounded" minOccurs="0" nillable="true">
                <xsd:simpleType>
                  <xsd:restriction base="dms:Choice">
                    <xsd:enumeration value="European Governance"/>
                    <xsd:enumeration value="Macroeconomic Policy"/>
                    <xsd:enumeration value="Banking and Capital Markets"/>
                    <xsd:enumeration value="Global Economy and Trade"/>
                    <xsd:enumeration value="Green Economy"/>
                    <xsd:enumeration value="Digital Economy and Innovation"/>
                    <xsd:enumeration value="Inclusive Growth"/>
                  </xsd:restriction>
                </xsd:simpleType>
              </xsd:element>
            </xsd:sequence>
          </xsd:extension>
        </xsd:complexContent>
      </xsd:complexType>
    </xsd:element>
    <xsd:element name="Project_x0020_Types" ma:index="9" nillable="true" ma:displayName="Project Types" ma:format="Dropdown" ma:internalName="Project_x0020_Types">
      <xsd:complexType>
        <xsd:complexContent>
          <xsd:extension base="dms:MultiChoice">
            <xsd:sequence>
              <xsd:element name="Value" maxOccurs="unbounded" minOccurs="0" nillable="true">
                <xsd:simpleType>
                  <xsd:restriction base="dms:Choice">
                    <xsd:enumeration value="Analysis"/>
                    <xsd:enumeration value="First Glance"/>
                    <xsd:enumeration value="Working Paper"/>
                    <xsd:enumeration value="Policy Paper"/>
                    <xsd:enumeration value="Dataset"/>
                    <xsd:enumeration value="Memos"/>
                    <xsd:enumeration value="Other"/>
                  </xsd:restriction>
                </xsd:simpleType>
              </xsd:element>
            </xsd:sequence>
          </xsd:extension>
        </xsd:complexContent>
      </xsd:complexType>
    </xsd:element>
    <xsd:element name="Authors" ma:index="10" ma:displayName="Authors" ma:list="UserInfo" ma:internalName="Authors">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TaxCatchAll" ma:index="17" nillable="true" ma:displayName="Taxonomy Catch All Column" ma:hidden="true" ma:list="{e7100b99-a3f9-4eb5-bbd8-950591438255}" ma:internalName="TaxCatchAll" ma:showField="CatchAllData" ma:web="b17ea8e4-3fb0-4555-9c20-069a19b46cb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c60c1a9-ee3b-43e3-afc7-59c4474c5166"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6bd7f95-f976-4bc6-a03e-1dde3d09eb9e"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Research_x0020_Areas xmlns="b17ea8e4-3fb0-4555-9c20-069a19b46cb2">
      <Value>European Governance</Value>
      <Value>Global Economy and Trade</Value>
    </Research_x0020_Areas>
    <Project_x0020_Types xmlns="b17ea8e4-3fb0-4555-9c20-069a19b46cb2">
      <Value>Policy Paper</Value>
      <Value>Other</Value>
    </Project_x0020_Types>
    <Authors xmlns="b17ea8e4-3fb0-4555-9c20-069a19b46cb2">
      <UserInfo>
        <DisplayName>Guntram Wolff</DisplayName>
        <AccountId>49</AccountId>
        <AccountType/>
      </UserInfo>
      <UserInfo>
        <DisplayName>Juan Mejino-Lopez</DisplayName>
        <AccountId>1067</AccountId>
        <AccountType/>
      </UserInfo>
      <UserInfo>
        <DisplayName>Thomas Morgan</DisplayName>
        <AccountId>1983</AccountId>
        <AccountType/>
      </UserInfo>
      <UserInfo>
        <DisplayName>Alexandr Burilkov</DisplayName>
        <AccountId>1984</AccountId>
        <AccountType/>
      </UserInfo>
      <UserInfo>
        <DisplayName>Katelyn Bushnell</DisplayName>
        <AccountId>2322</AccountId>
        <AccountType/>
      </UserInfo>
    </Authors>
    <TaxCatchAll xmlns="b17ea8e4-3fb0-4555-9c20-069a19b46cb2" xsi:nil="true"/>
    <lcf76f155ced4ddcb4097134ff3c332f xmlns="fc60c1a9-ee3b-43e3-afc7-59c4474c51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FE51023-A9CC-4817-908D-CB11B919CCA1}">
  <ds:schemaRefs>
    <ds:schemaRef ds:uri="http://schemas.microsoft.com/sharepoint/v3/contenttype/forms"/>
  </ds:schemaRefs>
</ds:datastoreItem>
</file>

<file path=customXml/itemProps2.xml><?xml version="1.0" encoding="utf-8"?>
<ds:datastoreItem xmlns:ds="http://schemas.openxmlformats.org/officeDocument/2006/customXml" ds:itemID="{81575D4B-9E46-4F9E-B832-BB75734D0F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17ea8e4-3fb0-4555-9c20-069a19b46cb2"/>
    <ds:schemaRef ds:uri="fc60c1a9-ee3b-43e3-afc7-59c4474c51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360E6D3-6CAE-40F3-ABA4-E475F44A959B}">
  <ds:schemaRefs>
    <ds:schemaRef ds:uri="http://schemas.microsoft.com/office/2006/metadata/properties"/>
    <ds:schemaRef ds:uri="http://schemas.microsoft.com/office/infopath/2007/PartnerControls"/>
    <ds:schemaRef ds:uri="b17ea8e4-3fb0-4555-9c20-069a19b46cb2"/>
    <ds:schemaRef ds:uri="fc60c1a9-ee3b-43e3-afc7-59c4474c5166"/>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49</vt:i4>
      </vt:variant>
    </vt:vector>
  </HeadingPairs>
  <TitlesOfParts>
    <vt:vector size="49" baseType="lpstr">
      <vt:lpstr>ReadMe</vt:lpstr>
      <vt:lpstr>MAIN DATA, Orders</vt:lpstr>
      <vt:lpstr>DE General Item Type by Month</vt:lpstr>
      <vt:lpstr>UK general item type by month</vt:lpstr>
      <vt:lpstr>PL general order type by month</vt:lpstr>
      <vt:lpstr>Unit Costs</vt:lpstr>
      <vt:lpstr>List of Classifications</vt:lpstr>
      <vt:lpstr>Item Classification</vt:lpstr>
      <vt:lpstr>NATO Classifications</vt:lpstr>
      <vt:lpstr>Exchange Rates</vt:lpstr>
      <vt:lpstr>Fig 1 All Country Summary</vt:lpstr>
      <vt:lpstr>Fig 2 DE Orders by Category</vt:lpstr>
      <vt:lpstr>Fig 3 DE Origin (%)</vt:lpstr>
      <vt:lpstr>Fig 4 DE Years to Delivery</vt:lpstr>
      <vt:lpstr>Fig 5 DE No Delivery Date</vt:lpstr>
      <vt:lpstr>Fig 6 UK Orders by Category</vt:lpstr>
      <vt:lpstr>Fig 7 UK Origin (%)</vt:lpstr>
      <vt:lpstr>Fig 8 UK Years to Delivery</vt:lpstr>
      <vt:lpstr>Fig 9 UK No Delivery Date</vt:lpstr>
      <vt:lpstr>Fig 10 PL Orders by Category</vt:lpstr>
      <vt:lpstr>Fig 11 PL Origin (%)</vt:lpstr>
      <vt:lpstr>Fig 12 PL Years to Delivery</vt:lpstr>
      <vt:lpstr>Fig 13 PL No Delivery Date</vt:lpstr>
      <vt:lpstr>A1 DE Total Orders</vt:lpstr>
      <vt:lpstr>A2 DE Total Yearly</vt:lpstr>
      <vt:lpstr>A3 DE Order Priorities</vt:lpstr>
      <vt:lpstr>A4 DE Orders by Fund</vt:lpstr>
      <vt:lpstr>A5 DE Fund Overview</vt:lpstr>
      <vt:lpstr>A6 DE Orders by Origin</vt:lpstr>
      <vt:lpstr>A7 DE Origin (%)</vt:lpstr>
      <vt:lpstr>A8 UK Total Orders</vt:lpstr>
      <vt:lpstr>A9 UK Total Yearly</vt:lpstr>
      <vt:lpstr>A10 UK Order Priorities</vt:lpstr>
      <vt:lpstr>A11 UK Drone Orders</vt:lpstr>
      <vt:lpstr>A12 UK IFU Fund Orders</vt:lpstr>
      <vt:lpstr>A13 UK Orders by Origin</vt:lpstr>
      <vt:lpstr>A14 UK Origin (%)</vt:lpstr>
      <vt:lpstr>A15 PL Total Orders</vt:lpstr>
      <vt:lpstr>A16 PL Total Yearly</vt:lpstr>
      <vt:lpstr>A17 PL Order Priorities</vt:lpstr>
      <vt:lpstr>A18 PL Orders by Origin</vt:lpstr>
      <vt:lpstr>A19 PL Origin (%)</vt:lpstr>
      <vt:lpstr>A20 FR Orders (units)</vt:lpstr>
      <vt:lpstr>A21 DE Land Forces Orders</vt:lpstr>
      <vt:lpstr>A22 UK Land Forces Orders</vt:lpstr>
      <vt:lpstr>A23 PL Land Forces Orders</vt:lpstr>
      <vt:lpstr>A24 UK Navy Forces Orders</vt:lpstr>
      <vt:lpstr>A25 Weap. Units</vt:lpstr>
      <vt:lpstr>A26 France Equipment Deliveries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Katelyn</dc:creator>
  <cp:keywords/>
  <dc:description/>
  <cp:lastModifiedBy>Binder, Johannes</cp:lastModifiedBy>
  <cp:revision/>
  <dcterms:created xsi:type="dcterms:W3CDTF">2024-03-28T15:27:13Z</dcterms:created>
  <dcterms:modified xsi:type="dcterms:W3CDTF">2026-05-11T11:56:18Z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0x010100C238C9E2FCF4CE4D8979CA1CC5CB8E54</vt:lpwstr>
  </property>
  <property fmtid="{D5CDD505-2E9C-101B-9397-08002B2CF9AE}" pid="3" name="_docset_NoMedatataSyncRequired">
    <vt:lpwstr>False</vt:lpwstr>
  </property>
  <property fmtid="{D5CDD505-2E9C-101B-9397-08002B2CF9AE}" pid="4" name="MediaServiceImageTags">
    <vt:lpwstr/>
  </property>
</Properties>
</file>